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330" tabRatio="606" firstSheet="1" activeTab="1"/>
  </bookViews>
  <sheets>
    <sheet name="финансирование" sheetId="2" state="hidden" r:id="rId1"/>
    <sheet name="1 Дельта Т - СВОД" sheetId="14" r:id="rId2"/>
    <sheet name="факт" sheetId="1" state="hidden" r:id="rId3"/>
  </sheets>
  <externalReferences>
    <externalReference r:id="rId4"/>
  </externalReferences>
  <definedNames>
    <definedName name="_xlnm._FilterDatabase" localSheetId="1" hidden="1">'1 Дельта Т - СВОД'!$A$6:$X$369</definedName>
    <definedName name="_xlnm._FilterDatabase" localSheetId="2" hidden="1">факт!$A$1:$BD$424</definedName>
    <definedName name="_xlnm._FilterDatabase" localSheetId="0" hidden="1">финансирование!$A$8:$Z$104</definedName>
    <definedName name="_xlnm.Print_Titles" localSheetId="1">'1 Дельта Т - СВОД'!$3:$5</definedName>
    <definedName name="_xlnm.Print_Titles" localSheetId="0">финансирование!$3:$7</definedName>
    <definedName name="_xlnm.Print_Area" localSheetId="1">'1 Дельта Т - СВОД'!$A$1:$X$383</definedName>
  </definedNames>
  <calcPr calcId="125725" iterate="1"/>
</workbook>
</file>

<file path=xl/calcChain.xml><?xml version="1.0" encoding="utf-8"?>
<calcChain xmlns="http://schemas.openxmlformats.org/spreadsheetml/2006/main">
  <c r="O341" i="14"/>
  <c r="M341"/>
  <c r="N341"/>
  <c r="N11"/>
  <c r="M11"/>
  <c r="L11"/>
  <c r="O11"/>
  <c r="L15"/>
  <c r="M15"/>
  <c r="N15"/>
  <c r="O15"/>
  <c r="N18"/>
  <c r="L18"/>
  <c r="T307" l="1"/>
  <c r="S307"/>
  <c r="T306"/>
  <c r="S306"/>
  <c r="T305"/>
  <c r="S305"/>
  <c r="T258"/>
  <c r="T259"/>
  <c r="T260"/>
  <c r="S258"/>
  <c r="S259"/>
  <c r="S260"/>
  <c r="T128"/>
  <c r="S128"/>
  <c r="T13"/>
  <c r="T14"/>
  <c r="S13"/>
  <c r="S14"/>
  <c r="V369"/>
  <c r="W369"/>
  <c r="V366"/>
  <c r="L364"/>
  <c r="M364"/>
  <c r="N364"/>
  <c r="O364"/>
  <c r="L346"/>
  <c r="M346"/>
  <c r="N346"/>
  <c r="O346"/>
  <c r="L344"/>
  <c r="M344"/>
  <c r="N344"/>
  <c r="O344"/>
  <c r="L342"/>
  <c r="M342"/>
  <c r="N342"/>
  <c r="O342"/>
  <c r="O366" s="1"/>
  <c r="L341"/>
  <c r="M369"/>
  <c r="N369"/>
  <c r="O369"/>
  <c r="L337"/>
  <c r="M337"/>
  <c r="N337"/>
  <c r="O337"/>
  <c r="L333"/>
  <c r="M333"/>
  <c r="N333"/>
  <c r="O333"/>
  <c r="L326"/>
  <c r="M326"/>
  <c r="N326"/>
  <c r="O326"/>
  <c r="L324"/>
  <c r="M324"/>
  <c r="N324"/>
  <c r="O324"/>
  <c r="L320"/>
  <c r="M320"/>
  <c r="N320"/>
  <c r="O320"/>
  <c r="L314"/>
  <c r="M314"/>
  <c r="N314"/>
  <c r="O314"/>
  <c r="L312"/>
  <c r="M312"/>
  <c r="N312"/>
  <c r="O312"/>
  <c r="L310"/>
  <c r="M310"/>
  <c r="N310"/>
  <c r="O310"/>
  <c r="L308"/>
  <c r="M308"/>
  <c r="N308"/>
  <c r="O308"/>
  <c r="L301"/>
  <c r="M301"/>
  <c r="N301"/>
  <c r="O301"/>
  <c r="L282"/>
  <c r="M282"/>
  <c r="N282"/>
  <c r="O282"/>
  <c r="L280"/>
  <c r="M280"/>
  <c r="N280"/>
  <c r="O280"/>
  <c r="L278"/>
  <c r="M278"/>
  <c r="N278"/>
  <c r="O278"/>
  <c r="L275"/>
  <c r="M275"/>
  <c r="N275"/>
  <c r="O275"/>
  <c r="L273"/>
  <c r="M273"/>
  <c r="N273"/>
  <c r="O273"/>
  <c r="L269"/>
  <c r="M269"/>
  <c r="N269"/>
  <c r="O269"/>
  <c r="L267"/>
  <c r="M267"/>
  <c r="N267"/>
  <c r="O267"/>
  <c r="L264"/>
  <c r="M264"/>
  <c r="N264"/>
  <c r="O264"/>
  <c r="L261"/>
  <c r="M261"/>
  <c r="N261"/>
  <c r="O261"/>
  <c r="L231"/>
  <c r="M231"/>
  <c r="L229"/>
  <c r="M229"/>
  <c r="N229"/>
  <c r="O229"/>
  <c r="L220"/>
  <c r="M220"/>
  <c r="N220"/>
  <c r="O220"/>
  <c r="L216"/>
  <c r="M216"/>
  <c r="N216"/>
  <c r="O216"/>
  <c r="L214"/>
  <c r="M214"/>
  <c r="N214"/>
  <c r="O214"/>
  <c r="L210"/>
  <c r="M210"/>
  <c r="N210"/>
  <c r="O210"/>
  <c r="L208"/>
  <c r="M208"/>
  <c r="N208"/>
  <c r="O208"/>
  <c r="L206"/>
  <c r="M206"/>
  <c r="N206"/>
  <c r="O206"/>
  <c r="L204"/>
  <c r="M204"/>
  <c r="N204"/>
  <c r="O204"/>
  <c r="L201"/>
  <c r="M201"/>
  <c r="N201"/>
  <c r="O201"/>
  <c r="L197"/>
  <c r="M197"/>
  <c r="N197"/>
  <c r="O197"/>
  <c r="L192"/>
  <c r="M192"/>
  <c r="N192"/>
  <c r="O192"/>
  <c r="L188"/>
  <c r="M188"/>
  <c r="N188"/>
  <c r="O188"/>
  <c r="L186"/>
  <c r="M186"/>
  <c r="N186"/>
  <c r="O186"/>
  <c r="L184"/>
  <c r="M184"/>
  <c r="N184"/>
  <c r="O184"/>
  <c r="L179"/>
  <c r="M179"/>
  <c r="N179"/>
  <c r="O179"/>
  <c r="L177"/>
  <c r="M177"/>
  <c r="N177"/>
  <c r="O177"/>
  <c r="L173"/>
  <c r="M173"/>
  <c r="N173"/>
  <c r="O173"/>
  <c r="L171"/>
  <c r="M171"/>
  <c r="N171"/>
  <c r="O171"/>
  <c r="L157"/>
  <c r="M157"/>
  <c r="N157"/>
  <c r="O157"/>
  <c r="L155"/>
  <c r="M155"/>
  <c r="N155"/>
  <c r="O155"/>
  <c r="L153"/>
  <c r="M153"/>
  <c r="N153"/>
  <c r="O153"/>
  <c r="L149"/>
  <c r="M149"/>
  <c r="N149"/>
  <c r="O149"/>
  <c r="L147"/>
  <c r="M147"/>
  <c r="N147"/>
  <c r="O147"/>
  <c r="L142"/>
  <c r="M142"/>
  <c r="N142"/>
  <c r="O142"/>
  <c r="L140"/>
  <c r="M140"/>
  <c r="N140"/>
  <c r="O140"/>
  <c r="L137"/>
  <c r="M137"/>
  <c r="N137"/>
  <c r="O137"/>
  <c r="L134"/>
  <c r="M134"/>
  <c r="N134"/>
  <c r="O134"/>
  <c r="L129"/>
  <c r="M129"/>
  <c r="N129"/>
  <c r="O129"/>
  <c r="L126"/>
  <c r="M126"/>
  <c r="N126"/>
  <c r="O126"/>
  <c r="L123"/>
  <c r="M123"/>
  <c r="N123"/>
  <c r="O123"/>
  <c r="L118"/>
  <c r="M118"/>
  <c r="N118"/>
  <c r="O118"/>
  <c r="L116"/>
  <c r="M116"/>
  <c r="N116"/>
  <c r="O116"/>
  <c r="L113"/>
  <c r="M113"/>
  <c r="N113"/>
  <c r="O113"/>
  <c r="L111"/>
  <c r="M111"/>
  <c r="N111"/>
  <c r="O111"/>
  <c r="L109"/>
  <c r="M109"/>
  <c r="N109"/>
  <c r="O109"/>
  <c r="L107"/>
  <c r="M107"/>
  <c r="N107"/>
  <c r="O107"/>
  <c r="L99"/>
  <c r="M99"/>
  <c r="N99"/>
  <c r="O99"/>
  <c r="L96"/>
  <c r="M96"/>
  <c r="N96"/>
  <c r="O96"/>
  <c r="L91"/>
  <c r="M91"/>
  <c r="N91"/>
  <c r="O91"/>
  <c r="L87"/>
  <c r="M87"/>
  <c r="N87"/>
  <c r="O87"/>
  <c r="L80"/>
  <c r="M80"/>
  <c r="N80"/>
  <c r="O80"/>
  <c r="L77"/>
  <c r="M77"/>
  <c r="N77"/>
  <c r="O77"/>
  <c r="L68"/>
  <c r="M68"/>
  <c r="N68"/>
  <c r="O68"/>
  <c r="L66"/>
  <c r="M66"/>
  <c r="N66"/>
  <c r="O66"/>
  <c r="L64"/>
  <c r="M64"/>
  <c r="N64"/>
  <c r="O64"/>
  <c r="L62"/>
  <c r="M62"/>
  <c r="N62"/>
  <c r="O62"/>
  <c r="L60"/>
  <c r="M60"/>
  <c r="N60"/>
  <c r="O60"/>
  <c r="L56"/>
  <c r="M56"/>
  <c r="N56"/>
  <c r="O56"/>
  <c r="L54"/>
  <c r="M54"/>
  <c r="N54"/>
  <c r="O54"/>
  <c r="L52"/>
  <c r="M52"/>
  <c r="N52"/>
  <c r="O52"/>
  <c r="L50"/>
  <c r="M50"/>
  <c r="N50"/>
  <c r="O50"/>
  <c r="L46"/>
  <c r="M46"/>
  <c r="N46"/>
  <c r="O46"/>
  <c r="L42"/>
  <c r="M42"/>
  <c r="N42"/>
  <c r="O42"/>
  <c r="L37"/>
  <c r="M37"/>
  <c r="N37"/>
  <c r="O37"/>
  <c r="L33"/>
  <c r="M33"/>
  <c r="N33"/>
  <c r="O33"/>
  <c r="L31"/>
  <c r="M31"/>
  <c r="N31"/>
  <c r="O31"/>
  <c r="L28"/>
  <c r="M28"/>
  <c r="N28"/>
  <c r="O28"/>
  <c r="L26"/>
  <c r="M26"/>
  <c r="N26"/>
  <c r="O26"/>
  <c r="L24"/>
  <c r="M24"/>
  <c r="N24"/>
  <c r="O24"/>
  <c r="L22"/>
  <c r="M22"/>
  <c r="N22"/>
  <c r="O22"/>
  <c r="M18"/>
  <c r="O18"/>
  <c r="L9"/>
  <c r="M9"/>
  <c r="N9"/>
  <c r="O9"/>
  <c r="L7"/>
  <c r="M7"/>
  <c r="N7"/>
  <c r="O7"/>
  <c r="P8"/>
  <c r="P7" s="1"/>
  <c r="P10"/>
  <c r="P9" s="1"/>
  <c r="P12"/>
  <c r="P13"/>
  <c r="P14"/>
  <c r="P16"/>
  <c r="P17"/>
  <c r="P21"/>
  <c r="P23"/>
  <c r="P22" s="1"/>
  <c r="P25"/>
  <c r="P24" s="1"/>
  <c r="P27"/>
  <c r="P26" s="1"/>
  <c r="P29"/>
  <c r="P30"/>
  <c r="P32"/>
  <c r="P31" s="1"/>
  <c r="P34"/>
  <c r="P33" s="1"/>
  <c r="P35"/>
  <c r="P36"/>
  <c r="P38"/>
  <c r="P39"/>
  <c r="P40"/>
  <c r="P41"/>
  <c r="P43"/>
  <c r="P44"/>
  <c r="P45"/>
  <c r="P47"/>
  <c r="P48"/>
  <c r="P49"/>
  <c r="P51"/>
  <c r="P50" s="1"/>
  <c r="P53"/>
  <c r="P52" s="1"/>
  <c r="P55"/>
  <c r="P54" s="1"/>
  <c r="P57"/>
  <c r="P58"/>
  <c r="P59"/>
  <c r="P61"/>
  <c r="P60" s="1"/>
  <c r="P63"/>
  <c r="P62" s="1"/>
  <c r="P65"/>
  <c r="P64" s="1"/>
  <c r="P67"/>
  <c r="P66" s="1"/>
  <c r="P69"/>
  <c r="P70"/>
  <c r="P71"/>
  <c r="P72"/>
  <c r="P73"/>
  <c r="P74"/>
  <c r="P75"/>
  <c r="P76"/>
  <c r="P78"/>
  <c r="P79"/>
  <c r="P81"/>
  <c r="P82"/>
  <c r="P83"/>
  <c r="P84"/>
  <c r="P85"/>
  <c r="P86"/>
  <c r="P88"/>
  <c r="P89"/>
  <c r="P90"/>
  <c r="P92"/>
  <c r="P93"/>
  <c r="P94"/>
  <c r="P95"/>
  <c r="P97"/>
  <c r="P98"/>
  <c r="P100"/>
  <c r="P101"/>
  <c r="P102"/>
  <c r="P103"/>
  <c r="P104"/>
  <c r="P105"/>
  <c r="P106"/>
  <c r="P108"/>
  <c r="P107" s="1"/>
  <c r="P110"/>
  <c r="P109" s="1"/>
  <c r="P112"/>
  <c r="P111" s="1"/>
  <c r="P114"/>
  <c r="P115"/>
  <c r="P117"/>
  <c r="P116" s="1"/>
  <c r="P119"/>
  <c r="P120"/>
  <c r="P121"/>
  <c r="P122"/>
  <c r="P124"/>
  <c r="P125"/>
  <c r="P127"/>
  <c r="P128"/>
  <c r="P130"/>
  <c r="P131"/>
  <c r="P132"/>
  <c r="P133"/>
  <c r="P135"/>
  <c r="P136"/>
  <c r="P138"/>
  <c r="P139"/>
  <c r="P141"/>
  <c r="P140" s="1"/>
  <c r="P143"/>
  <c r="P144"/>
  <c r="P145"/>
  <c r="P146"/>
  <c r="P148"/>
  <c r="P147" s="1"/>
  <c r="P150"/>
  <c r="P151"/>
  <c r="P152"/>
  <c r="P154"/>
  <c r="P153" s="1"/>
  <c r="P156"/>
  <c r="P155" s="1"/>
  <c r="P158"/>
  <c r="P159"/>
  <c r="P160"/>
  <c r="P161"/>
  <c r="P162"/>
  <c r="P163"/>
  <c r="P164"/>
  <c r="P165"/>
  <c r="P166"/>
  <c r="P167"/>
  <c r="P168"/>
  <c r="P169"/>
  <c r="P170"/>
  <c r="P172"/>
  <c r="P171" s="1"/>
  <c r="P174"/>
  <c r="P175"/>
  <c r="P176"/>
  <c r="P178"/>
  <c r="P177" s="1"/>
  <c r="P180"/>
  <c r="P181"/>
  <c r="P182"/>
  <c r="P183"/>
  <c r="P185"/>
  <c r="P184" s="1"/>
  <c r="P187"/>
  <c r="P186" s="1"/>
  <c r="P189"/>
  <c r="P190"/>
  <c r="P191"/>
  <c r="P193"/>
  <c r="P194"/>
  <c r="P195"/>
  <c r="P196"/>
  <c r="P198"/>
  <c r="P199"/>
  <c r="P200"/>
  <c r="P202"/>
  <c r="P203"/>
  <c r="P205"/>
  <c r="P204" s="1"/>
  <c r="P207"/>
  <c r="P206" s="1"/>
  <c r="P209"/>
  <c r="P208" s="1"/>
  <c r="P211"/>
  <c r="P212"/>
  <c r="P213"/>
  <c r="P215"/>
  <c r="P214" s="1"/>
  <c r="P217"/>
  <c r="P218"/>
  <c r="P219"/>
  <c r="P221"/>
  <c r="P222"/>
  <c r="P223"/>
  <c r="P224"/>
  <c r="P225"/>
  <c r="P226"/>
  <c r="P227"/>
  <c r="P228"/>
  <c r="P230"/>
  <c r="P229" s="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5"/>
  <c r="P257"/>
  <c r="P258"/>
  <c r="P259"/>
  <c r="P260"/>
  <c r="P262"/>
  <c r="P263"/>
  <c r="P265"/>
  <c r="P266"/>
  <c r="P268"/>
  <c r="P267" s="1"/>
  <c r="P270"/>
  <c r="P271"/>
  <c r="P272"/>
  <c r="P274"/>
  <c r="P273" s="1"/>
  <c r="P276"/>
  <c r="P277"/>
  <c r="P279"/>
  <c r="P278" s="1"/>
  <c r="P281"/>
  <c r="P280" s="1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2"/>
  <c r="P303"/>
  <c r="P304"/>
  <c r="P305"/>
  <c r="P306"/>
  <c r="P307"/>
  <c r="P309"/>
  <c r="P308" s="1"/>
  <c r="P311"/>
  <c r="P310" s="1"/>
  <c r="P313"/>
  <c r="P312" s="1"/>
  <c r="P315"/>
  <c r="P316"/>
  <c r="P317"/>
  <c r="P318"/>
  <c r="P319"/>
  <c r="P321"/>
  <c r="P322"/>
  <c r="P323"/>
  <c r="P325"/>
  <c r="P324" s="1"/>
  <c r="P327"/>
  <c r="P328"/>
  <c r="P329"/>
  <c r="P330"/>
  <c r="P331"/>
  <c r="P332"/>
  <c r="P334"/>
  <c r="P335"/>
  <c r="P336"/>
  <c r="P338"/>
  <c r="P337" s="1"/>
  <c r="P343"/>
  <c r="P342" s="1"/>
  <c r="P345"/>
  <c r="P344" s="1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5"/>
  <c r="P364" s="1"/>
  <c r="P96" l="1"/>
  <c r="P333"/>
  <c r="P314"/>
  <c r="P264"/>
  <c r="P28"/>
  <c r="P341"/>
  <c r="P369" s="1"/>
  <c r="P197"/>
  <c r="P188"/>
  <c r="P149"/>
  <c r="P137"/>
  <c r="P77"/>
  <c r="P46"/>
  <c r="P15"/>
  <c r="M340"/>
  <c r="P20"/>
  <c r="P42"/>
  <c r="P220"/>
  <c r="P201"/>
  <c r="P142"/>
  <c r="P113"/>
  <c r="P91"/>
  <c r="P11"/>
  <c r="P68"/>
  <c r="P320"/>
  <c r="P275"/>
  <c r="P269"/>
  <c r="P134"/>
  <c r="P129"/>
  <c r="P123"/>
  <c r="P118"/>
  <c r="P87"/>
  <c r="P56"/>
  <c r="P37"/>
  <c r="P301"/>
  <c r="P346"/>
  <c r="P366" s="1"/>
  <c r="P326"/>
  <c r="P282"/>
  <c r="P80"/>
  <c r="P157"/>
  <c r="P99"/>
  <c r="N366"/>
  <c r="P216"/>
  <c r="P210"/>
  <c r="P192"/>
  <c r="P126"/>
  <c r="P261"/>
  <c r="P179"/>
  <c r="P173"/>
  <c r="L366"/>
  <c r="M366"/>
  <c r="M368" l="1"/>
  <c r="P19"/>
  <c r="P18" s="1"/>
  <c r="L340"/>
  <c r="L368" s="1"/>
  <c r="R10" l="1"/>
  <c r="R9" s="1"/>
  <c r="R12"/>
  <c r="R13"/>
  <c r="R14"/>
  <c r="R16"/>
  <c r="R17"/>
  <c r="R19"/>
  <c r="R20"/>
  <c r="R21"/>
  <c r="R23"/>
  <c r="R22" s="1"/>
  <c r="R25"/>
  <c r="R24" s="1"/>
  <c r="R27"/>
  <c r="R26" s="1"/>
  <c r="R29"/>
  <c r="R30"/>
  <c r="R32"/>
  <c r="R31" s="1"/>
  <c r="R34"/>
  <c r="R33" s="1"/>
  <c r="R35"/>
  <c r="R36"/>
  <c r="R38"/>
  <c r="R39"/>
  <c r="R40"/>
  <c r="R41"/>
  <c r="R43"/>
  <c r="R44"/>
  <c r="R45"/>
  <c r="R47"/>
  <c r="R48"/>
  <c r="R49"/>
  <c r="R51"/>
  <c r="R50" s="1"/>
  <c r="R53"/>
  <c r="R52" s="1"/>
  <c r="R55"/>
  <c r="R54" s="1"/>
  <c r="R57"/>
  <c r="R56" s="1"/>
  <c r="R58"/>
  <c r="R59"/>
  <c r="R61"/>
  <c r="R60" s="1"/>
  <c r="R63"/>
  <c r="R62" s="1"/>
  <c r="R65"/>
  <c r="R64" s="1"/>
  <c r="R67"/>
  <c r="R66" s="1"/>
  <c r="R69"/>
  <c r="R70"/>
  <c r="R71"/>
  <c r="R72"/>
  <c r="R73"/>
  <c r="R74"/>
  <c r="R75"/>
  <c r="R76"/>
  <c r="R78"/>
  <c r="R79"/>
  <c r="R81"/>
  <c r="R82"/>
  <c r="R83"/>
  <c r="R84"/>
  <c r="R85"/>
  <c r="R86"/>
  <c r="R88"/>
  <c r="R89"/>
  <c r="R90"/>
  <c r="R92"/>
  <c r="R93"/>
  <c r="R94"/>
  <c r="R95"/>
  <c r="R97"/>
  <c r="R98"/>
  <c r="R100"/>
  <c r="R101"/>
  <c r="R102"/>
  <c r="R103"/>
  <c r="R104"/>
  <c r="R105"/>
  <c r="R106"/>
  <c r="R108"/>
  <c r="R107" s="1"/>
  <c r="R110"/>
  <c r="R109" s="1"/>
  <c r="R112"/>
  <c r="R111" s="1"/>
  <c r="R114"/>
  <c r="R115"/>
  <c r="R117"/>
  <c r="R116" s="1"/>
  <c r="R119"/>
  <c r="R120"/>
  <c r="R121"/>
  <c r="R122"/>
  <c r="R124"/>
  <c r="R125"/>
  <c r="R127"/>
  <c r="R128"/>
  <c r="R130"/>
  <c r="R131"/>
  <c r="R132"/>
  <c r="R133"/>
  <c r="R135"/>
  <c r="R136"/>
  <c r="R138"/>
  <c r="R139"/>
  <c r="R141"/>
  <c r="R140" s="1"/>
  <c r="R143"/>
  <c r="R144"/>
  <c r="R145"/>
  <c r="R146"/>
  <c r="R148"/>
  <c r="R147" s="1"/>
  <c r="R150"/>
  <c r="R151"/>
  <c r="R152"/>
  <c r="R154"/>
  <c r="R153" s="1"/>
  <c r="R156"/>
  <c r="R155" s="1"/>
  <c r="R158"/>
  <c r="R159"/>
  <c r="R160"/>
  <c r="R161"/>
  <c r="R162"/>
  <c r="R163"/>
  <c r="R164"/>
  <c r="R165"/>
  <c r="R166"/>
  <c r="R167"/>
  <c r="R168"/>
  <c r="R169"/>
  <c r="R170"/>
  <c r="R172"/>
  <c r="R171" s="1"/>
  <c r="R174"/>
  <c r="R175"/>
  <c r="R176"/>
  <c r="R178"/>
  <c r="R177" s="1"/>
  <c r="R180"/>
  <c r="R181"/>
  <c r="R182"/>
  <c r="R183"/>
  <c r="R185"/>
  <c r="R184" s="1"/>
  <c r="R187"/>
  <c r="R186" s="1"/>
  <c r="R189"/>
  <c r="R190"/>
  <c r="R191"/>
  <c r="R193"/>
  <c r="R194"/>
  <c r="R195"/>
  <c r="R196"/>
  <c r="R198"/>
  <c r="R199"/>
  <c r="R200"/>
  <c r="R202"/>
  <c r="R203"/>
  <c r="R205"/>
  <c r="R204" s="1"/>
  <c r="R207"/>
  <c r="R206" s="1"/>
  <c r="R209"/>
  <c r="R208" s="1"/>
  <c r="R211"/>
  <c r="R212"/>
  <c r="R213"/>
  <c r="R215"/>
  <c r="R214" s="1"/>
  <c r="R217"/>
  <c r="R218"/>
  <c r="R219"/>
  <c r="R221"/>
  <c r="R222"/>
  <c r="R223"/>
  <c r="R224"/>
  <c r="R225"/>
  <c r="R226"/>
  <c r="R227"/>
  <c r="R228"/>
  <c r="R230"/>
  <c r="R229" s="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2"/>
  <c r="R261" s="1"/>
  <c r="R263"/>
  <c r="R265"/>
  <c r="R266"/>
  <c r="R268"/>
  <c r="R267" s="1"/>
  <c r="R270"/>
  <c r="R271"/>
  <c r="R272"/>
  <c r="R274"/>
  <c r="R273" s="1"/>
  <c r="R276"/>
  <c r="R277"/>
  <c r="R279"/>
  <c r="R278" s="1"/>
  <c r="R281"/>
  <c r="R280" s="1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2"/>
  <c r="R303"/>
  <c r="R304"/>
  <c r="R305"/>
  <c r="R306"/>
  <c r="R307"/>
  <c r="R309"/>
  <c r="R308" s="1"/>
  <c r="R311"/>
  <c r="R310" s="1"/>
  <c r="R313"/>
  <c r="R312" s="1"/>
  <c r="R315"/>
  <c r="R316"/>
  <c r="R317"/>
  <c r="R318"/>
  <c r="R319"/>
  <c r="R321"/>
  <c r="R322"/>
  <c r="R323"/>
  <c r="R325"/>
  <c r="R324" s="1"/>
  <c r="R327"/>
  <c r="R328"/>
  <c r="R329"/>
  <c r="R330"/>
  <c r="R331"/>
  <c r="R332"/>
  <c r="R334"/>
  <c r="R335"/>
  <c r="R336"/>
  <c r="R338"/>
  <c r="R337" s="1"/>
  <c r="R343"/>
  <c r="R342" s="1"/>
  <c r="R345"/>
  <c r="R344" s="1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5"/>
  <c r="R364" s="1"/>
  <c r="R8"/>
  <c r="R7" s="1"/>
  <c r="Q10"/>
  <c r="Q12"/>
  <c r="Q13"/>
  <c r="Q14"/>
  <c r="Q16"/>
  <c r="Q15" s="1"/>
  <c r="Q17"/>
  <c r="Q19"/>
  <c r="Q20"/>
  <c r="Q21"/>
  <c r="Q23"/>
  <c r="Q22" s="1"/>
  <c r="Q25"/>
  <c r="Q24" s="1"/>
  <c r="Q27"/>
  <c r="Q26" s="1"/>
  <c r="Q29"/>
  <c r="Q28" s="1"/>
  <c r="Q30"/>
  <c r="Q32"/>
  <c r="Q31" s="1"/>
  <c r="Q34"/>
  <c r="Q35"/>
  <c r="Q36"/>
  <c r="Q38"/>
  <c r="Q39"/>
  <c r="Q40"/>
  <c r="Q41"/>
  <c r="Q43"/>
  <c r="Q44"/>
  <c r="Q45"/>
  <c r="Q47"/>
  <c r="Q48"/>
  <c r="Q49"/>
  <c r="Q51"/>
  <c r="Q50" s="1"/>
  <c r="Q53"/>
  <c r="Q52" s="1"/>
  <c r="Q55"/>
  <c r="Q54" s="1"/>
  <c r="Q57"/>
  <c r="Q58"/>
  <c r="Q59"/>
  <c r="Q61"/>
  <c r="Q60" s="1"/>
  <c r="Q63"/>
  <c r="Q62" s="1"/>
  <c r="Q65"/>
  <c r="Q64" s="1"/>
  <c r="Q67"/>
  <c r="Q66" s="1"/>
  <c r="Q69"/>
  <c r="Q70"/>
  <c r="Q71"/>
  <c r="Q72"/>
  <c r="Q73"/>
  <c r="Q74"/>
  <c r="Q75"/>
  <c r="Q76"/>
  <c r="Q78"/>
  <c r="Q79"/>
  <c r="Q81"/>
  <c r="Q82"/>
  <c r="Q83"/>
  <c r="Q84"/>
  <c r="Q85"/>
  <c r="Q86"/>
  <c r="Q88"/>
  <c r="Q89"/>
  <c r="Q90"/>
  <c r="Q92"/>
  <c r="Q93"/>
  <c r="Q94"/>
  <c r="Q95"/>
  <c r="Q97"/>
  <c r="Q98"/>
  <c r="Q100"/>
  <c r="Q101"/>
  <c r="Q102"/>
  <c r="Q103"/>
  <c r="Q104"/>
  <c r="Q105"/>
  <c r="Q106"/>
  <c r="Q108"/>
  <c r="Q107" s="1"/>
  <c r="Q110"/>
  <c r="Q109" s="1"/>
  <c r="Q112"/>
  <c r="Q111" s="1"/>
  <c r="Q114"/>
  <c r="Q115"/>
  <c r="Q117"/>
  <c r="Q116" s="1"/>
  <c r="Q119"/>
  <c r="Q118" s="1"/>
  <c r="Q120"/>
  <c r="Q121"/>
  <c r="Q122"/>
  <c r="Q124"/>
  <c r="Q123" s="1"/>
  <c r="Q125"/>
  <c r="Q127"/>
  <c r="Q128"/>
  <c r="Q130"/>
  <c r="Q129" s="1"/>
  <c r="Q131"/>
  <c r="Q132"/>
  <c r="Q133"/>
  <c r="Q135"/>
  <c r="Q134" s="1"/>
  <c r="Q136"/>
  <c r="Q138"/>
  <c r="Q139"/>
  <c r="Q141"/>
  <c r="Q140" s="1"/>
  <c r="Q143"/>
  <c r="Q144"/>
  <c r="Q145"/>
  <c r="Q146"/>
  <c r="Q148"/>
  <c r="Q147" s="1"/>
  <c r="Q150"/>
  <c r="Q151"/>
  <c r="Q152"/>
  <c r="Q154"/>
  <c r="Q153" s="1"/>
  <c r="Q156"/>
  <c r="Q155" s="1"/>
  <c r="Q158"/>
  <c r="Q159"/>
  <c r="Q160"/>
  <c r="Q161"/>
  <c r="Q162"/>
  <c r="Q163"/>
  <c r="Q164"/>
  <c r="Q165"/>
  <c r="Q166"/>
  <c r="Q167"/>
  <c r="Q168"/>
  <c r="Q169"/>
  <c r="Q170"/>
  <c r="Q172"/>
  <c r="Q171" s="1"/>
  <c r="Q174"/>
  <c r="Q175"/>
  <c r="Q176"/>
  <c r="Q178"/>
  <c r="Q177" s="1"/>
  <c r="Q180"/>
  <c r="Q181"/>
  <c r="Q182"/>
  <c r="Q183"/>
  <c r="Q185"/>
  <c r="Q184" s="1"/>
  <c r="Q187"/>
  <c r="Q186" s="1"/>
  <c r="Q189"/>
  <c r="Q190"/>
  <c r="Q191"/>
  <c r="Q193"/>
  <c r="Q194"/>
  <c r="Q195"/>
  <c r="Q196"/>
  <c r="Q198"/>
  <c r="Q199"/>
  <c r="Q200"/>
  <c r="Q202"/>
  <c r="Q203"/>
  <c r="Q205"/>
  <c r="Q204" s="1"/>
  <c r="Q207"/>
  <c r="Q206" s="1"/>
  <c r="Q209"/>
  <c r="Q208" s="1"/>
  <c r="Q211"/>
  <c r="Q212"/>
  <c r="Q213"/>
  <c r="Q215"/>
  <c r="Q214" s="1"/>
  <c r="Q217"/>
  <c r="Q218"/>
  <c r="Q219"/>
  <c r="Q221"/>
  <c r="Q222"/>
  <c r="Q223"/>
  <c r="Q224"/>
  <c r="Q225"/>
  <c r="Q226"/>
  <c r="Q227"/>
  <c r="Q228"/>
  <c r="Q230"/>
  <c r="Q229" s="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U258" s="1"/>
  <c r="Q259"/>
  <c r="Q260"/>
  <c r="Q262"/>
  <c r="Q263"/>
  <c r="Q265"/>
  <c r="Q266"/>
  <c r="Q268"/>
  <c r="Q267" s="1"/>
  <c r="Q270"/>
  <c r="Q269" s="1"/>
  <c r="Q271"/>
  <c r="Q272"/>
  <c r="Q274"/>
  <c r="Q273" s="1"/>
  <c r="Q276"/>
  <c r="Q275" s="1"/>
  <c r="Q277"/>
  <c r="Q279"/>
  <c r="Q278" s="1"/>
  <c r="Q281"/>
  <c r="Q280" s="1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2"/>
  <c r="Q303"/>
  <c r="Q304"/>
  <c r="Q305"/>
  <c r="Q306"/>
  <c r="Q307"/>
  <c r="Q309"/>
  <c r="Q308" s="1"/>
  <c r="Q311"/>
  <c r="Q310" s="1"/>
  <c r="Q313"/>
  <c r="Q312" s="1"/>
  <c r="Q315"/>
  <c r="Q316"/>
  <c r="Q317"/>
  <c r="Q318"/>
  <c r="Q319"/>
  <c r="Q321"/>
  <c r="Q320" s="1"/>
  <c r="Q322"/>
  <c r="Q323"/>
  <c r="Q325"/>
  <c r="Q324" s="1"/>
  <c r="Q327"/>
  <c r="Q328"/>
  <c r="Q329"/>
  <c r="Q330"/>
  <c r="Q331"/>
  <c r="Q332"/>
  <c r="Q334"/>
  <c r="Q335"/>
  <c r="Q336"/>
  <c r="Q338"/>
  <c r="Q337" s="1"/>
  <c r="Q343"/>
  <c r="Q342" s="1"/>
  <c r="Q345"/>
  <c r="Q344" s="1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5"/>
  <c r="Q364" s="1"/>
  <c r="Q8"/>
  <c r="R341" l="1"/>
  <c r="R188"/>
  <c r="Q326"/>
  <c r="U305"/>
  <c r="U259"/>
  <c r="R320"/>
  <c r="R275"/>
  <c r="Q341"/>
  <c r="R231"/>
  <c r="Q231"/>
  <c r="R11"/>
  <c r="R340" s="1"/>
  <c r="Q11"/>
  <c r="R269"/>
  <c r="R134"/>
  <c r="R123"/>
  <c r="R28"/>
  <c r="R369"/>
  <c r="R15"/>
  <c r="Q264"/>
  <c r="Q201"/>
  <c r="Q113"/>
  <c r="Q96"/>
  <c r="Q346"/>
  <c r="Q366" s="1"/>
  <c r="Q282"/>
  <c r="Q80"/>
  <c r="R314"/>
  <c r="Q314"/>
  <c r="Q261"/>
  <c r="Q188"/>
  <c r="U128"/>
  <c r="Q99"/>
  <c r="Q33"/>
  <c r="R301"/>
  <c r="R210"/>
  <c r="R197"/>
  <c r="R149"/>
  <c r="R137"/>
  <c r="R87"/>
  <c r="R77"/>
  <c r="R68"/>
  <c r="R42"/>
  <c r="R37"/>
  <c r="Q333"/>
  <c r="U306"/>
  <c r="Q301"/>
  <c r="U260"/>
  <c r="Q216"/>
  <c r="Q210"/>
  <c r="Q197"/>
  <c r="Q192"/>
  <c r="Q149"/>
  <c r="Q137"/>
  <c r="Q126"/>
  <c r="Q87"/>
  <c r="Q77"/>
  <c r="Q68"/>
  <c r="Q42"/>
  <c r="Q37"/>
  <c r="Q18"/>
  <c r="R264"/>
  <c r="R220"/>
  <c r="R201"/>
  <c r="R179"/>
  <c r="R173"/>
  <c r="R142"/>
  <c r="R113"/>
  <c r="R96"/>
  <c r="R91"/>
  <c r="R46"/>
  <c r="Q369"/>
  <c r="R157"/>
  <c r="R99"/>
  <c r="U307"/>
  <c r="Q157"/>
  <c r="Q56"/>
  <c r="R333"/>
  <c r="R216"/>
  <c r="R192"/>
  <c r="R126"/>
  <c r="R18"/>
  <c r="Q220"/>
  <c r="Q179"/>
  <c r="Q173"/>
  <c r="Q142"/>
  <c r="Q91"/>
  <c r="Q46"/>
  <c r="R346"/>
  <c r="R366" s="1"/>
  <c r="R326"/>
  <c r="R282"/>
  <c r="R129"/>
  <c r="R118"/>
  <c r="R80"/>
  <c r="Q7"/>
  <c r="U14"/>
  <c r="Q9"/>
  <c r="X7" i="2"/>
  <c r="R368" i="14" l="1"/>
  <c r="R367" s="1"/>
  <c r="Q340"/>
  <c r="Q368" s="1"/>
  <c r="Q367" s="1"/>
  <c r="S18" i="2"/>
  <c r="L369" i="14" l="1"/>
  <c r="M104" i="2" l="1"/>
  <c r="M96" l="1"/>
  <c r="O256" i="14" l="1"/>
  <c r="T256" s="1"/>
  <c r="N256"/>
  <c r="O254"/>
  <c r="O231" s="1"/>
  <c r="O340" s="1"/>
  <c r="O368" s="1"/>
  <c r="N254"/>
  <c r="T257"/>
  <c r="S257"/>
  <c r="U257" s="1"/>
  <c r="T255"/>
  <c r="S255"/>
  <c r="T253"/>
  <c r="S253"/>
  <c r="U253" s="1"/>
  <c r="T252"/>
  <c r="S252"/>
  <c r="T251"/>
  <c r="S251"/>
  <c r="U251" s="1"/>
  <c r="T250"/>
  <c r="S250"/>
  <c r="T249"/>
  <c r="S249"/>
  <c r="U249" s="1"/>
  <c r="T248"/>
  <c r="S248"/>
  <c r="T247"/>
  <c r="S247"/>
  <c r="U247" s="1"/>
  <c r="T246"/>
  <c r="S246"/>
  <c r="S254" l="1"/>
  <c r="P254"/>
  <c r="N231"/>
  <c r="N340" s="1"/>
  <c r="N368" s="1"/>
  <c r="S256"/>
  <c r="U256" s="1"/>
  <c r="P256"/>
  <c r="U246"/>
  <c r="U248"/>
  <c r="U250"/>
  <c r="U252"/>
  <c r="U255"/>
  <c r="T254"/>
  <c r="U254" s="1"/>
  <c r="P231" l="1"/>
  <c r="P340"/>
  <c r="P368" s="1"/>
  <c r="S37" i="2"/>
  <c r="O37"/>
  <c r="S65"/>
  <c r="O65"/>
  <c r="O46"/>
  <c r="L37"/>
  <c r="O22"/>
  <c r="O14"/>
  <c r="T365" i="14" l="1"/>
  <c r="T364" s="1"/>
  <c r="W364" s="1"/>
  <c r="S365"/>
  <c r="S364" s="1"/>
  <c r="Y100" i="2"/>
  <c r="Y103"/>
  <c r="U365" i="14" l="1"/>
  <c r="U364" s="1"/>
  <c r="X364" l="1"/>
  <c r="J101" i="2"/>
  <c r="J99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2"/>
  <c r="J51"/>
  <c r="J50"/>
  <c r="J49"/>
  <c r="J48"/>
  <c r="J47"/>
  <c r="J46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8"/>
  <c r="J17"/>
  <c r="J15"/>
  <c r="J14"/>
  <c r="J13"/>
  <c r="J12"/>
  <c r="J11"/>
  <c r="J10"/>
  <c r="I104" l="1"/>
  <c r="J104"/>
  <c r="L104"/>
  <c r="N104"/>
  <c r="P104"/>
  <c r="Q104"/>
  <c r="R104"/>
  <c r="S104"/>
  <c r="T104"/>
  <c r="U104"/>
  <c r="V104"/>
  <c r="W104"/>
  <c r="H104"/>
  <c r="G104"/>
  <c r="I96"/>
  <c r="J96"/>
  <c r="L96"/>
  <c r="N96"/>
  <c r="P96"/>
  <c r="Q96"/>
  <c r="R96"/>
  <c r="T96"/>
  <c r="U96"/>
  <c r="V96"/>
  <c r="H96"/>
  <c r="H6" s="1"/>
  <c r="H7" s="1"/>
  <c r="G96"/>
  <c r="A11"/>
  <c r="A12" s="1"/>
  <c r="A13" s="1"/>
  <c r="A14" s="1"/>
  <c r="X152" i="14"/>
  <c r="G6" i="2" l="1"/>
  <c r="H5"/>
  <c r="T348" i="14" l="1"/>
  <c r="T349"/>
  <c r="T350"/>
  <c r="T351"/>
  <c r="T352"/>
  <c r="T353"/>
  <c r="T354"/>
  <c r="T355"/>
  <c r="T356"/>
  <c r="T357"/>
  <c r="T358"/>
  <c r="T359"/>
  <c r="T360"/>
  <c r="T361"/>
  <c r="T362"/>
  <c r="T363"/>
  <c r="S348"/>
  <c r="U348" s="1"/>
  <c r="S349"/>
  <c r="U349" s="1"/>
  <c r="S350"/>
  <c r="U350" s="1"/>
  <c r="S351"/>
  <c r="U351" s="1"/>
  <c r="S352"/>
  <c r="U352" s="1"/>
  <c r="S353"/>
  <c r="U353" s="1"/>
  <c r="S354"/>
  <c r="U354" s="1"/>
  <c r="S355"/>
  <c r="U355" s="1"/>
  <c r="S356"/>
  <c r="U356" s="1"/>
  <c r="S357"/>
  <c r="U357" s="1"/>
  <c r="S358"/>
  <c r="U358" s="1"/>
  <c r="S359"/>
  <c r="U359" s="1"/>
  <c r="S360"/>
  <c r="U360" s="1"/>
  <c r="S361"/>
  <c r="U361" s="1"/>
  <c r="S362"/>
  <c r="U362" s="1"/>
  <c r="S363"/>
  <c r="U363" s="1"/>
  <c r="T347"/>
  <c r="S347"/>
  <c r="T345"/>
  <c r="T344" s="1"/>
  <c r="S345"/>
  <c r="T343"/>
  <c r="T342" s="1"/>
  <c r="S343"/>
  <c r="U345" l="1"/>
  <c r="U344" s="1"/>
  <c r="S344"/>
  <c r="U343"/>
  <c r="U342" s="1"/>
  <c r="S342"/>
  <c r="U347"/>
  <c r="U346" s="1"/>
  <c r="S346"/>
  <c r="T346"/>
  <c r="W346" s="1"/>
  <c r="W344"/>
  <c r="U366" l="1"/>
  <c r="S366"/>
  <c r="T366"/>
  <c r="X346"/>
  <c r="X344"/>
  <c r="W342"/>
  <c r="W366" s="1"/>
  <c r="X342" l="1"/>
  <c r="X366" s="1"/>
  <c r="Y99" i="2"/>
  <c r="Y104" s="1"/>
  <c r="Y102"/>
  <c r="V340" i="14" l="1"/>
  <c r="V368" s="1"/>
  <c r="V367" s="1"/>
  <c r="T65"/>
  <c r="T64" s="1"/>
  <c r="S65"/>
  <c r="U65" l="1"/>
  <c r="U64" s="1"/>
  <c r="S64"/>
  <c r="T127"/>
  <c r="T126" s="1"/>
  <c r="Y101" i="2" l="1"/>
  <c r="T76" i="14"/>
  <c r="S76"/>
  <c r="U76" l="1"/>
  <c r="S182"/>
  <c r="T182"/>
  <c r="T152"/>
  <c r="S152"/>
  <c r="U152" l="1"/>
  <c r="U182"/>
  <c r="T125"/>
  <c r="S125"/>
  <c r="U125" s="1"/>
  <c r="T124"/>
  <c r="S124"/>
  <c r="S123" l="1"/>
  <c r="T123"/>
  <c r="U124"/>
  <c r="U123" s="1"/>
  <c r="T10"/>
  <c r="T9" s="1"/>
  <c r="T12"/>
  <c r="T11" s="1"/>
  <c r="T16"/>
  <c r="T17"/>
  <c r="T19"/>
  <c r="T20"/>
  <c r="T21"/>
  <c r="T23"/>
  <c r="T25"/>
  <c r="T27"/>
  <c r="T29"/>
  <c r="T30"/>
  <c r="T32"/>
  <c r="T31" s="1"/>
  <c r="T34"/>
  <c r="T35"/>
  <c r="T36"/>
  <c r="T38"/>
  <c r="T39"/>
  <c r="T40"/>
  <c r="T41"/>
  <c r="T43"/>
  <c r="T44"/>
  <c r="T45"/>
  <c r="T47"/>
  <c r="T48"/>
  <c r="T49"/>
  <c r="T51"/>
  <c r="T53"/>
  <c r="T55"/>
  <c r="T57"/>
  <c r="T58"/>
  <c r="T59"/>
  <c r="T61"/>
  <c r="T63"/>
  <c r="T67"/>
  <c r="T69"/>
  <c r="T71"/>
  <c r="T73"/>
  <c r="T75"/>
  <c r="T70"/>
  <c r="T72"/>
  <c r="T74"/>
  <c r="T78"/>
  <c r="T79"/>
  <c r="T81"/>
  <c r="T82"/>
  <c r="T83"/>
  <c r="T84"/>
  <c r="T85"/>
  <c r="T86"/>
  <c r="T88"/>
  <c r="T89"/>
  <c r="T90"/>
  <c r="T92"/>
  <c r="T93"/>
  <c r="T94"/>
  <c r="T95"/>
  <c r="T98"/>
  <c r="T97"/>
  <c r="T96" s="1"/>
  <c r="T100"/>
  <c r="T101"/>
  <c r="T102"/>
  <c r="T103"/>
  <c r="T104"/>
  <c r="T105"/>
  <c r="T106"/>
  <c r="T108"/>
  <c r="T110"/>
  <c r="T112"/>
  <c r="T114"/>
  <c r="T115"/>
  <c r="T117"/>
  <c r="T119"/>
  <c r="T121"/>
  <c r="T120"/>
  <c r="T122"/>
  <c r="W126"/>
  <c r="T130"/>
  <c r="T131"/>
  <c r="T132"/>
  <c r="T133"/>
  <c r="T135"/>
  <c r="T136"/>
  <c r="T138"/>
  <c r="T139"/>
  <c r="T141"/>
  <c r="T143"/>
  <c r="T144"/>
  <c r="T145"/>
  <c r="T146"/>
  <c r="T148"/>
  <c r="T150"/>
  <c r="T151"/>
  <c r="T154"/>
  <c r="T156"/>
  <c r="T158"/>
  <c r="T159"/>
  <c r="T160"/>
  <c r="T161"/>
  <c r="T163"/>
  <c r="T164"/>
  <c r="T162"/>
  <c r="T165"/>
  <c r="T166"/>
  <c r="T167"/>
  <c r="T168"/>
  <c r="T169"/>
  <c r="T170"/>
  <c r="T172"/>
  <c r="T171" s="1"/>
  <c r="T174"/>
  <c r="T175"/>
  <c r="T176"/>
  <c r="T178"/>
  <c r="T177" s="1"/>
  <c r="T180"/>
  <c r="T181"/>
  <c r="T183"/>
  <c r="T185"/>
  <c r="T187"/>
  <c r="T189"/>
  <c r="T190"/>
  <c r="T191"/>
  <c r="T193"/>
  <c r="T194"/>
  <c r="T195"/>
  <c r="T196"/>
  <c r="T198"/>
  <c r="T199"/>
  <c r="T200"/>
  <c r="T202"/>
  <c r="T203"/>
  <c r="T205"/>
  <c r="T207"/>
  <c r="T206" s="1"/>
  <c r="T209"/>
  <c r="T211"/>
  <c r="T212"/>
  <c r="T213"/>
  <c r="T215"/>
  <c r="T217"/>
  <c r="T218"/>
  <c r="T219"/>
  <c r="T221"/>
  <c r="T223"/>
  <c r="T227"/>
  <c r="T225"/>
  <c r="T222"/>
  <c r="T224"/>
  <c r="T226"/>
  <c r="T228"/>
  <c r="T230"/>
  <c r="T232"/>
  <c r="T233"/>
  <c r="T234"/>
  <c r="T235"/>
  <c r="T236"/>
  <c r="T237"/>
  <c r="T238"/>
  <c r="T239"/>
  <c r="T240"/>
  <c r="T241"/>
  <c r="T242"/>
  <c r="T243"/>
  <c r="T244"/>
  <c r="T245"/>
  <c r="T262"/>
  <c r="T263"/>
  <c r="T265"/>
  <c r="T266"/>
  <c r="T268"/>
  <c r="T270"/>
  <c r="T271"/>
  <c r="T272"/>
  <c r="T274"/>
  <c r="T273" s="1"/>
  <c r="T276"/>
  <c r="T277"/>
  <c r="T279"/>
  <c r="T281"/>
  <c r="T280" s="1"/>
  <c r="T283"/>
  <c r="T284"/>
  <c r="T285"/>
  <c r="T286"/>
  <c r="T287"/>
  <c r="T288"/>
  <c r="T290"/>
  <c r="T291"/>
  <c r="T292"/>
  <c r="T293"/>
  <c r="T294"/>
  <c r="T295"/>
  <c r="T296"/>
  <c r="T299"/>
  <c r="T298"/>
  <c r="T289"/>
  <c r="T297"/>
  <c r="T300"/>
  <c r="T302"/>
  <c r="T303"/>
  <c r="T304"/>
  <c r="T309"/>
  <c r="T311"/>
  <c r="T313"/>
  <c r="T312" s="1"/>
  <c r="T315"/>
  <c r="T316"/>
  <c r="T317"/>
  <c r="T318"/>
  <c r="T319"/>
  <c r="T321"/>
  <c r="T322"/>
  <c r="T323"/>
  <c r="T325"/>
  <c r="T327"/>
  <c r="T328"/>
  <c r="T329"/>
  <c r="T330"/>
  <c r="T331"/>
  <c r="T332"/>
  <c r="T334"/>
  <c r="T335"/>
  <c r="T336"/>
  <c r="T338"/>
  <c r="S10"/>
  <c r="S12"/>
  <c r="S11" s="1"/>
  <c r="U13"/>
  <c r="S16"/>
  <c r="S17"/>
  <c r="U17" s="1"/>
  <c r="S19"/>
  <c r="S18" s="1"/>
  <c r="S20"/>
  <c r="U20" s="1"/>
  <c r="S21"/>
  <c r="S23"/>
  <c r="S22" s="1"/>
  <c r="S25"/>
  <c r="S24" s="1"/>
  <c r="S27"/>
  <c r="S26" s="1"/>
  <c r="S29"/>
  <c r="S30"/>
  <c r="U30" s="1"/>
  <c r="S32"/>
  <c r="S34"/>
  <c r="S35"/>
  <c r="U35" s="1"/>
  <c r="S36"/>
  <c r="U36" s="1"/>
  <c r="S38"/>
  <c r="S39"/>
  <c r="U39" s="1"/>
  <c r="S40"/>
  <c r="U40" s="1"/>
  <c r="S41"/>
  <c r="U41" s="1"/>
  <c r="S43"/>
  <c r="S44"/>
  <c r="U44" s="1"/>
  <c r="S45"/>
  <c r="U45" s="1"/>
  <c r="S47"/>
  <c r="S48"/>
  <c r="U48" s="1"/>
  <c r="S49"/>
  <c r="U49" s="1"/>
  <c r="S51"/>
  <c r="S50" s="1"/>
  <c r="S53"/>
  <c r="S52" s="1"/>
  <c r="S55"/>
  <c r="S54" s="1"/>
  <c r="S57"/>
  <c r="S58"/>
  <c r="U58" s="1"/>
  <c r="S59"/>
  <c r="U59" s="1"/>
  <c r="S61"/>
  <c r="S60" s="1"/>
  <c r="S63"/>
  <c r="S62" s="1"/>
  <c r="S67"/>
  <c r="S66" s="1"/>
  <c r="S69"/>
  <c r="S71"/>
  <c r="U71" s="1"/>
  <c r="S73"/>
  <c r="U73" s="1"/>
  <c r="S75"/>
  <c r="S70"/>
  <c r="U70" s="1"/>
  <c r="S72"/>
  <c r="U72" s="1"/>
  <c r="S74"/>
  <c r="U74" s="1"/>
  <c r="S78"/>
  <c r="S79"/>
  <c r="U79" s="1"/>
  <c r="S81"/>
  <c r="S82"/>
  <c r="U82" s="1"/>
  <c r="S83"/>
  <c r="S84"/>
  <c r="U84" s="1"/>
  <c r="S85"/>
  <c r="U85" s="1"/>
  <c r="S86"/>
  <c r="U86" s="1"/>
  <c r="S88"/>
  <c r="S89"/>
  <c r="U89" s="1"/>
  <c r="S90"/>
  <c r="U90" s="1"/>
  <c r="S92"/>
  <c r="S93"/>
  <c r="S94"/>
  <c r="U94" s="1"/>
  <c r="S95"/>
  <c r="U95" s="1"/>
  <c r="S98"/>
  <c r="U98" s="1"/>
  <c r="S97"/>
  <c r="S100"/>
  <c r="S101"/>
  <c r="U101" s="1"/>
  <c r="S102"/>
  <c r="U102" s="1"/>
  <c r="S103"/>
  <c r="S104"/>
  <c r="U104" s="1"/>
  <c r="S105"/>
  <c r="U105" s="1"/>
  <c r="S106"/>
  <c r="U106" s="1"/>
  <c r="S108"/>
  <c r="S107" s="1"/>
  <c r="S110"/>
  <c r="S109" s="1"/>
  <c r="S112"/>
  <c r="S111" s="1"/>
  <c r="S114"/>
  <c r="S115"/>
  <c r="S117"/>
  <c r="S116" s="1"/>
  <c r="S119"/>
  <c r="S121"/>
  <c r="U121" s="1"/>
  <c r="S120"/>
  <c r="S122"/>
  <c r="U122" s="1"/>
  <c r="S127"/>
  <c r="S126" s="1"/>
  <c r="S130"/>
  <c r="S131"/>
  <c r="S132"/>
  <c r="U132" s="1"/>
  <c r="S133"/>
  <c r="U133" s="1"/>
  <c r="S135"/>
  <c r="S136"/>
  <c r="S138"/>
  <c r="S139"/>
  <c r="U139" s="1"/>
  <c r="S141"/>
  <c r="S140" s="1"/>
  <c r="S143"/>
  <c r="S144"/>
  <c r="U144" s="1"/>
  <c r="S145"/>
  <c r="U145" s="1"/>
  <c r="S146"/>
  <c r="U146" s="1"/>
  <c r="S148"/>
  <c r="S147" s="1"/>
  <c r="S150"/>
  <c r="S151"/>
  <c r="U151" s="1"/>
  <c r="S154"/>
  <c r="S153" s="1"/>
  <c r="S156"/>
  <c r="S155" s="1"/>
  <c r="S158"/>
  <c r="S159"/>
  <c r="U159" s="1"/>
  <c r="S160"/>
  <c r="U160" s="1"/>
  <c r="S161"/>
  <c r="S163"/>
  <c r="U163" s="1"/>
  <c r="S164"/>
  <c r="U164" s="1"/>
  <c r="S162"/>
  <c r="U162" s="1"/>
  <c r="S165"/>
  <c r="S166"/>
  <c r="U166" s="1"/>
  <c r="S167"/>
  <c r="U167" s="1"/>
  <c r="S168"/>
  <c r="U168" s="1"/>
  <c r="S169"/>
  <c r="S170"/>
  <c r="U170" s="1"/>
  <c r="S172"/>
  <c r="S171" s="1"/>
  <c r="S174"/>
  <c r="S175"/>
  <c r="S176"/>
  <c r="U176" s="1"/>
  <c r="S178"/>
  <c r="S177" s="1"/>
  <c r="S180"/>
  <c r="S181"/>
  <c r="S183"/>
  <c r="U183" s="1"/>
  <c r="S185"/>
  <c r="S184" s="1"/>
  <c r="S187"/>
  <c r="S186" s="1"/>
  <c r="S189"/>
  <c r="S190"/>
  <c r="U190" s="1"/>
  <c r="S191"/>
  <c r="U191" s="1"/>
  <c r="S193"/>
  <c r="S194"/>
  <c r="S195"/>
  <c r="U195" s="1"/>
  <c r="S196"/>
  <c r="U196" s="1"/>
  <c r="S198"/>
  <c r="S199"/>
  <c r="S200"/>
  <c r="U200" s="1"/>
  <c r="S202"/>
  <c r="S203"/>
  <c r="U203" s="1"/>
  <c r="S205"/>
  <c r="S204" s="1"/>
  <c r="S207"/>
  <c r="S206" s="1"/>
  <c r="S209"/>
  <c r="S208" s="1"/>
  <c r="S211"/>
  <c r="S212"/>
  <c r="S213"/>
  <c r="U213" s="1"/>
  <c r="S215"/>
  <c r="S214" s="1"/>
  <c r="S217"/>
  <c r="S218"/>
  <c r="S219"/>
  <c r="U219" s="1"/>
  <c r="S221"/>
  <c r="S223"/>
  <c r="U223" s="1"/>
  <c r="S227"/>
  <c r="S225"/>
  <c r="U225" s="1"/>
  <c r="S222"/>
  <c r="U222" s="1"/>
  <c r="S224"/>
  <c r="U224" s="1"/>
  <c r="S226"/>
  <c r="S228"/>
  <c r="U228" s="1"/>
  <c r="S230"/>
  <c r="S229" s="1"/>
  <c r="S232"/>
  <c r="S233"/>
  <c r="S234"/>
  <c r="U234" s="1"/>
  <c r="S235"/>
  <c r="U235" s="1"/>
  <c r="S236"/>
  <c r="U236" s="1"/>
  <c r="S237"/>
  <c r="S238"/>
  <c r="U238" s="1"/>
  <c r="S239"/>
  <c r="U239" s="1"/>
  <c r="S240"/>
  <c r="U240" s="1"/>
  <c r="S241"/>
  <c r="S242"/>
  <c r="U242" s="1"/>
  <c r="S243"/>
  <c r="U243" s="1"/>
  <c r="S244"/>
  <c r="U244" s="1"/>
  <c r="S245"/>
  <c r="S262"/>
  <c r="S263"/>
  <c r="U263" s="1"/>
  <c r="S265"/>
  <c r="S266"/>
  <c r="S268"/>
  <c r="S267" s="1"/>
  <c r="S270"/>
  <c r="S271"/>
  <c r="U271" s="1"/>
  <c r="S272"/>
  <c r="S274"/>
  <c r="S273" s="1"/>
  <c r="S276"/>
  <c r="S277"/>
  <c r="U277" s="1"/>
  <c r="S279"/>
  <c r="S278" s="1"/>
  <c r="S281"/>
  <c r="S280" s="1"/>
  <c r="S283"/>
  <c r="S284"/>
  <c r="U284" s="1"/>
  <c r="S285"/>
  <c r="S286"/>
  <c r="U286" s="1"/>
  <c r="S287"/>
  <c r="U287" s="1"/>
  <c r="S288"/>
  <c r="U288" s="1"/>
  <c r="S290"/>
  <c r="S291"/>
  <c r="U291" s="1"/>
  <c r="S292"/>
  <c r="U292" s="1"/>
  <c r="S293"/>
  <c r="U293" s="1"/>
  <c r="S294"/>
  <c r="S295"/>
  <c r="U295" s="1"/>
  <c r="S296"/>
  <c r="U296" s="1"/>
  <c r="S299"/>
  <c r="U299" s="1"/>
  <c r="S298"/>
  <c r="S289"/>
  <c r="U289" s="1"/>
  <c r="S297"/>
  <c r="U297" s="1"/>
  <c r="S300"/>
  <c r="U300" s="1"/>
  <c r="S302"/>
  <c r="S303"/>
  <c r="U303" s="1"/>
  <c r="S304"/>
  <c r="U304" s="1"/>
  <c r="S309"/>
  <c r="S308" s="1"/>
  <c r="S311"/>
  <c r="S310" s="1"/>
  <c r="S313"/>
  <c r="S312" s="1"/>
  <c r="S315"/>
  <c r="S316"/>
  <c r="U316" s="1"/>
  <c r="S317"/>
  <c r="S318"/>
  <c r="U318" s="1"/>
  <c r="S319"/>
  <c r="U319" s="1"/>
  <c r="S321"/>
  <c r="S320" s="1"/>
  <c r="S322"/>
  <c r="S323"/>
  <c r="U323" s="1"/>
  <c r="S325"/>
  <c r="S324" s="1"/>
  <c r="S327"/>
  <c r="S328"/>
  <c r="S329"/>
  <c r="U329" s="1"/>
  <c r="S330"/>
  <c r="U330" s="1"/>
  <c r="S331"/>
  <c r="U331" s="1"/>
  <c r="S332"/>
  <c r="S334"/>
  <c r="S335"/>
  <c r="U335" s="1"/>
  <c r="S336"/>
  <c r="U336" s="1"/>
  <c r="S338"/>
  <c r="S337" s="1"/>
  <c r="T8"/>
  <c r="T7" s="1"/>
  <c r="S8"/>
  <c r="U8" l="1"/>
  <c r="U7" s="1"/>
  <c r="S341"/>
  <c r="T341"/>
  <c r="T369" s="1"/>
  <c r="T333"/>
  <c r="W333" s="1"/>
  <c r="T261"/>
  <c r="W261" s="1"/>
  <c r="S231"/>
  <c r="T231"/>
  <c r="T149"/>
  <c r="W149" s="1"/>
  <c r="T137"/>
  <c r="W137" s="1"/>
  <c r="T46"/>
  <c r="S96"/>
  <c r="U334"/>
  <c r="U333" s="1"/>
  <c r="S333"/>
  <c r="U262"/>
  <c r="U261" s="1"/>
  <c r="S261"/>
  <c r="U150"/>
  <c r="U149" s="1"/>
  <c r="S149"/>
  <c r="U47"/>
  <c r="U46" s="1"/>
  <c r="S46"/>
  <c r="T157"/>
  <c r="W157" s="1"/>
  <c r="T116"/>
  <c r="W116" s="1"/>
  <c r="S301"/>
  <c r="S188"/>
  <c r="U21"/>
  <c r="S369"/>
  <c r="T310"/>
  <c r="W310" s="1"/>
  <c r="T204"/>
  <c r="W204" s="1"/>
  <c r="T188"/>
  <c r="T142"/>
  <c r="T87"/>
  <c r="W87" s="1"/>
  <c r="T66"/>
  <c r="W66" s="1"/>
  <c r="T50"/>
  <c r="W50" s="1"/>
  <c r="T28"/>
  <c r="W28" s="1"/>
  <c r="T15"/>
  <c r="T340" s="1"/>
  <c r="U321"/>
  <c r="U265"/>
  <c r="S264"/>
  <c r="U232"/>
  <c r="U217"/>
  <c r="S216"/>
  <c r="U211"/>
  <c r="S210"/>
  <c r="U198"/>
  <c r="S197"/>
  <c r="U193"/>
  <c r="S192"/>
  <c r="U180"/>
  <c r="S179"/>
  <c r="U174"/>
  <c r="S173"/>
  <c r="U135"/>
  <c r="S134"/>
  <c r="U130"/>
  <c r="S129"/>
  <c r="U114"/>
  <c r="S113"/>
  <c r="U92"/>
  <c r="S91"/>
  <c r="U57"/>
  <c r="U56" s="1"/>
  <c r="S56"/>
  <c r="U34"/>
  <c r="U33" s="1"/>
  <c r="S33"/>
  <c r="T326"/>
  <c r="T320"/>
  <c r="T308"/>
  <c r="W308" s="1"/>
  <c r="T264"/>
  <c r="W231"/>
  <c r="T216"/>
  <c r="W216" s="1"/>
  <c r="T210"/>
  <c r="W210" s="1"/>
  <c r="T197"/>
  <c r="T192"/>
  <c r="T186"/>
  <c r="W186" s="1"/>
  <c r="T179"/>
  <c r="W179" s="1"/>
  <c r="T173"/>
  <c r="T153"/>
  <c r="W153" s="1"/>
  <c r="T140"/>
  <c r="W140" s="1"/>
  <c r="T134"/>
  <c r="W134" s="1"/>
  <c r="T129"/>
  <c r="W129" s="1"/>
  <c r="T113"/>
  <c r="W113" s="1"/>
  <c r="T91"/>
  <c r="W91" s="1"/>
  <c r="T62"/>
  <c r="W62" s="1"/>
  <c r="T56"/>
  <c r="T33"/>
  <c r="T26"/>
  <c r="W26" s="1"/>
  <c r="U158"/>
  <c r="S157"/>
  <c r="U138"/>
  <c r="U137" s="1"/>
  <c r="S137"/>
  <c r="U100"/>
  <c r="S99"/>
  <c r="U69"/>
  <c r="S68"/>
  <c r="T267"/>
  <c r="W267" s="1"/>
  <c r="T109"/>
  <c r="W109" s="1"/>
  <c r="T99"/>
  <c r="W99" s="1"/>
  <c r="T68"/>
  <c r="T52"/>
  <c r="W52" s="1"/>
  <c r="T22"/>
  <c r="W22" s="1"/>
  <c r="S142"/>
  <c r="S87"/>
  <c r="S77"/>
  <c r="U29"/>
  <c r="U28" s="1"/>
  <c r="S28"/>
  <c r="U16"/>
  <c r="U15" s="1"/>
  <c r="S15"/>
  <c r="T337"/>
  <c r="W337" s="1"/>
  <c r="T301"/>
  <c r="W301" s="1"/>
  <c r="T278"/>
  <c r="W278" s="1"/>
  <c r="T155"/>
  <c r="W155" s="1"/>
  <c r="T147"/>
  <c r="W147" s="1"/>
  <c r="T107"/>
  <c r="W107" s="1"/>
  <c r="T77"/>
  <c r="U327"/>
  <c r="S326"/>
  <c r="U315"/>
  <c r="S314"/>
  <c r="U283"/>
  <c r="S282"/>
  <c r="U276"/>
  <c r="U275" s="1"/>
  <c r="S275"/>
  <c r="U270"/>
  <c r="U269" s="1"/>
  <c r="S269"/>
  <c r="U221"/>
  <c r="S220"/>
  <c r="U202"/>
  <c r="U201" s="1"/>
  <c r="S201"/>
  <c r="U119"/>
  <c r="S118"/>
  <c r="U81"/>
  <c r="S80"/>
  <c r="U43"/>
  <c r="U42" s="1"/>
  <c r="S42"/>
  <c r="U38"/>
  <c r="U37" s="1"/>
  <c r="S37"/>
  <c r="U32"/>
  <c r="U31" s="1"/>
  <c r="S31"/>
  <c r="U19"/>
  <c r="U18" s="1"/>
  <c r="U12"/>
  <c r="U11" s="1"/>
  <c r="T324"/>
  <c r="W324" s="1"/>
  <c r="T314"/>
  <c r="W314" s="1"/>
  <c r="T282"/>
  <c r="W282" s="1"/>
  <c r="T275"/>
  <c r="T269"/>
  <c r="W269" s="1"/>
  <c r="T229"/>
  <c r="W229" s="1"/>
  <c r="T220"/>
  <c r="W220" s="1"/>
  <c r="W214"/>
  <c r="T214"/>
  <c r="T208"/>
  <c r="W208" s="1"/>
  <c r="T201"/>
  <c r="W201" s="1"/>
  <c r="T184"/>
  <c r="W184" s="1"/>
  <c r="T118"/>
  <c r="T111"/>
  <c r="W111" s="1"/>
  <c r="T80"/>
  <c r="W80" s="1"/>
  <c r="T60"/>
  <c r="W60" s="1"/>
  <c r="T54"/>
  <c r="W54" s="1"/>
  <c r="T42"/>
  <c r="W42" s="1"/>
  <c r="T37"/>
  <c r="W37" s="1"/>
  <c r="T24"/>
  <c r="W24" s="1"/>
  <c r="T18"/>
  <c r="W18" s="1"/>
  <c r="U172"/>
  <c r="U171" s="1"/>
  <c r="U117"/>
  <c r="U116" s="1"/>
  <c r="U110"/>
  <c r="U109" s="1"/>
  <c r="U61"/>
  <c r="U60" s="1"/>
  <c r="U55"/>
  <c r="U54" s="1"/>
  <c r="U25"/>
  <c r="U24" s="1"/>
  <c r="U309"/>
  <c r="U308" s="1"/>
  <c r="U187"/>
  <c r="U186" s="1"/>
  <c r="U154"/>
  <c r="U153" s="1"/>
  <c r="U141"/>
  <c r="U140" s="1"/>
  <c r="U51"/>
  <c r="U50" s="1"/>
  <c r="S7"/>
  <c r="U325"/>
  <c r="U324" s="1"/>
  <c r="U230"/>
  <c r="U229" s="1"/>
  <c r="U215"/>
  <c r="U214" s="1"/>
  <c r="U209"/>
  <c r="U208" s="1"/>
  <c r="U185"/>
  <c r="U184" s="1"/>
  <c r="U178"/>
  <c r="U177" s="1"/>
  <c r="U127"/>
  <c r="U126" s="1"/>
  <c r="X126" s="1"/>
  <c r="U112"/>
  <c r="U111" s="1"/>
  <c r="U63"/>
  <c r="U62" s="1"/>
  <c r="U27"/>
  <c r="U26" s="1"/>
  <c r="U313"/>
  <c r="U312" s="1"/>
  <c r="U281"/>
  <c r="U280" s="1"/>
  <c r="U274"/>
  <c r="U273" s="1"/>
  <c r="U268"/>
  <c r="U267" s="1"/>
  <c r="U207"/>
  <c r="U206" s="1"/>
  <c r="U338"/>
  <c r="U337" s="1"/>
  <c r="U332"/>
  <c r="U328"/>
  <c r="U322"/>
  <c r="U317"/>
  <c r="U311"/>
  <c r="U310" s="1"/>
  <c r="U302"/>
  <c r="U301" s="1"/>
  <c r="U298"/>
  <c r="U294"/>
  <c r="U290"/>
  <c r="U285"/>
  <c r="U279"/>
  <c r="U278" s="1"/>
  <c r="U272"/>
  <c r="U266"/>
  <c r="U245"/>
  <c r="U241"/>
  <c r="U237"/>
  <c r="U233"/>
  <c r="U226"/>
  <c r="U227"/>
  <c r="U218"/>
  <c r="U212"/>
  <c r="U205"/>
  <c r="U204" s="1"/>
  <c r="U199"/>
  <c r="U194"/>
  <c r="U189"/>
  <c r="U188" s="1"/>
  <c r="U181"/>
  <c r="U175"/>
  <c r="U169"/>
  <c r="U165"/>
  <c r="U161"/>
  <c r="U156"/>
  <c r="U155" s="1"/>
  <c r="U148"/>
  <c r="U147" s="1"/>
  <c r="U143"/>
  <c r="U142" s="1"/>
  <c r="U136"/>
  <c r="U131"/>
  <c r="U120"/>
  <c r="U115"/>
  <c r="U108"/>
  <c r="U107" s="1"/>
  <c r="U103"/>
  <c r="U97"/>
  <c r="U96" s="1"/>
  <c r="U93"/>
  <c r="U88"/>
  <c r="U87" s="1"/>
  <c r="U83"/>
  <c r="U78"/>
  <c r="U77" s="1"/>
  <c r="U75"/>
  <c r="U67"/>
  <c r="U66" s="1"/>
  <c r="U53"/>
  <c r="U52" s="1"/>
  <c r="U23"/>
  <c r="U22" s="1"/>
  <c r="S9"/>
  <c r="U9" s="1"/>
  <c r="U10"/>
  <c r="W7"/>
  <c r="W9"/>
  <c r="W123"/>
  <c r="X123" s="1"/>
  <c r="W312"/>
  <c r="W280"/>
  <c r="W273"/>
  <c r="W206"/>
  <c r="W177"/>
  <c r="W171"/>
  <c r="W64"/>
  <c r="X64" s="1"/>
  <c r="W33"/>
  <c r="W188"/>
  <c r="W56"/>
  <c r="W46"/>
  <c r="W197"/>
  <c r="W142"/>
  <c r="W326"/>
  <c r="W320"/>
  <c r="W264"/>
  <c r="W77"/>
  <c r="W68"/>
  <c r="W192"/>
  <c r="W275"/>
  <c r="W173"/>
  <c r="W118"/>
  <c r="S340" l="1"/>
  <c r="S368" s="1"/>
  <c r="S367" s="1"/>
  <c r="U68"/>
  <c r="U340" s="1"/>
  <c r="U341"/>
  <c r="U80"/>
  <c r="U91"/>
  <c r="X184"/>
  <c r="T368"/>
  <c r="T367" s="1"/>
  <c r="W15"/>
  <c r="X15" s="1"/>
  <c r="X147"/>
  <c r="X54"/>
  <c r="X278"/>
  <c r="X214"/>
  <c r="X267"/>
  <c r="X22"/>
  <c r="X229"/>
  <c r="X140"/>
  <c r="X46"/>
  <c r="X261"/>
  <c r="X33"/>
  <c r="X91"/>
  <c r="U192"/>
  <c r="X192" s="1"/>
  <c r="U210"/>
  <c r="X210" s="1"/>
  <c r="X206"/>
  <c r="X68"/>
  <c r="X341"/>
  <c r="X369" s="1"/>
  <c r="X52"/>
  <c r="X312"/>
  <c r="X186"/>
  <c r="X87"/>
  <c r="X301"/>
  <c r="X26"/>
  <c r="X308"/>
  <c r="X37"/>
  <c r="X269"/>
  <c r="U326"/>
  <c r="X326" s="1"/>
  <c r="X137"/>
  <c r="U231"/>
  <c r="X231" s="1"/>
  <c r="X9"/>
  <c r="X142"/>
  <c r="X188"/>
  <c r="X310"/>
  <c r="X273"/>
  <c r="X62"/>
  <c r="X324"/>
  <c r="X24"/>
  <c r="X116"/>
  <c r="X28"/>
  <c r="X149"/>
  <c r="X333"/>
  <c r="X155"/>
  <c r="X60"/>
  <c r="W11"/>
  <c r="X11" s="1"/>
  <c r="X66"/>
  <c r="X107"/>
  <c r="X204"/>
  <c r="X177"/>
  <c r="X50"/>
  <c r="X109"/>
  <c r="X18"/>
  <c r="X80"/>
  <c r="X201"/>
  <c r="U282"/>
  <c r="X282" s="1"/>
  <c r="U129"/>
  <c r="X129" s="1"/>
  <c r="U173"/>
  <c r="X173" s="1"/>
  <c r="U320"/>
  <c r="X320" s="1"/>
  <c r="X77"/>
  <c r="X337"/>
  <c r="X280"/>
  <c r="X111"/>
  <c r="X208"/>
  <c r="X7"/>
  <c r="X153"/>
  <c r="X171"/>
  <c r="X42"/>
  <c r="U118"/>
  <c r="X118" s="1"/>
  <c r="U220"/>
  <c r="X220" s="1"/>
  <c r="X275"/>
  <c r="U314"/>
  <c r="X314" s="1"/>
  <c r="U99"/>
  <c r="X99" s="1"/>
  <c r="U157"/>
  <c r="X157" s="1"/>
  <c r="X56"/>
  <c r="U113"/>
  <c r="X113" s="1"/>
  <c r="U134"/>
  <c r="X134" s="1"/>
  <c r="U179"/>
  <c r="X179" s="1"/>
  <c r="U197"/>
  <c r="X197" s="1"/>
  <c r="U216"/>
  <c r="X216" s="1"/>
  <c r="U264"/>
  <c r="X264" s="1"/>
  <c r="W31"/>
  <c r="X31" s="1"/>
  <c r="Y45" i="2"/>
  <c r="W96" i="14"/>
  <c r="X96" s="1"/>
  <c r="U369" l="1"/>
  <c r="U368"/>
  <c r="Y85" i="2"/>
  <c r="Y40"/>
  <c r="Y67"/>
  <c r="Y87"/>
  <c r="Y30"/>
  <c r="Y61"/>
  <c r="Y31"/>
  <c r="Y94"/>
  <c r="Y86"/>
  <c r="Y57"/>
  <c r="Y68"/>
  <c r="Y80"/>
  <c r="Y54"/>
  <c r="Y69"/>
  <c r="Y52"/>
  <c r="Y62"/>
  <c r="Y29"/>
  <c r="Y43"/>
  <c r="Y82"/>
  <c r="Y41"/>
  <c r="Y88"/>
  <c r="Y50"/>
  <c r="Y39"/>
  <c r="Y59"/>
  <c r="Y78"/>
  <c r="Y83"/>
  <c r="Y71"/>
  <c r="Y74"/>
  <c r="Y91"/>
  <c r="Y55"/>
  <c r="Y24"/>
  <c r="Y25"/>
  <c r="Y16"/>
  <c r="Y28"/>
  <c r="Y26"/>
  <c r="Y17"/>
  <c r="Y15"/>
  <c r="Y75"/>
  <c r="Y12"/>
  <c r="Y10"/>
  <c r="U367" i="14" l="1"/>
  <c r="Y96" i="2"/>
  <c r="Z10"/>
  <c r="Z96" s="1"/>
  <c r="Y37"/>
  <c r="Y47"/>
  <c r="Y38"/>
  <c r="Y73"/>
  <c r="Y60"/>
  <c r="Y42"/>
  <c r="Y72"/>
  <c r="Y77"/>
  <c r="Y90"/>
  <c r="Y66"/>
  <c r="Y65"/>
  <c r="Y46"/>
  <c r="Y44"/>
  <c r="Y76"/>
  <c r="Y36"/>
  <c r="Y49"/>
  <c r="Y93"/>
  <c r="Y51"/>
  <c r="Y79"/>
  <c r="Y70"/>
  <c r="Y84"/>
  <c r="Y89"/>
  <c r="Y81"/>
  <c r="Y56"/>
  <c r="Y58"/>
  <c r="Y35"/>
  <c r="Y48"/>
  <c r="Y33"/>
  <c r="Y64"/>
  <c r="Y34"/>
  <c r="Y92"/>
  <c r="Y63"/>
  <c r="Y27"/>
  <c r="Y14"/>
  <c r="Y13"/>
  <c r="Y18"/>
  <c r="Y22"/>
  <c r="Y11"/>
  <c r="Y23"/>
  <c r="Y20"/>
  <c r="Y53"/>
  <c r="Y21"/>
  <c r="Y19"/>
  <c r="Y32" l="1"/>
  <c r="L396" i="1"/>
  <c r="L395"/>
  <c r="L393" s="1"/>
  <c r="BD209"/>
  <c r="AK209"/>
  <c r="AK208"/>
  <c r="AG209"/>
  <c r="N209"/>
  <c r="N208"/>
  <c r="G209"/>
  <c r="J209"/>
  <c r="L207"/>
  <c r="AI207"/>
  <c r="AI209"/>
  <c r="L209"/>
  <c r="L208"/>
  <c r="L111" l="1"/>
  <c r="L103" s="1"/>
  <c r="L104"/>
  <c r="L80" l="1"/>
  <c r="L167"/>
  <c r="AI286"/>
  <c r="AI289"/>
  <c r="AI405"/>
  <c r="L409"/>
  <c r="L406"/>
  <c r="AK435" l="1"/>
  <c r="N435"/>
  <c r="L435"/>
  <c r="AB101" i="2"/>
  <c r="L440" i="1"/>
  <c r="L453"/>
  <c r="L454"/>
  <c r="L452"/>
  <c r="L451"/>
  <c r="L450"/>
  <c r="L449"/>
  <c r="L448"/>
  <c r="AJ437"/>
  <c r="L442"/>
  <c r="L439"/>
  <c r="AB99" i="2" l="1"/>
  <c r="L437" i="1"/>
  <c r="AI228" l="1"/>
  <c r="AI229"/>
  <c r="L216"/>
  <c r="AI233"/>
  <c r="L233"/>
  <c r="L313"/>
  <c r="AI313"/>
  <c r="AI315"/>
  <c r="AI125" l="1"/>
  <c r="F133" l="1"/>
  <c r="E133"/>
  <c r="AJ240"/>
  <c r="AI240"/>
  <c r="AI298"/>
  <c r="L298"/>
  <c r="L156"/>
  <c r="L169"/>
  <c r="M169"/>
  <c r="AI173"/>
  <c r="L344"/>
  <c r="L351"/>
  <c r="AI250"/>
  <c r="AI252"/>
  <c r="AI253"/>
  <c r="AI262" l="1"/>
  <c r="L262"/>
  <c r="L127"/>
  <c r="M127"/>
  <c r="AI277"/>
  <c r="AJ277"/>
  <c r="AJ278"/>
  <c r="AJ279"/>
  <c r="AJ280"/>
  <c r="AI279"/>
  <c r="AI280"/>
  <c r="L277"/>
  <c r="AI387"/>
  <c r="AJ387"/>
  <c r="L387"/>
  <c r="AI254" l="1"/>
  <c r="AI258"/>
  <c r="L254"/>
  <c r="L112" l="1"/>
  <c r="M112"/>
  <c r="M135"/>
  <c r="L135"/>
  <c r="L200" l="1"/>
  <c r="L194" s="1"/>
  <c r="M194"/>
  <c r="AH437" l="1"/>
  <c r="N439"/>
  <c r="N440"/>
  <c r="N441"/>
  <c r="N442"/>
  <c r="N443"/>
  <c r="N444"/>
  <c r="N445"/>
  <c r="N446"/>
  <c r="N447"/>
  <c r="N448"/>
  <c r="N449"/>
  <c r="N450"/>
  <c r="N451"/>
  <c r="N452"/>
  <c r="N453"/>
  <c r="N454"/>
  <c r="N438"/>
  <c r="N437"/>
  <c r="M437"/>
  <c r="K437"/>
  <c r="AV289" l="1"/>
  <c r="AF369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52"/>
  <c r="N419"/>
  <c r="N420"/>
  <c r="N418"/>
  <c r="K156"/>
  <c r="K167"/>
  <c r="K169"/>
  <c r="K177"/>
  <c r="K181"/>
  <c r="K187"/>
  <c r="K194"/>
  <c r="K216"/>
  <c r="K233"/>
  <c r="K238"/>
  <c r="K240"/>
  <c r="K248"/>
  <c r="K250"/>
  <c r="K254"/>
  <c r="K262"/>
  <c r="K267"/>
  <c r="K275"/>
  <c r="K277"/>
  <c r="K281"/>
  <c r="K286"/>
  <c r="K298"/>
  <c r="K313"/>
  <c r="K316"/>
  <c r="K319"/>
  <c r="K322"/>
  <c r="K326"/>
  <c r="K329"/>
  <c r="K336"/>
  <c r="K344"/>
  <c r="K351"/>
  <c r="K372"/>
  <c r="K378"/>
  <c r="K380"/>
  <c r="K384"/>
  <c r="K387"/>
  <c r="K393"/>
  <c r="K403"/>
  <c r="K405"/>
  <c r="K417"/>
  <c r="AG369" l="1"/>
  <c r="N417"/>
  <c r="AJ149" l="1"/>
  <c r="N151"/>
  <c r="AG151" s="1"/>
  <c r="N150"/>
  <c r="AG150" s="1"/>
  <c r="L149"/>
  <c r="M149"/>
  <c r="K149"/>
  <c r="J151"/>
  <c r="J150"/>
  <c r="G151"/>
  <c r="G150"/>
  <c r="W42" i="2"/>
  <c r="S42"/>
  <c r="O42"/>
  <c r="K42"/>
  <c r="X42" l="1"/>
  <c r="AH151" i="1"/>
  <c r="AI151"/>
  <c r="AH150"/>
  <c r="AI150"/>
  <c r="N149"/>
  <c r="AG149" s="1"/>
  <c r="AH149"/>
  <c r="N153"/>
  <c r="N269"/>
  <c r="N268"/>
  <c r="N114"/>
  <c r="N113"/>
  <c r="K112"/>
  <c r="AF114"/>
  <c r="J114"/>
  <c r="AY114" s="1"/>
  <c r="G114"/>
  <c r="AJ114" s="1"/>
  <c r="N315"/>
  <c r="AG315" s="1"/>
  <c r="N314"/>
  <c r="M313"/>
  <c r="J315"/>
  <c r="G315"/>
  <c r="AH315" s="1"/>
  <c r="AK315" s="1"/>
  <c r="BD315" s="1"/>
  <c r="N100"/>
  <c r="N55"/>
  <c r="N327"/>
  <c r="N33"/>
  <c r="N34"/>
  <c r="N32"/>
  <c r="T31"/>
  <c r="U31"/>
  <c r="V31"/>
  <c r="W31"/>
  <c r="X31"/>
  <c r="Z31"/>
  <c r="AA31"/>
  <c r="AB31"/>
  <c r="AC31"/>
  <c r="AD31"/>
  <c r="AE31"/>
  <c r="S31"/>
  <c r="L31"/>
  <c r="M31"/>
  <c r="K31"/>
  <c r="N30"/>
  <c r="N29"/>
  <c r="L28"/>
  <c r="M28"/>
  <c r="O28"/>
  <c r="P28"/>
  <c r="Q28"/>
  <c r="S28"/>
  <c r="T28"/>
  <c r="U28"/>
  <c r="V28"/>
  <c r="W28"/>
  <c r="X28"/>
  <c r="Z28"/>
  <c r="AA28"/>
  <c r="AB28"/>
  <c r="AC28"/>
  <c r="AD28"/>
  <c r="AE28"/>
  <c r="K28"/>
  <c r="AF30"/>
  <c r="J30"/>
  <c r="BB30" s="1"/>
  <c r="G30"/>
  <c r="AN30" s="1"/>
  <c r="AF411"/>
  <c r="N411"/>
  <c r="J411"/>
  <c r="AZ411" s="1"/>
  <c r="G411"/>
  <c r="AL411" s="1"/>
  <c r="AF410"/>
  <c r="N410"/>
  <c r="J410"/>
  <c r="BA410" s="1"/>
  <c r="G410"/>
  <c r="AL410" s="1"/>
  <c r="AF409"/>
  <c r="N409"/>
  <c r="J409"/>
  <c r="BA409" s="1"/>
  <c r="G409"/>
  <c r="AN409" s="1"/>
  <c r="N102"/>
  <c r="N117"/>
  <c r="N118"/>
  <c r="N119"/>
  <c r="N120"/>
  <c r="N121"/>
  <c r="N116"/>
  <c r="K115"/>
  <c r="N185"/>
  <c r="N98"/>
  <c r="N27"/>
  <c r="N26"/>
  <c r="N331"/>
  <c r="N330"/>
  <c r="N183"/>
  <c r="N182"/>
  <c r="N349"/>
  <c r="N242"/>
  <c r="N243"/>
  <c r="N244"/>
  <c r="N241"/>
  <c r="L240"/>
  <c r="M240"/>
  <c r="AF244"/>
  <c r="J244"/>
  <c r="BB244" s="1"/>
  <c r="G244"/>
  <c r="AN244" s="1"/>
  <c r="AF243"/>
  <c r="J243"/>
  <c r="BB243" s="1"/>
  <c r="G243"/>
  <c r="AN243" s="1"/>
  <c r="N239"/>
  <c r="N381"/>
  <c r="AK151" l="1"/>
  <c r="BD151" s="1"/>
  <c r="AI149"/>
  <c r="AK149" s="1"/>
  <c r="BD149" s="1"/>
  <c r="AB42" i="2" s="1"/>
  <c r="AK150" i="1"/>
  <c r="BD150" s="1"/>
  <c r="AG114"/>
  <c r="AP409"/>
  <c r="AT30"/>
  <c r="AJ410"/>
  <c r="AT409"/>
  <c r="AZ30"/>
  <c r="N313"/>
  <c r="AY409"/>
  <c r="BB409"/>
  <c r="AG411"/>
  <c r="N28"/>
  <c r="AU409"/>
  <c r="AI410"/>
  <c r="AR114"/>
  <c r="BA114"/>
  <c r="AQ114"/>
  <c r="AZ114"/>
  <c r="Y28"/>
  <c r="AU114"/>
  <c r="AS409"/>
  <c r="AZ409"/>
  <c r="AM410"/>
  <c r="N31"/>
  <c r="AL114"/>
  <c r="AW114"/>
  <c r="AF31"/>
  <c r="AH114"/>
  <c r="Y31"/>
  <c r="AI114"/>
  <c r="AN114"/>
  <c r="AS114"/>
  <c r="AX114"/>
  <c r="BB114"/>
  <c r="AM114"/>
  <c r="AP114"/>
  <c r="AT114"/>
  <c r="AZ243"/>
  <c r="AQ244"/>
  <c r="AR244"/>
  <c r="AG410"/>
  <c r="AP30"/>
  <c r="BA30"/>
  <c r="AT244"/>
  <c r="AQ409"/>
  <c r="AX409"/>
  <c r="AH410"/>
  <c r="AN410"/>
  <c r="AQ30"/>
  <c r="AW30"/>
  <c r="R28"/>
  <c r="AL30"/>
  <c r="AU30"/>
  <c r="AF28"/>
  <c r="AT243"/>
  <c r="AG244"/>
  <c r="AW244"/>
  <c r="AJ30"/>
  <c r="AR30"/>
  <c r="AY30"/>
  <c r="AG30"/>
  <c r="AH30"/>
  <c r="AM30"/>
  <c r="AI30"/>
  <c r="AS30"/>
  <c r="AX30"/>
  <c r="AG409"/>
  <c r="AP243"/>
  <c r="AU243"/>
  <c r="BA243"/>
  <c r="AJ244"/>
  <c r="AY244"/>
  <c r="AJ409"/>
  <c r="AS410"/>
  <c r="AX410"/>
  <c r="BB410"/>
  <c r="AH411"/>
  <c r="AM411"/>
  <c r="AR411"/>
  <c r="AW411"/>
  <c r="BA411"/>
  <c r="AQ243"/>
  <c r="AW243"/>
  <c r="AL244"/>
  <c r="AZ244"/>
  <c r="AL409"/>
  <c r="AP410"/>
  <c r="AT410"/>
  <c r="AY410"/>
  <c r="AI411"/>
  <c r="AN411"/>
  <c r="AS411"/>
  <c r="AX411"/>
  <c r="BB411"/>
  <c r="AJ243"/>
  <c r="AR243"/>
  <c r="AY243"/>
  <c r="AP244"/>
  <c r="AU244"/>
  <c r="BA244"/>
  <c r="AH409"/>
  <c r="AM409"/>
  <c r="AR409"/>
  <c r="AW409"/>
  <c r="AQ410"/>
  <c r="AU410"/>
  <c r="AZ410"/>
  <c r="AJ411"/>
  <c r="AP411"/>
  <c r="AT411"/>
  <c r="AY411"/>
  <c r="AL243"/>
  <c r="AI409"/>
  <c r="AR410"/>
  <c r="AW410"/>
  <c r="AQ411"/>
  <c r="AU411"/>
  <c r="AG243"/>
  <c r="AH243"/>
  <c r="AM243"/>
  <c r="AH244"/>
  <c r="AM244"/>
  <c r="AI243"/>
  <c r="AS243"/>
  <c r="AX243"/>
  <c r="AI244"/>
  <c r="AS244"/>
  <c r="AX244"/>
  <c r="N324"/>
  <c r="N325"/>
  <c r="N323"/>
  <c r="N205"/>
  <c r="I300"/>
  <c r="H300"/>
  <c r="F300"/>
  <c r="E300"/>
  <c r="H299"/>
  <c r="E299"/>
  <c r="N300"/>
  <c r="N301"/>
  <c r="N302"/>
  <c r="N303"/>
  <c r="N304"/>
  <c r="N305"/>
  <c r="N306"/>
  <c r="N307"/>
  <c r="N308"/>
  <c r="N309"/>
  <c r="N310"/>
  <c r="N311"/>
  <c r="N312"/>
  <c r="N299"/>
  <c r="N320"/>
  <c r="N274"/>
  <c r="N282"/>
  <c r="N71"/>
  <c r="N72"/>
  <c r="N73"/>
  <c r="N74"/>
  <c r="K67"/>
  <c r="N137"/>
  <c r="N138"/>
  <c r="N139"/>
  <c r="N140"/>
  <c r="N141"/>
  <c r="N142"/>
  <c r="N136"/>
  <c r="K135"/>
  <c r="N88"/>
  <c r="K87"/>
  <c r="N90"/>
  <c r="N272"/>
  <c r="N385"/>
  <c r="N337"/>
  <c r="N85"/>
  <c r="N291"/>
  <c r="N288"/>
  <c r="N289"/>
  <c r="AG289" s="1"/>
  <c r="N287"/>
  <c r="L286"/>
  <c r="M286"/>
  <c r="J289"/>
  <c r="G289"/>
  <c r="AH289" s="1"/>
  <c r="AK289" s="1"/>
  <c r="N389"/>
  <c r="N390"/>
  <c r="N391"/>
  <c r="N392"/>
  <c r="N388"/>
  <c r="M387"/>
  <c r="O387"/>
  <c r="P387"/>
  <c r="Q387"/>
  <c r="S387"/>
  <c r="T387"/>
  <c r="U387"/>
  <c r="V387"/>
  <c r="W387"/>
  <c r="X387"/>
  <c r="Z387"/>
  <c r="AA387"/>
  <c r="AB387"/>
  <c r="AC387"/>
  <c r="AD387"/>
  <c r="AE387"/>
  <c r="N249"/>
  <c r="N179"/>
  <c r="N180"/>
  <c r="AG28" l="1"/>
  <c r="BC114"/>
  <c r="AK410"/>
  <c r="BC409"/>
  <c r="AK114"/>
  <c r="J300"/>
  <c r="BC410"/>
  <c r="BD410" s="1"/>
  <c r="BC30"/>
  <c r="AK30"/>
  <c r="BC243"/>
  <c r="AK244"/>
  <c r="AK409"/>
  <c r="BD409" s="1"/>
  <c r="AK411"/>
  <c r="AK243"/>
  <c r="BC244"/>
  <c r="BC411"/>
  <c r="N387"/>
  <c r="BD289"/>
  <c r="R387"/>
  <c r="Y387"/>
  <c r="N213"/>
  <c r="N144"/>
  <c r="N422"/>
  <c r="N134"/>
  <c r="N133"/>
  <c r="I108"/>
  <c r="J108" s="1"/>
  <c r="BB108" s="1"/>
  <c r="F108"/>
  <c r="G108" s="1"/>
  <c r="AN108" s="1"/>
  <c r="I104"/>
  <c r="N105"/>
  <c r="N106"/>
  <c r="N107"/>
  <c r="N108"/>
  <c r="N109"/>
  <c r="N110"/>
  <c r="N111"/>
  <c r="N104"/>
  <c r="M103"/>
  <c r="K103"/>
  <c r="AF110"/>
  <c r="J110"/>
  <c r="BB110" s="1"/>
  <c r="G110"/>
  <c r="AN110" s="1"/>
  <c r="AF111"/>
  <c r="J111"/>
  <c r="BB111" s="1"/>
  <c r="G111"/>
  <c r="AN111" s="1"/>
  <c r="AF109"/>
  <c r="J109"/>
  <c r="BB109" s="1"/>
  <c r="G109"/>
  <c r="AN109" s="1"/>
  <c r="AF108"/>
  <c r="N246"/>
  <c r="N189"/>
  <c r="N190"/>
  <c r="N191"/>
  <c r="N188"/>
  <c r="N168"/>
  <c r="N167"/>
  <c r="G168"/>
  <c r="L250"/>
  <c r="M250"/>
  <c r="N252"/>
  <c r="AG252" s="1"/>
  <c r="N253"/>
  <c r="AG253" s="1"/>
  <c r="N251"/>
  <c r="J253"/>
  <c r="G253"/>
  <c r="AH253" s="1"/>
  <c r="AK253" s="1"/>
  <c r="BD253" s="1"/>
  <c r="J252"/>
  <c r="G252"/>
  <c r="AH252" s="1"/>
  <c r="AK252" s="1"/>
  <c r="BD252" s="1"/>
  <c r="N93"/>
  <c r="N94"/>
  <c r="N92"/>
  <c r="N96"/>
  <c r="N78"/>
  <c r="N79"/>
  <c r="N77"/>
  <c r="N148"/>
  <c r="N231"/>
  <c r="N395"/>
  <c r="N396"/>
  <c r="N394"/>
  <c r="N173"/>
  <c r="AG173" s="1"/>
  <c r="J173"/>
  <c r="G173"/>
  <c r="AH173" s="1"/>
  <c r="AK173" s="1"/>
  <c r="BD173" s="1"/>
  <c r="N171"/>
  <c r="N172"/>
  <c r="N170"/>
  <c r="AV369"/>
  <c r="M351"/>
  <c r="J369"/>
  <c r="G369"/>
  <c r="AJ369" s="1"/>
  <c r="N211"/>
  <c r="AG111" l="1"/>
  <c r="BD244"/>
  <c r="BD114"/>
  <c r="N351"/>
  <c r="BD243"/>
  <c r="BD30"/>
  <c r="BD411"/>
  <c r="AR111"/>
  <c r="AG108"/>
  <c r="AW111"/>
  <c r="AG110"/>
  <c r="AZ111"/>
  <c r="AQ110"/>
  <c r="N103"/>
  <c r="AQ109"/>
  <c r="AW109"/>
  <c r="AQ111"/>
  <c r="AY111"/>
  <c r="AT111"/>
  <c r="AW110"/>
  <c r="AT108"/>
  <c r="AW108"/>
  <c r="AQ108"/>
  <c r="AY108"/>
  <c r="AR108"/>
  <c r="AZ108"/>
  <c r="AG109"/>
  <c r="AP108"/>
  <c r="AU108"/>
  <c r="BA108"/>
  <c r="AJ109"/>
  <c r="AR109"/>
  <c r="AY109"/>
  <c r="AP111"/>
  <c r="AU111"/>
  <c r="BA111"/>
  <c r="AJ110"/>
  <c r="AR110"/>
  <c r="AY110"/>
  <c r="AL108"/>
  <c r="AL111"/>
  <c r="AL109"/>
  <c r="AT109"/>
  <c r="AZ109"/>
  <c r="AL110"/>
  <c r="AT110"/>
  <c r="AZ110"/>
  <c r="AJ108"/>
  <c r="AP109"/>
  <c r="AU109"/>
  <c r="BA109"/>
  <c r="AJ111"/>
  <c r="AP110"/>
  <c r="AU110"/>
  <c r="BA110"/>
  <c r="AH108"/>
  <c r="AM108"/>
  <c r="AH109"/>
  <c r="AM109"/>
  <c r="AH111"/>
  <c r="AM111"/>
  <c r="AH110"/>
  <c r="AM110"/>
  <c r="AI108"/>
  <c r="AS108"/>
  <c r="AX108"/>
  <c r="AI109"/>
  <c r="AS109"/>
  <c r="AX109"/>
  <c r="AI111"/>
  <c r="AS111"/>
  <c r="AX111"/>
  <c r="AI110"/>
  <c r="AS110"/>
  <c r="AX110"/>
  <c r="AN369"/>
  <c r="AM369"/>
  <c r="AH369"/>
  <c r="N169"/>
  <c r="AI369"/>
  <c r="AL369"/>
  <c r="N47"/>
  <c r="N46"/>
  <c r="N146"/>
  <c r="N196"/>
  <c r="N197"/>
  <c r="N198"/>
  <c r="N199"/>
  <c r="N200"/>
  <c r="N201"/>
  <c r="N202"/>
  <c r="N195"/>
  <c r="AF202"/>
  <c r="J202"/>
  <c r="BB202" s="1"/>
  <c r="G202"/>
  <c r="AN202" s="1"/>
  <c r="AF201"/>
  <c r="J201"/>
  <c r="AZ201" s="1"/>
  <c r="G201"/>
  <c r="AL201" s="1"/>
  <c r="AF200"/>
  <c r="J200"/>
  <c r="BB200" s="1"/>
  <c r="G200"/>
  <c r="AN200" s="1"/>
  <c r="AF199"/>
  <c r="J199"/>
  <c r="BB199" s="1"/>
  <c r="G199"/>
  <c r="AL199" s="1"/>
  <c r="N59"/>
  <c r="N60"/>
  <c r="N58"/>
  <c r="J160"/>
  <c r="G160"/>
  <c r="J159"/>
  <c r="G159"/>
  <c r="J158"/>
  <c r="G158"/>
  <c r="J157"/>
  <c r="G157"/>
  <c r="AK110" l="1"/>
  <c r="AK109"/>
  <c r="AG200"/>
  <c r="BC111"/>
  <c r="AK111"/>
  <c r="BC110"/>
  <c r="BC108"/>
  <c r="AK108"/>
  <c r="BC109"/>
  <c r="AJ199"/>
  <c r="AK369"/>
  <c r="BD369" s="1"/>
  <c r="AU199"/>
  <c r="AY199"/>
  <c r="AP199"/>
  <c r="BA202"/>
  <c r="AR199"/>
  <c r="AZ199"/>
  <c r="AP201"/>
  <c r="AT199"/>
  <c r="BA199"/>
  <c r="AU201"/>
  <c r="AR202"/>
  <c r="AT200"/>
  <c r="AW200"/>
  <c r="AQ201"/>
  <c r="AW201"/>
  <c r="AT202"/>
  <c r="AP200"/>
  <c r="AY200"/>
  <c r="AG201"/>
  <c r="AR201"/>
  <c r="AY201"/>
  <c r="AW202"/>
  <c r="AQ199"/>
  <c r="AW199"/>
  <c r="AR200"/>
  <c r="BA200"/>
  <c r="AJ201"/>
  <c r="AT201"/>
  <c r="BA201"/>
  <c r="AP202"/>
  <c r="AY202"/>
  <c r="AG199"/>
  <c r="AG202"/>
  <c r="AH199"/>
  <c r="AM199"/>
  <c r="AJ200"/>
  <c r="AH201"/>
  <c r="AM201"/>
  <c r="AJ202"/>
  <c r="AI199"/>
  <c r="AN199"/>
  <c r="AS199"/>
  <c r="AX199"/>
  <c r="AL200"/>
  <c r="AQ200"/>
  <c r="AU200"/>
  <c r="AZ200"/>
  <c r="AI201"/>
  <c r="AN201"/>
  <c r="AS201"/>
  <c r="AX201"/>
  <c r="BB201"/>
  <c r="AL202"/>
  <c r="AQ202"/>
  <c r="AU202"/>
  <c r="AZ202"/>
  <c r="AH200"/>
  <c r="AM200"/>
  <c r="AH202"/>
  <c r="AM202"/>
  <c r="AI200"/>
  <c r="AS200"/>
  <c r="AX200"/>
  <c r="AI202"/>
  <c r="AS202"/>
  <c r="AX202"/>
  <c r="BD110" l="1"/>
  <c r="BD109"/>
  <c r="BD108"/>
  <c r="BD111"/>
  <c r="AK202"/>
  <c r="BD202" s="1"/>
  <c r="AK199"/>
  <c r="BD199" s="1"/>
  <c r="AK200"/>
  <c r="BD200" s="1"/>
  <c r="AK201"/>
  <c r="BD201" s="1"/>
  <c r="N158"/>
  <c r="N159"/>
  <c r="N160"/>
  <c r="N157"/>
  <c r="M156"/>
  <c r="BA160"/>
  <c r="AY160"/>
  <c r="AW160"/>
  <c r="AT160"/>
  <c r="AR160"/>
  <c r="AP160"/>
  <c r="AF160"/>
  <c r="BB160"/>
  <c r="AN160"/>
  <c r="BA159"/>
  <c r="AY159"/>
  <c r="AW159"/>
  <c r="AT159"/>
  <c r="AR159"/>
  <c r="AP159"/>
  <c r="AF159"/>
  <c r="AZ159"/>
  <c r="AL159"/>
  <c r="N161"/>
  <c r="R161"/>
  <c r="Y161"/>
  <c r="AF161"/>
  <c r="AH161"/>
  <c r="AI161"/>
  <c r="AJ161"/>
  <c r="AL161"/>
  <c r="AM161"/>
  <c r="AN161"/>
  <c r="AP161"/>
  <c r="AQ161"/>
  <c r="AR161"/>
  <c r="AS161"/>
  <c r="AT161"/>
  <c r="AU161"/>
  <c r="AW161"/>
  <c r="AX161"/>
  <c r="AY161"/>
  <c r="AZ161"/>
  <c r="BA161"/>
  <c r="BB161"/>
  <c r="K162"/>
  <c r="L162"/>
  <c r="M162"/>
  <c r="O162"/>
  <c r="P162"/>
  <c r="Q162"/>
  <c r="S162"/>
  <c r="T162"/>
  <c r="U162"/>
  <c r="V162"/>
  <c r="W162"/>
  <c r="X162"/>
  <c r="Z162"/>
  <c r="AA162"/>
  <c r="AB162"/>
  <c r="AC162"/>
  <c r="AD162"/>
  <c r="AE162"/>
  <c r="N379"/>
  <c r="N374"/>
  <c r="N375"/>
  <c r="N373"/>
  <c r="N82"/>
  <c r="N83"/>
  <c r="N81"/>
  <c r="K80"/>
  <c r="N44"/>
  <c r="N37"/>
  <c r="AF367"/>
  <c r="AG367" s="1"/>
  <c r="J367"/>
  <c r="BB367" s="1"/>
  <c r="G367"/>
  <c r="AN367" s="1"/>
  <c r="N24"/>
  <c r="N264"/>
  <c r="N265"/>
  <c r="N263"/>
  <c r="N404"/>
  <c r="N129"/>
  <c r="N130"/>
  <c r="AG130" s="1"/>
  <c r="N131"/>
  <c r="AG131" s="1"/>
  <c r="N128"/>
  <c r="K127"/>
  <c r="J131"/>
  <c r="G131"/>
  <c r="J130"/>
  <c r="G130"/>
  <c r="N256"/>
  <c r="N257"/>
  <c r="N258"/>
  <c r="AG258" s="1"/>
  <c r="N255"/>
  <c r="J258"/>
  <c r="G258"/>
  <c r="AH258" s="1"/>
  <c r="AK258" s="1"/>
  <c r="BD258" s="1"/>
  <c r="AH130" l="1"/>
  <c r="AI130"/>
  <c r="AH131"/>
  <c r="AI131"/>
  <c r="N156"/>
  <c r="AG161"/>
  <c r="AV161"/>
  <c r="BC161"/>
  <c r="AK161"/>
  <c r="AO161"/>
  <c r="AG160"/>
  <c r="AG159"/>
  <c r="AH159"/>
  <c r="AM159"/>
  <c r="AJ160"/>
  <c r="AI159"/>
  <c r="AN159"/>
  <c r="AS159"/>
  <c r="AX159"/>
  <c r="BB159"/>
  <c r="AL160"/>
  <c r="AQ160"/>
  <c r="AU160"/>
  <c r="AZ160"/>
  <c r="AJ159"/>
  <c r="AH160"/>
  <c r="AM160"/>
  <c r="AQ159"/>
  <c r="AU159"/>
  <c r="AI160"/>
  <c r="AS160"/>
  <c r="AX160"/>
  <c r="AW367"/>
  <c r="AJ367"/>
  <c r="AR367"/>
  <c r="AY367"/>
  <c r="AQ367"/>
  <c r="AL367"/>
  <c r="AT367"/>
  <c r="AZ367"/>
  <c r="AP367"/>
  <c r="AU367"/>
  <c r="BA367"/>
  <c r="AH367"/>
  <c r="AM367"/>
  <c r="AI367"/>
  <c r="AS367"/>
  <c r="AX367"/>
  <c r="N15"/>
  <c r="N218"/>
  <c r="N219"/>
  <c r="N220"/>
  <c r="N221"/>
  <c r="N222"/>
  <c r="N223"/>
  <c r="N224"/>
  <c r="N225"/>
  <c r="N226"/>
  <c r="N227"/>
  <c r="AG227" s="1"/>
  <c r="N228"/>
  <c r="AG228" s="1"/>
  <c r="N229"/>
  <c r="AG229" s="1"/>
  <c r="N217"/>
  <c r="N215"/>
  <c r="M216"/>
  <c r="J229"/>
  <c r="G229"/>
  <c r="AH229" s="1"/>
  <c r="AK229" s="1"/>
  <c r="BD229" s="1"/>
  <c r="J227"/>
  <c r="G227"/>
  <c r="J228"/>
  <c r="G228"/>
  <c r="AH228" s="1"/>
  <c r="AK228" s="1"/>
  <c r="BD228" s="1"/>
  <c r="N235"/>
  <c r="N236"/>
  <c r="N237"/>
  <c r="N234"/>
  <c r="N276"/>
  <c r="N279"/>
  <c r="AG279" s="1"/>
  <c r="N280"/>
  <c r="AG280" s="1"/>
  <c r="N278"/>
  <c r="M277"/>
  <c r="J280"/>
  <c r="G280"/>
  <c r="AH280" s="1"/>
  <c r="AK280" s="1"/>
  <c r="BD280" s="1"/>
  <c r="G279"/>
  <c r="AH279" s="1"/>
  <c r="AK279" s="1"/>
  <c r="BD279" s="1"/>
  <c r="J279"/>
  <c r="N318"/>
  <c r="N317"/>
  <c r="L316"/>
  <c r="M316"/>
  <c r="AH126"/>
  <c r="N124"/>
  <c r="N125"/>
  <c r="N126"/>
  <c r="N123"/>
  <c r="J125"/>
  <c r="G125"/>
  <c r="AH125" s="1"/>
  <c r="AK125" s="1"/>
  <c r="BD125" s="1"/>
  <c r="AJ227" l="1"/>
  <c r="AI227"/>
  <c r="AK131"/>
  <c r="BD131" s="1"/>
  <c r="AK130"/>
  <c r="BD130" s="1"/>
  <c r="AK160"/>
  <c r="BD160" s="1"/>
  <c r="AV367"/>
  <c r="AK159"/>
  <c r="BD159" s="1"/>
  <c r="AK367"/>
  <c r="BD161"/>
  <c r="BC367"/>
  <c r="N316"/>
  <c r="N277"/>
  <c r="AG277"/>
  <c r="N216"/>
  <c r="AM227"/>
  <c r="AH227"/>
  <c r="AN227"/>
  <c r="AL227"/>
  <c r="N122"/>
  <c r="AG125"/>
  <c r="K10" i="2"/>
  <c r="K12"/>
  <c r="K13"/>
  <c r="K14"/>
  <c r="K107"/>
  <c r="K15"/>
  <c r="K108"/>
  <c r="K16"/>
  <c r="K109"/>
  <c r="K110"/>
  <c r="K17"/>
  <c r="K18"/>
  <c r="K111"/>
  <c r="K19"/>
  <c r="K112"/>
  <c r="K20"/>
  <c r="K113"/>
  <c r="K114"/>
  <c r="K21"/>
  <c r="K115"/>
  <c r="K22"/>
  <c r="K23"/>
  <c r="K24"/>
  <c r="K116"/>
  <c r="K25"/>
  <c r="K26"/>
  <c r="K27"/>
  <c r="K28"/>
  <c r="K29"/>
  <c r="K30"/>
  <c r="K31"/>
  <c r="K32"/>
  <c r="K33"/>
  <c r="K34"/>
  <c r="K35"/>
  <c r="K36"/>
  <c r="K37"/>
  <c r="K38"/>
  <c r="K39"/>
  <c r="K40"/>
  <c r="K41"/>
  <c r="K43"/>
  <c r="K117"/>
  <c r="K44"/>
  <c r="K118"/>
  <c r="K45"/>
  <c r="K46"/>
  <c r="K47"/>
  <c r="K119"/>
  <c r="K48"/>
  <c r="K49"/>
  <c r="K50"/>
  <c r="K120"/>
  <c r="K51"/>
  <c r="K73"/>
  <c r="K121"/>
  <c r="K52"/>
  <c r="K122"/>
  <c r="K53"/>
  <c r="K54"/>
  <c r="K55"/>
  <c r="K123"/>
  <c r="K56"/>
  <c r="K57"/>
  <c r="K124"/>
  <c r="K58"/>
  <c r="K59"/>
  <c r="K60"/>
  <c r="K61"/>
  <c r="K125"/>
  <c r="K62"/>
  <c r="K63"/>
  <c r="K64"/>
  <c r="K126"/>
  <c r="K65"/>
  <c r="K127"/>
  <c r="K66"/>
  <c r="K128"/>
  <c r="K67"/>
  <c r="K68"/>
  <c r="K69"/>
  <c r="K70"/>
  <c r="K71"/>
  <c r="K129"/>
  <c r="K130"/>
  <c r="K72"/>
  <c r="K74"/>
  <c r="K131"/>
  <c r="K132"/>
  <c r="K133"/>
  <c r="K75"/>
  <c r="K76"/>
  <c r="K77"/>
  <c r="K78"/>
  <c r="K134"/>
  <c r="K79"/>
  <c r="K80"/>
  <c r="K135"/>
  <c r="K81"/>
  <c r="K136"/>
  <c r="K82"/>
  <c r="K137"/>
  <c r="K138"/>
  <c r="K83"/>
  <c r="K139"/>
  <c r="K84"/>
  <c r="K140"/>
  <c r="K141"/>
  <c r="K142"/>
  <c r="K85"/>
  <c r="K143"/>
  <c r="K86"/>
  <c r="K87"/>
  <c r="K95"/>
  <c r="K88"/>
  <c r="K144"/>
  <c r="K89"/>
  <c r="K90"/>
  <c r="K145"/>
  <c r="K146"/>
  <c r="K147"/>
  <c r="K91"/>
  <c r="K92"/>
  <c r="K93"/>
  <c r="K94"/>
  <c r="K148"/>
  <c r="K11"/>
  <c r="AX68" i="1"/>
  <c r="AY68"/>
  <c r="AZ68"/>
  <c r="BA68"/>
  <c r="BB68"/>
  <c r="AX69"/>
  <c r="AY69"/>
  <c r="AZ69"/>
  <c r="BA69"/>
  <c r="BB69"/>
  <c r="AX70"/>
  <c r="AY70"/>
  <c r="AZ70"/>
  <c r="BA70"/>
  <c r="BB70"/>
  <c r="AX75"/>
  <c r="AY75"/>
  <c r="AZ75"/>
  <c r="BA75"/>
  <c r="BB75"/>
  <c r="AX126"/>
  <c r="AY126"/>
  <c r="AZ126"/>
  <c r="BA126"/>
  <c r="BB126"/>
  <c r="AX155"/>
  <c r="AX154" s="1"/>
  <c r="AY155"/>
  <c r="AY154" s="1"/>
  <c r="AZ155"/>
  <c r="AZ154" s="1"/>
  <c r="BA155"/>
  <c r="BA154" s="1"/>
  <c r="BB155"/>
  <c r="BB154" s="1"/>
  <c r="AX163"/>
  <c r="AY163"/>
  <c r="AZ163"/>
  <c r="BA163"/>
  <c r="BB163"/>
  <c r="AX164"/>
  <c r="AY164"/>
  <c r="AZ164"/>
  <c r="BA164"/>
  <c r="BB164"/>
  <c r="AX175"/>
  <c r="AY175"/>
  <c r="AZ175"/>
  <c r="BA175"/>
  <c r="BB175"/>
  <c r="AX176"/>
  <c r="AY176"/>
  <c r="AZ176"/>
  <c r="BA176"/>
  <c r="BB176"/>
  <c r="AX178"/>
  <c r="AY178"/>
  <c r="AZ178"/>
  <c r="BA178"/>
  <c r="BB178"/>
  <c r="AX192"/>
  <c r="AY192"/>
  <c r="AZ192"/>
  <c r="BA192"/>
  <c r="BB192"/>
  <c r="AX193"/>
  <c r="AY193"/>
  <c r="AZ193"/>
  <c r="BA193"/>
  <c r="BB193"/>
  <c r="AX203"/>
  <c r="AY203"/>
  <c r="AZ203"/>
  <c r="BA203"/>
  <c r="BB203"/>
  <c r="AX215"/>
  <c r="AX214" s="1"/>
  <c r="AY215"/>
  <c r="AY214" s="1"/>
  <c r="AZ215"/>
  <c r="AZ214" s="1"/>
  <c r="BA215"/>
  <c r="BA214" s="1"/>
  <c r="BB215"/>
  <c r="BB214" s="1"/>
  <c r="AX247"/>
  <c r="AY247"/>
  <c r="AZ247"/>
  <c r="BA247"/>
  <c r="BB247"/>
  <c r="AX260"/>
  <c r="AY260"/>
  <c r="AZ260"/>
  <c r="BA260"/>
  <c r="BB260"/>
  <c r="AX261"/>
  <c r="AY261"/>
  <c r="AZ261"/>
  <c r="BA261"/>
  <c r="BB261"/>
  <c r="AX270"/>
  <c r="AY270"/>
  <c r="AZ270"/>
  <c r="BA270"/>
  <c r="BB270"/>
  <c r="AX283"/>
  <c r="AY283"/>
  <c r="AZ283"/>
  <c r="BA283"/>
  <c r="BB283"/>
  <c r="AX285"/>
  <c r="AX284" s="1"/>
  <c r="AY285"/>
  <c r="AY284" s="1"/>
  <c r="AZ285"/>
  <c r="AZ284" s="1"/>
  <c r="BA285"/>
  <c r="BA284" s="1"/>
  <c r="BB285"/>
  <c r="BB284" s="1"/>
  <c r="AX292"/>
  <c r="AY292"/>
  <c r="AZ292"/>
  <c r="BA292"/>
  <c r="BB292"/>
  <c r="AX294"/>
  <c r="AY294"/>
  <c r="AZ294"/>
  <c r="BA294"/>
  <c r="BB294"/>
  <c r="AX295"/>
  <c r="AY295"/>
  <c r="AZ295"/>
  <c r="BA295"/>
  <c r="BB295"/>
  <c r="AX296"/>
  <c r="AY296"/>
  <c r="AZ296"/>
  <c r="BA296"/>
  <c r="BB296"/>
  <c r="AX297"/>
  <c r="AY297"/>
  <c r="AZ297"/>
  <c r="BA297"/>
  <c r="BB297"/>
  <c r="AX321"/>
  <c r="AY321"/>
  <c r="AZ321"/>
  <c r="BA321"/>
  <c r="BB321"/>
  <c r="AX328"/>
  <c r="AY328"/>
  <c r="AZ328"/>
  <c r="BA328"/>
  <c r="BB328"/>
  <c r="AX333"/>
  <c r="AY333"/>
  <c r="AZ333"/>
  <c r="BA333"/>
  <c r="BB333"/>
  <c r="AX334"/>
  <c r="AY334"/>
  <c r="AZ334"/>
  <c r="BA334"/>
  <c r="BB334"/>
  <c r="AX335"/>
  <c r="AY335"/>
  <c r="AZ335"/>
  <c r="BA335"/>
  <c r="BB335"/>
  <c r="AX339"/>
  <c r="AY339"/>
  <c r="AZ339"/>
  <c r="BA339"/>
  <c r="BB339"/>
  <c r="AX340"/>
  <c r="AY340"/>
  <c r="AZ340"/>
  <c r="BA340"/>
  <c r="BB340"/>
  <c r="AX342"/>
  <c r="AY342"/>
  <c r="AZ342"/>
  <c r="BA342"/>
  <c r="BB342"/>
  <c r="AX343"/>
  <c r="AY343"/>
  <c r="AZ343"/>
  <c r="BA343"/>
  <c r="BB343"/>
  <c r="AX345"/>
  <c r="AY345"/>
  <c r="AZ345"/>
  <c r="BA345"/>
  <c r="BB345"/>
  <c r="AX346"/>
  <c r="AY346"/>
  <c r="AZ346"/>
  <c r="BA346"/>
  <c r="BB346"/>
  <c r="AX347"/>
  <c r="AY347"/>
  <c r="AZ347"/>
  <c r="BA347"/>
  <c r="BB347"/>
  <c r="AX348"/>
  <c r="AY348"/>
  <c r="AZ348"/>
  <c r="BA348"/>
  <c r="BB348"/>
  <c r="AX350"/>
  <c r="AY350"/>
  <c r="AZ350"/>
  <c r="BA350"/>
  <c r="BB350"/>
  <c r="AX370"/>
  <c r="AY370"/>
  <c r="AZ370"/>
  <c r="BA370"/>
  <c r="BB370"/>
  <c r="AX371"/>
  <c r="AY371"/>
  <c r="AZ371"/>
  <c r="BA371"/>
  <c r="BB371"/>
  <c r="AX376"/>
  <c r="AY376"/>
  <c r="AZ376"/>
  <c r="BA376"/>
  <c r="BB376"/>
  <c r="AX377"/>
  <c r="AY377"/>
  <c r="AZ377"/>
  <c r="BA377"/>
  <c r="BB377"/>
  <c r="AX386"/>
  <c r="AY386"/>
  <c r="AZ386"/>
  <c r="BA386"/>
  <c r="BB386"/>
  <c r="AX399"/>
  <c r="AY399"/>
  <c r="AZ399"/>
  <c r="BA399"/>
  <c r="BB399"/>
  <c r="AX400"/>
  <c r="AY400"/>
  <c r="AZ400"/>
  <c r="BA400"/>
  <c r="BB400"/>
  <c r="AX401"/>
  <c r="AY401"/>
  <c r="AZ401"/>
  <c r="BA401"/>
  <c r="BB401"/>
  <c r="AX402"/>
  <c r="AY402"/>
  <c r="AZ402"/>
  <c r="BA402"/>
  <c r="BB402"/>
  <c r="AX412"/>
  <c r="AY412"/>
  <c r="AZ412"/>
  <c r="BA412"/>
  <c r="BB412"/>
  <c r="AX413"/>
  <c r="AY413"/>
  <c r="AZ413"/>
  <c r="BA413"/>
  <c r="BB413"/>
  <c r="AX414"/>
  <c r="AY414"/>
  <c r="AZ414"/>
  <c r="BA414"/>
  <c r="BB414"/>
  <c r="AX415"/>
  <c r="AY415"/>
  <c r="AZ415"/>
  <c r="BA415"/>
  <c r="BB415"/>
  <c r="AX416"/>
  <c r="AY416"/>
  <c r="AZ416"/>
  <c r="BA416"/>
  <c r="BB416"/>
  <c r="AW416"/>
  <c r="AW415"/>
  <c r="AW414"/>
  <c r="AW413"/>
  <c r="AW412"/>
  <c r="AW402"/>
  <c r="AW401"/>
  <c r="AW400"/>
  <c r="AW399"/>
  <c r="AW386"/>
  <c r="AW377"/>
  <c r="AW376"/>
  <c r="AW371"/>
  <c r="AW370"/>
  <c r="AW350"/>
  <c r="AW348"/>
  <c r="AW347"/>
  <c r="AW346"/>
  <c r="AW345"/>
  <c r="AW343"/>
  <c r="AW342"/>
  <c r="AW340"/>
  <c r="AW339"/>
  <c r="AW335"/>
  <c r="AW334"/>
  <c r="AW333"/>
  <c r="AW328"/>
  <c r="AW321"/>
  <c r="AW297"/>
  <c r="AW296"/>
  <c r="AW295"/>
  <c r="AW294"/>
  <c r="AW292"/>
  <c r="AW285"/>
  <c r="AW284" s="1"/>
  <c r="AW283"/>
  <c r="AW270"/>
  <c r="AW261"/>
  <c r="AW260"/>
  <c r="AW247"/>
  <c r="AW215"/>
  <c r="AW214" s="1"/>
  <c r="AW203"/>
  <c r="AW193"/>
  <c r="AW192"/>
  <c r="AW178"/>
  <c r="AW176"/>
  <c r="AW175"/>
  <c r="AW164"/>
  <c r="AW163"/>
  <c r="AW155"/>
  <c r="AW154" s="1"/>
  <c r="AW126"/>
  <c r="AW75"/>
  <c r="AW70"/>
  <c r="AW69"/>
  <c r="AW68"/>
  <c r="AQ68"/>
  <c r="AR68"/>
  <c r="AS68"/>
  <c r="AT68"/>
  <c r="AU68"/>
  <c r="AQ69"/>
  <c r="AR69"/>
  <c r="AS69"/>
  <c r="AT69"/>
  <c r="AU69"/>
  <c r="AQ70"/>
  <c r="AR70"/>
  <c r="AS70"/>
  <c r="AT70"/>
  <c r="AU70"/>
  <c r="AQ75"/>
  <c r="AR75"/>
  <c r="AS75"/>
  <c r="AT75"/>
  <c r="AU75"/>
  <c r="AQ126"/>
  <c r="AR126"/>
  <c r="AS126"/>
  <c r="AT126"/>
  <c r="AU126"/>
  <c r="AQ155"/>
  <c r="AQ154" s="1"/>
  <c r="AR155"/>
  <c r="AR154" s="1"/>
  <c r="AS155"/>
  <c r="AS154" s="1"/>
  <c r="AT155"/>
  <c r="AT154" s="1"/>
  <c r="AU155"/>
  <c r="AU154" s="1"/>
  <c r="AQ163"/>
  <c r="AR163"/>
  <c r="AS163"/>
  <c r="AT163"/>
  <c r="AU163"/>
  <c r="AQ164"/>
  <c r="AR164"/>
  <c r="AS164"/>
  <c r="AT164"/>
  <c r="AU164"/>
  <c r="AQ175"/>
  <c r="AR175"/>
  <c r="AS175"/>
  <c r="AT175"/>
  <c r="AU175"/>
  <c r="AQ176"/>
  <c r="AR176"/>
  <c r="AS176"/>
  <c r="AT176"/>
  <c r="AU176"/>
  <c r="AQ178"/>
  <c r="AR178"/>
  <c r="AS178"/>
  <c r="AT178"/>
  <c r="AU178"/>
  <c r="AQ192"/>
  <c r="AR192"/>
  <c r="AS192"/>
  <c r="AT192"/>
  <c r="AU192"/>
  <c r="AQ193"/>
  <c r="AR193"/>
  <c r="AS193"/>
  <c r="AT193"/>
  <c r="AU193"/>
  <c r="AQ203"/>
  <c r="AR203"/>
  <c r="AS203"/>
  <c r="AT203"/>
  <c r="AU203"/>
  <c r="AQ215"/>
  <c r="AQ214" s="1"/>
  <c r="AR215"/>
  <c r="AR214" s="1"/>
  <c r="AS215"/>
  <c r="AS214" s="1"/>
  <c r="AT215"/>
  <c r="AT214" s="1"/>
  <c r="AU215"/>
  <c r="AU214" s="1"/>
  <c r="AQ247"/>
  <c r="AR247"/>
  <c r="AS247"/>
  <c r="AT247"/>
  <c r="AU247"/>
  <c r="AQ260"/>
  <c r="AR260"/>
  <c r="AS260"/>
  <c r="AT260"/>
  <c r="AU260"/>
  <c r="AQ261"/>
  <c r="AR261"/>
  <c r="AS261"/>
  <c r="AT261"/>
  <c r="AU261"/>
  <c r="AQ270"/>
  <c r="AR270"/>
  <c r="AS270"/>
  <c r="AT270"/>
  <c r="AU270"/>
  <c r="AQ283"/>
  <c r="AR283"/>
  <c r="AS283"/>
  <c r="AT283"/>
  <c r="AU283"/>
  <c r="AQ285"/>
  <c r="AQ284" s="1"/>
  <c r="AR285"/>
  <c r="AR284" s="1"/>
  <c r="AS285"/>
  <c r="AS284" s="1"/>
  <c r="AT285"/>
  <c r="AT284" s="1"/>
  <c r="AU285"/>
  <c r="AU284" s="1"/>
  <c r="AQ292"/>
  <c r="AR292"/>
  <c r="AS292"/>
  <c r="AT292"/>
  <c r="AU292"/>
  <c r="AQ294"/>
  <c r="AR294"/>
  <c r="AS294"/>
  <c r="AT294"/>
  <c r="AU294"/>
  <c r="AQ295"/>
  <c r="AR295"/>
  <c r="AS295"/>
  <c r="AT295"/>
  <c r="AU295"/>
  <c r="AQ296"/>
  <c r="AR296"/>
  <c r="AS296"/>
  <c r="AT296"/>
  <c r="AU296"/>
  <c r="AQ297"/>
  <c r="AR297"/>
  <c r="AS297"/>
  <c r="AT297"/>
  <c r="AU297"/>
  <c r="AQ321"/>
  <c r="AR321"/>
  <c r="AS321"/>
  <c r="AT321"/>
  <c r="AU321"/>
  <c r="AQ328"/>
  <c r="AR328"/>
  <c r="AS328"/>
  <c r="AT328"/>
  <c r="AU328"/>
  <c r="AQ333"/>
  <c r="AR333"/>
  <c r="AS333"/>
  <c r="AT333"/>
  <c r="AU333"/>
  <c r="AQ334"/>
  <c r="AR334"/>
  <c r="AS334"/>
  <c r="AT334"/>
  <c r="AU334"/>
  <c r="AQ335"/>
  <c r="AR335"/>
  <c r="AS335"/>
  <c r="AT335"/>
  <c r="AU335"/>
  <c r="AQ339"/>
  <c r="AR339"/>
  <c r="AS339"/>
  <c r="AT339"/>
  <c r="AU339"/>
  <c r="AQ340"/>
  <c r="AR340"/>
  <c r="AS340"/>
  <c r="AT340"/>
  <c r="AU340"/>
  <c r="AQ342"/>
  <c r="AR342"/>
  <c r="AS342"/>
  <c r="AT342"/>
  <c r="AU342"/>
  <c r="AQ343"/>
  <c r="AR343"/>
  <c r="AS343"/>
  <c r="AT343"/>
  <c r="AU343"/>
  <c r="AQ345"/>
  <c r="AR345"/>
  <c r="AS345"/>
  <c r="AT345"/>
  <c r="AU345"/>
  <c r="AQ346"/>
  <c r="AR346"/>
  <c r="AS346"/>
  <c r="AT346"/>
  <c r="AU346"/>
  <c r="AQ347"/>
  <c r="AR347"/>
  <c r="AS347"/>
  <c r="AT347"/>
  <c r="AU347"/>
  <c r="AQ348"/>
  <c r="AR348"/>
  <c r="AS348"/>
  <c r="AT348"/>
  <c r="AU348"/>
  <c r="AQ350"/>
  <c r="AR350"/>
  <c r="AS350"/>
  <c r="AT350"/>
  <c r="AU350"/>
  <c r="AQ370"/>
  <c r="AR370"/>
  <c r="AS370"/>
  <c r="AT370"/>
  <c r="AU370"/>
  <c r="AQ371"/>
  <c r="AR371"/>
  <c r="AS371"/>
  <c r="AT371"/>
  <c r="AU371"/>
  <c r="AQ376"/>
  <c r="AR376"/>
  <c r="AS376"/>
  <c r="AT376"/>
  <c r="AU376"/>
  <c r="AQ377"/>
  <c r="AR377"/>
  <c r="AS377"/>
  <c r="AT377"/>
  <c r="AU377"/>
  <c r="AQ386"/>
  <c r="AR386"/>
  <c r="AS386"/>
  <c r="AT386"/>
  <c r="AU386"/>
  <c r="AQ399"/>
  <c r="AR399"/>
  <c r="AS399"/>
  <c r="AT399"/>
  <c r="AU399"/>
  <c r="AQ400"/>
  <c r="AR400"/>
  <c r="AS400"/>
  <c r="AT400"/>
  <c r="AU400"/>
  <c r="AQ401"/>
  <c r="AR401"/>
  <c r="AS401"/>
  <c r="AT401"/>
  <c r="AU401"/>
  <c r="AQ402"/>
  <c r="AR402"/>
  <c r="AS402"/>
  <c r="AT402"/>
  <c r="AU402"/>
  <c r="AQ412"/>
  <c r="AR412"/>
  <c r="AS412"/>
  <c r="AT412"/>
  <c r="AU412"/>
  <c r="AQ413"/>
  <c r="AR413"/>
  <c r="AS413"/>
  <c r="AT413"/>
  <c r="AU413"/>
  <c r="AQ414"/>
  <c r="AR414"/>
  <c r="AS414"/>
  <c r="AT414"/>
  <c r="AU414"/>
  <c r="AQ415"/>
  <c r="AR415"/>
  <c r="AS415"/>
  <c r="AT415"/>
  <c r="AU415"/>
  <c r="AQ416"/>
  <c r="AR416"/>
  <c r="AS416"/>
  <c r="AT416"/>
  <c r="AU416"/>
  <c r="AP412"/>
  <c r="AP413"/>
  <c r="AP414"/>
  <c r="AP415"/>
  <c r="AP416"/>
  <c r="AP402"/>
  <c r="AP400"/>
  <c r="AP401"/>
  <c r="AP399"/>
  <c r="AP386"/>
  <c r="AP377"/>
  <c r="AP376"/>
  <c r="AP371"/>
  <c r="AP370"/>
  <c r="AP350"/>
  <c r="AP346"/>
  <c r="AP347"/>
  <c r="AP348"/>
  <c r="AP345"/>
  <c r="AP343"/>
  <c r="AP342"/>
  <c r="AP340"/>
  <c r="AP339"/>
  <c r="AP334"/>
  <c r="AP335"/>
  <c r="AP333"/>
  <c r="AP328"/>
  <c r="AP321"/>
  <c r="AP295"/>
  <c r="AP296"/>
  <c r="AP297"/>
  <c r="AP294"/>
  <c r="AP292"/>
  <c r="AP285"/>
  <c r="AP284" s="1"/>
  <c r="AP283"/>
  <c r="AP270"/>
  <c r="AP261"/>
  <c r="AP260"/>
  <c r="AP247"/>
  <c r="AP215"/>
  <c r="AP214" s="1"/>
  <c r="AP203"/>
  <c r="AP192"/>
  <c r="AP193"/>
  <c r="AP178"/>
  <c r="AP176"/>
  <c r="AP175"/>
  <c r="AP164"/>
  <c r="AP163"/>
  <c r="AP155"/>
  <c r="AP154" s="1"/>
  <c r="AP126"/>
  <c r="AP75"/>
  <c r="AP69"/>
  <c r="AP70"/>
  <c r="AP68"/>
  <c r="AN416"/>
  <c r="AM416"/>
  <c r="AL416"/>
  <c r="AN415"/>
  <c r="AM415"/>
  <c r="AL415"/>
  <c r="AN414"/>
  <c r="AM414"/>
  <c r="AL414"/>
  <c r="AN413"/>
  <c r="AM413"/>
  <c r="AL413"/>
  <c r="AN412"/>
  <c r="AM412"/>
  <c r="AL412"/>
  <c r="AN402"/>
  <c r="AM402"/>
  <c r="AL402"/>
  <c r="AN401"/>
  <c r="AM401"/>
  <c r="AL401"/>
  <c r="AN400"/>
  <c r="AM400"/>
  <c r="AL400"/>
  <c r="AN399"/>
  <c r="AM399"/>
  <c r="AL399"/>
  <c r="AN386"/>
  <c r="AM386"/>
  <c r="AL386"/>
  <c r="AN377"/>
  <c r="AM377"/>
  <c r="AL377"/>
  <c r="AN376"/>
  <c r="AM376"/>
  <c r="AL376"/>
  <c r="AN371"/>
  <c r="AM371"/>
  <c r="AL371"/>
  <c r="AN370"/>
  <c r="AM370"/>
  <c r="AL370"/>
  <c r="AN350"/>
  <c r="AM350"/>
  <c r="AL350"/>
  <c r="AN348"/>
  <c r="AM348"/>
  <c r="AL348"/>
  <c r="AN347"/>
  <c r="AM347"/>
  <c r="AL347"/>
  <c r="AN346"/>
  <c r="AM346"/>
  <c r="AL346"/>
  <c r="AN345"/>
  <c r="AM345"/>
  <c r="AL345"/>
  <c r="AN343"/>
  <c r="AM343"/>
  <c r="AL343"/>
  <c r="AN342"/>
  <c r="AM342"/>
  <c r="AL342"/>
  <c r="AN340"/>
  <c r="AM340"/>
  <c r="AL340"/>
  <c r="AN339"/>
  <c r="AM339"/>
  <c r="AL339"/>
  <c r="AN335"/>
  <c r="AM335"/>
  <c r="AL335"/>
  <c r="AN334"/>
  <c r="AM334"/>
  <c r="AL334"/>
  <c r="AN333"/>
  <c r="AM333"/>
  <c r="AL333"/>
  <c r="AN328"/>
  <c r="AM328"/>
  <c r="AL328"/>
  <c r="AN321"/>
  <c r="AM321"/>
  <c r="AL321"/>
  <c r="AN297"/>
  <c r="AM297"/>
  <c r="AL297"/>
  <c r="AN296"/>
  <c r="AM296"/>
  <c r="AL296"/>
  <c r="AN295"/>
  <c r="AM295"/>
  <c r="AL295"/>
  <c r="AN294"/>
  <c r="AM294"/>
  <c r="AL294"/>
  <c r="AN292"/>
  <c r="AM292"/>
  <c r="AL292"/>
  <c r="AN285"/>
  <c r="AN284" s="1"/>
  <c r="AM285"/>
  <c r="AM284" s="1"/>
  <c r="AL285"/>
  <c r="AL284" s="1"/>
  <c r="AN283"/>
  <c r="AM283"/>
  <c r="AL283"/>
  <c r="AN270"/>
  <c r="AM270"/>
  <c r="AL270"/>
  <c r="AN261"/>
  <c r="AM261"/>
  <c r="AL261"/>
  <c r="AN260"/>
  <c r="AM260"/>
  <c r="AL260"/>
  <c r="AN247"/>
  <c r="AM247"/>
  <c r="AL247"/>
  <c r="AN215"/>
  <c r="AN214" s="1"/>
  <c r="AM215"/>
  <c r="AM214" s="1"/>
  <c r="AL215"/>
  <c r="AL214" s="1"/>
  <c r="AN206"/>
  <c r="AM206"/>
  <c r="AL206"/>
  <c r="AN203"/>
  <c r="AM203"/>
  <c r="AL203"/>
  <c r="AN193"/>
  <c r="AM193"/>
  <c r="AL193"/>
  <c r="AN192"/>
  <c r="AM192"/>
  <c r="AL192"/>
  <c r="AN186"/>
  <c r="AM186"/>
  <c r="AL186"/>
  <c r="AN178"/>
  <c r="AM178"/>
  <c r="AL178"/>
  <c r="AN176"/>
  <c r="AM176"/>
  <c r="AL176"/>
  <c r="AN175"/>
  <c r="AM175"/>
  <c r="AL175"/>
  <c r="AN168"/>
  <c r="AN167" s="1"/>
  <c r="AM168"/>
  <c r="AM167" s="1"/>
  <c r="AL168"/>
  <c r="AL167" s="1"/>
  <c r="AN164"/>
  <c r="AM164"/>
  <c r="AL164"/>
  <c r="AN163"/>
  <c r="AM163"/>
  <c r="AL163"/>
  <c r="AN155"/>
  <c r="AN154" s="1"/>
  <c r="AM155"/>
  <c r="AM154" s="1"/>
  <c r="AL155"/>
  <c r="AL154" s="1"/>
  <c r="AN126"/>
  <c r="AM126"/>
  <c r="AL126"/>
  <c r="AN70"/>
  <c r="AM70"/>
  <c r="AL70"/>
  <c r="AN69"/>
  <c r="AM69"/>
  <c r="AL69"/>
  <c r="AN68"/>
  <c r="AM68"/>
  <c r="AL68"/>
  <c r="AN56"/>
  <c r="AM56"/>
  <c r="AL56"/>
  <c r="AI56"/>
  <c r="AJ56"/>
  <c r="AI68"/>
  <c r="AJ68"/>
  <c r="AI69"/>
  <c r="AJ69"/>
  <c r="AI70"/>
  <c r="AJ70"/>
  <c r="AI75"/>
  <c r="AJ75"/>
  <c r="AI126"/>
  <c r="AJ126"/>
  <c r="AI155"/>
  <c r="AI154" s="1"/>
  <c r="AJ155"/>
  <c r="AJ154" s="1"/>
  <c r="AI163"/>
  <c r="AJ163"/>
  <c r="AI164"/>
  <c r="AJ164"/>
  <c r="AI168"/>
  <c r="AI167" s="1"/>
  <c r="AJ168"/>
  <c r="AJ167" s="1"/>
  <c r="AI175"/>
  <c r="AJ175"/>
  <c r="AI176"/>
  <c r="AJ176"/>
  <c r="AI178"/>
  <c r="AJ178"/>
  <c r="AI186"/>
  <c r="AJ186"/>
  <c r="AI192"/>
  <c r="AJ192"/>
  <c r="AI193"/>
  <c r="AJ193"/>
  <c r="AI203"/>
  <c r="AJ203"/>
  <c r="AI206"/>
  <c r="AJ206"/>
  <c r="AI215"/>
  <c r="AI214" s="1"/>
  <c r="AJ215"/>
  <c r="AJ214" s="1"/>
  <c r="AI247"/>
  <c r="AJ247"/>
  <c r="AI260"/>
  <c r="AJ260"/>
  <c r="AI261"/>
  <c r="AJ261"/>
  <c r="AI270"/>
  <c r="AJ270"/>
  <c r="AI283"/>
  <c r="AJ283"/>
  <c r="AI285"/>
  <c r="AI284" s="1"/>
  <c r="AJ285"/>
  <c r="AJ284" s="1"/>
  <c r="AI292"/>
  <c r="AJ292"/>
  <c r="AI294"/>
  <c r="AJ294"/>
  <c r="AI295"/>
  <c r="AJ295"/>
  <c r="AI296"/>
  <c r="AJ296"/>
  <c r="AI297"/>
  <c r="AJ297"/>
  <c r="AI321"/>
  <c r="AJ321"/>
  <c r="AI328"/>
  <c r="AJ328"/>
  <c r="AI333"/>
  <c r="AJ333"/>
  <c r="AI334"/>
  <c r="AJ334"/>
  <c r="AI335"/>
  <c r="AJ335"/>
  <c r="AI339"/>
  <c r="AJ339"/>
  <c r="AI340"/>
  <c r="AJ340"/>
  <c r="AI342"/>
  <c r="AJ342"/>
  <c r="AI343"/>
  <c r="AJ343"/>
  <c r="AI345"/>
  <c r="AJ345"/>
  <c r="AI346"/>
  <c r="AJ346"/>
  <c r="AI347"/>
  <c r="AJ347"/>
  <c r="AI348"/>
  <c r="AJ348"/>
  <c r="AI350"/>
  <c r="AJ350"/>
  <c r="AI370"/>
  <c r="AJ370"/>
  <c r="AI371"/>
  <c r="AJ371"/>
  <c r="AI376"/>
  <c r="AJ376"/>
  <c r="AI377"/>
  <c r="AJ377"/>
  <c r="AI386"/>
  <c r="AJ386"/>
  <c r="AI399"/>
  <c r="AJ399"/>
  <c r="AI400"/>
  <c r="AJ400"/>
  <c r="AI401"/>
  <c r="AJ401"/>
  <c r="AI402"/>
  <c r="AJ402"/>
  <c r="AI412"/>
  <c r="AJ412"/>
  <c r="AI413"/>
  <c r="AJ413"/>
  <c r="AI414"/>
  <c r="AJ414"/>
  <c r="AI415"/>
  <c r="AJ415"/>
  <c r="AI416"/>
  <c r="AJ416"/>
  <c r="AH412"/>
  <c r="AH413"/>
  <c r="AH414"/>
  <c r="AH415"/>
  <c r="AH416"/>
  <c r="AH402"/>
  <c r="AH400"/>
  <c r="AH401"/>
  <c r="AH399"/>
  <c r="AH386"/>
  <c r="AH377"/>
  <c r="AH376"/>
  <c r="AH371"/>
  <c r="AH370"/>
  <c r="AH350"/>
  <c r="AH346"/>
  <c r="AH347"/>
  <c r="AH348"/>
  <c r="AH345"/>
  <c r="AH343"/>
  <c r="AH342"/>
  <c r="AH340"/>
  <c r="AH339"/>
  <c r="AH334"/>
  <c r="AH335"/>
  <c r="AH333"/>
  <c r="AH328"/>
  <c r="AH321"/>
  <c r="AH295"/>
  <c r="AH296"/>
  <c r="AH297"/>
  <c r="AH294"/>
  <c r="AH292"/>
  <c r="AH270"/>
  <c r="AH283"/>
  <c r="AH261"/>
  <c r="AH260"/>
  <c r="AH247"/>
  <c r="AH215"/>
  <c r="AH214" s="1"/>
  <c r="AH206"/>
  <c r="AH203"/>
  <c r="AH192"/>
  <c r="AH193"/>
  <c r="AH186"/>
  <c r="AH176"/>
  <c r="AH175"/>
  <c r="AH164"/>
  <c r="AH178"/>
  <c r="AH168"/>
  <c r="AH163"/>
  <c r="AH155"/>
  <c r="AH154" s="1"/>
  <c r="AH75"/>
  <c r="AH69"/>
  <c r="AH70"/>
  <c r="AH56"/>
  <c r="G32"/>
  <c r="AH32" s="1"/>
  <c r="G33"/>
  <c r="AL33" s="1"/>
  <c r="G34"/>
  <c r="AH34" s="1"/>
  <c r="AA434"/>
  <c r="AB434"/>
  <c r="AC434"/>
  <c r="AD434"/>
  <c r="AE434"/>
  <c r="AA437"/>
  <c r="AB437"/>
  <c r="AC437"/>
  <c r="AD437"/>
  <c r="AE437"/>
  <c r="AA455"/>
  <c r="AB455"/>
  <c r="AC455"/>
  <c r="AD455"/>
  <c r="AE455"/>
  <c r="AA457"/>
  <c r="AB457"/>
  <c r="AC457"/>
  <c r="AD457"/>
  <c r="AE457"/>
  <c r="Z457"/>
  <c r="Z455"/>
  <c r="Z437"/>
  <c r="Z434"/>
  <c r="AA6"/>
  <c r="AB6"/>
  <c r="AC6"/>
  <c r="AD6"/>
  <c r="AE6"/>
  <c r="AA23"/>
  <c r="AB23"/>
  <c r="AC23"/>
  <c r="AD23"/>
  <c r="AE23"/>
  <c r="AA25"/>
  <c r="AB25"/>
  <c r="AC25"/>
  <c r="AD25"/>
  <c r="AE25"/>
  <c r="AA36"/>
  <c r="AB36"/>
  <c r="AC36"/>
  <c r="AD36"/>
  <c r="AE36"/>
  <c r="AA39"/>
  <c r="AB39"/>
  <c r="AC39"/>
  <c r="AD39"/>
  <c r="AE39"/>
  <c r="AA43"/>
  <c r="AB43"/>
  <c r="AC43"/>
  <c r="AD43"/>
  <c r="AE43"/>
  <c r="AA45"/>
  <c r="AB45"/>
  <c r="AC45"/>
  <c r="AD45"/>
  <c r="AE45"/>
  <c r="AA48"/>
  <c r="AB48"/>
  <c r="AC48"/>
  <c r="AD48"/>
  <c r="AE48"/>
  <c r="AA52"/>
  <c r="AB52"/>
  <c r="AC52"/>
  <c r="AD52"/>
  <c r="AE52"/>
  <c r="AA57"/>
  <c r="AB57"/>
  <c r="AC57"/>
  <c r="AD57"/>
  <c r="AE57"/>
  <c r="AA62"/>
  <c r="AB62"/>
  <c r="AC62"/>
  <c r="AD62"/>
  <c r="AE62"/>
  <c r="AA67"/>
  <c r="AB67"/>
  <c r="AC67"/>
  <c r="AD67"/>
  <c r="AE67"/>
  <c r="AA76"/>
  <c r="AB76"/>
  <c r="AC76"/>
  <c r="AD76"/>
  <c r="AE76"/>
  <c r="AA80"/>
  <c r="AB80"/>
  <c r="AC80"/>
  <c r="AD80"/>
  <c r="AE80"/>
  <c r="AA84"/>
  <c r="AB84"/>
  <c r="AC84"/>
  <c r="AD84"/>
  <c r="AE84"/>
  <c r="AA87"/>
  <c r="AB87"/>
  <c r="AC87"/>
  <c r="AD87"/>
  <c r="AE87"/>
  <c r="AA89"/>
  <c r="AB89"/>
  <c r="AC89"/>
  <c r="AD89"/>
  <c r="AE89"/>
  <c r="AA91"/>
  <c r="AB91"/>
  <c r="AC91"/>
  <c r="AD91"/>
  <c r="AE91"/>
  <c r="AA95"/>
  <c r="AB95"/>
  <c r="AC95"/>
  <c r="AD95"/>
  <c r="AE95"/>
  <c r="AA97"/>
  <c r="AB97"/>
  <c r="AC97"/>
  <c r="AD97"/>
  <c r="AE97"/>
  <c r="AA99"/>
  <c r="AB99"/>
  <c r="AC99"/>
  <c r="AD99"/>
  <c r="AE99"/>
  <c r="AA101"/>
  <c r="AB101"/>
  <c r="AC101"/>
  <c r="AD101"/>
  <c r="AE101"/>
  <c r="AA103"/>
  <c r="AB103"/>
  <c r="AC103"/>
  <c r="AD103"/>
  <c r="AE103"/>
  <c r="AA112"/>
  <c r="AB112"/>
  <c r="AC112"/>
  <c r="AD112"/>
  <c r="AE112"/>
  <c r="AA115"/>
  <c r="AB115"/>
  <c r="AC115"/>
  <c r="AD115"/>
  <c r="AE115"/>
  <c r="AA122"/>
  <c r="AB122"/>
  <c r="AC122"/>
  <c r="AD122"/>
  <c r="AE122"/>
  <c r="AA127"/>
  <c r="AB127"/>
  <c r="AC127"/>
  <c r="AD127"/>
  <c r="AE127"/>
  <c r="AA132"/>
  <c r="AB132"/>
  <c r="AC132"/>
  <c r="AD132"/>
  <c r="AE132"/>
  <c r="AA135"/>
  <c r="AB135"/>
  <c r="AC135"/>
  <c r="AD135"/>
  <c r="AE135"/>
  <c r="AA143"/>
  <c r="AB143"/>
  <c r="AC143"/>
  <c r="AD143"/>
  <c r="AE143"/>
  <c r="AA145"/>
  <c r="AB145"/>
  <c r="AC145"/>
  <c r="AD145"/>
  <c r="AE145"/>
  <c r="AA147"/>
  <c r="AB147"/>
  <c r="AC147"/>
  <c r="AD147"/>
  <c r="AE147"/>
  <c r="AA152"/>
  <c r="AB152"/>
  <c r="AC152"/>
  <c r="AD152"/>
  <c r="AE152"/>
  <c r="AA154"/>
  <c r="AB154"/>
  <c r="AC154"/>
  <c r="AD154"/>
  <c r="AE154"/>
  <c r="AA156"/>
  <c r="AB156"/>
  <c r="AC156"/>
  <c r="AD156"/>
  <c r="AE156"/>
  <c r="AA165"/>
  <c r="AB165"/>
  <c r="AC165"/>
  <c r="AD165"/>
  <c r="AE165"/>
  <c r="AA169"/>
  <c r="AB169"/>
  <c r="AC169"/>
  <c r="AD169"/>
  <c r="AE169"/>
  <c r="AA174"/>
  <c r="AB174"/>
  <c r="AC174"/>
  <c r="AD174"/>
  <c r="AE174"/>
  <c r="AA177"/>
  <c r="AB177"/>
  <c r="AC177"/>
  <c r="AD177"/>
  <c r="AE177"/>
  <c r="AA181"/>
  <c r="AB181"/>
  <c r="AC181"/>
  <c r="AD181"/>
  <c r="AE181"/>
  <c r="AA184"/>
  <c r="AB184"/>
  <c r="AC184"/>
  <c r="AD184"/>
  <c r="AE184"/>
  <c r="AA187"/>
  <c r="AB187"/>
  <c r="AC187"/>
  <c r="AD187"/>
  <c r="AE187"/>
  <c r="AA194"/>
  <c r="AB194"/>
  <c r="AC194"/>
  <c r="AD194"/>
  <c r="AE194"/>
  <c r="AA204"/>
  <c r="AB204"/>
  <c r="AC204"/>
  <c r="AD204"/>
  <c r="AE204"/>
  <c r="AA207"/>
  <c r="AB207"/>
  <c r="AC207"/>
  <c r="AD207"/>
  <c r="AE207"/>
  <c r="AA210"/>
  <c r="AB210"/>
  <c r="AC210"/>
  <c r="AD210"/>
  <c r="AE210"/>
  <c r="AA212"/>
  <c r="AB212"/>
  <c r="AC212"/>
  <c r="AD212"/>
  <c r="AE212"/>
  <c r="AA214"/>
  <c r="AB214"/>
  <c r="AC214"/>
  <c r="AD214"/>
  <c r="AE214"/>
  <c r="AA216"/>
  <c r="AB216"/>
  <c r="AC216"/>
  <c r="AD216"/>
  <c r="AE216"/>
  <c r="AA230"/>
  <c r="AB230"/>
  <c r="AC230"/>
  <c r="AD230"/>
  <c r="AE230"/>
  <c r="AA233"/>
  <c r="AB233"/>
  <c r="AC233"/>
  <c r="AD233"/>
  <c r="AE233"/>
  <c r="AA238"/>
  <c r="AB238"/>
  <c r="AC238"/>
  <c r="AD238"/>
  <c r="AE238"/>
  <c r="AA240"/>
  <c r="AB240"/>
  <c r="AC240"/>
  <c r="AD240"/>
  <c r="AE240"/>
  <c r="AA245"/>
  <c r="AB245"/>
  <c r="AC245"/>
  <c r="AD245"/>
  <c r="AE245"/>
  <c r="AA248"/>
  <c r="AB248"/>
  <c r="AC248"/>
  <c r="AD248"/>
  <c r="AE248"/>
  <c r="AA250"/>
  <c r="AB250"/>
  <c r="AC250"/>
  <c r="AD250"/>
  <c r="AE250"/>
  <c r="AA254"/>
  <c r="AB254"/>
  <c r="AC254"/>
  <c r="AD254"/>
  <c r="AE254"/>
  <c r="AA259"/>
  <c r="AB259"/>
  <c r="AC259"/>
  <c r="AD259"/>
  <c r="AE259"/>
  <c r="AA267"/>
  <c r="AB267"/>
  <c r="AC267"/>
  <c r="AD267"/>
  <c r="AE267"/>
  <c r="AA271"/>
  <c r="AB271"/>
  <c r="AC271"/>
  <c r="AD271"/>
  <c r="AE271"/>
  <c r="AA273"/>
  <c r="AB273"/>
  <c r="AC273"/>
  <c r="AD273"/>
  <c r="AE273"/>
  <c r="AA275"/>
  <c r="AB275"/>
  <c r="AC275"/>
  <c r="AD275"/>
  <c r="AE275"/>
  <c r="AA277"/>
  <c r="AB277"/>
  <c r="AC277"/>
  <c r="AD277"/>
  <c r="AE277"/>
  <c r="AA281"/>
  <c r="AB281"/>
  <c r="AC281"/>
  <c r="AD281"/>
  <c r="AE281"/>
  <c r="AA284"/>
  <c r="AB284"/>
  <c r="AC284"/>
  <c r="AD284"/>
  <c r="AE284"/>
  <c r="AA286"/>
  <c r="AB286"/>
  <c r="AC286"/>
  <c r="AD286"/>
  <c r="AE286"/>
  <c r="AA290"/>
  <c r="AB290"/>
  <c r="AC290"/>
  <c r="AD290"/>
  <c r="AE290"/>
  <c r="AA293"/>
  <c r="AB293"/>
  <c r="AC293"/>
  <c r="AD293"/>
  <c r="AE293"/>
  <c r="AA298"/>
  <c r="AB298"/>
  <c r="AC298"/>
  <c r="AD298"/>
  <c r="AE298"/>
  <c r="AA313"/>
  <c r="AB313"/>
  <c r="AC313"/>
  <c r="AD313"/>
  <c r="AE313"/>
  <c r="AA316"/>
  <c r="AB316"/>
  <c r="AC316"/>
  <c r="AD316"/>
  <c r="AE316"/>
  <c r="AA319"/>
  <c r="AB319"/>
  <c r="AC319"/>
  <c r="AD319"/>
  <c r="AE319"/>
  <c r="AA322"/>
  <c r="AB322"/>
  <c r="AC322"/>
  <c r="AD322"/>
  <c r="AE322"/>
  <c r="AA326"/>
  <c r="AB326"/>
  <c r="AC326"/>
  <c r="AD326"/>
  <c r="AE326"/>
  <c r="AA329"/>
  <c r="AB329"/>
  <c r="AC329"/>
  <c r="AD329"/>
  <c r="AE329"/>
  <c r="AA332"/>
  <c r="AB332"/>
  <c r="AC332"/>
  <c r="AD332"/>
  <c r="AE332"/>
  <c r="AA336"/>
  <c r="AB336"/>
  <c r="AC336"/>
  <c r="AD336"/>
  <c r="AE336"/>
  <c r="AA338"/>
  <c r="AB338"/>
  <c r="AC338"/>
  <c r="AD338"/>
  <c r="AE338"/>
  <c r="AA341"/>
  <c r="AB341"/>
  <c r="AC341"/>
  <c r="AD341"/>
  <c r="AE341"/>
  <c r="AA344"/>
  <c r="AB344"/>
  <c r="AC344"/>
  <c r="AD344"/>
  <c r="AE344"/>
  <c r="AA351"/>
  <c r="AB351"/>
  <c r="AC351"/>
  <c r="AD351"/>
  <c r="AE351"/>
  <c r="AA372"/>
  <c r="AB372"/>
  <c r="AC372"/>
  <c r="AD372"/>
  <c r="AE372"/>
  <c r="AA378"/>
  <c r="AB378"/>
  <c r="AC378"/>
  <c r="AD378"/>
  <c r="AE378"/>
  <c r="AA380"/>
  <c r="AB380"/>
  <c r="AC380"/>
  <c r="AD380"/>
  <c r="AE380"/>
  <c r="AA382"/>
  <c r="AB382"/>
  <c r="AC382"/>
  <c r="AD382"/>
  <c r="AE382"/>
  <c r="AA384"/>
  <c r="AB384"/>
  <c r="AC384"/>
  <c r="AD384"/>
  <c r="AE384"/>
  <c r="AA393"/>
  <c r="AB393"/>
  <c r="AC393"/>
  <c r="AD393"/>
  <c r="AE393"/>
  <c r="AA398"/>
  <c r="AB398"/>
  <c r="AC398"/>
  <c r="AD398"/>
  <c r="AE398"/>
  <c r="AA403"/>
  <c r="AB403"/>
  <c r="AC403"/>
  <c r="AD403"/>
  <c r="AE403"/>
  <c r="AA405"/>
  <c r="AB405"/>
  <c r="AC405"/>
  <c r="AD405"/>
  <c r="AE405"/>
  <c r="AA417"/>
  <c r="AB417"/>
  <c r="AC417"/>
  <c r="AD417"/>
  <c r="AE417"/>
  <c r="AA421"/>
  <c r="AB421"/>
  <c r="AC421"/>
  <c r="AD421"/>
  <c r="AE421"/>
  <c r="Z421"/>
  <c r="Z417"/>
  <c r="Z405"/>
  <c r="Z403"/>
  <c r="Z398"/>
  <c r="Z393"/>
  <c r="Z384"/>
  <c r="Z382"/>
  <c r="Z380"/>
  <c r="Z378"/>
  <c r="Z372"/>
  <c r="Z351"/>
  <c r="Z344"/>
  <c r="Z341"/>
  <c r="Z338"/>
  <c r="Z336"/>
  <c r="Z332"/>
  <c r="Z329"/>
  <c r="Z326"/>
  <c r="Z322"/>
  <c r="Z319"/>
  <c r="Z316"/>
  <c r="Z313"/>
  <c r="Z298"/>
  <c r="Z293"/>
  <c r="Z290"/>
  <c r="Z286"/>
  <c r="Z284"/>
  <c r="Z281"/>
  <c r="Z277"/>
  <c r="Z275"/>
  <c r="Z273"/>
  <c r="Z271"/>
  <c r="Z267"/>
  <c r="Z259"/>
  <c r="Z254"/>
  <c r="Z250"/>
  <c r="Z248"/>
  <c r="Z245"/>
  <c r="Z240"/>
  <c r="Z238"/>
  <c r="Z233"/>
  <c r="Z230"/>
  <c r="Z216"/>
  <c r="Z214"/>
  <c r="Z212"/>
  <c r="Z210"/>
  <c r="Z207"/>
  <c r="Z204"/>
  <c r="Z194"/>
  <c r="Z187"/>
  <c r="Z184"/>
  <c r="Z181"/>
  <c r="Z177"/>
  <c r="Z174"/>
  <c r="Z169"/>
  <c r="Z165"/>
  <c r="Z156"/>
  <c r="Z154"/>
  <c r="Z152"/>
  <c r="Z147"/>
  <c r="Z145"/>
  <c r="Z143"/>
  <c r="Z135"/>
  <c r="Z132"/>
  <c r="Z127"/>
  <c r="Z122"/>
  <c r="Z115"/>
  <c r="Z112"/>
  <c r="Z103"/>
  <c r="Z101"/>
  <c r="Z99"/>
  <c r="Z97"/>
  <c r="Z95"/>
  <c r="Z91"/>
  <c r="Z89"/>
  <c r="Z87"/>
  <c r="Z84"/>
  <c r="Z80"/>
  <c r="Z76"/>
  <c r="Z67"/>
  <c r="Z62"/>
  <c r="Z57"/>
  <c r="Z52"/>
  <c r="Z48"/>
  <c r="Z45"/>
  <c r="Z43"/>
  <c r="Z39"/>
  <c r="Z36"/>
  <c r="Z25"/>
  <c r="Z23"/>
  <c r="Z6"/>
  <c r="T457"/>
  <c r="U457"/>
  <c r="V457"/>
  <c r="W457"/>
  <c r="X457"/>
  <c r="S457"/>
  <c r="T455"/>
  <c r="U455"/>
  <c r="V455"/>
  <c r="W455"/>
  <c r="X455"/>
  <c r="S455"/>
  <c r="T437"/>
  <c r="U437"/>
  <c r="V437"/>
  <c r="W437"/>
  <c r="X437"/>
  <c r="S437"/>
  <c r="T434"/>
  <c r="U434"/>
  <c r="V434"/>
  <c r="W434"/>
  <c r="X434"/>
  <c r="S434"/>
  <c r="T421"/>
  <c r="U421"/>
  <c r="V421"/>
  <c r="W421"/>
  <c r="X421"/>
  <c r="S421"/>
  <c r="T417"/>
  <c r="U417"/>
  <c r="V417"/>
  <c r="W417"/>
  <c r="X417"/>
  <c r="S417"/>
  <c r="T405"/>
  <c r="U405"/>
  <c r="V405"/>
  <c r="W405"/>
  <c r="X405"/>
  <c r="S405"/>
  <c r="X403"/>
  <c r="T403"/>
  <c r="U403"/>
  <c r="V403"/>
  <c r="W403"/>
  <c r="S403"/>
  <c r="T398"/>
  <c r="U398"/>
  <c r="V398"/>
  <c r="W398"/>
  <c r="X398"/>
  <c r="S398"/>
  <c r="T393"/>
  <c r="U393"/>
  <c r="V393"/>
  <c r="W393"/>
  <c r="X393"/>
  <c r="S393"/>
  <c r="T384"/>
  <c r="U384"/>
  <c r="V384"/>
  <c r="W384"/>
  <c r="X384"/>
  <c r="S384"/>
  <c r="T382"/>
  <c r="U382"/>
  <c r="V382"/>
  <c r="W382"/>
  <c r="X382"/>
  <c r="S382"/>
  <c r="T380"/>
  <c r="U380"/>
  <c r="V380"/>
  <c r="W380"/>
  <c r="X380"/>
  <c r="S380"/>
  <c r="T378"/>
  <c r="U378"/>
  <c r="V378"/>
  <c r="W378"/>
  <c r="X378"/>
  <c r="S378"/>
  <c r="T372"/>
  <c r="U372"/>
  <c r="V372"/>
  <c r="W372"/>
  <c r="X372"/>
  <c r="S372"/>
  <c r="T351"/>
  <c r="U351"/>
  <c r="V351"/>
  <c r="W351"/>
  <c r="X351"/>
  <c r="S351"/>
  <c r="T344"/>
  <c r="U344"/>
  <c r="V344"/>
  <c r="W344"/>
  <c r="X344"/>
  <c r="S344"/>
  <c r="T341"/>
  <c r="U341"/>
  <c r="V341"/>
  <c r="W341"/>
  <c r="X341"/>
  <c r="S341"/>
  <c r="T338"/>
  <c r="U338"/>
  <c r="V338"/>
  <c r="W338"/>
  <c r="X338"/>
  <c r="S338"/>
  <c r="T336"/>
  <c r="U336"/>
  <c r="V336"/>
  <c r="W336"/>
  <c r="X336"/>
  <c r="S336"/>
  <c r="T332"/>
  <c r="U332"/>
  <c r="V332"/>
  <c r="W332"/>
  <c r="X332"/>
  <c r="S332"/>
  <c r="T329"/>
  <c r="U329"/>
  <c r="V329"/>
  <c r="W329"/>
  <c r="X329"/>
  <c r="S329"/>
  <c r="T326"/>
  <c r="U326"/>
  <c r="V326"/>
  <c r="W326"/>
  <c r="X326"/>
  <c r="S326"/>
  <c r="T322"/>
  <c r="U322"/>
  <c r="V322"/>
  <c r="W322"/>
  <c r="X322"/>
  <c r="S322"/>
  <c r="T319"/>
  <c r="U319"/>
  <c r="V319"/>
  <c r="W319"/>
  <c r="X319"/>
  <c r="S319"/>
  <c r="T316"/>
  <c r="U316"/>
  <c r="V316"/>
  <c r="W316"/>
  <c r="X316"/>
  <c r="S316"/>
  <c r="T313"/>
  <c r="U313"/>
  <c r="V313"/>
  <c r="W313"/>
  <c r="X313"/>
  <c r="S313"/>
  <c r="T298"/>
  <c r="U298"/>
  <c r="V298"/>
  <c r="W298"/>
  <c r="X298"/>
  <c r="S298"/>
  <c r="T293"/>
  <c r="U293"/>
  <c r="V293"/>
  <c r="W293"/>
  <c r="X293"/>
  <c r="S293"/>
  <c r="T290"/>
  <c r="U290"/>
  <c r="V290"/>
  <c r="W290"/>
  <c r="X290"/>
  <c r="S290"/>
  <c r="T286"/>
  <c r="U286"/>
  <c r="V286"/>
  <c r="W286"/>
  <c r="X286"/>
  <c r="S286"/>
  <c r="T284"/>
  <c r="U284"/>
  <c r="V284"/>
  <c r="W284"/>
  <c r="X284"/>
  <c r="S284"/>
  <c r="T281"/>
  <c r="U281"/>
  <c r="V281"/>
  <c r="W281"/>
  <c r="X281"/>
  <c r="S281"/>
  <c r="T277"/>
  <c r="U277"/>
  <c r="V277"/>
  <c r="W277"/>
  <c r="X277"/>
  <c r="S277"/>
  <c r="T275"/>
  <c r="U275"/>
  <c r="V275"/>
  <c r="W275"/>
  <c r="X275"/>
  <c r="S275"/>
  <c r="T273"/>
  <c r="U273"/>
  <c r="V273"/>
  <c r="W273"/>
  <c r="X273"/>
  <c r="S273"/>
  <c r="T271"/>
  <c r="U271"/>
  <c r="V271"/>
  <c r="W271"/>
  <c r="X271"/>
  <c r="S271"/>
  <c r="T267"/>
  <c r="U267"/>
  <c r="V267"/>
  <c r="W267"/>
  <c r="X267"/>
  <c r="S267"/>
  <c r="T254"/>
  <c r="U254"/>
  <c r="V254"/>
  <c r="W254"/>
  <c r="X254"/>
  <c r="S254"/>
  <c r="T250"/>
  <c r="U250"/>
  <c r="V250"/>
  <c r="W250"/>
  <c r="X250"/>
  <c r="S250"/>
  <c r="T248"/>
  <c r="U248"/>
  <c r="V248"/>
  <c r="W248"/>
  <c r="X248"/>
  <c r="S248"/>
  <c r="T245"/>
  <c r="U245"/>
  <c r="V245"/>
  <c r="W245"/>
  <c r="X245"/>
  <c r="S245"/>
  <c r="T240"/>
  <c r="U240"/>
  <c r="V240"/>
  <c r="W240"/>
  <c r="X240"/>
  <c r="S240"/>
  <c r="T238"/>
  <c r="U238"/>
  <c r="V238"/>
  <c r="W238"/>
  <c r="X238"/>
  <c r="S238"/>
  <c r="T233"/>
  <c r="U233"/>
  <c r="V233"/>
  <c r="W233"/>
  <c r="X233"/>
  <c r="S233"/>
  <c r="X230"/>
  <c r="T230"/>
  <c r="U230"/>
  <c r="V230"/>
  <c r="W230"/>
  <c r="S230"/>
  <c r="T216"/>
  <c r="U216"/>
  <c r="V216"/>
  <c r="W216"/>
  <c r="X216"/>
  <c r="S216"/>
  <c r="T214"/>
  <c r="U214"/>
  <c r="V214"/>
  <c r="W214"/>
  <c r="X214"/>
  <c r="S214"/>
  <c r="T212"/>
  <c r="U212"/>
  <c r="V212"/>
  <c r="W212"/>
  <c r="X212"/>
  <c r="S212"/>
  <c r="T210"/>
  <c r="U210"/>
  <c r="V210"/>
  <c r="W210"/>
  <c r="X210"/>
  <c r="S210"/>
  <c r="T207"/>
  <c r="U207"/>
  <c r="V207"/>
  <c r="W207"/>
  <c r="X207"/>
  <c r="S207"/>
  <c r="T204"/>
  <c r="U204"/>
  <c r="V204"/>
  <c r="W204"/>
  <c r="X204"/>
  <c r="S204"/>
  <c r="T194"/>
  <c r="U194"/>
  <c r="V194"/>
  <c r="W194"/>
  <c r="X194"/>
  <c r="S194"/>
  <c r="T187"/>
  <c r="U187"/>
  <c r="V187"/>
  <c r="W187"/>
  <c r="X187"/>
  <c r="S187"/>
  <c r="T184"/>
  <c r="U184"/>
  <c r="V184"/>
  <c r="W184"/>
  <c r="X184"/>
  <c r="S184"/>
  <c r="T181"/>
  <c r="U181"/>
  <c r="V181"/>
  <c r="W181"/>
  <c r="X181"/>
  <c r="S181"/>
  <c r="T177"/>
  <c r="U177"/>
  <c r="V177"/>
  <c r="W177"/>
  <c r="X177"/>
  <c r="S177"/>
  <c r="T174"/>
  <c r="U174"/>
  <c r="V174"/>
  <c r="W174"/>
  <c r="X174"/>
  <c r="S174"/>
  <c r="T169"/>
  <c r="U169"/>
  <c r="V169"/>
  <c r="W169"/>
  <c r="X169"/>
  <c r="S169"/>
  <c r="T165"/>
  <c r="U165"/>
  <c r="V165"/>
  <c r="W165"/>
  <c r="X165"/>
  <c r="S165"/>
  <c r="T156"/>
  <c r="U156"/>
  <c r="V156"/>
  <c r="W156"/>
  <c r="X156"/>
  <c r="S156"/>
  <c r="T154"/>
  <c r="U154"/>
  <c r="V154"/>
  <c r="W154"/>
  <c r="X154"/>
  <c r="S154"/>
  <c r="T152"/>
  <c r="U152"/>
  <c r="V152"/>
  <c r="W152"/>
  <c r="X152"/>
  <c r="S152"/>
  <c r="T147"/>
  <c r="U147"/>
  <c r="V147"/>
  <c r="W147"/>
  <c r="X147"/>
  <c r="S147"/>
  <c r="T145"/>
  <c r="U145"/>
  <c r="V145"/>
  <c r="W145"/>
  <c r="X145"/>
  <c r="S145"/>
  <c r="T143"/>
  <c r="U143"/>
  <c r="V143"/>
  <c r="W143"/>
  <c r="X143"/>
  <c r="S143"/>
  <c r="T135"/>
  <c r="U135"/>
  <c r="V135"/>
  <c r="W135"/>
  <c r="X135"/>
  <c r="S135"/>
  <c r="T132"/>
  <c r="U132"/>
  <c r="V132"/>
  <c r="W132"/>
  <c r="X132"/>
  <c r="S132"/>
  <c r="T127"/>
  <c r="U127"/>
  <c r="V127"/>
  <c r="W127"/>
  <c r="X127"/>
  <c r="S127"/>
  <c r="T122"/>
  <c r="U122"/>
  <c r="V122"/>
  <c r="W122"/>
  <c r="X122"/>
  <c r="S122"/>
  <c r="T115"/>
  <c r="U115"/>
  <c r="V115"/>
  <c r="W115"/>
  <c r="X115"/>
  <c r="S115"/>
  <c r="T112"/>
  <c r="U112"/>
  <c r="V112"/>
  <c r="W112"/>
  <c r="X112"/>
  <c r="S112"/>
  <c r="T103"/>
  <c r="U103"/>
  <c r="V103"/>
  <c r="W103"/>
  <c r="X103"/>
  <c r="S103"/>
  <c r="T101"/>
  <c r="U101"/>
  <c r="V101"/>
  <c r="W101"/>
  <c r="X101"/>
  <c r="S101"/>
  <c r="T99"/>
  <c r="U99"/>
  <c r="V99"/>
  <c r="W99"/>
  <c r="X99"/>
  <c r="S99"/>
  <c r="T97"/>
  <c r="U97"/>
  <c r="V97"/>
  <c r="W97"/>
  <c r="X97"/>
  <c r="S97"/>
  <c r="T95"/>
  <c r="U95"/>
  <c r="V95"/>
  <c r="W95"/>
  <c r="X95"/>
  <c r="S95"/>
  <c r="T91"/>
  <c r="U91"/>
  <c r="V91"/>
  <c r="W91"/>
  <c r="X91"/>
  <c r="S91"/>
  <c r="T89"/>
  <c r="U89"/>
  <c r="V89"/>
  <c r="W89"/>
  <c r="X89"/>
  <c r="S89"/>
  <c r="T87"/>
  <c r="U87"/>
  <c r="V87"/>
  <c r="W87"/>
  <c r="X87"/>
  <c r="S87"/>
  <c r="T84"/>
  <c r="U84"/>
  <c r="V84"/>
  <c r="W84"/>
  <c r="X84"/>
  <c r="S84"/>
  <c r="T80"/>
  <c r="U80"/>
  <c r="V80"/>
  <c r="W80"/>
  <c r="X80"/>
  <c r="S80"/>
  <c r="T76"/>
  <c r="U76"/>
  <c r="V76"/>
  <c r="W76"/>
  <c r="X76"/>
  <c r="S76"/>
  <c r="T67"/>
  <c r="U67"/>
  <c r="V67"/>
  <c r="W67"/>
  <c r="X67"/>
  <c r="S67"/>
  <c r="T62"/>
  <c r="U62"/>
  <c r="V62"/>
  <c r="W62"/>
  <c r="X62"/>
  <c r="S62"/>
  <c r="T57"/>
  <c r="U57"/>
  <c r="V57"/>
  <c r="W57"/>
  <c r="X57"/>
  <c r="S57"/>
  <c r="T52"/>
  <c r="U52"/>
  <c r="V52"/>
  <c r="W52"/>
  <c r="X52"/>
  <c r="S52"/>
  <c r="T48"/>
  <c r="U48"/>
  <c r="V48"/>
  <c r="W48"/>
  <c r="X48"/>
  <c r="S48"/>
  <c r="T45"/>
  <c r="U45"/>
  <c r="V45"/>
  <c r="W45"/>
  <c r="X45"/>
  <c r="S45"/>
  <c r="T43"/>
  <c r="U43"/>
  <c r="V43"/>
  <c r="W43"/>
  <c r="X43"/>
  <c r="S43"/>
  <c r="T39"/>
  <c r="U39"/>
  <c r="V39"/>
  <c r="W39"/>
  <c r="X39"/>
  <c r="S39"/>
  <c r="T36"/>
  <c r="U36"/>
  <c r="V36"/>
  <c r="W36"/>
  <c r="X36"/>
  <c r="S36"/>
  <c r="T25"/>
  <c r="U25"/>
  <c r="V25"/>
  <c r="W25"/>
  <c r="X25"/>
  <c r="S25"/>
  <c r="T23"/>
  <c r="U23"/>
  <c r="V23"/>
  <c r="W23"/>
  <c r="X23"/>
  <c r="S23"/>
  <c r="K96" i="2" l="1"/>
  <c r="AE424" i="1"/>
  <c r="AD424"/>
  <c r="AB424"/>
  <c r="AA424"/>
  <c r="Z424"/>
  <c r="AC424"/>
  <c r="AU259"/>
  <c r="AQ259"/>
  <c r="AV348"/>
  <c r="AK193"/>
  <c r="AK192"/>
  <c r="AH167"/>
  <c r="AK167" s="1"/>
  <c r="AK168"/>
  <c r="BD367"/>
  <c r="AL162"/>
  <c r="AR162"/>
  <c r="AY162"/>
  <c r="BB174"/>
  <c r="BB162"/>
  <c r="AJ162"/>
  <c r="AN162"/>
  <c r="AT162"/>
  <c r="BA162"/>
  <c r="AM162"/>
  <c r="AU162"/>
  <c r="AQ162"/>
  <c r="AX162"/>
  <c r="AI162"/>
  <c r="AS162"/>
  <c r="AZ162"/>
  <c r="AH162"/>
  <c r="AP162"/>
  <c r="AW162"/>
  <c r="AX174"/>
  <c r="AW332"/>
  <c r="AU338"/>
  <c r="AQ338"/>
  <c r="AL338"/>
  <c r="AP341"/>
  <c r="AT338"/>
  <c r="AU341"/>
  <c r="AQ341"/>
  <c r="AR332"/>
  <c r="AP338"/>
  <c r="AY341"/>
  <c r="AK227"/>
  <c r="BD227" s="1"/>
  <c r="AN341"/>
  <c r="AN293"/>
  <c r="AU174"/>
  <c r="AI398"/>
  <c r="AI338"/>
  <c r="BB398"/>
  <c r="AL332"/>
  <c r="AL398"/>
  <c r="AQ174"/>
  <c r="AX338"/>
  <c r="BA259"/>
  <c r="AF23"/>
  <c r="AH341"/>
  <c r="AM341"/>
  <c r="AR338"/>
  <c r="AU332"/>
  <c r="AQ332"/>
  <c r="BB332"/>
  <c r="AX332"/>
  <c r="AH338"/>
  <c r="AS341"/>
  <c r="AX398"/>
  <c r="BB338"/>
  <c r="Y45"/>
  <c r="Y80"/>
  <c r="Y91"/>
  <c r="Y103"/>
  <c r="Y169"/>
  <c r="Y181"/>
  <c r="Y194"/>
  <c r="Y212"/>
  <c r="Y216"/>
  <c r="Y230"/>
  <c r="Y271"/>
  <c r="Y298"/>
  <c r="Y319"/>
  <c r="Y351"/>
  <c r="Y403"/>
  <c r="Y417"/>
  <c r="AF230"/>
  <c r="AJ398"/>
  <c r="AU398"/>
  <c r="AQ398"/>
  <c r="AS338"/>
  <c r="AZ398"/>
  <c r="BA398"/>
  <c r="AZ332"/>
  <c r="AP174"/>
  <c r="AW259"/>
  <c r="AJ259"/>
  <c r="AW293"/>
  <c r="AR259"/>
  <c r="AT174"/>
  <c r="AI33"/>
  <c r="AM259"/>
  <c r="AS174"/>
  <c r="AZ259"/>
  <c r="AK126"/>
  <c r="AM174"/>
  <c r="AN174"/>
  <c r="AP259"/>
  <c r="AT259"/>
  <c r="AY174"/>
  <c r="Y254"/>
  <c r="AH398"/>
  <c r="AF184"/>
  <c r="AF187"/>
  <c r="Y25"/>
  <c r="Y39"/>
  <c r="Y84"/>
  <c r="Y127"/>
  <c r="Y267"/>
  <c r="Y316"/>
  <c r="Y329"/>
  <c r="Y378"/>
  <c r="AJ341"/>
  <c r="AJ332"/>
  <c r="AJ293"/>
  <c r="AT341"/>
  <c r="AS332"/>
  <c r="AT332"/>
  <c r="AU293"/>
  <c r="AQ293"/>
  <c r="Y115"/>
  <c r="Y437"/>
  <c r="AH174"/>
  <c r="AH259"/>
  <c r="AL259"/>
  <c r="AM338"/>
  <c r="AS398"/>
  <c r="AT398"/>
  <c r="AR341"/>
  <c r="AP332"/>
  <c r="AR293"/>
  <c r="AS293"/>
  <c r="AT293"/>
  <c r="AS259"/>
  <c r="AW398"/>
  <c r="AZ341"/>
  <c r="AY338"/>
  <c r="AW338"/>
  <c r="AY398"/>
  <c r="BA332"/>
  <c r="AY332"/>
  <c r="AZ293"/>
  <c r="AW174"/>
  <c r="AW341"/>
  <c r="BA341"/>
  <c r="BB341"/>
  <c r="AX341"/>
  <c r="AZ338"/>
  <c r="BA338"/>
  <c r="AY259"/>
  <c r="BB259"/>
  <c r="AX259"/>
  <c r="BA293"/>
  <c r="BB293"/>
  <c r="AX293"/>
  <c r="AY293"/>
  <c r="BA174"/>
  <c r="AZ174"/>
  <c r="AR398"/>
  <c r="AR174"/>
  <c r="AH33"/>
  <c r="AH31" s="1"/>
  <c r="AM33"/>
  <c r="AJ33"/>
  <c r="AN33"/>
  <c r="AN32"/>
  <c r="AL32"/>
  <c r="AM32"/>
  <c r="AI32"/>
  <c r="AJ32"/>
  <c r="AH293"/>
  <c r="AI332"/>
  <c r="AL34"/>
  <c r="AN34"/>
  <c r="AI34"/>
  <c r="AM34"/>
  <c r="AJ34"/>
  <c r="AH332"/>
  <c r="AI341"/>
  <c r="AI293"/>
  <c r="AI174"/>
  <c r="AJ338"/>
  <c r="AI259"/>
  <c r="AJ174"/>
  <c r="AL174"/>
  <c r="AN338"/>
  <c r="AL341"/>
  <c r="AN259"/>
  <c r="AM332"/>
  <c r="AL293"/>
  <c r="AM293"/>
  <c r="AN332"/>
  <c r="AM398"/>
  <c r="AN398"/>
  <c r="AP293"/>
  <c r="AP398"/>
  <c r="P457"/>
  <c r="Q457"/>
  <c r="O457"/>
  <c r="L457"/>
  <c r="M457"/>
  <c r="K457"/>
  <c r="G458"/>
  <c r="P455"/>
  <c r="Q455"/>
  <c r="O455"/>
  <c r="L455"/>
  <c r="M455"/>
  <c r="K455"/>
  <c r="G456"/>
  <c r="Q437"/>
  <c r="P437"/>
  <c r="O437"/>
  <c r="G453"/>
  <c r="G449"/>
  <c r="G450"/>
  <c r="G451"/>
  <c r="G454"/>
  <c r="G452"/>
  <c r="G448"/>
  <c r="G446"/>
  <c r="G445"/>
  <c r="G444"/>
  <c r="G443"/>
  <c r="G442"/>
  <c r="G441"/>
  <c r="G440"/>
  <c r="G439"/>
  <c r="G438"/>
  <c r="G447"/>
  <c r="P434"/>
  <c r="Q434"/>
  <c r="O434"/>
  <c r="L434"/>
  <c r="M434"/>
  <c r="K434"/>
  <c r="G435"/>
  <c r="P421"/>
  <c r="Q421"/>
  <c r="O421"/>
  <c r="L421"/>
  <c r="M421"/>
  <c r="K421"/>
  <c r="G422"/>
  <c r="P417"/>
  <c r="Q417"/>
  <c r="O417"/>
  <c r="L417"/>
  <c r="M417"/>
  <c r="G418"/>
  <c r="G419"/>
  <c r="G420"/>
  <c r="P405"/>
  <c r="Q405"/>
  <c r="O405"/>
  <c r="N406"/>
  <c r="N407"/>
  <c r="N408"/>
  <c r="L405"/>
  <c r="M405"/>
  <c r="G408"/>
  <c r="G407"/>
  <c r="G406"/>
  <c r="P403"/>
  <c r="Q403"/>
  <c r="O403"/>
  <c r="M403"/>
  <c r="L403"/>
  <c r="G404"/>
  <c r="P393"/>
  <c r="Q393"/>
  <c r="O393"/>
  <c r="M393"/>
  <c r="G396"/>
  <c r="G395"/>
  <c r="G394"/>
  <c r="G391"/>
  <c r="G390"/>
  <c r="G389"/>
  <c r="G388"/>
  <c r="G392"/>
  <c r="P384"/>
  <c r="Q384"/>
  <c r="O384"/>
  <c r="L384"/>
  <c r="M384"/>
  <c r="G385"/>
  <c r="P382"/>
  <c r="Q382"/>
  <c r="O382"/>
  <c r="N382"/>
  <c r="L382"/>
  <c r="M382"/>
  <c r="K382"/>
  <c r="G383"/>
  <c r="P380"/>
  <c r="Q380"/>
  <c r="O380"/>
  <c r="L380"/>
  <c r="M380"/>
  <c r="G381"/>
  <c r="P378"/>
  <c r="Q378"/>
  <c r="O378"/>
  <c r="L378"/>
  <c r="M378"/>
  <c r="G379"/>
  <c r="O372"/>
  <c r="L372"/>
  <c r="M372"/>
  <c r="G374"/>
  <c r="G375"/>
  <c r="G373"/>
  <c r="P351"/>
  <c r="Q351"/>
  <c r="O351"/>
  <c r="G354"/>
  <c r="G357"/>
  <c r="G358"/>
  <c r="G359"/>
  <c r="G361"/>
  <c r="G360"/>
  <c r="G362"/>
  <c r="G363"/>
  <c r="G364"/>
  <c r="G365"/>
  <c r="G353"/>
  <c r="G366"/>
  <c r="G355"/>
  <c r="G356"/>
  <c r="G352"/>
  <c r="G368"/>
  <c r="P344"/>
  <c r="Q344"/>
  <c r="O344"/>
  <c r="G349"/>
  <c r="P336"/>
  <c r="Q336"/>
  <c r="O336"/>
  <c r="L336"/>
  <c r="M336"/>
  <c r="G337"/>
  <c r="P329"/>
  <c r="Q329"/>
  <c r="O329"/>
  <c r="N329"/>
  <c r="L329"/>
  <c r="M329"/>
  <c r="G330"/>
  <c r="G331"/>
  <c r="P326"/>
  <c r="Q326"/>
  <c r="O326"/>
  <c r="L326"/>
  <c r="M326"/>
  <c r="G327"/>
  <c r="P322"/>
  <c r="Q322"/>
  <c r="O322"/>
  <c r="L322"/>
  <c r="M322"/>
  <c r="G323"/>
  <c r="G324"/>
  <c r="G325"/>
  <c r="P319"/>
  <c r="Q319"/>
  <c r="O319"/>
  <c r="L319"/>
  <c r="M319"/>
  <c r="G320"/>
  <c r="P316"/>
  <c r="Q316"/>
  <c r="O316"/>
  <c r="G318"/>
  <c r="G317"/>
  <c r="P313"/>
  <c r="Q313"/>
  <c r="O313"/>
  <c r="G314"/>
  <c r="P298"/>
  <c r="Q298"/>
  <c r="O298"/>
  <c r="G300"/>
  <c r="G299"/>
  <c r="G302"/>
  <c r="G303"/>
  <c r="G304"/>
  <c r="G305"/>
  <c r="G306"/>
  <c r="G307"/>
  <c r="G308"/>
  <c r="G309"/>
  <c r="G310"/>
  <c r="G311"/>
  <c r="G312"/>
  <c r="G301"/>
  <c r="M298"/>
  <c r="P290"/>
  <c r="Q290"/>
  <c r="O290"/>
  <c r="L290"/>
  <c r="M290"/>
  <c r="K290"/>
  <c r="G291"/>
  <c r="P286"/>
  <c r="Q286"/>
  <c r="O286"/>
  <c r="G288"/>
  <c r="G287"/>
  <c r="P281"/>
  <c r="Q281"/>
  <c r="O281"/>
  <c r="L281"/>
  <c r="M281"/>
  <c r="G282"/>
  <c r="P277"/>
  <c r="Q277"/>
  <c r="O277"/>
  <c r="G278"/>
  <c r="P275"/>
  <c r="Q275"/>
  <c r="O275"/>
  <c r="L275"/>
  <c r="M275"/>
  <c r="G276"/>
  <c r="P273"/>
  <c r="Q273"/>
  <c r="O273"/>
  <c r="L273"/>
  <c r="M273"/>
  <c r="K273"/>
  <c r="G274"/>
  <c r="P271"/>
  <c r="Q271"/>
  <c r="O271"/>
  <c r="L271"/>
  <c r="M271"/>
  <c r="K271"/>
  <c r="G272"/>
  <c r="P267"/>
  <c r="Q267"/>
  <c r="O267"/>
  <c r="N267"/>
  <c r="L267"/>
  <c r="M267"/>
  <c r="G269"/>
  <c r="G268"/>
  <c r="P262"/>
  <c r="Q262"/>
  <c r="O262"/>
  <c r="M262"/>
  <c r="G263"/>
  <c r="G264"/>
  <c r="G265"/>
  <c r="P254"/>
  <c r="Q254"/>
  <c r="O254"/>
  <c r="M254"/>
  <c r="G255"/>
  <c r="G256"/>
  <c r="G257"/>
  <c r="P250"/>
  <c r="Q250"/>
  <c r="O250"/>
  <c r="G251"/>
  <c r="P248"/>
  <c r="Q248"/>
  <c r="O248"/>
  <c r="L248"/>
  <c r="M248"/>
  <c r="G249"/>
  <c r="P245"/>
  <c r="Q245"/>
  <c r="O245"/>
  <c r="L245"/>
  <c r="M245"/>
  <c r="K245"/>
  <c r="G246"/>
  <c r="P240"/>
  <c r="Q240"/>
  <c r="O240"/>
  <c r="G241"/>
  <c r="G242"/>
  <c r="P238"/>
  <c r="Q238"/>
  <c r="O238"/>
  <c r="L238"/>
  <c r="M238"/>
  <c r="G239"/>
  <c r="P233"/>
  <c r="Q233"/>
  <c r="O233"/>
  <c r="M233"/>
  <c r="G234"/>
  <c r="G237"/>
  <c r="G236"/>
  <c r="G235"/>
  <c r="P230"/>
  <c r="Q230"/>
  <c r="O230"/>
  <c r="L230"/>
  <c r="M230"/>
  <c r="K230"/>
  <c r="G231"/>
  <c r="P216"/>
  <c r="Q216"/>
  <c r="O216"/>
  <c r="G217"/>
  <c r="AI217" s="1"/>
  <c r="G218"/>
  <c r="AI218" s="1"/>
  <c r="G219"/>
  <c r="AI219" s="1"/>
  <c r="G220"/>
  <c r="AI220" s="1"/>
  <c r="G221"/>
  <c r="AI221" s="1"/>
  <c r="G222"/>
  <c r="AI222" s="1"/>
  <c r="G223"/>
  <c r="AI223" s="1"/>
  <c r="G224"/>
  <c r="AI224" s="1"/>
  <c r="G225"/>
  <c r="AI225" s="1"/>
  <c r="G226"/>
  <c r="AI226" s="1"/>
  <c r="P212"/>
  <c r="Q212"/>
  <c r="O212"/>
  <c r="N212"/>
  <c r="L212"/>
  <c r="M212"/>
  <c r="K212"/>
  <c r="G213"/>
  <c r="Q210"/>
  <c r="P210"/>
  <c r="O210"/>
  <c r="L210"/>
  <c r="M210"/>
  <c r="K210"/>
  <c r="G211"/>
  <c r="P207"/>
  <c r="Q207"/>
  <c r="Y207"/>
  <c r="O207"/>
  <c r="M207"/>
  <c r="K207"/>
  <c r="G208"/>
  <c r="AI208" s="1"/>
  <c r="P204"/>
  <c r="Q204"/>
  <c r="O204"/>
  <c r="L204"/>
  <c r="M204"/>
  <c r="K204"/>
  <c r="G205"/>
  <c r="P194"/>
  <c r="Q194"/>
  <c r="O194"/>
  <c r="G195"/>
  <c r="G196"/>
  <c r="G197"/>
  <c r="G198"/>
  <c r="P187"/>
  <c r="Q187"/>
  <c r="O187"/>
  <c r="G188"/>
  <c r="G189"/>
  <c r="G190"/>
  <c r="G191"/>
  <c r="P184"/>
  <c r="Q184"/>
  <c r="O184"/>
  <c r="L184"/>
  <c r="M184"/>
  <c r="K184"/>
  <c r="G185"/>
  <c r="P181"/>
  <c r="Q181"/>
  <c r="O181"/>
  <c r="N181"/>
  <c r="L181"/>
  <c r="M181"/>
  <c r="G183"/>
  <c r="G182"/>
  <c r="P177"/>
  <c r="Q177"/>
  <c r="O177"/>
  <c r="L177"/>
  <c r="M177"/>
  <c r="G179"/>
  <c r="G180"/>
  <c r="P169"/>
  <c r="Q169"/>
  <c r="O169"/>
  <c r="G171"/>
  <c r="G172"/>
  <c r="G170"/>
  <c r="P165"/>
  <c r="Q165"/>
  <c r="O165"/>
  <c r="L165"/>
  <c r="M165"/>
  <c r="K165"/>
  <c r="G166"/>
  <c r="P152"/>
  <c r="Q152"/>
  <c r="O152"/>
  <c r="L152"/>
  <c r="M152"/>
  <c r="K152"/>
  <c r="G153"/>
  <c r="P147"/>
  <c r="Q147"/>
  <c r="O147"/>
  <c r="L147"/>
  <c r="M147"/>
  <c r="K147"/>
  <c r="G148"/>
  <c r="P145"/>
  <c r="Q145"/>
  <c r="O145"/>
  <c r="L145"/>
  <c r="M145"/>
  <c r="K145"/>
  <c r="G146"/>
  <c r="P143"/>
  <c r="Q143"/>
  <c r="O143"/>
  <c r="L143"/>
  <c r="M143"/>
  <c r="K143"/>
  <c r="G144"/>
  <c r="G142"/>
  <c r="G141"/>
  <c r="G140"/>
  <c r="G137"/>
  <c r="G138"/>
  <c r="G139"/>
  <c r="G136"/>
  <c r="P135"/>
  <c r="Q135"/>
  <c r="O135"/>
  <c r="P132"/>
  <c r="Q132"/>
  <c r="O132"/>
  <c r="L132"/>
  <c r="M132"/>
  <c r="K132"/>
  <c r="G133"/>
  <c r="G134"/>
  <c r="AH134" s="1"/>
  <c r="P127"/>
  <c r="Q127"/>
  <c r="O127"/>
  <c r="G128"/>
  <c r="G129"/>
  <c r="K122"/>
  <c r="G123"/>
  <c r="G124"/>
  <c r="P115"/>
  <c r="Q115"/>
  <c r="O115"/>
  <c r="N115"/>
  <c r="L115"/>
  <c r="M115"/>
  <c r="G116"/>
  <c r="G117"/>
  <c r="G118"/>
  <c r="G119"/>
  <c r="G120"/>
  <c r="G121"/>
  <c r="P112"/>
  <c r="Q112"/>
  <c r="O112"/>
  <c r="G113"/>
  <c r="P103"/>
  <c r="Q103"/>
  <c r="O103"/>
  <c r="G104"/>
  <c r="AI104" s="1"/>
  <c r="G105"/>
  <c r="G106"/>
  <c r="G107"/>
  <c r="P101"/>
  <c r="Q101"/>
  <c r="O101"/>
  <c r="L101"/>
  <c r="M101"/>
  <c r="K101"/>
  <c r="G102"/>
  <c r="O99"/>
  <c r="M99"/>
  <c r="P99"/>
  <c r="Q99"/>
  <c r="L99"/>
  <c r="K99"/>
  <c r="G100"/>
  <c r="P97"/>
  <c r="Q97"/>
  <c r="O97"/>
  <c r="L97"/>
  <c r="M97"/>
  <c r="K97"/>
  <c r="G98"/>
  <c r="J98"/>
  <c r="AF98"/>
  <c r="AG98" s="1"/>
  <c r="P95"/>
  <c r="Q95"/>
  <c r="O95"/>
  <c r="G96"/>
  <c r="N95"/>
  <c r="L95"/>
  <c r="M95"/>
  <c r="K95"/>
  <c r="P91"/>
  <c r="Q91"/>
  <c r="O91"/>
  <c r="N91"/>
  <c r="L91"/>
  <c r="M91"/>
  <c r="K91"/>
  <c r="G92"/>
  <c r="G93"/>
  <c r="G94"/>
  <c r="P89"/>
  <c r="Q89"/>
  <c r="O89"/>
  <c r="L89"/>
  <c r="M89"/>
  <c r="K89"/>
  <c r="G90"/>
  <c r="P87"/>
  <c r="Q87"/>
  <c r="O87"/>
  <c r="L87"/>
  <c r="M87"/>
  <c r="G88"/>
  <c r="P84"/>
  <c r="Q84"/>
  <c r="O84"/>
  <c r="L84"/>
  <c r="M84"/>
  <c r="K84"/>
  <c r="G85"/>
  <c r="P80"/>
  <c r="Q80"/>
  <c r="O80"/>
  <c r="M80"/>
  <c r="G83"/>
  <c r="G81"/>
  <c r="G82"/>
  <c r="P75"/>
  <c r="AM75" s="1"/>
  <c r="Q75"/>
  <c r="AN75" s="1"/>
  <c r="O75"/>
  <c r="AL75" s="1"/>
  <c r="N75"/>
  <c r="L76"/>
  <c r="M76"/>
  <c r="K76"/>
  <c r="G77"/>
  <c r="G78"/>
  <c r="G79"/>
  <c r="P67"/>
  <c r="Q67"/>
  <c r="O67"/>
  <c r="L67"/>
  <c r="M67"/>
  <c r="G71"/>
  <c r="G72"/>
  <c r="G73"/>
  <c r="G74"/>
  <c r="P57"/>
  <c r="Q57"/>
  <c r="O57"/>
  <c r="L57"/>
  <c r="M57"/>
  <c r="K57"/>
  <c r="G58"/>
  <c r="G59"/>
  <c r="G60"/>
  <c r="AF57"/>
  <c r="Q52"/>
  <c r="P52"/>
  <c r="O52"/>
  <c r="K52"/>
  <c r="L52"/>
  <c r="M52"/>
  <c r="G55"/>
  <c r="P45"/>
  <c r="Q45"/>
  <c r="O45"/>
  <c r="L45"/>
  <c r="M45"/>
  <c r="K45"/>
  <c r="G46"/>
  <c r="G47"/>
  <c r="Q43"/>
  <c r="P43"/>
  <c r="O43"/>
  <c r="L43"/>
  <c r="M43"/>
  <c r="K43"/>
  <c r="G44"/>
  <c r="N39"/>
  <c r="P39"/>
  <c r="Q39"/>
  <c r="O39"/>
  <c r="L39"/>
  <c r="M39"/>
  <c r="K39"/>
  <c r="G40"/>
  <c r="G37"/>
  <c r="P36"/>
  <c r="Q36"/>
  <c r="O36"/>
  <c r="L36"/>
  <c r="M36"/>
  <c r="K36"/>
  <c r="G29"/>
  <c r="Q25"/>
  <c r="P25"/>
  <c r="O25"/>
  <c r="N25"/>
  <c r="L25"/>
  <c r="M25"/>
  <c r="K25"/>
  <c r="G26"/>
  <c r="G27"/>
  <c r="P23"/>
  <c r="Q23"/>
  <c r="O23"/>
  <c r="L23"/>
  <c r="M23"/>
  <c r="K23"/>
  <c r="G24"/>
  <c r="G15"/>
  <c r="AI216" l="1"/>
  <c r="N421"/>
  <c r="N23"/>
  <c r="AK34"/>
  <c r="AK32"/>
  <c r="AK33"/>
  <c r="N298"/>
  <c r="N322"/>
  <c r="N67"/>
  <c r="N319"/>
  <c r="N84"/>
  <c r="N87"/>
  <c r="N177"/>
  <c r="N132"/>
  <c r="N194"/>
  <c r="N372"/>
  <c r="N80"/>
  <c r="N45"/>
  <c r="N57"/>
  <c r="BC162"/>
  <c r="N393"/>
  <c r="N230"/>
  <c r="N76"/>
  <c r="AO162"/>
  <c r="AV162"/>
  <c r="N378"/>
  <c r="N233"/>
  <c r="N262"/>
  <c r="N275"/>
  <c r="N127"/>
  <c r="N250"/>
  <c r="N403"/>
  <c r="N254"/>
  <c r="AM15"/>
  <c r="AN15"/>
  <c r="AL15"/>
  <c r="AJ31"/>
  <c r="BA98"/>
  <c r="BA97" s="1"/>
  <c r="AX98"/>
  <c r="AX97" s="1"/>
  <c r="BB98"/>
  <c r="BB97" s="1"/>
  <c r="AY98"/>
  <c r="AY97" s="1"/>
  <c r="AZ98"/>
  <c r="AZ97" s="1"/>
  <c r="AQ98"/>
  <c r="AQ97" s="1"/>
  <c r="AU98"/>
  <c r="AU97" s="1"/>
  <c r="AW98"/>
  <c r="AW97" s="1"/>
  <c r="AR98"/>
  <c r="AR97" s="1"/>
  <c r="AS98"/>
  <c r="AS97" s="1"/>
  <c r="AT98"/>
  <c r="AT97" s="1"/>
  <c r="AP98"/>
  <c r="AP97" s="1"/>
  <c r="R169"/>
  <c r="R329"/>
  <c r="R378"/>
  <c r="R403"/>
  <c r="R437"/>
  <c r="AL26"/>
  <c r="AN26"/>
  <c r="AI26"/>
  <c r="AM26"/>
  <c r="AJ26"/>
  <c r="AH26"/>
  <c r="AM98"/>
  <c r="AM97" s="1"/>
  <c r="AN98"/>
  <c r="AN97" s="1"/>
  <c r="AL98"/>
  <c r="AL97" s="1"/>
  <c r="AI98"/>
  <c r="AI97" s="1"/>
  <c r="AJ98"/>
  <c r="AJ97" s="1"/>
  <c r="AH98"/>
  <c r="AL104"/>
  <c r="AN104"/>
  <c r="AJ104"/>
  <c r="AM104"/>
  <c r="AH104"/>
  <c r="AM116"/>
  <c r="AN116"/>
  <c r="AL116"/>
  <c r="AJ116"/>
  <c r="AH116"/>
  <c r="AI116"/>
  <c r="AM128"/>
  <c r="AN128"/>
  <c r="AI128"/>
  <c r="AJ128"/>
  <c r="AH128"/>
  <c r="AL128"/>
  <c r="AN140"/>
  <c r="AL140"/>
  <c r="AJ140"/>
  <c r="AM140"/>
  <c r="AH140"/>
  <c r="AI140"/>
  <c r="AN153"/>
  <c r="AN152" s="1"/>
  <c r="AM153"/>
  <c r="AM152" s="1"/>
  <c r="AJ153"/>
  <c r="AJ152" s="1"/>
  <c r="AL153"/>
  <c r="AL152" s="1"/>
  <c r="AI153"/>
  <c r="AI152" s="1"/>
  <c r="AH153"/>
  <c r="AL190"/>
  <c r="AN190"/>
  <c r="AM190"/>
  <c r="AJ190"/>
  <c r="AI190"/>
  <c r="AH190"/>
  <c r="AM251"/>
  <c r="AM250" s="1"/>
  <c r="AL251"/>
  <c r="AL250" s="1"/>
  <c r="AI251"/>
  <c r="AN251"/>
  <c r="AN250" s="1"/>
  <c r="AJ251"/>
  <c r="AJ250" s="1"/>
  <c r="AH251"/>
  <c r="AL282"/>
  <c r="AL281" s="1"/>
  <c r="AN282"/>
  <c r="AN281" s="1"/>
  <c r="AM282"/>
  <c r="AM281" s="1"/>
  <c r="AJ282"/>
  <c r="AJ281" s="1"/>
  <c r="AI282"/>
  <c r="AI281" s="1"/>
  <c r="AH282"/>
  <c r="AM305"/>
  <c r="AN305"/>
  <c r="AL305"/>
  <c r="AJ305"/>
  <c r="AI305"/>
  <c r="AH305"/>
  <c r="AN317"/>
  <c r="AL317"/>
  <c r="AM317"/>
  <c r="AI317"/>
  <c r="AH317"/>
  <c r="AJ317"/>
  <c r="AL362"/>
  <c r="AN362"/>
  <c r="AM362"/>
  <c r="AI362"/>
  <c r="AJ362"/>
  <c r="AH362"/>
  <c r="AI31"/>
  <c r="R25"/>
  <c r="AL37"/>
  <c r="AL36" s="1"/>
  <c r="AN37"/>
  <c r="AN36" s="1"/>
  <c r="AM37"/>
  <c r="AM36" s="1"/>
  <c r="AI37"/>
  <c r="AI36" s="1"/>
  <c r="AJ37"/>
  <c r="AJ36" s="1"/>
  <c r="AH37"/>
  <c r="AM47"/>
  <c r="AN47"/>
  <c r="AJ47"/>
  <c r="AL47"/>
  <c r="AI47"/>
  <c r="AH47"/>
  <c r="AM60"/>
  <c r="AJ60"/>
  <c r="AN60"/>
  <c r="AL60"/>
  <c r="AI60"/>
  <c r="AH60"/>
  <c r="AL72"/>
  <c r="AM72"/>
  <c r="AI72"/>
  <c r="AJ72"/>
  <c r="AN72"/>
  <c r="AH72"/>
  <c r="AM79"/>
  <c r="AL79"/>
  <c r="AI79"/>
  <c r="AN79"/>
  <c r="AJ79"/>
  <c r="AH79"/>
  <c r="AM83"/>
  <c r="AN83"/>
  <c r="AL83"/>
  <c r="AI83"/>
  <c r="AJ83"/>
  <c r="AH83"/>
  <c r="R80"/>
  <c r="AN85"/>
  <c r="AN84" s="1"/>
  <c r="AM85"/>
  <c r="AM84" s="1"/>
  <c r="AJ85"/>
  <c r="AJ84" s="1"/>
  <c r="AL85"/>
  <c r="AL84" s="1"/>
  <c r="AI85"/>
  <c r="AI84" s="1"/>
  <c r="AH85"/>
  <c r="AN88"/>
  <c r="AN87" s="1"/>
  <c r="AM88"/>
  <c r="AM87" s="1"/>
  <c r="AJ88"/>
  <c r="AJ87" s="1"/>
  <c r="AL88"/>
  <c r="AL87" s="1"/>
  <c r="AI88"/>
  <c r="AI87" s="1"/>
  <c r="AH88"/>
  <c r="AL90"/>
  <c r="AL89" s="1"/>
  <c r="AM90"/>
  <c r="AM89" s="1"/>
  <c r="AN90"/>
  <c r="AN89" s="1"/>
  <c r="AJ90"/>
  <c r="AJ89" s="1"/>
  <c r="AH90"/>
  <c r="AI90"/>
  <c r="AI89" s="1"/>
  <c r="AM93"/>
  <c r="AN93"/>
  <c r="AI93"/>
  <c r="AL93"/>
  <c r="AJ93"/>
  <c r="AH93"/>
  <c r="AM107"/>
  <c r="AI107"/>
  <c r="AL107"/>
  <c r="AJ107"/>
  <c r="AN107"/>
  <c r="AH107"/>
  <c r="AN119"/>
  <c r="AL119"/>
  <c r="AJ119"/>
  <c r="AM119"/>
  <c r="AI119"/>
  <c r="AH119"/>
  <c r="R115"/>
  <c r="AL123"/>
  <c r="AM123"/>
  <c r="AJ123"/>
  <c r="AN123"/>
  <c r="AI123"/>
  <c r="AH123"/>
  <c r="R127"/>
  <c r="AL134"/>
  <c r="AN134"/>
  <c r="AJ134"/>
  <c r="AM134"/>
  <c r="AI134"/>
  <c r="AM139"/>
  <c r="AN139"/>
  <c r="AJ139"/>
  <c r="AL139"/>
  <c r="AI139"/>
  <c r="AH139"/>
  <c r="AM141"/>
  <c r="AL141"/>
  <c r="AJ141"/>
  <c r="AI141"/>
  <c r="AN141"/>
  <c r="AH141"/>
  <c r="AM148"/>
  <c r="AM147" s="1"/>
  <c r="AN148"/>
  <c r="AN147" s="1"/>
  <c r="AI148"/>
  <c r="AI147" s="1"/>
  <c r="AJ148"/>
  <c r="AJ147" s="1"/>
  <c r="AL148"/>
  <c r="AL147" s="1"/>
  <c r="AH148"/>
  <c r="AM170"/>
  <c r="AL170"/>
  <c r="AJ170"/>
  <c r="AI170"/>
  <c r="AN170"/>
  <c r="AH170"/>
  <c r="R181"/>
  <c r="AN189"/>
  <c r="AM189"/>
  <c r="AL189"/>
  <c r="AJ189"/>
  <c r="AI189"/>
  <c r="AH189"/>
  <c r="AM196"/>
  <c r="AN196"/>
  <c r="AJ196"/>
  <c r="AL196"/>
  <c r="AI196"/>
  <c r="AH196"/>
  <c r="AL208"/>
  <c r="AL207" s="1"/>
  <c r="AN208"/>
  <c r="AN207" s="1"/>
  <c r="AM208"/>
  <c r="AM207" s="1"/>
  <c r="AJ208"/>
  <c r="AJ207" s="1"/>
  <c r="AH208"/>
  <c r="AH207" s="1"/>
  <c r="AN211"/>
  <c r="AN210" s="1"/>
  <c r="AM211"/>
  <c r="AM210" s="1"/>
  <c r="AL211"/>
  <c r="AL210" s="1"/>
  <c r="AJ211"/>
  <c r="AJ210" s="1"/>
  <c r="AI211"/>
  <c r="AI210" s="1"/>
  <c r="AH211"/>
  <c r="AH210" s="1"/>
  <c r="R212"/>
  <c r="AM225"/>
  <c r="AN225"/>
  <c r="AL225"/>
  <c r="AJ225"/>
  <c r="AH225"/>
  <c r="AN221"/>
  <c r="AM221"/>
  <c r="AL221"/>
  <c r="AJ221"/>
  <c r="AH221"/>
  <c r="AN217"/>
  <c r="AM217"/>
  <c r="AJ217"/>
  <c r="AL217"/>
  <c r="AH217"/>
  <c r="AN231"/>
  <c r="AN230" s="1"/>
  <c r="AM231"/>
  <c r="AM230" s="1"/>
  <c r="AL231"/>
  <c r="AL230" s="1"/>
  <c r="AJ231"/>
  <c r="AJ230" s="1"/>
  <c r="AI231"/>
  <c r="AI230" s="1"/>
  <c r="AH231"/>
  <c r="AL235"/>
  <c r="AM235"/>
  <c r="AN235"/>
  <c r="AJ235"/>
  <c r="AI235"/>
  <c r="AH235"/>
  <c r="AL249"/>
  <c r="AL248" s="1"/>
  <c r="AM249"/>
  <c r="AM248" s="1"/>
  <c r="AN249"/>
  <c r="AN248" s="1"/>
  <c r="AH249"/>
  <c r="AJ249"/>
  <c r="AJ248" s="1"/>
  <c r="AI249"/>
  <c r="AI248" s="1"/>
  <c r="AL255"/>
  <c r="AN255"/>
  <c r="AM255"/>
  <c r="AI255"/>
  <c r="AJ255"/>
  <c r="AH255"/>
  <c r="AN265"/>
  <c r="AM265"/>
  <c r="AI265"/>
  <c r="AL265"/>
  <c r="AJ265"/>
  <c r="AH265"/>
  <c r="R267"/>
  <c r="AL278"/>
  <c r="AL277" s="1"/>
  <c r="AN278"/>
  <c r="AN277" s="1"/>
  <c r="AM278"/>
  <c r="AM277" s="1"/>
  <c r="AI278"/>
  <c r="AH278"/>
  <c r="AN312"/>
  <c r="AM312"/>
  <c r="AJ312"/>
  <c r="AI312"/>
  <c r="AH312"/>
  <c r="AL312"/>
  <c r="AN308"/>
  <c r="AM308"/>
  <c r="AL308"/>
  <c r="AJ308"/>
  <c r="AI308"/>
  <c r="AH308"/>
  <c r="AN304"/>
  <c r="AM304"/>
  <c r="AL304"/>
  <c r="AJ304"/>
  <c r="AI304"/>
  <c r="AH304"/>
  <c r="AN300"/>
  <c r="AL300"/>
  <c r="AJ300"/>
  <c r="AM300"/>
  <c r="AH300"/>
  <c r="AI300"/>
  <c r="AM314"/>
  <c r="AM313" s="1"/>
  <c r="AL314"/>
  <c r="AL313" s="1"/>
  <c r="AJ314"/>
  <c r="AJ313" s="1"/>
  <c r="AN314"/>
  <c r="AN313" s="1"/>
  <c r="AH314"/>
  <c r="AI314"/>
  <c r="AM318"/>
  <c r="AL318"/>
  <c r="AN318"/>
  <c r="AJ318"/>
  <c r="AH318"/>
  <c r="AI318"/>
  <c r="AM320"/>
  <c r="AM319" s="1"/>
  <c r="AN320"/>
  <c r="AN319" s="1"/>
  <c r="AL320"/>
  <c r="AL319" s="1"/>
  <c r="AJ320"/>
  <c r="AJ319" s="1"/>
  <c r="AI320"/>
  <c r="AI319" s="1"/>
  <c r="AH320"/>
  <c r="AL325"/>
  <c r="AM325"/>
  <c r="AJ325"/>
  <c r="AH325"/>
  <c r="AI325"/>
  <c r="AN325"/>
  <c r="AL356"/>
  <c r="AN356"/>
  <c r="AM356"/>
  <c r="AJ356"/>
  <c r="AH356"/>
  <c r="AI356"/>
  <c r="AM365"/>
  <c r="AL365"/>
  <c r="AJ365"/>
  <c r="AH365"/>
  <c r="AN365"/>
  <c r="AI365"/>
  <c r="AN360"/>
  <c r="AM360"/>
  <c r="AJ360"/>
  <c r="AL360"/>
  <c r="AH360"/>
  <c r="AI360"/>
  <c r="AN357"/>
  <c r="AM357"/>
  <c r="AL357"/>
  <c r="AJ357"/>
  <c r="AH357"/>
  <c r="AI357"/>
  <c r="R351"/>
  <c r="AN375"/>
  <c r="AL375"/>
  <c r="AM375"/>
  <c r="AJ375"/>
  <c r="AI375"/>
  <c r="AH375"/>
  <c r="AL392"/>
  <c r="AN392"/>
  <c r="AH392"/>
  <c r="AM392"/>
  <c r="AI392"/>
  <c r="AJ392"/>
  <c r="AL391"/>
  <c r="AN391"/>
  <c r="AM391"/>
  <c r="AI391"/>
  <c r="AJ391"/>
  <c r="AH391"/>
  <c r="AM394"/>
  <c r="AL394"/>
  <c r="AN394"/>
  <c r="AJ394"/>
  <c r="AI394"/>
  <c r="AH394"/>
  <c r="AM408"/>
  <c r="AL408"/>
  <c r="AN408"/>
  <c r="AI408"/>
  <c r="AH408"/>
  <c r="AJ408"/>
  <c r="AN418"/>
  <c r="AL418"/>
  <c r="AI418"/>
  <c r="AM418"/>
  <c r="AH418"/>
  <c r="AJ418"/>
  <c r="AL422"/>
  <c r="AL421" s="1"/>
  <c r="AN422"/>
  <c r="AN421" s="1"/>
  <c r="AH422"/>
  <c r="AM422"/>
  <c r="AM421" s="1"/>
  <c r="AI422"/>
  <c r="AI421" s="1"/>
  <c r="AJ422"/>
  <c r="AJ421" s="1"/>
  <c r="AM439"/>
  <c r="AN439"/>
  <c r="AJ439"/>
  <c r="AL439"/>
  <c r="AH439"/>
  <c r="AI439"/>
  <c r="AK439" s="1"/>
  <c r="AN443"/>
  <c r="AL443"/>
  <c r="AM443"/>
  <c r="AH443"/>
  <c r="AJ443"/>
  <c r="AI443"/>
  <c r="AK443" s="1"/>
  <c r="AM448"/>
  <c r="AL448"/>
  <c r="AN448"/>
  <c r="AH448"/>
  <c r="AI448"/>
  <c r="AJ448"/>
  <c r="AL450"/>
  <c r="AN450"/>
  <c r="AH450"/>
  <c r="AM450"/>
  <c r="AJ450"/>
  <c r="AI450"/>
  <c r="AK450" s="1"/>
  <c r="AM31"/>
  <c r="AL29"/>
  <c r="AL28" s="1"/>
  <c r="AN29"/>
  <c r="AN28" s="1"/>
  <c r="AI29"/>
  <c r="AI28" s="1"/>
  <c r="AM29"/>
  <c r="AM28" s="1"/>
  <c r="AH29"/>
  <c r="AJ29"/>
  <c r="AJ28" s="1"/>
  <c r="AN81"/>
  <c r="AM81"/>
  <c r="AI81"/>
  <c r="AJ81"/>
  <c r="AL81"/>
  <c r="AH81"/>
  <c r="AN120"/>
  <c r="AL120"/>
  <c r="AM120"/>
  <c r="AJ120"/>
  <c r="AH120"/>
  <c r="AI120"/>
  <c r="AN136"/>
  <c r="AM136"/>
  <c r="AJ136"/>
  <c r="AL136"/>
  <c r="AI136"/>
  <c r="AH136"/>
  <c r="AN183"/>
  <c r="AM183"/>
  <c r="AL183"/>
  <c r="AJ183"/>
  <c r="AH183"/>
  <c r="AI183"/>
  <c r="AN197"/>
  <c r="AM197"/>
  <c r="AL197"/>
  <c r="AJ197"/>
  <c r="AI197"/>
  <c r="AH197"/>
  <c r="AN213"/>
  <c r="AN212" s="1"/>
  <c r="AM213"/>
  <c r="AM212" s="1"/>
  <c r="AL213"/>
  <c r="AL212" s="1"/>
  <c r="AI213"/>
  <c r="AI212" s="1"/>
  <c r="AJ213"/>
  <c r="AJ212" s="1"/>
  <c r="AH213"/>
  <c r="AL222"/>
  <c r="AN222"/>
  <c r="AM222"/>
  <c r="AJ222"/>
  <c r="AH222"/>
  <c r="AM218"/>
  <c r="AL218"/>
  <c r="AN218"/>
  <c r="AJ218"/>
  <c r="AH218"/>
  <c r="AM234"/>
  <c r="AN234"/>
  <c r="AL234"/>
  <c r="AJ234"/>
  <c r="AI234"/>
  <c r="AH234"/>
  <c r="AM256"/>
  <c r="AL256"/>
  <c r="AN256"/>
  <c r="AI256"/>
  <c r="AJ256"/>
  <c r="AH256"/>
  <c r="AM269"/>
  <c r="AN269"/>
  <c r="AL269"/>
  <c r="AJ269"/>
  <c r="AI269"/>
  <c r="AH269"/>
  <c r="AL309"/>
  <c r="AM309"/>
  <c r="AN309"/>
  <c r="AJ309"/>
  <c r="AI309"/>
  <c r="AH309"/>
  <c r="AN299"/>
  <c r="AM299"/>
  <c r="AL299"/>
  <c r="AJ299"/>
  <c r="AH299"/>
  <c r="AI299"/>
  <c r="AL352"/>
  <c r="AN352"/>
  <c r="AM352"/>
  <c r="AI352"/>
  <c r="AH352"/>
  <c r="AJ352"/>
  <c r="AM390"/>
  <c r="AL390"/>
  <c r="AJ390"/>
  <c r="AH390"/>
  <c r="AN390"/>
  <c r="AI390"/>
  <c r="AM419"/>
  <c r="AN419"/>
  <c r="AL419"/>
  <c r="AJ419"/>
  <c r="AH419"/>
  <c r="AI419"/>
  <c r="AN438"/>
  <c r="AM438"/>
  <c r="AL438"/>
  <c r="AJ438"/>
  <c r="AI438"/>
  <c r="AK438" s="1"/>
  <c r="AH438"/>
  <c r="AN446"/>
  <c r="AM446"/>
  <c r="AJ446"/>
  <c r="AI446"/>
  <c r="AK446" s="1"/>
  <c r="AL446"/>
  <c r="AH446"/>
  <c r="AN451"/>
  <c r="AL451"/>
  <c r="AM451"/>
  <c r="AJ451"/>
  <c r="AH451"/>
  <c r="AI451"/>
  <c r="AK451" s="1"/>
  <c r="R39"/>
  <c r="AN59"/>
  <c r="AM59"/>
  <c r="AI59"/>
  <c r="AL59"/>
  <c r="AH59"/>
  <c r="AJ59"/>
  <c r="AM71"/>
  <c r="AL71"/>
  <c r="AI71"/>
  <c r="AN71"/>
  <c r="AJ71"/>
  <c r="AH71"/>
  <c r="AL92"/>
  <c r="AN92"/>
  <c r="AJ92"/>
  <c r="AI92"/>
  <c r="AM92"/>
  <c r="AH92"/>
  <c r="AN133"/>
  <c r="AL133"/>
  <c r="AM133"/>
  <c r="AJ133"/>
  <c r="AJ132" s="1"/>
  <c r="AI133"/>
  <c r="AH133"/>
  <c r="AL138"/>
  <c r="AN138"/>
  <c r="AJ138"/>
  <c r="AM138"/>
  <c r="AI138"/>
  <c r="AH138"/>
  <c r="AM166"/>
  <c r="AM165" s="1"/>
  <c r="AL166"/>
  <c r="AL165" s="1"/>
  <c r="AJ166"/>
  <c r="AJ165" s="1"/>
  <c r="AI166"/>
  <c r="AI165" s="1"/>
  <c r="AN166"/>
  <c r="AN165" s="1"/>
  <c r="AH166"/>
  <c r="AH165" s="1"/>
  <c r="AM172"/>
  <c r="AL172"/>
  <c r="AI172"/>
  <c r="AN172"/>
  <c r="AH172"/>
  <c r="AJ172"/>
  <c r="AN188"/>
  <c r="AL188"/>
  <c r="AM188"/>
  <c r="AI188"/>
  <c r="AH188"/>
  <c r="AJ188"/>
  <c r="AL195"/>
  <c r="AN195"/>
  <c r="AM195"/>
  <c r="AI195"/>
  <c r="AI194" s="1"/>
  <c r="AH195"/>
  <c r="AJ195"/>
  <c r="AL205"/>
  <c r="AL204" s="1"/>
  <c r="AN205"/>
  <c r="AN204" s="1"/>
  <c r="AJ205"/>
  <c r="AJ204" s="1"/>
  <c r="AI205"/>
  <c r="AI204" s="1"/>
  <c r="AM205"/>
  <c r="AM204" s="1"/>
  <c r="AH205"/>
  <c r="AL224"/>
  <c r="AN224"/>
  <c r="AJ224"/>
  <c r="AM224"/>
  <c r="AH224"/>
  <c r="AM220"/>
  <c r="AL220"/>
  <c r="AN220"/>
  <c r="AJ220"/>
  <c r="AH220"/>
  <c r="R216"/>
  <c r="R230"/>
  <c r="AM236"/>
  <c r="AL236"/>
  <c r="AN236"/>
  <c r="AJ236"/>
  <c r="AI236"/>
  <c r="AH236"/>
  <c r="AN242"/>
  <c r="AM242"/>
  <c r="AJ242"/>
  <c r="AL242"/>
  <c r="AI242"/>
  <c r="AH242"/>
  <c r="AM246"/>
  <c r="AM245" s="1"/>
  <c r="AL246"/>
  <c r="AL245" s="1"/>
  <c r="AN246"/>
  <c r="AN245" s="1"/>
  <c r="AJ246"/>
  <c r="AJ245" s="1"/>
  <c r="AI246"/>
  <c r="AI245" s="1"/>
  <c r="AH246"/>
  <c r="R254"/>
  <c r="AM264"/>
  <c r="AN264"/>
  <c r="AL264"/>
  <c r="AJ264"/>
  <c r="AH264"/>
  <c r="AI264"/>
  <c r="AM276"/>
  <c r="AM275" s="1"/>
  <c r="AN276"/>
  <c r="AN275" s="1"/>
  <c r="AJ276"/>
  <c r="AJ275" s="1"/>
  <c r="AL276"/>
  <c r="AL275" s="1"/>
  <c r="AI276"/>
  <c r="AI275" s="1"/>
  <c r="AH276"/>
  <c r="AM311"/>
  <c r="AN311"/>
  <c r="AL311"/>
  <c r="AI311"/>
  <c r="AJ311"/>
  <c r="AH311"/>
  <c r="AM307"/>
  <c r="AL307"/>
  <c r="AI307"/>
  <c r="AN307"/>
  <c r="AJ307"/>
  <c r="AH307"/>
  <c r="AM303"/>
  <c r="AN303"/>
  <c r="AL303"/>
  <c r="AI303"/>
  <c r="AJ303"/>
  <c r="AH303"/>
  <c r="R298"/>
  <c r="R316"/>
  <c r="R319"/>
  <c r="AN324"/>
  <c r="AM324"/>
  <c r="AL324"/>
  <c r="AI324"/>
  <c r="AJ324"/>
  <c r="AH324"/>
  <c r="AM331"/>
  <c r="AN331"/>
  <c r="AJ331"/>
  <c r="AH331"/>
  <c r="AI331"/>
  <c r="AL331"/>
  <c r="AL349"/>
  <c r="AL344" s="1"/>
  <c r="AM349"/>
  <c r="AM344" s="1"/>
  <c r="AI349"/>
  <c r="AI344" s="1"/>
  <c r="AN349"/>
  <c r="AN344" s="1"/>
  <c r="AJ349"/>
  <c r="AJ344" s="1"/>
  <c r="AH349"/>
  <c r="AN355"/>
  <c r="AM355"/>
  <c r="AL355"/>
  <c r="AJ355"/>
  <c r="AI355"/>
  <c r="AH355"/>
  <c r="AN364"/>
  <c r="AM364"/>
  <c r="AL364"/>
  <c r="AJ364"/>
  <c r="AI364"/>
  <c r="AH364"/>
  <c r="AN361"/>
  <c r="AL361"/>
  <c r="AM361"/>
  <c r="AJ361"/>
  <c r="AI361"/>
  <c r="AH361"/>
  <c r="AN354"/>
  <c r="AM354"/>
  <c r="AJ354"/>
  <c r="AL354"/>
  <c r="AH354"/>
  <c r="AI354"/>
  <c r="AM374"/>
  <c r="AL374"/>
  <c r="AH374"/>
  <c r="AN374"/>
  <c r="AI374"/>
  <c r="AJ374"/>
  <c r="AL383"/>
  <c r="AL382" s="1"/>
  <c r="AN383"/>
  <c r="AN382" s="1"/>
  <c r="AM383"/>
  <c r="AM382" s="1"/>
  <c r="AJ383"/>
  <c r="AJ382" s="1"/>
  <c r="AI383"/>
  <c r="AI382" s="1"/>
  <c r="AH383"/>
  <c r="AH382" s="1"/>
  <c r="AM385"/>
  <c r="AM384" s="1"/>
  <c r="AN385"/>
  <c r="AN384" s="1"/>
  <c r="AL385"/>
  <c r="AL384" s="1"/>
  <c r="AI385"/>
  <c r="AI384" s="1"/>
  <c r="AH385"/>
  <c r="AJ385"/>
  <c r="AJ384" s="1"/>
  <c r="AM388"/>
  <c r="AN388"/>
  <c r="AL388"/>
  <c r="AJ388"/>
  <c r="AI388"/>
  <c r="AH388"/>
  <c r="AN395"/>
  <c r="AL395"/>
  <c r="AM395"/>
  <c r="AJ395"/>
  <c r="AH395"/>
  <c r="AI395"/>
  <c r="R417"/>
  <c r="AL440"/>
  <c r="AM440"/>
  <c r="AN440"/>
  <c r="AJ440"/>
  <c r="AI440"/>
  <c r="AK440" s="1"/>
  <c r="AH440"/>
  <c r="AL444"/>
  <c r="AN444"/>
  <c r="AM444"/>
  <c r="AJ444"/>
  <c r="AI444"/>
  <c r="AK444" s="1"/>
  <c r="AH444"/>
  <c r="AL452"/>
  <c r="AM452"/>
  <c r="AN452"/>
  <c r="AJ452"/>
  <c r="AH452"/>
  <c r="AI452"/>
  <c r="AK452" s="1"/>
  <c r="AL449"/>
  <c r="AN449"/>
  <c r="AM449"/>
  <c r="AJ449"/>
  <c r="AI449"/>
  <c r="AK449" s="1"/>
  <c r="AH449"/>
  <c r="AL458"/>
  <c r="AL457" s="1"/>
  <c r="AN458"/>
  <c r="AN457" s="1"/>
  <c r="AM458"/>
  <c r="AM457" s="1"/>
  <c r="AJ458"/>
  <c r="AJ457" s="1"/>
  <c r="AH458"/>
  <c r="AH457" s="1"/>
  <c r="AI458"/>
  <c r="AI457" s="1"/>
  <c r="AM24"/>
  <c r="AM23" s="1"/>
  <c r="AN24"/>
  <c r="AN23" s="1"/>
  <c r="AI24"/>
  <c r="AI23" s="1"/>
  <c r="AL24"/>
  <c r="AL23" s="1"/>
  <c r="AJ24"/>
  <c r="AJ23" s="1"/>
  <c r="AH24"/>
  <c r="AH23" s="1"/>
  <c r="AM73"/>
  <c r="AL73"/>
  <c r="AN73"/>
  <c r="AJ73"/>
  <c r="AI73"/>
  <c r="AH73"/>
  <c r="AN94"/>
  <c r="AM94"/>
  <c r="AJ94"/>
  <c r="AL94"/>
  <c r="AI94"/>
  <c r="AH94"/>
  <c r="AN113"/>
  <c r="AN112" s="1"/>
  <c r="AM113"/>
  <c r="AM112" s="1"/>
  <c r="AJ113"/>
  <c r="AJ112" s="1"/>
  <c r="AI113"/>
  <c r="AI112" s="1"/>
  <c r="AL113"/>
  <c r="AL112" s="1"/>
  <c r="AH113"/>
  <c r="AM124"/>
  <c r="AL124"/>
  <c r="AI124"/>
  <c r="AN124"/>
  <c r="AJ124"/>
  <c r="AH124"/>
  <c r="AN158"/>
  <c r="AL158"/>
  <c r="AI158"/>
  <c r="AM158"/>
  <c r="AJ158"/>
  <c r="AH158"/>
  <c r="AL179"/>
  <c r="AN179"/>
  <c r="AM179"/>
  <c r="AI179"/>
  <c r="AJ179"/>
  <c r="AH179"/>
  <c r="AM185"/>
  <c r="AM184" s="1"/>
  <c r="AN185"/>
  <c r="AN184" s="1"/>
  <c r="AL185"/>
  <c r="AL184" s="1"/>
  <c r="AI185"/>
  <c r="AI184" s="1"/>
  <c r="AJ185"/>
  <c r="AJ184" s="1"/>
  <c r="AH185"/>
  <c r="AN226"/>
  <c r="AM226"/>
  <c r="AL226"/>
  <c r="AJ226"/>
  <c r="AH226"/>
  <c r="AN272"/>
  <c r="AN271" s="1"/>
  <c r="AL272"/>
  <c r="AL271" s="1"/>
  <c r="AM272"/>
  <c r="AM271" s="1"/>
  <c r="AJ272"/>
  <c r="AJ271" s="1"/>
  <c r="AI272"/>
  <c r="AI271" s="1"/>
  <c r="AH272"/>
  <c r="AM288"/>
  <c r="AN288"/>
  <c r="AL288"/>
  <c r="AJ288"/>
  <c r="AH288"/>
  <c r="AI288"/>
  <c r="AL353"/>
  <c r="AN353"/>
  <c r="AM353"/>
  <c r="AI353"/>
  <c r="AH353"/>
  <c r="AJ353"/>
  <c r="AL358"/>
  <c r="AM358"/>
  <c r="AN358"/>
  <c r="AI358"/>
  <c r="AJ358"/>
  <c r="AH358"/>
  <c r="AM373"/>
  <c r="AN373"/>
  <c r="AL373"/>
  <c r="AJ373"/>
  <c r="AH373"/>
  <c r="AI373"/>
  <c r="AL407"/>
  <c r="AN407"/>
  <c r="AM407"/>
  <c r="AJ407"/>
  <c r="AH407"/>
  <c r="AI407"/>
  <c r="AM435"/>
  <c r="AM434" s="1"/>
  <c r="AN435"/>
  <c r="AN434" s="1"/>
  <c r="AJ435"/>
  <c r="AJ434" s="1"/>
  <c r="AL435"/>
  <c r="AL434" s="1"/>
  <c r="AH435"/>
  <c r="AH434" s="1"/>
  <c r="AI435"/>
  <c r="AI434" s="1"/>
  <c r="AN442"/>
  <c r="AL442"/>
  <c r="AM442"/>
  <c r="AJ442"/>
  <c r="AI442"/>
  <c r="AK442" s="1"/>
  <c r="AH442"/>
  <c r="AL40"/>
  <c r="AL39" s="1"/>
  <c r="AN40"/>
  <c r="AN39" s="1"/>
  <c r="AJ40"/>
  <c r="AJ39" s="1"/>
  <c r="AM40"/>
  <c r="AM39" s="1"/>
  <c r="AI40"/>
  <c r="AI39" s="1"/>
  <c r="AH40"/>
  <c r="AH39" s="1"/>
  <c r="AM44"/>
  <c r="AM43" s="1"/>
  <c r="AN44"/>
  <c r="AN43" s="1"/>
  <c r="AI44"/>
  <c r="AI43" s="1"/>
  <c r="AH44"/>
  <c r="AL44"/>
  <c r="AL43" s="1"/>
  <c r="AJ44"/>
  <c r="AJ43" s="1"/>
  <c r="AL46"/>
  <c r="AN46"/>
  <c r="AI46"/>
  <c r="AM46"/>
  <c r="AJ46"/>
  <c r="AH46"/>
  <c r="AM55"/>
  <c r="AN55"/>
  <c r="AL55"/>
  <c r="AI55"/>
  <c r="AJ55"/>
  <c r="AH55"/>
  <c r="AL78"/>
  <c r="AM78"/>
  <c r="AN78"/>
  <c r="AJ78"/>
  <c r="AI78"/>
  <c r="AH78"/>
  <c r="R84"/>
  <c r="AM96"/>
  <c r="AM95" s="1"/>
  <c r="AN96"/>
  <c r="AN95" s="1"/>
  <c r="AI96"/>
  <c r="AI95" s="1"/>
  <c r="AL96"/>
  <c r="AL95" s="1"/>
  <c r="AJ96"/>
  <c r="AJ95" s="1"/>
  <c r="AH96"/>
  <c r="AL102"/>
  <c r="AL101" s="1"/>
  <c r="AM102"/>
  <c r="AM101" s="1"/>
  <c r="AJ102"/>
  <c r="AJ101" s="1"/>
  <c r="AN102"/>
  <c r="AN101" s="1"/>
  <c r="AH102"/>
  <c r="AI102"/>
  <c r="AI101" s="1"/>
  <c r="AN106"/>
  <c r="AM106"/>
  <c r="AI106"/>
  <c r="AL106"/>
  <c r="AJ106"/>
  <c r="AH106"/>
  <c r="AM118"/>
  <c r="AL118"/>
  <c r="AI118"/>
  <c r="AN118"/>
  <c r="AJ118"/>
  <c r="AH118"/>
  <c r="AL142"/>
  <c r="AM142"/>
  <c r="AJ142"/>
  <c r="AN142"/>
  <c r="AI142"/>
  <c r="AH142"/>
  <c r="AN146"/>
  <c r="AN145" s="1"/>
  <c r="AM146"/>
  <c r="AM145" s="1"/>
  <c r="AJ146"/>
  <c r="AJ145" s="1"/>
  <c r="AI146"/>
  <c r="AI145" s="1"/>
  <c r="AL146"/>
  <c r="AL145" s="1"/>
  <c r="AH146"/>
  <c r="AI15"/>
  <c r="AJ15"/>
  <c r="AH15"/>
  <c r="AM27"/>
  <c r="AI27"/>
  <c r="AN27"/>
  <c r="AJ27"/>
  <c r="AL27"/>
  <c r="AH27"/>
  <c r="R45"/>
  <c r="AN58"/>
  <c r="AL58"/>
  <c r="AJ58"/>
  <c r="AM58"/>
  <c r="AI58"/>
  <c r="AH58"/>
  <c r="AN74"/>
  <c r="AL74"/>
  <c r="AI74"/>
  <c r="AM74"/>
  <c r="AJ74"/>
  <c r="AH74"/>
  <c r="AM77"/>
  <c r="AI77"/>
  <c r="AN77"/>
  <c r="AL77"/>
  <c r="AJ77"/>
  <c r="AH77"/>
  <c r="AM82"/>
  <c r="AL82"/>
  <c r="AJ82"/>
  <c r="AH82"/>
  <c r="AN82"/>
  <c r="AI82"/>
  <c r="R91"/>
  <c r="AN100"/>
  <c r="AN99" s="1"/>
  <c r="AM100"/>
  <c r="AM99" s="1"/>
  <c r="AI100"/>
  <c r="AI99" s="1"/>
  <c r="AJ100"/>
  <c r="AJ99" s="1"/>
  <c r="AH100"/>
  <c r="AL100"/>
  <c r="AL99" s="1"/>
  <c r="AM105"/>
  <c r="AN105"/>
  <c r="AI105"/>
  <c r="AI103" s="1"/>
  <c r="AL105"/>
  <c r="AJ105"/>
  <c r="AH105"/>
  <c r="AL121"/>
  <c r="AN121"/>
  <c r="AJ121"/>
  <c r="AH121"/>
  <c r="AM121"/>
  <c r="AI121"/>
  <c r="AL117"/>
  <c r="AM117"/>
  <c r="AJ117"/>
  <c r="AN117"/>
  <c r="AI117"/>
  <c r="AH117"/>
  <c r="AN129"/>
  <c r="AM129"/>
  <c r="AJ129"/>
  <c r="AL129"/>
  <c r="AI129"/>
  <c r="AH129"/>
  <c r="AL137"/>
  <c r="AN137"/>
  <c r="AI137"/>
  <c r="AM137"/>
  <c r="AH137"/>
  <c r="AJ137"/>
  <c r="AM144"/>
  <c r="AM143" s="1"/>
  <c r="AN144"/>
  <c r="AN143" s="1"/>
  <c r="AL144"/>
  <c r="AL143" s="1"/>
  <c r="AJ144"/>
  <c r="AJ143" s="1"/>
  <c r="AH144"/>
  <c r="AI144"/>
  <c r="AI143" s="1"/>
  <c r="AL157"/>
  <c r="AN157"/>
  <c r="AJ157"/>
  <c r="AM157"/>
  <c r="AI157"/>
  <c r="AH157"/>
  <c r="AL171"/>
  <c r="AN171"/>
  <c r="AM171"/>
  <c r="AJ171"/>
  <c r="AH171"/>
  <c r="AI171"/>
  <c r="AM180"/>
  <c r="AN180"/>
  <c r="AJ180"/>
  <c r="AL180"/>
  <c r="AI180"/>
  <c r="AH180"/>
  <c r="AM182"/>
  <c r="AL182"/>
  <c r="AJ182"/>
  <c r="AI182"/>
  <c r="AN182"/>
  <c r="AH182"/>
  <c r="AM191"/>
  <c r="AN191"/>
  <c r="AL191"/>
  <c r="AJ191"/>
  <c r="AI191"/>
  <c r="AH191"/>
  <c r="AN198"/>
  <c r="AM198"/>
  <c r="AJ198"/>
  <c r="AL198"/>
  <c r="AI198"/>
  <c r="AH198"/>
  <c r="R194"/>
  <c r="AL223"/>
  <c r="AN223"/>
  <c r="AM223"/>
  <c r="AJ223"/>
  <c r="AH223"/>
  <c r="AL219"/>
  <c r="AN219"/>
  <c r="AM219"/>
  <c r="AJ219"/>
  <c r="AH219"/>
  <c r="AN237"/>
  <c r="AM237"/>
  <c r="AL237"/>
  <c r="AH237"/>
  <c r="AI237"/>
  <c r="AJ237"/>
  <c r="AN239"/>
  <c r="AN238" s="1"/>
  <c r="AM239"/>
  <c r="AM238" s="1"/>
  <c r="AJ239"/>
  <c r="AJ238" s="1"/>
  <c r="AI239"/>
  <c r="AI238" s="1"/>
  <c r="AH239"/>
  <c r="AL239"/>
  <c r="AL238" s="1"/>
  <c r="AN241"/>
  <c r="AL241"/>
  <c r="AM241"/>
  <c r="AJ241"/>
  <c r="AH241"/>
  <c r="AI241"/>
  <c r="AN257"/>
  <c r="AM257"/>
  <c r="AJ257"/>
  <c r="AL257"/>
  <c r="AI257"/>
  <c r="AH257"/>
  <c r="AL263"/>
  <c r="AN263"/>
  <c r="AM263"/>
  <c r="AH263"/>
  <c r="AJ263"/>
  <c r="AI263"/>
  <c r="AL268"/>
  <c r="AM268"/>
  <c r="AJ268"/>
  <c r="AH268"/>
  <c r="AN268"/>
  <c r="AI268"/>
  <c r="AM274"/>
  <c r="AM273" s="1"/>
  <c r="AL274"/>
  <c r="AL273" s="1"/>
  <c r="AN274"/>
  <c r="AN273" s="1"/>
  <c r="AJ274"/>
  <c r="AJ273" s="1"/>
  <c r="AH274"/>
  <c r="AI274"/>
  <c r="AI273" s="1"/>
  <c r="AL287"/>
  <c r="AN287"/>
  <c r="AM287"/>
  <c r="AJ287"/>
  <c r="AI287"/>
  <c r="AH287"/>
  <c r="AM291"/>
  <c r="AM290" s="1"/>
  <c r="AN291"/>
  <c r="AN290" s="1"/>
  <c r="AL291"/>
  <c r="AL290" s="1"/>
  <c r="AJ291"/>
  <c r="AJ290" s="1"/>
  <c r="AH291"/>
  <c r="AI291"/>
  <c r="AI290" s="1"/>
  <c r="AL301"/>
  <c r="AM301"/>
  <c r="AJ301"/>
  <c r="AH301"/>
  <c r="AN301"/>
  <c r="AI301"/>
  <c r="AL310"/>
  <c r="AN310"/>
  <c r="AM310"/>
  <c r="AJ310"/>
  <c r="AH310"/>
  <c r="AI310"/>
  <c r="AL306"/>
  <c r="AN306"/>
  <c r="AM306"/>
  <c r="AJ306"/>
  <c r="AH306"/>
  <c r="AI306"/>
  <c r="AL302"/>
  <c r="AM302"/>
  <c r="AJ302"/>
  <c r="AH302"/>
  <c r="AN302"/>
  <c r="AI302"/>
  <c r="AN323"/>
  <c r="AL323"/>
  <c r="AJ323"/>
  <c r="AM323"/>
  <c r="AI323"/>
  <c r="AH323"/>
  <c r="AL327"/>
  <c r="AL326" s="1"/>
  <c r="AM327"/>
  <c r="AM326" s="1"/>
  <c r="AN327"/>
  <c r="AN326" s="1"/>
  <c r="AJ327"/>
  <c r="AJ326" s="1"/>
  <c r="AH327"/>
  <c r="AI327"/>
  <c r="AI326" s="1"/>
  <c r="AN330"/>
  <c r="AM330"/>
  <c r="AL330"/>
  <c r="AJ330"/>
  <c r="AI330"/>
  <c r="AH330"/>
  <c r="AL337"/>
  <c r="AL336" s="1"/>
  <c r="AN337"/>
  <c r="AN336" s="1"/>
  <c r="AJ337"/>
  <c r="AJ336" s="1"/>
  <c r="AH337"/>
  <c r="AM337"/>
  <c r="AM336" s="1"/>
  <c r="AI337"/>
  <c r="AI336" s="1"/>
  <c r="AM368"/>
  <c r="AN368"/>
  <c r="AL368"/>
  <c r="AJ368"/>
  <c r="AI368"/>
  <c r="AH368"/>
  <c r="AM366"/>
  <c r="AL366"/>
  <c r="AN366"/>
  <c r="AJ366"/>
  <c r="AI366"/>
  <c r="AH366"/>
  <c r="AM363"/>
  <c r="AN363"/>
  <c r="AJ363"/>
  <c r="AI363"/>
  <c r="AH363"/>
  <c r="AL363"/>
  <c r="AM359"/>
  <c r="AN359"/>
  <c r="AL359"/>
  <c r="AJ359"/>
  <c r="AI359"/>
  <c r="AH359"/>
  <c r="AM379"/>
  <c r="AM378" s="1"/>
  <c r="AL379"/>
  <c r="AL378" s="1"/>
  <c r="AN379"/>
  <c r="AN378" s="1"/>
  <c r="AH379"/>
  <c r="AJ379"/>
  <c r="AJ378" s="1"/>
  <c r="AI379"/>
  <c r="AI378" s="1"/>
  <c r="AL381"/>
  <c r="AL380" s="1"/>
  <c r="AN381"/>
  <c r="AN380" s="1"/>
  <c r="AM381"/>
  <c r="AM380" s="1"/>
  <c r="AI381"/>
  <c r="AI380" s="1"/>
  <c r="AH381"/>
  <c r="AJ381"/>
  <c r="AJ380" s="1"/>
  <c r="AN389"/>
  <c r="AL389"/>
  <c r="AM389"/>
  <c r="AJ389"/>
  <c r="AH389"/>
  <c r="AI389"/>
  <c r="AM396"/>
  <c r="AN396"/>
  <c r="AJ396"/>
  <c r="AH396"/>
  <c r="AL396"/>
  <c r="AI396"/>
  <c r="AN404"/>
  <c r="AN403" s="1"/>
  <c r="AL404"/>
  <c r="AL403" s="1"/>
  <c r="AM404"/>
  <c r="AM403" s="1"/>
  <c r="AJ404"/>
  <c r="AJ403" s="1"/>
  <c r="AI404"/>
  <c r="AI403" s="1"/>
  <c r="AH404"/>
  <c r="AM406"/>
  <c r="AN406"/>
  <c r="AL406"/>
  <c r="AJ406"/>
  <c r="AH406"/>
  <c r="AI406"/>
  <c r="AL420"/>
  <c r="AN420"/>
  <c r="AM420"/>
  <c r="AJ420"/>
  <c r="AH420"/>
  <c r="AI420"/>
  <c r="AM447"/>
  <c r="AN447"/>
  <c r="AJ447"/>
  <c r="AI447"/>
  <c r="AK447" s="1"/>
  <c r="AL447"/>
  <c r="AH447"/>
  <c r="AM441"/>
  <c r="AL441"/>
  <c r="AJ441"/>
  <c r="AI441"/>
  <c r="AK441" s="1"/>
  <c r="AN441"/>
  <c r="AH441"/>
  <c r="AM445"/>
  <c r="AN445"/>
  <c r="AL445"/>
  <c r="AH445"/>
  <c r="AI445"/>
  <c r="AK445" s="1"/>
  <c r="AJ445"/>
  <c r="AM454"/>
  <c r="AL454"/>
  <c r="AN454"/>
  <c r="AI454"/>
  <c r="AK454" s="1"/>
  <c r="AJ454"/>
  <c r="AH454"/>
  <c r="AM453"/>
  <c r="AN453"/>
  <c r="AL453"/>
  <c r="AI453"/>
  <c r="AK453" s="1"/>
  <c r="AH453"/>
  <c r="AJ453"/>
  <c r="AL456"/>
  <c r="AL455" s="1"/>
  <c r="AN456"/>
  <c r="AN455" s="1"/>
  <c r="AM456"/>
  <c r="AM455" s="1"/>
  <c r="AI456"/>
  <c r="AI455" s="1"/>
  <c r="AH456"/>
  <c r="AH455" s="1"/>
  <c r="AJ456"/>
  <c r="AJ455" s="1"/>
  <c r="AL31"/>
  <c r="AN31"/>
  <c r="N380"/>
  <c r="N336"/>
  <c r="R207"/>
  <c r="N210"/>
  <c r="N165"/>
  <c r="N112"/>
  <c r="N89"/>
  <c r="R57"/>
  <c r="Y57"/>
  <c r="AF142"/>
  <c r="AF141"/>
  <c r="AF140"/>
  <c r="AF137"/>
  <c r="AF138"/>
  <c r="AF139"/>
  <c r="AF136"/>
  <c r="AI132" l="1"/>
  <c r="AJ135"/>
  <c r="AI80"/>
  <c r="AI169"/>
  <c r="AJ127"/>
  <c r="AJ103"/>
  <c r="AI135"/>
  <c r="AJ216"/>
  <c r="AI156"/>
  <c r="AI127"/>
  <c r="AI115"/>
  <c r="AK448"/>
  <c r="AI437"/>
  <c r="AK301"/>
  <c r="AK268"/>
  <c r="AH43"/>
  <c r="AK44"/>
  <c r="AH184"/>
  <c r="AK185"/>
  <c r="AH281"/>
  <c r="AK282"/>
  <c r="AK299"/>
  <c r="AK331"/>
  <c r="AH313"/>
  <c r="AK314"/>
  <c r="AK407"/>
  <c r="AH326"/>
  <c r="AK327"/>
  <c r="AK305"/>
  <c r="AK113"/>
  <c r="AH112"/>
  <c r="AH152"/>
  <c r="AK153"/>
  <c r="AH267"/>
  <c r="AK269"/>
  <c r="AK55"/>
  <c r="AH99"/>
  <c r="AK100"/>
  <c r="AK183"/>
  <c r="AK120"/>
  <c r="AO28"/>
  <c r="AK406"/>
  <c r="AK310"/>
  <c r="AK117"/>
  <c r="AK408"/>
  <c r="AH28"/>
  <c r="AK28" s="1"/>
  <c r="AK29"/>
  <c r="AK182"/>
  <c r="AK303"/>
  <c r="AK311"/>
  <c r="AK308"/>
  <c r="AK27"/>
  <c r="AH380"/>
  <c r="AK381"/>
  <c r="BD381" s="1"/>
  <c r="AK241"/>
  <c r="AH240"/>
  <c r="AK121"/>
  <c r="AH101"/>
  <c r="AK102"/>
  <c r="AK307"/>
  <c r="AK309"/>
  <c r="AK325"/>
  <c r="AK304"/>
  <c r="AK119"/>
  <c r="AK330"/>
  <c r="AH322"/>
  <c r="AK323"/>
  <c r="AK302"/>
  <c r="AH344"/>
  <c r="AK344" s="1"/>
  <c r="AK349"/>
  <c r="AK324"/>
  <c r="AK312"/>
  <c r="AH97"/>
  <c r="AK98"/>
  <c r="AK306"/>
  <c r="AK116"/>
  <c r="AK118"/>
  <c r="AK242"/>
  <c r="AH298"/>
  <c r="AK300"/>
  <c r="AH25"/>
  <c r="AK26"/>
  <c r="AH238"/>
  <c r="AK239"/>
  <c r="AH204"/>
  <c r="AK205"/>
  <c r="AM329"/>
  <c r="AK74"/>
  <c r="AK142"/>
  <c r="AK71"/>
  <c r="AK139"/>
  <c r="AK72"/>
  <c r="AK138"/>
  <c r="AK140"/>
  <c r="AH273"/>
  <c r="AK274"/>
  <c r="AK73"/>
  <c r="AK136"/>
  <c r="AH135"/>
  <c r="AK141"/>
  <c r="AK137"/>
  <c r="AL267"/>
  <c r="AH181"/>
  <c r="AH319"/>
  <c r="AK319" s="1"/>
  <c r="AK320"/>
  <c r="AK419"/>
  <c r="AK288"/>
  <c r="AH336"/>
  <c r="AK337"/>
  <c r="AH286"/>
  <c r="AK287"/>
  <c r="AK388"/>
  <c r="AH387"/>
  <c r="AK391"/>
  <c r="AH89"/>
  <c r="AK90"/>
  <c r="AK389"/>
  <c r="AK390"/>
  <c r="AK392"/>
  <c r="AH87"/>
  <c r="AK88"/>
  <c r="AH290"/>
  <c r="AK291"/>
  <c r="AH271"/>
  <c r="AK271" s="1"/>
  <c r="AK272"/>
  <c r="AH384"/>
  <c r="AK385"/>
  <c r="AH84"/>
  <c r="AK84" s="1"/>
  <c r="AK85"/>
  <c r="AK133"/>
  <c r="AK134"/>
  <c r="AK420"/>
  <c r="AK179"/>
  <c r="AH248"/>
  <c r="AK249"/>
  <c r="AH143"/>
  <c r="AK144"/>
  <c r="AH212"/>
  <c r="AK212" s="1"/>
  <c r="AK213"/>
  <c r="AK180"/>
  <c r="AH421"/>
  <c r="AK422"/>
  <c r="AK418"/>
  <c r="AK107"/>
  <c r="AK105"/>
  <c r="AK106"/>
  <c r="AK353"/>
  <c r="AK104"/>
  <c r="AH103"/>
  <c r="AK363"/>
  <c r="AK358"/>
  <c r="AK361"/>
  <c r="AK355"/>
  <c r="AH245"/>
  <c r="AK246"/>
  <c r="AH187"/>
  <c r="AK188"/>
  <c r="AK191"/>
  <c r="AK396"/>
  <c r="AK368"/>
  <c r="AK374"/>
  <c r="AK354"/>
  <c r="AK365"/>
  <c r="AK189"/>
  <c r="AK362"/>
  <c r="AK190"/>
  <c r="AJ351"/>
  <c r="AK157"/>
  <c r="BD157" s="1"/>
  <c r="AK364"/>
  <c r="AK375"/>
  <c r="AK357"/>
  <c r="AK395"/>
  <c r="AH351"/>
  <c r="AK352"/>
  <c r="AK394"/>
  <c r="AH393"/>
  <c r="AK360"/>
  <c r="AK356"/>
  <c r="AK359"/>
  <c r="AK366"/>
  <c r="AI351"/>
  <c r="AK251"/>
  <c r="AH250"/>
  <c r="AK171"/>
  <c r="AK78"/>
  <c r="AG230"/>
  <c r="AK94"/>
  <c r="AH95"/>
  <c r="AK96"/>
  <c r="AK172"/>
  <c r="AK79"/>
  <c r="AK77"/>
  <c r="AH76"/>
  <c r="AK92"/>
  <c r="AK170"/>
  <c r="AH169"/>
  <c r="AH230"/>
  <c r="AK230" s="1"/>
  <c r="AK231"/>
  <c r="AH147"/>
  <c r="AK148"/>
  <c r="AK93"/>
  <c r="AK60"/>
  <c r="AH194"/>
  <c r="AK195"/>
  <c r="BD195" s="1"/>
  <c r="AN322"/>
  <c r="AK198"/>
  <c r="BD198" s="1"/>
  <c r="AJ329"/>
  <c r="AH145"/>
  <c r="AK146"/>
  <c r="AK197"/>
  <c r="BD197" s="1"/>
  <c r="AK196"/>
  <c r="BD196" s="1"/>
  <c r="AK47"/>
  <c r="AK46"/>
  <c r="AK158"/>
  <c r="BD158" s="1"/>
  <c r="AH156"/>
  <c r="AK59"/>
  <c r="AK58"/>
  <c r="AH57"/>
  <c r="AH378"/>
  <c r="AK378" s="1"/>
  <c r="AK379"/>
  <c r="AK82"/>
  <c r="AK83"/>
  <c r="AK373"/>
  <c r="AH372"/>
  <c r="AK81"/>
  <c r="AH80"/>
  <c r="AH36"/>
  <c r="AK37"/>
  <c r="AL405"/>
  <c r="AN181"/>
  <c r="AL329"/>
  <c r="AH329"/>
  <c r="AI267"/>
  <c r="AM267"/>
  <c r="AM45"/>
  <c r="AM322"/>
  <c r="AM240"/>
  <c r="AJ57"/>
  <c r="AI329"/>
  <c r="AK129"/>
  <c r="AK318"/>
  <c r="AK235"/>
  <c r="AK225"/>
  <c r="AK317"/>
  <c r="AO15"/>
  <c r="AL322"/>
  <c r="AN286"/>
  <c r="AK257"/>
  <c r="AK237"/>
  <c r="AK256"/>
  <c r="AN316"/>
  <c r="AK263"/>
  <c r="AH262"/>
  <c r="AK219"/>
  <c r="AH275"/>
  <c r="AK276"/>
  <c r="AK226"/>
  <c r="AK236"/>
  <c r="AH277"/>
  <c r="AK277" s="1"/>
  <c r="AK278"/>
  <c r="AK255"/>
  <c r="AH254"/>
  <c r="AH127"/>
  <c r="AK128"/>
  <c r="AH403"/>
  <c r="AK403" s="1"/>
  <c r="AK404"/>
  <c r="AK264"/>
  <c r="AK265"/>
  <c r="AK220"/>
  <c r="AK217"/>
  <c r="AK234"/>
  <c r="AH233"/>
  <c r="AK222"/>
  <c r="AJ262"/>
  <c r="AK223"/>
  <c r="AN156"/>
  <c r="AK15"/>
  <c r="AK224"/>
  <c r="AK221"/>
  <c r="AK218"/>
  <c r="AH216"/>
  <c r="AJ267"/>
  <c r="AI181"/>
  <c r="AN169"/>
  <c r="AI45"/>
  <c r="AN132"/>
  <c r="AL25"/>
  <c r="AL122"/>
  <c r="AN57"/>
  <c r="AJ25"/>
  <c r="AH316"/>
  <c r="AL286"/>
  <c r="AJ286"/>
  <c r="AK124"/>
  <c r="AL387"/>
  <c r="AL316"/>
  <c r="AL177"/>
  <c r="AM156"/>
  <c r="AJ322"/>
  <c r="AL187"/>
  <c r="AM286"/>
  <c r="AL76"/>
  <c r="AM135"/>
  <c r="AN329"/>
  <c r="AN187"/>
  <c r="AN76"/>
  <c r="AL372"/>
  <c r="AJ194"/>
  <c r="AN417"/>
  <c r="AK123"/>
  <c r="AH122"/>
  <c r="BC98"/>
  <c r="AM115"/>
  <c r="AN103"/>
  <c r="AH45"/>
  <c r="AJ76"/>
  <c r="AM76"/>
  <c r="AI57"/>
  <c r="AI76"/>
  <c r="AN45"/>
  <c r="AI91"/>
  <c r="AI67"/>
  <c r="AK39"/>
  <c r="AJ177"/>
  <c r="AN351"/>
  <c r="AN267"/>
  <c r="AH417"/>
  <c r="AJ372"/>
  <c r="AM298"/>
  <c r="AM254"/>
  <c r="AL169"/>
  <c r="AH132"/>
  <c r="AM122"/>
  <c r="AJ80"/>
  <c r="AM80"/>
  <c r="AI316"/>
  <c r="AM127"/>
  <c r="AL115"/>
  <c r="AM25"/>
  <c r="AN240"/>
  <c r="AN115"/>
  <c r="AI177"/>
  <c r="AI322"/>
  <c r="AM262"/>
  <c r="AL240"/>
  <c r="AL194"/>
  <c r="AI187"/>
  <c r="AL67"/>
  <c r="AJ417"/>
  <c r="AL233"/>
  <c r="AM181"/>
  <c r="AM417"/>
  <c r="AL393"/>
  <c r="AM387"/>
  <c r="AM372"/>
  <c r="AJ298"/>
  <c r="AJ233"/>
  <c r="AM216"/>
  <c r="AN194"/>
  <c r="AM169"/>
  <c r="AI122"/>
  <c r="AM57"/>
  <c r="AL45"/>
  <c r="AM316"/>
  <c r="AI25"/>
  <c r="AN437"/>
  <c r="AM437"/>
  <c r="AM405"/>
  <c r="AN262"/>
  <c r="AL181"/>
  <c r="AN135"/>
  <c r="AK434"/>
  <c r="AN372"/>
  <c r="AM177"/>
  <c r="AL156"/>
  <c r="AM187"/>
  <c r="AM132"/>
  <c r="AH91"/>
  <c r="AJ67"/>
  <c r="AM67"/>
  <c r="AL57"/>
  <c r="AI417"/>
  <c r="AI393"/>
  <c r="AM393"/>
  <c r="AL298"/>
  <c r="AJ254"/>
  <c r="AL254"/>
  <c r="AL216"/>
  <c r="AN216"/>
  <c r="AL135"/>
  <c r="AL132"/>
  <c r="AN122"/>
  <c r="AN91"/>
  <c r="AL80"/>
  <c r="AJ45"/>
  <c r="AJ316"/>
  <c r="AL127"/>
  <c r="AN127"/>
  <c r="AM103"/>
  <c r="AL103"/>
  <c r="AN25"/>
  <c r="AH405"/>
  <c r="AL351"/>
  <c r="AJ405"/>
  <c r="AL262"/>
  <c r="AH115"/>
  <c r="AN405"/>
  <c r="AH177"/>
  <c r="AN177"/>
  <c r="AJ156"/>
  <c r="AN393"/>
  <c r="AM194"/>
  <c r="AJ187"/>
  <c r="AM91"/>
  <c r="AL91"/>
  <c r="AN67"/>
  <c r="AL437"/>
  <c r="AM351"/>
  <c r="AN298"/>
  <c r="AN254"/>
  <c r="AN233"/>
  <c r="AJ181"/>
  <c r="AL417"/>
  <c r="AJ393"/>
  <c r="AN387"/>
  <c r="AI372"/>
  <c r="AM233"/>
  <c r="AJ169"/>
  <c r="AJ122"/>
  <c r="AJ91"/>
  <c r="AN80"/>
  <c r="AJ115"/>
  <c r="AG57"/>
  <c r="AF68"/>
  <c r="AF69"/>
  <c r="AF70"/>
  <c r="AF71"/>
  <c r="AF72"/>
  <c r="AF73"/>
  <c r="AF74"/>
  <c r="AF96"/>
  <c r="AK417" l="1"/>
  <c r="AK405"/>
  <c r="BD98"/>
  <c r="AK177"/>
  <c r="AK132"/>
  <c r="AK187"/>
  <c r="AK240"/>
  <c r="AK76"/>
  <c r="AK156"/>
  <c r="AK372"/>
  <c r="AK181"/>
  <c r="AK329"/>
  <c r="AK267"/>
  <c r="AK437"/>
  <c r="AK316"/>
  <c r="AK262"/>
  <c r="AK216"/>
  <c r="AK122"/>
  <c r="AK127"/>
  <c r="AK25"/>
  <c r="AO181"/>
  <c r="AK351"/>
  <c r="AK254"/>
  <c r="AO127"/>
  <c r="AK194"/>
  <c r="AK91"/>
  <c r="AK387"/>
  <c r="AK115"/>
  <c r="AK45"/>
  <c r="AK80"/>
  <c r="AK103"/>
  <c r="AK298"/>
  <c r="AO351"/>
  <c r="AK169"/>
  <c r="AO437"/>
  <c r="AK233"/>
  <c r="J458"/>
  <c r="AF458"/>
  <c r="AG458" s="1"/>
  <c r="AX458" l="1"/>
  <c r="AX457" s="1"/>
  <c r="BB458"/>
  <c r="BB457" s="1"/>
  <c r="AY458"/>
  <c r="AY457" s="1"/>
  <c r="AW458"/>
  <c r="AW457" s="1"/>
  <c r="AZ458"/>
  <c r="AZ457" s="1"/>
  <c r="BA458"/>
  <c r="BA457" s="1"/>
  <c r="AS458"/>
  <c r="AS457" s="1"/>
  <c r="AP458"/>
  <c r="AP457" s="1"/>
  <c r="AT458"/>
  <c r="AT457" s="1"/>
  <c r="AQ458"/>
  <c r="AQ457" s="1"/>
  <c r="AU458"/>
  <c r="AU457" s="1"/>
  <c r="AR458"/>
  <c r="AR457" s="1"/>
  <c r="AF457"/>
  <c r="AF272"/>
  <c r="AG272" s="1"/>
  <c r="AF385"/>
  <c r="AG385" s="1"/>
  <c r="J385"/>
  <c r="J383"/>
  <c r="AF383"/>
  <c r="AG383" s="1"/>
  <c r="AF208"/>
  <c r="Y208"/>
  <c r="J208"/>
  <c r="AF158"/>
  <c r="AF157"/>
  <c r="AG157" s="1"/>
  <c r="BA158" l="1"/>
  <c r="AX158"/>
  <c r="BB158"/>
  <c r="AY158"/>
  <c r="AZ158"/>
  <c r="AW158"/>
  <c r="AR158"/>
  <c r="AS158"/>
  <c r="AT158"/>
  <c r="AQ158"/>
  <c r="AU158"/>
  <c r="AP158"/>
  <c r="BA208"/>
  <c r="BA207" s="1"/>
  <c r="AX208"/>
  <c r="AX207" s="1"/>
  <c r="BB208"/>
  <c r="BB207" s="1"/>
  <c r="AY208"/>
  <c r="AY207" s="1"/>
  <c r="AZ208"/>
  <c r="AZ207" s="1"/>
  <c r="AW208"/>
  <c r="AW207" s="1"/>
  <c r="AS208"/>
  <c r="AS207" s="1"/>
  <c r="AQ208"/>
  <c r="AQ207" s="1"/>
  <c r="AU208"/>
  <c r="AU207" s="1"/>
  <c r="AR208"/>
  <c r="AR207" s="1"/>
  <c r="AT208"/>
  <c r="AT207" s="1"/>
  <c r="AP208"/>
  <c r="AP207" s="1"/>
  <c r="AZ157"/>
  <c r="BA157"/>
  <c r="AX157"/>
  <c r="AY157"/>
  <c r="BB157"/>
  <c r="AQ157"/>
  <c r="AU157"/>
  <c r="AW157"/>
  <c r="AR157"/>
  <c r="AS157"/>
  <c r="AT157"/>
  <c r="AP157"/>
  <c r="AZ383"/>
  <c r="AZ382" s="1"/>
  <c r="AW383"/>
  <c r="AW382" s="1"/>
  <c r="BA383"/>
  <c r="BA382" s="1"/>
  <c r="AX383"/>
  <c r="AX382" s="1"/>
  <c r="BB383"/>
  <c r="BB382" s="1"/>
  <c r="AY383"/>
  <c r="AY382" s="1"/>
  <c r="AR383"/>
  <c r="AR382" s="1"/>
  <c r="AS383"/>
  <c r="AS382" s="1"/>
  <c r="AP383"/>
  <c r="AT383"/>
  <c r="AT382" s="1"/>
  <c r="AU383"/>
  <c r="AU382" s="1"/>
  <c r="AQ383"/>
  <c r="AQ382" s="1"/>
  <c r="BC458"/>
  <c r="BD458" s="1"/>
  <c r="AZ385"/>
  <c r="AZ384" s="1"/>
  <c r="BA385"/>
  <c r="BA384" s="1"/>
  <c r="AX385"/>
  <c r="AX384" s="1"/>
  <c r="BB385"/>
  <c r="BB384" s="1"/>
  <c r="AW385"/>
  <c r="AW384" s="1"/>
  <c r="AY385"/>
  <c r="AY384" s="1"/>
  <c r="AR385"/>
  <c r="AR384" s="1"/>
  <c r="AU385"/>
  <c r="AU384" s="1"/>
  <c r="AQ385"/>
  <c r="AQ384" s="1"/>
  <c r="AS385"/>
  <c r="AS384" s="1"/>
  <c r="AT385"/>
  <c r="AT384" s="1"/>
  <c r="AP385"/>
  <c r="AP384" s="1"/>
  <c r="AG158"/>
  <c r="AF382"/>
  <c r="AF384"/>
  <c r="AF207"/>
  <c r="AG208"/>
  <c r="J100"/>
  <c r="AF100"/>
  <c r="Y100"/>
  <c r="AO24"/>
  <c r="AK24"/>
  <c r="AF24"/>
  <c r="AG24" s="1"/>
  <c r="J24"/>
  <c r="J272"/>
  <c r="J29"/>
  <c r="AF29"/>
  <c r="AG29" s="1"/>
  <c r="BC383" l="1"/>
  <c r="AW156"/>
  <c r="AX156"/>
  <c r="AT156"/>
  <c r="AX29"/>
  <c r="AX28" s="1"/>
  <c r="BB29"/>
  <c r="BB28" s="1"/>
  <c r="AY29"/>
  <c r="AY28" s="1"/>
  <c r="AZ29"/>
  <c r="AZ28" s="1"/>
  <c r="BA29"/>
  <c r="BA28" s="1"/>
  <c r="AT29"/>
  <c r="AT28" s="1"/>
  <c r="AW29"/>
  <c r="AW28" s="1"/>
  <c r="AQ29"/>
  <c r="AQ28" s="1"/>
  <c r="AU29"/>
  <c r="AU28" s="1"/>
  <c r="AR29"/>
  <c r="AR28" s="1"/>
  <c r="AS29"/>
  <c r="AS28" s="1"/>
  <c r="AY100"/>
  <c r="AY99" s="1"/>
  <c r="AZ100"/>
  <c r="AZ99" s="1"/>
  <c r="AX100"/>
  <c r="AX99" s="1"/>
  <c r="BA100"/>
  <c r="BA99" s="1"/>
  <c r="BB100"/>
  <c r="BB99" s="1"/>
  <c r="AW100"/>
  <c r="AW99" s="1"/>
  <c r="AR100"/>
  <c r="AR99" s="1"/>
  <c r="AS100"/>
  <c r="AS99" s="1"/>
  <c r="AT100"/>
  <c r="AT99" s="1"/>
  <c r="AQ100"/>
  <c r="AQ99" s="1"/>
  <c r="AU100"/>
  <c r="AU99" s="1"/>
  <c r="AP100"/>
  <c r="AP99" s="1"/>
  <c r="BC385"/>
  <c r="BD385" s="1"/>
  <c r="AQ156"/>
  <c r="AZ272"/>
  <c r="AZ271" s="1"/>
  <c r="BA272"/>
  <c r="BA271" s="1"/>
  <c r="AX272"/>
  <c r="AX271" s="1"/>
  <c r="BB272"/>
  <c r="BB271" s="1"/>
  <c r="AW272"/>
  <c r="AW271" s="1"/>
  <c r="AY272"/>
  <c r="AY271" s="1"/>
  <c r="AT272"/>
  <c r="AT271" s="1"/>
  <c r="AR272"/>
  <c r="AR271" s="1"/>
  <c r="AQ272"/>
  <c r="AQ271" s="1"/>
  <c r="AS272"/>
  <c r="AS271" s="1"/>
  <c r="AU272"/>
  <c r="AU271" s="1"/>
  <c r="AP272"/>
  <c r="AP271" s="1"/>
  <c r="BC208"/>
  <c r="BD208" s="1"/>
  <c r="AP382"/>
  <c r="AV383"/>
  <c r="AZ156"/>
  <c r="BA156"/>
  <c r="AZ24"/>
  <c r="AZ23" s="1"/>
  <c r="BA24"/>
  <c r="BA23" s="1"/>
  <c r="AX24"/>
  <c r="AX23" s="1"/>
  <c r="AY24"/>
  <c r="AY23" s="1"/>
  <c r="BB24"/>
  <c r="BB23" s="1"/>
  <c r="AR24"/>
  <c r="AR23" s="1"/>
  <c r="AS24"/>
  <c r="AS23" s="1"/>
  <c r="AW24"/>
  <c r="AW23" s="1"/>
  <c r="AT24"/>
  <c r="AT23" s="1"/>
  <c r="AQ24"/>
  <c r="AQ23" s="1"/>
  <c r="AU24"/>
  <c r="AU23" s="1"/>
  <c r="AP156"/>
  <c r="AS156"/>
  <c r="AY156"/>
  <c r="AU156"/>
  <c r="AR156"/>
  <c r="BB156"/>
  <c r="AP24"/>
  <c r="AP29"/>
  <c r="AP28" s="1"/>
  <c r="AF99"/>
  <c r="AG100"/>
  <c r="AF97"/>
  <c r="AV28" l="1"/>
  <c r="BD383"/>
  <c r="BC100"/>
  <c r="BD100" s="1"/>
  <c r="BC24"/>
  <c r="BC29"/>
  <c r="BD29" s="1"/>
  <c r="AP23"/>
  <c r="AV24"/>
  <c r="BC272"/>
  <c r="BD272" s="1"/>
  <c r="BC97"/>
  <c r="BD24" l="1"/>
  <c r="AF456"/>
  <c r="AG456" s="1"/>
  <c r="AF455" l="1"/>
  <c r="J456"/>
  <c r="AX456" l="1"/>
  <c r="AX455" s="1"/>
  <c r="BB456"/>
  <c r="BB455" s="1"/>
  <c r="AY456"/>
  <c r="AY455" s="1"/>
  <c r="AZ456"/>
  <c r="AZ455" s="1"/>
  <c r="AW456"/>
  <c r="AW455" s="1"/>
  <c r="BA456"/>
  <c r="BA455" s="1"/>
  <c r="AS456"/>
  <c r="AS455" s="1"/>
  <c r="AT456"/>
  <c r="AT455" s="1"/>
  <c r="AP456"/>
  <c r="AP455" s="1"/>
  <c r="AQ456"/>
  <c r="AQ455" s="1"/>
  <c r="AU456"/>
  <c r="AU455" s="1"/>
  <c r="AR456"/>
  <c r="AR455" s="1"/>
  <c r="R455"/>
  <c r="AF354"/>
  <c r="AG354" s="1"/>
  <c r="AF357"/>
  <c r="AG357" s="1"/>
  <c r="AF358"/>
  <c r="AG358" s="1"/>
  <c r="AF359"/>
  <c r="AG359" s="1"/>
  <c r="AF361"/>
  <c r="AG361" s="1"/>
  <c r="AF360"/>
  <c r="AG360" s="1"/>
  <c r="AF362"/>
  <c r="AG362" s="1"/>
  <c r="AF363"/>
  <c r="AG363" s="1"/>
  <c r="AF364"/>
  <c r="AG364" s="1"/>
  <c r="AF365"/>
  <c r="AG365" s="1"/>
  <c r="AF353"/>
  <c r="AG353" s="1"/>
  <c r="AF366"/>
  <c r="AG366" s="1"/>
  <c r="AF355"/>
  <c r="AG355" s="1"/>
  <c r="AF356"/>
  <c r="AG356" s="1"/>
  <c r="AF352"/>
  <c r="AG352" s="1"/>
  <c r="AF368"/>
  <c r="AG368" s="1"/>
  <c r="J368"/>
  <c r="J352"/>
  <c r="J356"/>
  <c r="J355"/>
  <c r="J366"/>
  <c r="J353"/>
  <c r="J365"/>
  <c r="J364"/>
  <c r="J363"/>
  <c r="J362"/>
  <c r="J360"/>
  <c r="J361"/>
  <c r="J359"/>
  <c r="J358"/>
  <c r="J357"/>
  <c r="J354"/>
  <c r="AF435"/>
  <c r="AG435" s="1"/>
  <c r="J435"/>
  <c r="AF381"/>
  <c r="AG381" s="1"/>
  <c r="AG351" l="1"/>
  <c r="AY435"/>
  <c r="AY434" s="1"/>
  <c r="AW435"/>
  <c r="AW434" s="1"/>
  <c r="AZ435"/>
  <c r="AZ434" s="1"/>
  <c r="BA435"/>
  <c r="BA434" s="1"/>
  <c r="BB435"/>
  <c r="BB434" s="1"/>
  <c r="AX435"/>
  <c r="AX434" s="1"/>
  <c r="AT435"/>
  <c r="AT434" s="1"/>
  <c r="AQ435"/>
  <c r="AQ434" s="1"/>
  <c r="AU435"/>
  <c r="AU434" s="1"/>
  <c r="AR435"/>
  <c r="AR434" s="1"/>
  <c r="AS435"/>
  <c r="AS434" s="1"/>
  <c r="AP435"/>
  <c r="AP434" s="1"/>
  <c r="AX362"/>
  <c r="BB362"/>
  <c r="AY362"/>
  <c r="AZ362"/>
  <c r="BA362"/>
  <c r="AW362"/>
  <c r="AR362"/>
  <c r="AU362"/>
  <c r="AQ362"/>
  <c r="AP362"/>
  <c r="AS362"/>
  <c r="AT362"/>
  <c r="AX352"/>
  <c r="BB352"/>
  <c r="AY352"/>
  <c r="AZ352"/>
  <c r="BA352"/>
  <c r="AR352"/>
  <c r="AS352"/>
  <c r="AW352"/>
  <c r="AT352"/>
  <c r="AP352"/>
  <c r="AU352"/>
  <c r="AQ352"/>
  <c r="BA359"/>
  <c r="AX359"/>
  <c r="BB359"/>
  <c r="AY359"/>
  <c r="AW359"/>
  <c r="AZ359"/>
  <c r="AQ359"/>
  <c r="AU359"/>
  <c r="AT359"/>
  <c r="AR359"/>
  <c r="AP359"/>
  <c r="AS359"/>
  <c r="BA363"/>
  <c r="AX363"/>
  <c r="BB363"/>
  <c r="AY363"/>
  <c r="AW363"/>
  <c r="AZ363"/>
  <c r="AQ363"/>
  <c r="AU363"/>
  <c r="AR363"/>
  <c r="AS363"/>
  <c r="AP363"/>
  <c r="AT363"/>
  <c r="BA366"/>
  <c r="AX366"/>
  <c r="BB366"/>
  <c r="AY366"/>
  <c r="AW366"/>
  <c r="AZ366"/>
  <c r="AQ366"/>
  <c r="AU366"/>
  <c r="AR366"/>
  <c r="AS366"/>
  <c r="AT366"/>
  <c r="AP366"/>
  <c r="BA368"/>
  <c r="AX368"/>
  <c r="BB368"/>
  <c r="AY368"/>
  <c r="AW368"/>
  <c r="AZ368"/>
  <c r="AQ368"/>
  <c r="AU368"/>
  <c r="AS368"/>
  <c r="AT368"/>
  <c r="AP368"/>
  <c r="AR368"/>
  <c r="AX358"/>
  <c r="BB358"/>
  <c r="AY358"/>
  <c r="AZ358"/>
  <c r="BA358"/>
  <c r="AW358"/>
  <c r="AR358"/>
  <c r="AT358"/>
  <c r="AU358"/>
  <c r="AP358"/>
  <c r="AQ358"/>
  <c r="AS358"/>
  <c r="AX353"/>
  <c r="BB353"/>
  <c r="AY353"/>
  <c r="AZ353"/>
  <c r="AW353"/>
  <c r="BA353"/>
  <c r="AR353"/>
  <c r="AQ353"/>
  <c r="AS353"/>
  <c r="AP353"/>
  <c r="AT353"/>
  <c r="AU353"/>
  <c r="AZ354"/>
  <c r="BA354"/>
  <c r="AW354"/>
  <c r="AX354"/>
  <c r="BB354"/>
  <c r="AY354"/>
  <c r="AT354"/>
  <c r="AS354"/>
  <c r="AU354"/>
  <c r="AQ354"/>
  <c r="AR354"/>
  <c r="AP354"/>
  <c r="AZ361"/>
  <c r="BA361"/>
  <c r="AW361"/>
  <c r="AX361"/>
  <c r="BB361"/>
  <c r="AY361"/>
  <c r="AT361"/>
  <c r="AU361"/>
  <c r="AQ361"/>
  <c r="AR361"/>
  <c r="AS361"/>
  <c r="AP361"/>
  <c r="AZ364"/>
  <c r="BA364"/>
  <c r="AW364"/>
  <c r="AX364"/>
  <c r="BB364"/>
  <c r="AT364"/>
  <c r="AY364"/>
  <c r="AQ364"/>
  <c r="AR364"/>
  <c r="AS364"/>
  <c r="AU364"/>
  <c r="AP364"/>
  <c r="AZ355"/>
  <c r="BA355"/>
  <c r="AW355"/>
  <c r="AX355"/>
  <c r="BB355"/>
  <c r="AY355"/>
  <c r="AT355"/>
  <c r="AR355"/>
  <c r="AS355"/>
  <c r="AU355"/>
  <c r="AQ355"/>
  <c r="AP355"/>
  <c r="AY357"/>
  <c r="AW357"/>
  <c r="AZ357"/>
  <c r="BA357"/>
  <c r="AX357"/>
  <c r="BB357"/>
  <c r="AS357"/>
  <c r="AT357"/>
  <c r="AP357"/>
  <c r="AU357"/>
  <c r="AQ357"/>
  <c r="AR357"/>
  <c r="AY360"/>
  <c r="AW360"/>
  <c r="AZ360"/>
  <c r="BA360"/>
  <c r="BB360"/>
  <c r="AS360"/>
  <c r="AX360"/>
  <c r="AU360"/>
  <c r="AP360"/>
  <c r="AQ360"/>
  <c r="AR360"/>
  <c r="AT360"/>
  <c r="AY365"/>
  <c r="AW365"/>
  <c r="AZ365"/>
  <c r="BA365"/>
  <c r="AX365"/>
  <c r="BB365"/>
  <c r="AS365"/>
  <c r="AQ365"/>
  <c r="AP365"/>
  <c r="AR365"/>
  <c r="AT365"/>
  <c r="AU365"/>
  <c r="AY356"/>
  <c r="AW356"/>
  <c r="AZ356"/>
  <c r="BA356"/>
  <c r="AX356"/>
  <c r="BB356"/>
  <c r="AS356"/>
  <c r="AR356"/>
  <c r="AP356"/>
  <c r="AT356"/>
  <c r="AU356"/>
  <c r="AQ356"/>
  <c r="BC456"/>
  <c r="BD456" s="1"/>
  <c r="BC455"/>
  <c r="AF46"/>
  <c r="AG46" s="1"/>
  <c r="AF47"/>
  <c r="AG47" s="1"/>
  <c r="J47"/>
  <c r="J46"/>
  <c r="AF299"/>
  <c r="AG299" s="1"/>
  <c r="AF302"/>
  <c r="AG302" s="1"/>
  <c r="AF303"/>
  <c r="AG303" s="1"/>
  <c r="AF304"/>
  <c r="AG304" s="1"/>
  <c r="AF305"/>
  <c r="AG305" s="1"/>
  <c r="AF306"/>
  <c r="AG306" s="1"/>
  <c r="AF307"/>
  <c r="AG307" s="1"/>
  <c r="AF308"/>
  <c r="AG308" s="1"/>
  <c r="AF309"/>
  <c r="AG309" s="1"/>
  <c r="AF310"/>
  <c r="AG310" s="1"/>
  <c r="AF311"/>
  <c r="AG311" s="1"/>
  <c r="AF312"/>
  <c r="AG312" s="1"/>
  <c r="AF301"/>
  <c r="AG301" s="1"/>
  <c r="J301"/>
  <c r="J312"/>
  <c r="J311"/>
  <c r="J310"/>
  <c r="J309"/>
  <c r="J308"/>
  <c r="J307"/>
  <c r="J306"/>
  <c r="J305"/>
  <c r="J304"/>
  <c r="J303"/>
  <c r="J302"/>
  <c r="J299"/>
  <c r="AF77"/>
  <c r="AG77" s="1"/>
  <c r="AF78"/>
  <c r="AG78" s="1"/>
  <c r="AF79"/>
  <c r="AG79" s="1"/>
  <c r="J79"/>
  <c r="J78"/>
  <c r="J77"/>
  <c r="AF320"/>
  <c r="AG320" s="1"/>
  <c r="AF182"/>
  <c r="AG182" s="1"/>
  <c r="AF183"/>
  <c r="AG183" s="1"/>
  <c r="AF179"/>
  <c r="AG179" s="1"/>
  <c r="AF180"/>
  <c r="AG180" s="1"/>
  <c r="J146"/>
  <c r="AF146"/>
  <c r="AG146" s="1"/>
  <c r="AF102"/>
  <c r="AG102" s="1"/>
  <c r="AF205"/>
  <c r="AG205" s="1"/>
  <c r="AF239"/>
  <c r="AG239" s="1"/>
  <c r="J337"/>
  <c r="AF337"/>
  <c r="AG337" s="1"/>
  <c r="AV355" l="1"/>
  <c r="AV364"/>
  <c r="AV361"/>
  <c r="AV354"/>
  <c r="AV366"/>
  <c r="AV368"/>
  <c r="AV363"/>
  <c r="AV359"/>
  <c r="AV353"/>
  <c r="AV358"/>
  <c r="AV352"/>
  <c r="AV362"/>
  <c r="AV356"/>
  <c r="AV365"/>
  <c r="AV360"/>
  <c r="AV357"/>
  <c r="BC354"/>
  <c r="BC357"/>
  <c r="BC368"/>
  <c r="BC359"/>
  <c r="BC353"/>
  <c r="BC356"/>
  <c r="BC365"/>
  <c r="BC360"/>
  <c r="BC355"/>
  <c r="BC361"/>
  <c r="BC358"/>
  <c r="BC366"/>
  <c r="BC352"/>
  <c r="BC362"/>
  <c r="BC364"/>
  <c r="BC363"/>
  <c r="AZ303"/>
  <c r="BA303"/>
  <c r="AX303"/>
  <c r="BB303"/>
  <c r="AW303"/>
  <c r="AY303"/>
  <c r="AT303"/>
  <c r="AQ303"/>
  <c r="AU303"/>
  <c r="AP303"/>
  <c r="AR303"/>
  <c r="AS303"/>
  <c r="AZ311"/>
  <c r="BA311"/>
  <c r="AX311"/>
  <c r="BB311"/>
  <c r="AW311"/>
  <c r="AY311"/>
  <c r="AQ311"/>
  <c r="AU311"/>
  <c r="AR311"/>
  <c r="AP311"/>
  <c r="AS311"/>
  <c r="AT311"/>
  <c r="AY312"/>
  <c r="AZ312"/>
  <c r="BA312"/>
  <c r="AX312"/>
  <c r="BB312"/>
  <c r="AW312"/>
  <c r="AT312"/>
  <c r="AR312"/>
  <c r="AS312"/>
  <c r="AP312"/>
  <c r="AU312"/>
  <c r="AQ312"/>
  <c r="BA302"/>
  <c r="AX302"/>
  <c r="BB302"/>
  <c r="AY302"/>
  <c r="AW302"/>
  <c r="AZ302"/>
  <c r="AQ302"/>
  <c r="AU302"/>
  <c r="AR302"/>
  <c r="AS302"/>
  <c r="AT302"/>
  <c r="AP302"/>
  <c r="BA306"/>
  <c r="AX306"/>
  <c r="BB306"/>
  <c r="AY306"/>
  <c r="AW306"/>
  <c r="AZ306"/>
  <c r="AQ306"/>
  <c r="AR306"/>
  <c r="AU306"/>
  <c r="AS306"/>
  <c r="AT306"/>
  <c r="AP306"/>
  <c r="BA310"/>
  <c r="AX310"/>
  <c r="BB310"/>
  <c r="AY310"/>
  <c r="AZ310"/>
  <c r="AW310"/>
  <c r="AR310"/>
  <c r="AQ310"/>
  <c r="AS310"/>
  <c r="AT310"/>
  <c r="AU310"/>
  <c r="AP310"/>
  <c r="BA301"/>
  <c r="AX301"/>
  <c r="BB301"/>
  <c r="AY301"/>
  <c r="AZ301"/>
  <c r="AW301"/>
  <c r="AR301"/>
  <c r="AS301"/>
  <c r="AT301"/>
  <c r="AU301"/>
  <c r="AQ301"/>
  <c r="AP301"/>
  <c r="AZ337"/>
  <c r="AZ336" s="1"/>
  <c r="BA337"/>
  <c r="BA336" s="1"/>
  <c r="AX337"/>
  <c r="AX336" s="1"/>
  <c r="BB337"/>
  <c r="BB336" s="1"/>
  <c r="AW337"/>
  <c r="AW336" s="1"/>
  <c r="AY337"/>
  <c r="AY336" s="1"/>
  <c r="AQ337"/>
  <c r="AQ336" s="1"/>
  <c r="AU337"/>
  <c r="AU336" s="1"/>
  <c r="AR337"/>
  <c r="AR336" s="1"/>
  <c r="AS337"/>
  <c r="AS336" s="1"/>
  <c r="AP337"/>
  <c r="AT337"/>
  <c r="AT336" s="1"/>
  <c r="AY304"/>
  <c r="AZ304"/>
  <c r="BA304"/>
  <c r="AX304"/>
  <c r="BB304"/>
  <c r="AW304"/>
  <c r="AS304"/>
  <c r="AT304"/>
  <c r="AQ304"/>
  <c r="AR304"/>
  <c r="AP304"/>
  <c r="AU304"/>
  <c r="AZ307"/>
  <c r="BA307"/>
  <c r="AX307"/>
  <c r="BB307"/>
  <c r="AY307"/>
  <c r="AW307"/>
  <c r="AQ307"/>
  <c r="AU307"/>
  <c r="AP307"/>
  <c r="AR307"/>
  <c r="AS307"/>
  <c r="AT307"/>
  <c r="AX46"/>
  <c r="BB46"/>
  <c r="AY46"/>
  <c r="AZ46"/>
  <c r="BA46"/>
  <c r="AT46"/>
  <c r="AW46"/>
  <c r="AQ46"/>
  <c r="AU46"/>
  <c r="AR46"/>
  <c r="AS46"/>
  <c r="AP46"/>
  <c r="AY308"/>
  <c r="AZ308"/>
  <c r="BA308"/>
  <c r="AX308"/>
  <c r="BB308"/>
  <c r="AT308"/>
  <c r="AW308"/>
  <c r="AQ308"/>
  <c r="AR308"/>
  <c r="AP308"/>
  <c r="AS308"/>
  <c r="AU308"/>
  <c r="BA47"/>
  <c r="AX47"/>
  <c r="BB47"/>
  <c r="AY47"/>
  <c r="AW47"/>
  <c r="AS47"/>
  <c r="AZ47"/>
  <c r="AT47"/>
  <c r="AQ47"/>
  <c r="AU47"/>
  <c r="AR47"/>
  <c r="AP47"/>
  <c r="BA146"/>
  <c r="BA145" s="1"/>
  <c r="AX146"/>
  <c r="AX145" s="1"/>
  <c r="BB146"/>
  <c r="BB145" s="1"/>
  <c r="AY146"/>
  <c r="AY145" s="1"/>
  <c r="AZ146"/>
  <c r="AZ145" s="1"/>
  <c r="AW146"/>
  <c r="AW145" s="1"/>
  <c r="AS146"/>
  <c r="AS145" s="1"/>
  <c r="AT146"/>
  <c r="AT145" s="1"/>
  <c r="AQ146"/>
  <c r="AQ145" s="1"/>
  <c r="AU146"/>
  <c r="AU145" s="1"/>
  <c r="AR146"/>
  <c r="AR145" s="1"/>
  <c r="AP146"/>
  <c r="AX299"/>
  <c r="BB299"/>
  <c r="AY299"/>
  <c r="AZ299"/>
  <c r="BA299"/>
  <c r="AW299"/>
  <c r="AR299"/>
  <c r="AS299"/>
  <c r="AQ299"/>
  <c r="AT299"/>
  <c r="AP299"/>
  <c r="AU299"/>
  <c r="AX305"/>
  <c r="BB305"/>
  <c r="AY305"/>
  <c r="AZ305"/>
  <c r="BA305"/>
  <c r="AW305"/>
  <c r="AR305"/>
  <c r="AS305"/>
  <c r="AT305"/>
  <c r="AU305"/>
  <c r="AP305"/>
  <c r="AQ305"/>
  <c r="AX309"/>
  <c r="BB309"/>
  <c r="AY309"/>
  <c r="AZ309"/>
  <c r="AW309"/>
  <c r="BA309"/>
  <c r="AS309"/>
  <c r="AQ309"/>
  <c r="AR309"/>
  <c r="AT309"/>
  <c r="AP309"/>
  <c r="AU309"/>
  <c r="BC435"/>
  <c r="BD435" s="1"/>
  <c r="AZ78"/>
  <c r="AX78"/>
  <c r="BB78"/>
  <c r="BA78"/>
  <c r="AW78"/>
  <c r="AY78"/>
  <c r="AS78"/>
  <c r="AQ78"/>
  <c r="AP78"/>
  <c r="AR78"/>
  <c r="AT78"/>
  <c r="AU78"/>
  <c r="AY79"/>
  <c r="BA79"/>
  <c r="AW79"/>
  <c r="AX79"/>
  <c r="AR79"/>
  <c r="BB79"/>
  <c r="AQ79"/>
  <c r="AS79"/>
  <c r="AP79"/>
  <c r="AT79"/>
  <c r="AZ79"/>
  <c r="AU79"/>
  <c r="BA77"/>
  <c r="AY77"/>
  <c r="AX77"/>
  <c r="AZ77"/>
  <c r="AT77"/>
  <c r="AP77"/>
  <c r="AQ77"/>
  <c r="AR77"/>
  <c r="AS77"/>
  <c r="BB77"/>
  <c r="AW77"/>
  <c r="AU77"/>
  <c r="AF76"/>
  <c r="AF336"/>
  <c r="AF145"/>
  <c r="BD359" l="1"/>
  <c r="BD362"/>
  <c r="BD354"/>
  <c r="BD361"/>
  <c r="BD364"/>
  <c r="BD358"/>
  <c r="BD365"/>
  <c r="BD368"/>
  <c r="BD355"/>
  <c r="BD353"/>
  <c r="BD366"/>
  <c r="BD356"/>
  <c r="BD357"/>
  <c r="BD352"/>
  <c r="BD363"/>
  <c r="BD360"/>
  <c r="BC304"/>
  <c r="BD304" s="1"/>
  <c r="BC302"/>
  <c r="BD302" s="1"/>
  <c r="BC77"/>
  <c r="BD77" s="1"/>
  <c r="AX76"/>
  <c r="BC308"/>
  <c r="BD308" s="1"/>
  <c r="BC312"/>
  <c r="BD312" s="1"/>
  <c r="AP76"/>
  <c r="AY76"/>
  <c r="BC305"/>
  <c r="BD305" s="1"/>
  <c r="BC299"/>
  <c r="BD299" s="1"/>
  <c r="BC307"/>
  <c r="BD307" s="1"/>
  <c r="BC301"/>
  <c r="BD301" s="1"/>
  <c r="BC310"/>
  <c r="BD310" s="1"/>
  <c r="BC306"/>
  <c r="BD306" s="1"/>
  <c r="BC311"/>
  <c r="BD311" s="1"/>
  <c r="BC303"/>
  <c r="BD303" s="1"/>
  <c r="BC309"/>
  <c r="BD309" s="1"/>
  <c r="AR45"/>
  <c r="AT45"/>
  <c r="BB45"/>
  <c r="AQ45"/>
  <c r="BC47"/>
  <c r="BD47" s="1"/>
  <c r="AU45"/>
  <c r="AX45"/>
  <c r="BC79"/>
  <c r="BD79" s="1"/>
  <c r="BA45"/>
  <c r="AP336"/>
  <c r="AV337"/>
  <c r="BC337"/>
  <c r="AS76"/>
  <c r="AT76"/>
  <c r="BA76"/>
  <c r="AP45"/>
  <c r="AZ45"/>
  <c r="BC46"/>
  <c r="BD46" s="1"/>
  <c r="BC146"/>
  <c r="BC78"/>
  <c r="BD78" s="1"/>
  <c r="AP145"/>
  <c r="AV146"/>
  <c r="AS45"/>
  <c r="AW45"/>
  <c r="AY45"/>
  <c r="AU76"/>
  <c r="AZ76"/>
  <c r="AR76"/>
  <c r="AW76"/>
  <c r="AQ76"/>
  <c r="BB76"/>
  <c r="BC336"/>
  <c r="BD146" l="1"/>
  <c r="BD337"/>
  <c r="AF388"/>
  <c r="AG388" s="1"/>
  <c r="AF389"/>
  <c r="AG389" s="1"/>
  <c r="AF390"/>
  <c r="AG390" s="1"/>
  <c r="AF391"/>
  <c r="AG391" s="1"/>
  <c r="J391"/>
  <c r="J390"/>
  <c r="J389"/>
  <c r="J388"/>
  <c r="J392"/>
  <c r="AF314"/>
  <c r="AG314" s="1"/>
  <c r="J314"/>
  <c r="AF327"/>
  <c r="AG327" s="1"/>
  <c r="J40"/>
  <c r="AF40"/>
  <c r="AG40" s="1"/>
  <c r="J37"/>
  <c r="AF37"/>
  <c r="Y37"/>
  <c r="J282"/>
  <c r="AF282"/>
  <c r="AG282" s="1"/>
  <c r="J274"/>
  <c r="AF274"/>
  <c r="AG274" s="1"/>
  <c r="AG142"/>
  <c r="AG141"/>
  <c r="AG140"/>
  <c r="AG137"/>
  <c r="AG138"/>
  <c r="AG139"/>
  <c r="AG136"/>
  <c r="J136"/>
  <c r="J139"/>
  <c r="J138"/>
  <c r="J137"/>
  <c r="J140"/>
  <c r="J141"/>
  <c r="J142"/>
  <c r="J185"/>
  <c r="AF185"/>
  <c r="AG185" s="1"/>
  <c r="AF265"/>
  <c r="AG265" s="1"/>
  <c r="AF264"/>
  <c r="AG264" s="1"/>
  <c r="AF263"/>
  <c r="J264"/>
  <c r="J265"/>
  <c r="J263"/>
  <c r="W65" i="2"/>
  <c r="X65" s="1"/>
  <c r="AF195" i="1"/>
  <c r="AG195" s="1"/>
  <c r="AF196"/>
  <c r="AG196" s="1"/>
  <c r="AF197"/>
  <c r="AG197" s="1"/>
  <c r="AF198"/>
  <c r="AG198" s="1"/>
  <c r="J198"/>
  <c r="J197"/>
  <c r="J196"/>
  <c r="J195"/>
  <c r="AF323"/>
  <c r="AG323" s="1"/>
  <c r="AF324"/>
  <c r="AG324" s="1"/>
  <c r="J323"/>
  <c r="J324"/>
  <c r="J325"/>
  <c r="AF325"/>
  <c r="AG325" s="1"/>
  <c r="AF447"/>
  <c r="AG447" s="1"/>
  <c r="AF438"/>
  <c r="AG438" s="1"/>
  <c r="AF439"/>
  <c r="AG439" s="1"/>
  <c r="AF440"/>
  <c r="AG440" s="1"/>
  <c r="AF441"/>
  <c r="AG441" s="1"/>
  <c r="AF442"/>
  <c r="AG442" s="1"/>
  <c r="AF443"/>
  <c r="AG443" s="1"/>
  <c r="AF444"/>
  <c r="AG444" s="1"/>
  <c r="AF445"/>
  <c r="AG445" s="1"/>
  <c r="AF446"/>
  <c r="AG446" s="1"/>
  <c r="AF448"/>
  <c r="AG448" s="1"/>
  <c r="AF452"/>
  <c r="AG452" s="1"/>
  <c r="AF454"/>
  <c r="AG454" s="1"/>
  <c r="AF451"/>
  <c r="AG451" s="1"/>
  <c r="AF450"/>
  <c r="AG450" s="1"/>
  <c r="AF449"/>
  <c r="AG449" s="1"/>
  <c r="AF453"/>
  <c r="AG453" s="1"/>
  <c r="J453"/>
  <c r="J449"/>
  <c r="J450"/>
  <c r="J451"/>
  <c r="J454"/>
  <c r="J452"/>
  <c r="J448"/>
  <c r="J446"/>
  <c r="J445"/>
  <c r="J444"/>
  <c r="J443"/>
  <c r="J442"/>
  <c r="J441"/>
  <c r="J440"/>
  <c r="J439"/>
  <c r="J438"/>
  <c r="J447"/>
  <c r="AF85"/>
  <c r="AG85" s="1"/>
  <c r="J85"/>
  <c r="AG437" l="1"/>
  <c r="AX323"/>
  <c r="BB323"/>
  <c r="AY323"/>
  <c r="AZ323"/>
  <c r="BA323"/>
  <c r="AW323"/>
  <c r="AT323"/>
  <c r="AS323"/>
  <c r="AP323"/>
  <c r="AU323"/>
  <c r="AQ323"/>
  <c r="AR323"/>
  <c r="BA196"/>
  <c r="AX196"/>
  <c r="BB196"/>
  <c r="AY196"/>
  <c r="AZ196"/>
  <c r="AW196"/>
  <c r="AR196"/>
  <c r="AT196"/>
  <c r="AQ196"/>
  <c r="AS196"/>
  <c r="AU196"/>
  <c r="AP196"/>
  <c r="BA263"/>
  <c r="AX263"/>
  <c r="BB263"/>
  <c r="AY263"/>
  <c r="AZ263"/>
  <c r="AT263"/>
  <c r="AW263"/>
  <c r="AR263"/>
  <c r="AQ263"/>
  <c r="AS263"/>
  <c r="AU263"/>
  <c r="AP263"/>
  <c r="AY142"/>
  <c r="AZ142"/>
  <c r="BA142"/>
  <c r="BB142"/>
  <c r="AX142"/>
  <c r="AW142"/>
  <c r="AS142"/>
  <c r="AT142"/>
  <c r="AQ142"/>
  <c r="AU142"/>
  <c r="AP142"/>
  <c r="AR142"/>
  <c r="AY138"/>
  <c r="AZ138"/>
  <c r="AX138"/>
  <c r="BA138"/>
  <c r="AW138"/>
  <c r="BB138"/>
  <c r="AS138"/>
  <c r="AT138"/>
  <c r="AQ138"/>
  <c r="AU138"/>
  <c r="AR138"/>
  <c r="AP138"/>
  <c r="BA37"/>
  <c r="BA36" s="1"/>
  <c r="AX37"/>
  <c r="AX36" s="1"/>
  <c r="BB37"/>
  <c r="BB36" s="1"/>
  <c r="AY37"/>
  <c r="AY36" s="1"/>
  <c r="AZ37"/>
  <c r="AZ36" s="1"/>
  <c r="AW37"/>
  <c r="AW36" s="1"/>
  <c r="AQ37"/>
  <c r="AQ36" s="1"/>
  <c r="AU37"/>
  <c r="AU36" s="1"/>
  <c r="AR37"/>
  <c r="AR36" s="1"/>
  <c r="AS37"/>
  <c r="AS36" s="1"/>
  <c r="AT37"/>
  <c r="AT36" s="1"/>
  <c r="AP37"/>
  <c r="AP36" s="1"/>
  <c r="AZ314"/>
  <c r="AZ313" s="1"/>
  <c r="BA314"/>
  <c r="BA313" s="1"/>
  <c r="AX314"/>
  <c r="AX313" s="1"/>
  <c r="BB314"/>
  <c r="BB313" s="1"/>
  <c r="AY314"/>
  <c r="AY313" s="1"/>
  <c r="AW314"/>
  <c r="AW313" s="1"/>
  <c r="AT314"/>
  <c r="AT313" s="1"/>
  <c r="AU314"/>
  <c r="AU313" s="1"/>
  <c r="AQ314"/>
  <c r="AQ313" s="1"/>
  <c r="AP314"/>
  <c r="AP313" s="1"/>
  <c r="AR314"/>
  <c r="AR313" s="1"/>
  <c r="AS314"/>
  <c r="AS313" s="1"/>
  <c r="AZ389"/>
  <c r="BA389"/>
  <c r="AX389"/>
  <c r="BB389"/>
  <c r="AW389"/>
  <c r="AR389"/>
  <c r="AY389"/>
  <c r="AT389"/>
  <c r="AU389"/>
  <c r="AQ389"/>
  <c r="AP389"/>
  <c r="AS389"/>
  <c r="AZ197"/>
  <c r="BA197"/>
  <c r="AX197"/>
  <c r="BB197"/>
  <c r="AY197"/>
  <c r="AW197"/>
  <c r="AQ197"/>
  <c r="AU197"/>
  <c r="AS197"/>
  <c r="AT197"/>
  <c r="AP197"/>
  <c r="AR197"/>
  <c r="AY265"/>
  <c r="AZ265"/>
  <c r="BA265"/>
  <c r="AW265"/>
  <c r="AX265"/>
  <c r="BB265"/>
  <c r="AR265"/>
  <c r="AT265"/>
  <c r="AU265"/>
  <c r="AQ265"/>
  <c r="AS265"/>
  <c r="AP265"/>
  <c r="AX141"/>
  <c r="BB141"/>
  <c r="AY141"/>
  <c r="AZ141"/>
  <c r="BA141"/>
  <c r="AR141"/>
  <c r="AW141"/>
  <c r="AS141"/>
  <c r="AT141"/>
  <c r="AQ141"/>
  <c r="AU141"/>
  <c r="AP141"/>
  <c r="AX139"/>
  <c r="BB139"/>
  <c r="AY139"/>
  <c r="AZ139"/>
  <c r="BA139"/>
  <c r="AW139"/>
  <c r="AR139"/>
  <c r="AS139"/>
  <c r="AT139"/>
  <c r="AQ139"/>
  <c r="AU139"/>
  <c r="AP139"/>
  <c r="BA282"/>
  <c r="BA281" s="1"/>
  <c r="AX282"/>
  <c r="AX281" s="1"/>
  <c r="BB282"/>
  <c r="BB281" s="1"/>
  <c r="AY282"/>
  <c r="AY281" s="1"/>
  <c r="AW282"/>
  <c r="AW281" s="1"/>
  <c r="AZ282"/>
  <c r="AZ281" s="1"/>
  <c r="AS282"/>
  <c r="AS281" s="1"/>
  <c r="AT282"/>
  <c r="AT281" s="1"/>
  <c r="AQ282"/>
  <c r="AQ281" s="1"/>
  <c r="AU282"/>
  <c r="AU281" s="1"/>
  <c r="AR282"/>
  <c r="AR281" s="1"/>
  <c r="AP282"/>
  <c r="AP281" s="1"/>
  <c r="AY390"/>
  <c r="AZ390"/>
  <c r="AW390"/>
  <c r="BA390"/>
  <c r="AX390"/>
  <c r="BB390"/>
  <c r="AQ390"/>
  <c r="AU390"/>
  <c r="AT390"/>
  <c r="AR390"/>
  <c r="AS390"/>
  <c r="AP390"/>
  <c r="AZ325"/>
  <c r="BA325"/>
  <c r="BB325"/>
  <c r="AX325"/>
  <c r="AW325"/>
  <c r="AR325"/>
  <c r="AY325"/>
  <c r="AT325"/>
  <c r="AU325"/>
  <c r="AQ325"/>
  <c r="AS325"/>
  <c r="AP325"/>
  <c r="AY198"/>
  <c r="AZ198"/>
  <c r="BA198"/>
  <c r="AX198"/>
  <c r="BB198"/>
  <c r="AW198"/>
  <c r="AT198"/>
  <c r="AR198"/>
  <c r="AQ198"/>
  <c r="AS198"/>
  <c r="AP198"/>
  <c r="AU198"/>
  <c r="AZ264"/>
  <c r="BA264"/>
  <c r="AX264"/>
  <c r="BB264"/>
  <c r="AY264"/>
  <c r="AW264"/>
  <c r="AS264"/>
  <c r="AQ264"/>
  <c r="AU264"/>
  <c r="AR264"/>
  <c r="AT264"/>
  <c r="AP264"/>
  <c r="BA140"/>
  <c r="AX140"/>
  <c r="BB140"/>
  <c r="AY140"/>
  <c r="AZ140"/>
  <c r="AW140"/>
  <c r="AQ140"/>
  <c r="AU140"/>
  <c r="AR140"/>
  <c r="AS140"/>
  <c r="AT140"/>
  <c r="AP140"/>
  <c r="BA136"/>
  <c r="AX136"/>
  <c r="BB136"/>
  <c r="AY136"/>
  <c r="AZ136"/>
  <c r="AW136"/>
  <c r="AQ136"/>
  <c r="AU136"/>
  <c r="AR136"/>
  <c r="AS136"/>
  <c r="AT136"/>
  <c r="AP136"/>
  <c r="AX392"/>
  <c r="BB392"/>
  <c r="AW392"/>
  <c r="AY392"/>
  <c r="AZ392"/>
  <c r="BA392"/>
  <c r="AT392"/>
  <c r="AS392"/>
  <c r="AU392"/>
  <c r="AP392"/>
  <c r="AQ392"/>
  <c r="AR392"/>
  <c r="AX391"/>
  <c r="BB391"/>
  <c r="AW391"/>
  <c r="AY391"/>
  <c r="AZ391"/>
  <c r="BA391"/>
  <c r="AT391"/>
  <c r="AU391"/>
  <c r="AP391"/>
  <c r="AQ391"/>
  <c r="AR391"/>
  <c r="AS391"/>
  <c r="BA85"/>
  <c r="BA84" s="1"/>
  <c r="AX85"/>
  <c r="AX84" s="1"/>
  <c r="BB85"/>
  <c r="BB84" s="1"/>
  <c r="AY85"/>
  <c r="AY84" s="1"/>
  <c r="AZ85"/>
  <c r="AZ84" s="1"/>
  <c r="AW85"/>
  <c r="AW84" s="1"/>
  <c r="AQ85"/>
  <c r="AQ84" s="1"/>
  <c r="AU85"/>
  <c r="AU84" s="1"/>
  <c r="AR85"/>
  <c r="AR84" s="1"/>
  <c r="AS85"/>
  <c r="AS84" s="1"/>
  <c r="AT85"/>
  <c r="AT84" s="1"/>
  <c r="AP85"/>
  <c r="AP84" s="1"/>
  <c r="AX447"/>
  <c r="AX437" s="1"/>
  <c r="BB447"/>
  <c r="BB437" s="1"/>
  <c r="AY447"/>
  <c r="AY437" s="1"/>
  <c r="AW447"/>
  <c r="AW437" s="1"/>
  <c r="AZ447"/>
  <c r="AZ437" s="1"/>
  <c r="AT447"/>
  <c r="AT437" s="1"/>
  <c r="AQ447"/>
  <c r="AQ437" s="1"/>
  <c r="AU447"/>
  <c r="AU437" s="1"/>
  <c r="BA447"/>
  <c r="BA437" s="1"/>
  <c r="AR447"/>
  <c r="AR437" s="1"/>
  <c r="AP447"/>
  <c r="AP437" s="1"/>
  <c r="AS447"/>
  <c r="AS437" s="1"/>
  <c r="BA324"/>
  <c r="AX324"/>
  <c r="BB324"/>
  <c r="AY324"/>
  <c r="AZ324"/>
  <c r="AW324"/>
  <c r="AS324"/>
  <c r="AT324"/>
  <c r="AU324"/>
  <c r="AQ324"/>
  <c r="AP324"/>
  <c r="AR324"/>
  <c r="AX195"/>
  <c r="BB195"/>
  <c r="AY195"/>
  <c r="AZ195"/>
  <c r="BA195"/>
  <c r="AW195"/>
  <c r="AS195"/>
  <c r="AQ195"/>
  <c r="AU195"/>
  <c r="AR195"/>
  <c r="AT195"/>
  <c r="AP195"/>
  <c r="AZ185"/>
  <c r="AZ184" s="1"/>
  <c r="BA185"/>
  <c r="BA184" s="1"/>
  <c r="AX185"/>
  <c r="AX184" s="1"/>
  <c r="AY185"/>
  <c r="AY184" s="1"/>
  <c r="BB185"/>
  <c r="BB184" s="1"/>
  <c r="AW185"/>
  <c r="AW184" s="1"/>
  <c r="AS185"/>
  <c r="AS184" s="1"/>
  <c r="AQ185"/>
  <c r="AQ184" s="1"/>
  <c r="AU185"/>
  <c r="AU184" s="1"/>
  <c r="AR185"/>
  <c r="AR184" s="1"/>
  <c r="AT185"/>
  <c r="AT184" s="1"/>
  <c r="AP185"/>
  <c r="AP184" s="1"/>
  <c r="AZ137"/>
  <c r="BA137"/>
  <c r="BB137"/>
  <c r="AX137"/>
  <c r="AY137"/>
  <c r="AW137"/>
  <c r="AT137"/>
  <c r="AQ137"/>
  <c r="AU137"/>
  <c r="AR137"/>
  <c r="AP137"/>
  <c r="AS137"/>
  <c r="AX274"/>
  <c r="AX273" s="1"/>
  <c r="BB274"/>
  <c r="BB273" s="1"/>
  <c r="AY274"/>
  <c r="AY273" s="1"/>
  <c r="AZ274"/>
  <c r="AZ273" s="1"/>
  <c r="AT274"/>
  <c r="AT273" s="1"/>
  <c r="AW274"/>
  <c r="AW273" s="1"/>
  <c r="AR274"/>
  <c r="AR273" s="1"/>
  <c r="AQ274"/>
  <c r="AQ273" s="1"/>
  <c r="AS274"/>
  <c r="AS273" s="1"/>
  <c r="AU274"/>
  <c r="AU273" s="1"/>
  <c r="BA274"/>
  <c r="BA273" s="1"/>
  <c r="AP274"/>
  <c r="AP273" s="1"/>
  <c r="BA388"/>
  <c r="AX388"/>
  <c r="BB388"/>
  <c r="AY388"/>
  <c r="AZ388"/>
  <c r="AW388"/>
  <c r="AS388"/>
  <c r="AT388"/>
  <c r="AU388"/>
  <c r="AP388"/>
  <c r="AQ388"/>
  <c r="AR388"/>
  <c r="AZ40"/>
  <c r="AZ39" s="1"/>
  <c r="AX40"/>
  <c r="AX39" s="1"/>
  <c r="BB40"/>
  <c r="BB39" s="1"/>
  <c r="AY40"/>
  <c r="AY39" s="1"/>
  <c r="AR40"/>
  <c r="AR39" s="1"/>
  <c r="BA40"/>
  <c r="BA39" s="1"/>
  <c r="AT40"/>
  <c r="AT39" s="1"/>
  <c r="AU40"/>
  <c r="AU39" s="1"/>
  <c r="AP40"/>
  <c r="AP39" s="1"/>
  <c r="AW40"/>
  <c r="AW39" s="1"/>
  <c r="AQ40"/>
  <c r="AQ39" s="1"/>
  <c r="AS40"/>
  <c r="AS39" s="1"/>
  <c r="BC440"/>
  <c r="BD440" s="1"/>
  <c r="BC444"/>
  <c r="BD444" s="1"/>
  <c r="BC452"/>
  <c r="BD452" s="1"/>
  <c r="BC449"/>
  <c r="BD449" s="1"/>
  <c r="AG263"/>
  <c r="AF262"/>
  <c r="AG262" s="1"/>
  <c r="BC441"/>
  <c r="BD441" s="1"/>
  <c r="BC445"/>
  <c r="BD445" s="1"/>
  <c r="BC454"/>
  <c r="BD454" s="1"/>
  <c r="BC453"/>
  <c r="BD453" s="1"/>
  <c r="AF322"/>
  <c r="AF273"/>
  <c r="BC438"/>
  <c r="BD438" s="1"/>
  <c r="BC442"/>
  <c r="BD442" s="1"/>
  <c r="BC446"/>
  <c r="BD446" s="1"/>
  <c r="BC451"/>
  <c r="BD451" s="1"/>
  <c r="AF281"/>
  <c r="AF313"/>
  <c r="AG37"/>
  <c r="AF392"/>
  <c r="AF36"/>
  <c r="BC439"/>
  <c r="BD439" s="1"/>
  <c r="BC443"/>
  <c r="BD443" s="1"/>
  <c r="BC448"/>
  <c r="BD448" s="1"/>
  <c r="BC450"/>
  <c r="BD450" s="1"/>
  <c r="AF123"/>
  <c r="AG123" s="1"/>
  <c r="AF124"/>
  <c r="AG124" s="1"/>
  <c r="J124"/>
  <c r="J123"/>
  <c r="AF318"/>
  <c r="AG318" s="1"/>
  <c r="AF317"/>
  <c r="AG317" s="1"/>
  <c r="J317"/>
  <c r="J318"/>
  <c r="J320"/>
  <c r="AF241"/>
  <c r="AG241" s="1"/>
  <c r="AF242"/>
  <c r="AG242" s="1"/>
  <c r="J242"/>
  <c r="J241"/>
  <c r="AF55"/>
  <c r="AG55" s="1"/>
  <c r="J55"/>
  <c r="J166"/>
  <c r="AF166"/>
  <c r="AG166" s="1"/>
  <c r="AF276"/>
  <c r="Y276"/>
  <c r="J276"/>
  <c r="J278"/>
  <c r="AF278"/>
  <c r="AG278" s="1"/>
  <c r="AF217"/>
  <c r="AF218"/>
  <c r="AG218" s="1"/>
  <c r="AF219"/>
  <c r="AG219" s="1"/>
  <c r="AF220"/>
  <c r="AG220" s="1"/>
  <c r="AF221"/>
  <c r="AG221" s="1"/>
  <c r="AF222"/>
  <c r="AG222" s="1"/>
  <c r="AF223"/>
  <c r="AG223" s="1"/>
  <c r="AF224"/>
  <c r="AG224" s="1"/>
  <c r="AF225"/>
  <c r="AG225" s="1"/>
  <c r="AF226"/>
  <c r="AG226" s="1"/>
  <c r="J226"/>
  <c r="J225"/>
  <c r="J224"/>
  <c r="J223"/>
  <c r="J222"/>
  <c r="J221"/>
  <c r="J220"/>
  <c r="J219"/>
  <c r="J218"/>
  <c r="J217"/>
  <c r="AF15"/>
  <c r="AG15" s="1"/>
  <c r="J15"/>
  <c r="AG392" l="1"/>
  <c r="AF387"/>
  <c r="AG387" s="1"/>
  <c r="BC390"/>
  <c r="BD390" s="1"/>
  <c r="BC392"/>
  <c r="BD392" s="1"/>
  <c r="AQ322"/>
  <c r="BC391"/>
  <c r="BD391" s="1"/>
  <c r="BC323"/>
  <c r="BD323" s="1"/>
  <c r="BC447"/>
  <c r="BD447" s="1"/>
  <c r="AZ322"/>
  <c r="BC388"/>
  <c r="BD388" s="1"/>
  <c r="BC282"/>
  <c r="BD282" s="1"/>
  <c r="BC325"/>
  <c r="BD325" s="1"/>
  <c r="BC389"/>
  <c r="BD389" s="1"/>
  <c r="AP194"/>
  <c r="BC324"/>
  <c r="BD324" s="1"/>
  <c r="BC264"/>
  <c r="BD264" s="1"/>
  <c r="BC265"/>
  <c r="BD265" s="1"/>
  <c r="BC138"/>
  <c r="BD138" s="1"/>
  <c r="AP387"/>
  <c r="BB322"/>
  <c r="AU322"/>
  <c r="AS15"/>
  <c r="AX15"/>
  <c r="BB15"/>
  <c r="AP15"/>
  <c r="AQ15"/>
  <c r="AU15"/>
  <c r="AZ15"/>
  <c r="AR15"/>
  <c r="AW15"/>
  <c r="BA15"/>
  <c r="AT15"/>
  <c r="AY15"/>
  <c r="BA194"/>
  <c r="BC85"/>
  <c r="BD85" s="1"/>
  <c r="BC141"/>
  <c r="BD141" s="1"/>
  <c r="BC137"/>
  <c r="BD137" s="1"/>
  <c r="BC136"/>
  <c r="BD136" s="1"/>
  <c r="BC140"/>
  <c r="BD140" s="1"/>
  <c r="BC139"/>
  <c r="BD139" s="1"/>
  <c r="BC37"/>
  <c r="BD37" s="1"/>
  <c r="AX194"/>
  <c r="AW135"/>
  <c r="AZ135"/>
  <c r="AW262"/>
  <c r="BB262"/>
  <c r="AU194"/>
  <c r="AX219"/>
  <c r="BB219"/>
  <c r="AY219"/>
  <c r="AZ219"/>
  <c r="BA219"/>
  <c r="AW219"/>
  <c r="AR219"/>
  <c r="AT219"/>
  <c r="AS219"/>
  <c r="AU219"/>
  <c r="AQ219"/>
  <c r="AP219"/>
  <c r="AX223"/>
  <c r="BB223"/>
  <c r="AY223"/>
  <c r="BA223"/>
  <c r="AW223"/>
  <c r="AZ223"/>
  <c r="AR223"/>
  <c r="AT223"/>
  <c r="AQ223"/>
  <c r="AS223"/>
  <c r="AU223"/>
  <c r="AP223"/>
  <c r="AX318"/>
  <c r="BB318"/>
  <c r="AY318"/>
  <c r="AZ318"/>
  <c r="AW318"/>
  <c r="BA318"/>
  <c r="AT318"/>
  <c r="AR318"/>
  <c r="AP318"/>
  <c r="AS318"/>
  <c r="AU318"/>
  <c r="AQ318"/>
  <c r="AZ225"/>
  <c r="BA225"/>
  <c r="AY225"/>
  <c r="BB225"/>
  <c r="AW225"/>
  <c r="AX225"/>
  <c r="AT225"/>
  <c r="AR225"/>
  <c r="AU225"/>
  <c r="AQ225"/>
  <c r="AS225"/>
  <c r="AP225"/>
  <c r="BA317"/>
  <c r="AX317"/>
  <c r="BB317"/>
  <c r="AY317"/>
  <c r="AZ317"/>
  <c r="AW317"/>
  <c r="AS317"/>
  <c r="AR317"/>
  <c r="AT317"/>
  <c r="AU317"/>
  <c r="AQ317"/>
  <c r="AP317"/>
  <c r="AQ135"/>
  <c r="AX135"/>
  <c r="AS262"/>
  <c r="AT262"/>
  <c r="AX262"/>
  <c r="BA220"/>
  <c r="AX220"/>
  <c r="BB220"/>
  <c r="AY220"/>
  <c r="AZ220"/>
  <c r="AQ220"/>
  <c r="AU220"/>
  <c r="AS220"/>
  <c r="AW220"/>
  <c r="AR220"/>
  <c r="AP220"/>
  <c r="AT220"/>
  <c r="BA224"/>
  <c r="AX224"/>
  <c r="BB224"/>
  <c r="AY224"/>
  <c r="AZ224"/>
  <c r="AQ224"/>
  <c r="AU224"/>
  <c r="AW224"/>
  <c r="AS224"/>
  <c r="AR224"/>
  <c r="AT224"/>
  <c r="AP224"/>
  <c r="BA166"/>
  <c r="BA165" s="1"/>
  <c r="AX166"/>
  <c r="AX165" s="1"/>
  <c r="BB166"/>
  <c r="BB165" s="1"/>
  <c r="AZ166"/>
  <c r="AZ165" s="1"/>
  <c r="AY166"/>
  <c r="AY165" s="1"/>
  <c r="AW166"/>
  <c r="AW165" s="1"/>
  <c r="AQ166"/>
  <c r="AQ165" s="1"/>
  <c r="AU166"/>
  <c r="AU165" s="1"/>
  <c r="AS166"/>
  <c r="AS165" s="1"/>
  <c r="AR166"/>
  <c r="AR165" s="1"/>
  <c r="AT166"/>
  <c r="AT165" s="1"/>
  <c r="AP166"/>
  <c r="AP165" s="1"/>
  <c r="AX242"/>
  <c r="BB242"/>
  <c r="AY242"/>
  <c r="BA242"/>
  <c r="AZ242"/>
  <c r="AT242"/>
  <c r="AR242"/>
  <c r="AW242"/>
  <c r="AQ242"/>
  <c r="AS242"/>
  <c r="AU242"/>
  <c r="AP242"/>
  <c r="BC185"/>
  <c r="BD185" s="1"/>
  <c r="BB387"/>
  <c r="AZ217"/>
  <c r="BA217"/>
  <c r="AX217"/>
  <c r="BB217"/>
  <c r="AY217"/>
  <c r="AW217"/>
  <c r="AT217"/>
  <c r="AR217"/>
  <c r="AU217"/>
  <c r="AQ217"/>
  <c r="AS217"/>
  <c r="AP217"/>
  <c r="AZ221"/>
  <c r="BA221"/>
  <c r="AX221"/>
  <c r="BB221"/>
  <c r="AY221"/>
  <c r="AW221"/>
  <c r="AT221"/>
  <c r="AR221"/>
  <c r="AQ221"/>
  <c r="AS221"/>
  <c r="AU221"/>
  <c r="AP221"/>
  <c r="AZ194"/>
  <c r="AU387"/>
  <c r="AZ387"/>
  <c r="AX387"/>
  <c r="AT322"/>
  <c r="AY218"/>
  <c r="AZ218"/>
  <c r="BA218"/>
  <c r="BB218"/>
  <c r="AX218"/>
  <c r="AW218"/>
  <c r="AS218"/>
  <c r="AQ218"/>
  <c r="AU218"/>
  <c r="AR218"/>
  <c r="AT218"/>
  <c r="AP218"/>
  <c r="AY222"/>
  <c r="AZ222"/>
  <c r="AX222"/>
  <c r="BA222"/>
  <c r="BB222"/>
  <c r="AW222"/>
  <c r="AS222"/>
  <c r="AQ222"/>
  <c r="AU222"/>
  <c r="AT222"/>
  <c r="AP222"/>
  <c r="AR222"/>
  <c r="AY226"/>
  <c r="AZ226"/>
  <c r="BB226"/>
  <c r="AX226"/>
  <c r="BA226"/>
  <c r="AW226"/>
  <c r="AS226"/>
  <c r="AQ226"/>
  <c r="AU226"/>
  <c r="AR226"/>
  <c r="AT226"/>
  <c r="AP226"/>
  <c r="BA278"/>
  <c r="BA277" s="1"/>
  <c r="AX278"/>
  <c r="AX277" s="1"/>
  <c r="BB278"/>
  <c r="BB277" s="1"/>
  <c r="AY278"/>
  <c r="AY277" s="1"/>
  <c r="AW278"/>
  <c r="AW277" s="1"/>
  <c r="AZ278"/>
  <c r="AZ277" s="1"/>
  <c r="AT278"/>
  <c r="AT277" s="1"/>
  <c r="AQ278"/>
  <c r="AQ277" s="1"/>
  <c r="AU278"/>
  <c r="AU277" s="1"/>
  <c r="AR278"/>
  <c r="AR277" s="1"/>
  <c r="AP278"/>
  <c r="AP277" s="1"/>
  <c r="AS278"/>
  <c r="AS277" s="1"/>
  <c r="BC263"/>
  <c r="BD263" s="1"/>
  <c r="BC40"/>
  <c r="BD40" s="1"/>
  <c r="AU135"/>
  <c r="AY135"/>
  <c r="AS194"/>
  <c r="AY194"/>
  <c r="AS387"/>
  <c r="AR262"/>
  <c r="AY322"/>
  <c r="BA387"/>
  <c r="AQ262"/>
  <c r="AR135"/>
  <c r="AT135"/>
  <c r="BB135"/>
  <c r="BC142"/>
  <c r="BD142" s="1"/>
  <c r="AZ262"/>
  <c r="BA262"/>
  <c r="AQ194"/>
  <c r="AP322"/>
  <c r="BA322"/>
  <c r="AX322"/>
  <c r="AX276"/>
  <c r="AX275" s="1"/>
  <c r="BB276"/>
  <c r="BB275" s="1"/>
  <c r="AY276"/>
  <c r="AY275" s="1"/>
  <c r="AZ276"/>
  <c r="AZ275" s="1"/>
  <c r="BA276"/>
  <c r="BA275" s="1"/>
  <c r="AW276"/>
  <c r="AW275" s="1"/>
  <c r="AS276"/>
  <c r="AS275" s="1"/>
  <c r="AQ276"/>
  <c r="AQ275" s="1"/>
  <c r="AU276"/>
  <c r="AU275" s="1"/>
  <c r="AR276"/>
  <c r="AR275" s="1"/>
  <c r="AT276"/>
  <c r="AT275" s="1"/>
  <c r="AP276"/>
  <c r="AY241"/>
  <c r="AZ241"/>
  <c r="AX241"/>
  <c r="BA241"/>
  <c r="BA240" s="1"/>
  <c r="BB241"/>
  <c r="AW241"/>
  <c r="AQ241"/>
  <c r="AU241"/>
  <c r="AS241"/>
  <c r="AR241"/>
  <c r="AT241"/>
  <c r="AP241"/>
  <c r="AP240" s="1"/>
  <c r="AX320"/>
  <c r="AX319" s="1"/>
  <c r="BB320"/>
  <c r="BB319" s="1"/>
  <c r="AY320"/>
  <c r="AY319" s="1"/>
  <c r="AZ320"/>
  <c r="AZ319" s="1"/>
  <c r="BA320"/>
  <c r="BA319" s="1"/>
  <c r="AW320"/>
  <c r="AW319" s="1"/>
  <c r="AS320"/>
  <c r="AS319" s="1"/>
  <c r="AU320"/>
  <c r="AU319" s="1"/>
  <c r="AQ320"/>
  <c r="AQ319" s="1"/>
  <c r="AR320"/>
  <c r="AR319" s="1"/>
  <c r="AP320"/>
  <c r="AP319" s="1"/>
  <c r="AT320"/>
  <c r="AT319" s="1"/>
  <c r="BC274"/>
  <c r="BD274" s="1"/>
  <c r="BC314"/>
  <c r="BD314" s="1"/>
  <c r="AR387"/>
  <c r="AT387"/>
  <c r="AY387"/>
  <c r="AR194"/>
  <c r="AW194"/>
  <c r="BB194"/>
  <c r="AW322"/>
  <c r="AV437"/>
  <c r="AQ387"/>
  <c r="AW387"/>
  <c r="AU262"/>
  <c r="AT194"/>
  <c r="AP135"/>
  <c r="AS135"/>
  <c r="BA135"/>
  <c r="AP262"/>
  <c r="AY262"/>
  <c r="AR322"/>
  <c r="AS322"/>
  <c r="AY123"/>
  <c r="AZ123"/>
  <c r="BA123"/>
  <c r="AT123"/>
  <c r="AP123"/>
  <c r="AS123"/>
  <c r="AU123"/>
  <c r="AQ123"/>
  <c r="BB123"/>
  <c r="AW123"/>
  <c r="AX123"/>
  <c r="AR123"/>
  <c r="AZ55"/>
  <c r="AX55"/>
  <c r="BB55"/>
  <c r="BA55"/>
  <c r="AW55"/>
  <c r="AR55"/>
  <c r="AT55"/>
  <c r="AY55"/>
  <c r="AS55"/>
  <c r="AU55"/>
  <c r="AP55"/>
  <c r="AQ55"/>
  <c r="AX124"/>
  <c r="BB124"/>
  <c r="AY124"/>
  <c r="AS124"/>
  <c r="AZ124"/>
  <c r="AW124"/>
  <c r="BA124"/>
  <c r="AT124"/>
  <c r="AU124"/>
  <c r="AP124"/>
  <c r="AQ124"/>
  <c r="AR124"/>
  <c r="AG217"/>
  <c r="AG216" s="1"/>
  <c r="AF216"/>
  <c r="AF277"/>
  <c r="AF275"/>
  <c r="BC36"/>
  <c r="BC184"/>
  <c r="R275"/>
  <c r="AG276"/>
  <c r="AF165"/>
  <c r="Y275"/>
  <c r="AF235"/>
  <c r="AG235" s="1"/>
  <c r="AF236"/>
  <c r="AG236" s="1"/>
  <c r="AF237"/>
  <c r="AG237" s="1"/>
  <c r="J237"/>
  <c r="J236"/>
  <c r="J235"/>
  <c r="AS316" l="1"/>
  <c r="BB316"/>
  <c r="BC318"/>
  <c r="BD318" s="1"/>
  <c r="BC320"/>
  <c r="BD320" s="1"/>
  <c r="AR240"/>
  <c r="AY316"/>
  <c r="AY240"/>
  <c r="AX316"/>
  <c r="AU240"/>
  <c r="BC317"/>
  <c r="BD317" s="1"/>
  <c r="AP316"/>
  <c r="AQ240"/>
  <c r="AX240"/>
  <c r="AZ240"/>
  <c r="BC15"/>
  <c r="AV15"/>
  <c r="AW240"/>
  <c r="BC222"/>
  <c r="BD222" s="1"/>
  <c r="BC224"/>
  <c r="BD224" s="1"/>
  <c r="BC225"/>
  <c r="BD225" s="1"/>
  <c r="BC219"/>
  <c r="BD219" s="1"/>
  <c r="BB122"/>
  <c r="AP122"/>
  <c r="BB240"/>
  <c r="BC242"/>
  <c r="BD242" s="1"/>
  <c r="AT240"/>
  <c r="BC278"/>
  <c r="BD278" s="1"/>
  <c r="AQ216"/>
  <c r="BA216"/>
  <c r="AU316"/>
  <c r="AT316"/>
  <c r="BC55"/>
  <c r="BD55" s="1"/>
  <c r="AR122"/>
  <c r="AT122"/>
  <c r="BC241"/>
  <c r="BD241" s="1"/>
  <c r="AU216"/>
  <c r="AY216"/>
  <c r="BC166"/>
  <c r="BD166" s="1"/>
  <c r="AZ216"/>
  <c r="BA316"/>
  <c r="BC262"/>
  <c r="BD262" s="1"/>
  <c r="AB65" i="2" s="1"/>
  <c r="BA235" i="1"/>
  <c r="AX235"/>
  <c r="BB235"/>
  <c r="AY235"/>
  <c r="AZ235"/>
  <c r="AW235"/>
  <c r="AT235"/>
  <c r="AR235"/>
  <c r="AQ235"/>
  <c r="AS235"/>
  <c r="AU235"/>
  <c r="AP235"/>
  <c r="AP275"/>
  <c r="AV275" s="1"/>
  <c r="AV276"/>
  <c r="BC276"/>
  <c r="AP216"/>
  <c r="AR216"/>
  <c r="BB216"/>
  <c r="AS240"/>
  <c r="AW316"/>
  <c r="AS216"/>
  <c r="AY237"/>
  <c r="AZ237"/>
  <c r="BB237"/>
  <c r="AX237"/>
  <c r="BA237"/>
  <c r="AW237"/>
  <c r="AR237"/>
  <c r="AT237"/>
  <c r="AQ237"/>
  <c r="AS237"/>
  <c r="AU237"/>
  <c r="AP237"/>
  <c r="AZ236"/>
  <c r="BA236"/>
  <c r="AY236"/>
  <c r="BB236"/>
  <c r="AW236"/>
  <c r="AS236"/>
  <c r="AX236"/>
  <c r="AQ236"/>
  <c r="AU236"/>
  <c r="AT236"/>
  <c r="AR236"/>
  <c r="AP236"/>
  <c r="BC124"/>
  <c r="BD124" s="1"/>
  <c r="AW216"/>
  <c r="AT216"/>
  <c r="AX216"/>
  <c r="AQ316"/>
  <c r="AR316"/>
  <c r="AZ316"/>
  <c r="AY122"/>
  <c r="AQ122"/>
  <c r="BC123"/>
  <c r="BD123" s="1"/>
  <c r="AX122"/>
  <c r="AU122"/>
  <c r="BA122"/>
  <c r="AW122"/>
  <c r="AS122"/>
  <c r="AZ122"/>
  <c r="BC275"/>
  <c r="BC220"/>
  <c r="BD220" s="1"/>
  <c r="BC223"/>
  <c r="BD223" s="1"/>
  <c r="BC218"/>
  <c r="BD218" s="1"/>
  <c r="BC165"/>
  <c r="BC217"/>
  <c r="BD217" s="1"/>
  <c r="BC226"/>
  <c r="BD226" s="1"/>
  <c r="BC221"/>
  <c r="BD221" s="1"/>
  <c r="BD15" l="1"/>
  <c r="AV316"/>
  <c r="BC236"/>
  <c r="BD236" s="1"/>
  <c r="BD276"/>
  <c r="BC235"/>
  <c r="BD235" s="1"/>
  <c r="BC237"/>
  <c r="BD237" s="1"/>
  <c r="J257"/>
  <c r="J256"/>
  <c r="J255"/>
  <c r="AF255"/>
  <c r="AG255" s="1"/>
  <c r="AF256"/>
  <c r="AG256" s="1"/>
  <c r="AF257"/>
  <c r="AG257" s="1"/>
  <c r="BA255" l="1"/>
  <c r="AX255"/>
  <c r="BB255"/>
  <c r="AZ255"/>
  <c r="AW255"/>
  <c r="AY255"/>
  <c r="AS255"/>
  <c r="AQ255"/>
  <c r="AU255"/>
  <c r="AT255"/>
  <c r="AP255"/>
  <c r="AR255"/>
  <c r="AZ256"/>
  <c r="BA256"/>
  <c r="AX256"/>
  <c r="AY256"/>
  <c r="AW256"/>
  <c r="BB256"/>
  <c r="AR256"/>
  <c r="AT256"/>
  <c r="AQ256"/>
  <c r="AS256"/>
  <c r="AU256"/>
  <c r="AP256"/>
  <c r="AY257"/>
  <c r="AX257"/>
  <c r="AZ257"/>
  <c r="BA257"/>
  <c r="BB257"/>
  <c r="AW257"/>
  <c r="AQ257"/>
  <c r="AU257"/>
  <c r="AS257"/>
  <c r="AR257"/>
  <c r="AT257"/>
  <c r="AP257"/>
  <c r="AF104"/>
  <c r="AG104" s="1"/>
  <c r="AF105"/>
  <c r="AG105" s="1"/>
  <c r="AF106"/>
  <c r="AG106" s="1"/>
  <c r="AF107"/>
  <c r="AG107" s="1"/>
  <c r="J105"/>
  <c r="J106"/>
  <c r="J107"/>
  <c r="J104"/>
  <c r="J44"/>
  <c r="AF44"/>
  <c r="Y44"/>
  <c r="AF213"/>
  <c r="AG213" s="1"/>
  <c r="J213"/>
  <c r="AF113"/>
  <c r="AG113" s="1"/>
  <c r="J113"/>
  <c r="BC257" l="1"/>
  <c r="BD257" s="1"/>
  <c r="AT254"/>
  <c r="BC256"/>
  <c r="BD256" s="1"/>
  <c r="AZ213"/>
  <c r="AZ212" s="1"/>
  <c r="BA213"/>
  <c r="BA212" s="1"/>
  <c r="AX213"/>
  <c r="AX212" s="1"/>
  <c r="BB213"/>
  <c r="BB212" s="1"/>
  <c r="AY213"/>
  <c r="AY212" s="1"/>
  <c r="AW213"/>
  <c r="AW212" s="1"/>
  <c r="AS213"/>
  <c r="AS212" s="1"/>
  <c r="AQ213"/>
  <c r="AQ212" s="1"/>
  <c r="AU213"/>
  <c r="AU212" s="1"/>
  <c r="AR213"/>
  <c r="AR212" s="1"/>
  <c r="AT213"/>
  <c r="AT212" s="1"/>
  <c r="AP213"/>
  <c r="AP212" s="1"/>
  <c r="AY44"/>
  <c r="AY43" s="1"/>
  <c r="AZ44"/>
  <c r="AZ43" s="1"/>
  <c r="AX44"/>
  <c r="AX43" s="1"/>
  <c r="BA44"/>
  <c r="BA43" s="1"/>
  <c r="BB44"/>
  <c r="BB43" s="1"/>
  <c r="AR44"/>
  <c r="AR43" s="1"/>
  <c r="AS44"/>
  <c r="AS43" s="1"/>
  <c r="AW44"/>
  <c r="AW43" s="1"/>
  <c r="AT44"/>
  <c r="AT43" s="1"/>
  <c r="AU44"/>
  <c r="AU43" s="1"/>
  <c r="AQ44"/>
  <c r="AQ43" s="1"/>
  <c r="AP44"/>
  <c r="AP43" s="1"/>
  <c r="AP254"/>
  <c r="AS254"/>
  <c r="BB254"/>
  <c r="AY104"/>
  <c r="AZ104"/>
  <c r="BA104"/>
  <c r="BB104"/>
  <c r="AX104"/>
  <c r="AW104"/>
  <c r="AQ104"/>
  <c r="AU104"/>
  <c r="AR104"/>
  <c r="AS104"/>
  <c r="AT104"/>
  <c r="AP104"/>
  <c r="AY254"/>
  <c r="AX254"/>
  <c r="BA113"/>
  <c r="BA112" s="1"/>
  <c r="AX113"/>
  <c r="AX112" s="1"/>
  <c r="BB113"/>
  <c r="BB112" s="1"/>
  <c r="AY113"/>
  <c r="AY112" s="1"/>
  <c r="AZ113"/>
  <c r="AZ112" s="1"/>
  <c r="AW113"/>
  <c r="AW112" s="1"/>
  <c r="AS113"/>
  <c r="AS112" s="1"/>
  <c r="AT113"/>
  <c r="AT112" s="1"/>
  <c r="AQ113"/>
  <c r="AQ112" s="1"/>
  <c r="AU113"/>
  <c r="AU112" s="1"/>
  <c r="AR113"/>
  <c r="AR112" s="1"/>
  <c r="AP113"/>
  <c r="AP112" s="1"/>
  <c r="AU254"/>
  <c r="AW254"/>
  <c r="BA254"/>
  <c r="AR254"/>
  <c r="AQ254"/>
  <c r="AZ254"/>
  <c r="BC255"/>
  <c r="BD255" s="1"/>
  <c r="AY106"/>
  <c r="AZ106"/>
  <c r="AW106"/>
  <c r="AX106"/>
  <c r="AS106"/>
  <c r="BB106"/>
  <c r="AU106"/>
  <c r="AQ106"/>
  <c r="AP106"/>
  <c r="AR106"/>
  <c r="BA106"/>
  <c r="AT106"/>
  <c r="AZ105"/>
  <c r="BA105"/>
  <c r="AW105"/>
  <c r="AT105"/>
  <c r="AP105"/>
  <c r="AY105"/>
  <c r="AX105"/>
  <c r="AU105"/>
  <c r="BB105"/>
  <c r="AQ105"/>
  <c r="AR105"/>
  <c r="AS105"/>
  <c r="AX107"/>
  <c r="BB107"/>
  <c r="AW107"/>
  <c r="AY107"/>
  <c r="BA107"/>
  <c r="AR107"/>
  <c r="AU107"/>
  <c r="AQ107"/>
  <c r="AS107"/>
  <c r="AP107"/>
  <c r="AZ107"/>
  <c r="AT107"/>
  <c r="AF43"/>
  <c r="AG44"/>
  <c r="Y43"/>
  <c r="R43"/>
  <c r="AF59"/>
  <c r="AG59" s="1"/>
  <c r="AF60"/>
  <c r="AG60" s="1"/>
  <c r="J58"/>
  <c r="J59"/>
  <c r="J60"/>
  <c r="AF58"/>
  <c r="AG58" s="1"/>
  <c r="AF128"/>
  <c r="AG128" s="1"/>
  <c r="AF129"/>
  <c r="AF291"/>
  <c r="AG291" s="1"/>
  <c r="AF88"/>
  <c r="AG88" s="1"/>
  <c r="J422"/>
  <c r="AF422"/>
  <c r="AG422" s="1"/>
  <c r="AF231"/>
  <c r="AG231" s="1"/>
  <c r="J231"/>
  <c r="AF394"/>
  <c r="AG394" s="1"/>
  <c r="AF395"/>
  <c r="AG395" s="1"/>
  <c r="AF396"/>
  <c r="AG396" s="1"/>
  <c r="J394"/>
  <c r="J395"/>
  <c r="J396"/>
  <c r="J246"/>
  <c r="AO246"/>
  <c r="AF246"/>
  <c r="AG246" s="1"/>
  <c r="AF188"/>
  <c r="AF189"/>
  <c r="AG189" s="1"/>
  <c r="AF190"/>
  <c r="AG190" s="1"/>
  <c r="AF191"/>
  <c r="AG191" s="1"/>
  <c r="J191"/>
  <c r="J190"/>
  <c r="J189"/>
  <c r="J188"/>
  <c r="AF148"/>
  <c r="AG148" s="1"/>
  <c r="AF249"/>
  <c r="AG249" s="1"/>
  <c r="AF153"/>
  <c r="AG153" s="1"/>
  <c r="J153"/>
  <c r="AF349"/>
  <c r="AG349" s="1"/>
  <c r="J349"/>
  <c r="AG71"/>
  <c r="AG72"/>
  <c r="AG73"/>
  <c r="AG74"/>
  <c r="J71"/>
  <c r="J72"/>
  <c r="J73"/>
  <c r="J74"/>
  <c r="AF268"/>
  <c r="AG268" s="1"/>
  <c r="AF269"/>
  <c r="AG269" s="1"/>
  <c r="J268"/>
  <c r="J269"/>
  <c r="AF379"/>
  <c r="AG379" s="1"/>
  <c r="J379"/>
  <c r="AF373"/>
  <c r="AG373" s="1"/>
  <c r="AF375"/>
  <c r="AG375" s="1"/>
  <c r="AF374"/>
  <c r="AG374" s="1"/>
  <c r="J374"/>
  <c r="J375"/>
  <c r="J373"/>
  <c r="AF287"/>
  <c r="AG287" s="1"/>
  <c r="AF288"/>
  <c r="AG288" s="1"/>
  <c r="J287"/>
  <c r="J288"/>
  <c r="AF92"/>
  <c r="AG92" s="1"/>
  <c r="AF93"/>
  <c r="AG93" s="1"/>
  <c r="AF94"/>
  <c r="AG94" s="1"/>
  <c r="AF90"/>
  <c r="AG90" s="1"/>
  <c r="J90"/>
  <c r="AF406"/>
  <c r="AG406" s="1"/>
  <c r="AF407"/>
  <c r="AG407" s="1"/>
  <c r="AF408"/>
  <c r="AG408" s="1"/>
  <c r="J408"/>
  <c r="J407"/>
  <c r="J406"/>
  <c r="AF330"/>
  <c r="AG330" s="1"/>
  <c r="AF331"/>
  <c r="AG331" s="1"/>
  <c r="J331"/>
  <c r="J330"/>
  <c r="AO211"/>
  <c r="AK211"/>
  <c r="AF211"/>
  <c r="AG211" s="1"/>
  <c r="J211"/>
  <c r="AF251"/>
  <c r="AG251" s="1"/>
  <c r="AF116"/>
  <c r="AG116" s="1"/>
  <c r="AF117"/>
  <c r="AG117" s="1"/>
  <c r="AF118"/>
  <c r="AG118" s="1"/>
  <c r="AF119"/>
  <c r="AG119" s="1"/>
  <c r="AF120"/>
  <c r="AG120" s="1"/>
  <c r="AF121"/>
  <c r="AG121" s="1"/>
  <c r="J116"/>
  <c r="J117"/>
  <c r="J118"/>
  <c r="J119"/>
  <c r="J120"/>
  <c r="J121"/>
  <c r="BC213" l="1"/>
  <c r="BD213" s="1"/>
  <c r="BC105"/>
  <c r="BD105" s="1"/>
  <c r="BC106"/>
  <c r="BD106" s="1"/>
  <c r="BC104"/>
  <c r="BD104" s="1"/>
  <c r="AX211"/>
  <c r="AX210" s="1"/>
  <c r="BB211"/>
  <c r="BB210" s="1"/>
  <c r="AY211"/>
  <c r="AY210" s="1"/>
  <c r="AZ211"/>
  <c r="AZ210" s="1"/>
  <c r="BA211"/>
  <c r="BA210" s="1"/>
  <c r="AR211"/>
  <c r="AR210" s="1"/>
  <c r="AW211"/>
  <c r="AW210" s="1"/>
  <c r="AT211"/>
  <c r="AT210" s="1"/>
  <c r="AQ211"/>
  <c r="AQ210" s="1"/>
  <c r="AS211"/>
  <c r="AS210" s="1"/>
  <c r="AU211"/>
  <c r="AU210" s="1"/>
  <c r="AP211"/>
  <c r="AP210" s="1"/>
  <c r="BA330"/>
  <c r="AX330"/>
  <c r="BB330"/>
  <c r="AY330"/>
  <c r="AW330"/>
  <c r="AZ330"/>
  <c r="AS330"/>
  <c r="AT330"/>
  <c r="AU330"/>
  <c r="AQ330"/>
  <c r="AR330"/>
  <c r="AP330"/>
  <c r="AY406"/>
  <c r="AZ406"/>
  <c r="BA406"/>
  <c r="AW406"/>
  <c r="AX406"/>
  <c r="AR406"/>
  <c r="BB406"/>
  <c r="AS406"/>
  <c r="AT406"/>
  <c r="AU406"/>
  <c r="AQ406"/>
  <c r="AP406"/>
  <c r="AY287"/>
  <c r="AZ287"/>
  <c r="BA287"/>
  <c r="AW287"/>
  <c r="AX287"/>
  <c r="BB287"/>
  <c r="AQ287"/>
  <c r="AU287"/>
  <c r="AR287"/>
  <c r="AS287"/>
  <c r="AT287"/>
  <c r="AP287"/>
  <c r="BA375"/>
  <c r="AX375"/>
  <c r="BB375"/>
  <c r="AW375"/>
  <c r="AY375"/>
  <c r="AZ375"/>
  <c r="AQ375"/>
  <c r="AU375"/>
  <c r="AR375"/>
  <c r="AP375"/>
  <c r="AS375"/>
  <c r="AT375"/>
  <c r="AZ268"/>
  <c r="BA268"/>
  <c r="AX268"/>
  <c r="BB268"/>
  <c r="AY268"/>
  <c r="AW268"/>
  <c r="AS268"/>
  <c r="AQ268"/>
  <c r="AU268"/>
  <c r="AR268"/>
  <c r="AT268"/>
  <c r="AP268"/>
  <c r="AX191"/>
  <c r="BB191"/>
  <c r="AY191"/>
  <c r="BA191"/>
  <c r="AW191"/>
  <c r="AZ191"/>
  <c r="AR191"/>
  <c r="AT191"/>
  <c r="AQ191"/>
  <c r="AS191"/>
  <c r="AU191"/>
  <c r="AP191"/>
  <c r="AX396"/>
  <c r="BB396"/>
  <c r="AY396"/>
  <c r="AW396"/>
  <c r="AZ396"/>
  <c r="BA396"/>
  <c r="AT396"/>
  <c r="AU396"/>
  <c r="AQ396"/>
  <c r="AR396"/>
  <c r="AS396"/>
  <c r="AP396"/>
  <c r="AZ331"/>
  <c r="BA331"/>
  <c r="AW331"/>
  <c r="AX331"/>
  <c r="BB331"/>
  <c r="AY331"/>
  <c r="AR331"/>
  <c r="AR329" s="1"/>
  <c r="AT331"/>
  <c r="AU331"/>
  <c r="AQ331"/>
  <c r="AP331"/>
  <c r="AS331"/>
  <c r="AX407"/>
  <c r="BB407"/>
  <c r="AY407"/>
  <c r="AW407"/>
  <c r="AZ407"/>
  <c r="BA407"/>
  <c r="AQ407"/>
  <c r="AU407"/>
  <c r="AS407"/>
  <c r="AP407"/>
  <c r="AT407"/>
  <c r="AR407"/>
  <c r="AZ374"/>
  <c r="AW374"/>
  <c r="BA374"/>
  <c r="AX374"/>
  <c r="BB374"/>
  <c r="AY374"/>
  <c r="AT374"/>
  <c r="AR374"/>
  <c r="AS374"/>
  <c r="AP374"/>
  <c r="AU374"/>
  <c r="AQ374"/>
  <c r="AX379"/>
  <c r="AX378" s="1"/>
  <c r="BB379"/>
  <c r="BB378" s="1"/>
  <c r="AW379"/>
  <c r="AW378" s="1"/>
  <c r="AY379"/>
  <c r="AY378" s="1"/>
  <c r="AZ379"/>
  <c r="AZ378" s="1"/>
  <c r="BA379"/>
  <c r="BA378" s="1"/>
  <c r="AR379"/>
  <c r="AR378" s="1"/>
  <c r="AS379"/>
  <c r="AS378" s="1"/>
  <c r="AT379"/>
  <c r="AT378" s="1"/>
  <c r="AU379"/>
  <c r="AU378" s="1"/>
  <c r="AP379"/>
  <c r="AP378" s="1"/>
  <c r="AQ379"/>
  <c r="AQ378" s="1"/>
  <c r="BA153"/>
  <c r="BA152" s="1"/>
  <c r="AX153"/>
  <c r="AX152" s="1"/>
  <c r="BB153"/>
  <c r="BB152" s="1"/>
  <c r="AY153"/>
  <c r="AY152" s="1"/>
  <c r="AW153"/>
  <c r="AW152" s="1"/>
  <c r="AR153"/>
  <c r="AR152" s="1"/>
  <c r="AS153"/>
  <c r="AS152" s="1"/>
  <c r="AZ153"/>
  <c r="AZ152" s="1"/>
  <c r="AT153"/>
  <c r="AT152" s="1"/>
  <c r="AQ153"/>
  <c r="AQ152" s="1"/>
  <c r="AU153"/>
  <c r="AU152" s="1"/>
  <c r="AP153"/>
  <c r="AP152" s="1"/>
  <c r="BA188"/>
  <c r="AX188"/>
  <c r="BB188"/>
  <c r="AZ188"/>
  <c r="AY188"/>
  <c r="AQ188"/>
  <c r="AU188"/>
  <c r="AS188"/>
  <c r="AW188"/>
  <c r="AR188"/>
  <c r="AT188"/>
  <c r="AP188"/>
  <c r="AY395"/>
  <c r="AZ395"/>
  <c r="BA395"/>
  <c r="AW395"/>
  <c r="AX395"/>
  <c r="BB395"/>
  <c r="AQ395"/>
  <c r="AU395"/>
  <c r="AT395"/>
  <c r="AR395"/>
  <c r="AP395"/>
  <c r="AS395"/>
  <c r="AY422"/>
  <c r="AY421" s="1"/>
  <c r="AZ422"/>
  <c r="AZ421" s="1"/>
  <c r="BA422"/>
  <c r="BA421" s="1"/>
  <c r="AW422"/>
  <c r="AW421" s="1"/>
  <c r="AX422"/>
  <c r="AX421" s="1"/>
  <c r="BB422"/>
  <c r="BB421" s="1"/>
  <c r="AS422"/>
  <c r="AS421" s="1"/>
  <c r="AP422"/>
  <c r="AP421" s="1"/>
  <c r="AT422"/>
  <c r="AT421" s="1"/>
  <c r="AQ422"/>
  <c r="AQ421" s="1"/>
  <c r="AU422"/>
  <c r="AU421" s="1"/>
  <c r="AR422"/>
  <c r="AR421" s="1"/>
  <c r="AS103"/>
  <c r="AT103"/>
  <c r="BC113"/>
  <c r="BD113" s="1"/>
  <c r="BA408"/>
  <c r="AW408"/>
  <c r="AX408"/>
  <c r="BB408"/>
  <c r="AY408"/>
  <c r="AZ408"/>
  <c r="AT408"/>
  <c r="AS408"/>
  <c r="AU408"/>
  <c r="AP408"/>
  <c r="AQ408"/>
  <c r="AR408"/>
  <c r="AZ90"/>
  <c r="AZ89" s="1"/>
  <c r="BA90"/>
  <c r="BA89" s="1"/>
  <c r="BB90"/>
  <c r="BB89" s="1"/>
  <c r="AX90"/>
  <c r="AX89" s="1"/>
  <c r="AW90"/>
  <c r="AW89" s="1"/>
  <c r="AY90"/>
  <c r="AY89" s="1"/>
  <c r="AT90"/>
  <c r="AT89" s="1"/>
  <c r="AQ90"/>
  <c r="AQ89" s="1"/>
  <c r="AU90"/>
  <c r="AU89" s="1"/>
  <c r="AR90"/>
  <c r="AR89" s="1"/>
  <c r="AS90"/>
  <c r="AS89" s="1"/>
  <c r="AP90"/>
  <c r="AP89" s="1"/>
  <c r="AZ189"/>
  <c r="BA189"/>
  <c r="AX189"/>
  <c r="AY189"/>
  <c r="BB189"/>
  <c r="AW189"/>
  <c r="AT189"/>
  <c r="AR189"/>
  <c r="AQ189"/>
  <c r="AS189"/>
  <c r="AU189"/>
  <c r="AP189"/>
  <c r="AZ394"/>
  <c r="BA394"/>
  <c r="AX394"/>
  <c r="BB394"/>
  <c r="AW394"/>
  <c r="AW393" s="1"/>
  <c r="AR394"/>
  <c r="AT394"/>
  <c r="AP394"/>
  <c r="AU394"/>
  <c r="AU393" s="1"/>
  <c r="AQ394"/>
  <c r="AY394"/>
  <c r="AS394"/>
  <c r="BA231"/>
  <c r="BA230" s="1"/>
  <c r="AX231"/>
  <c r="AX230" s="1"/>
  <c r="BB231"/>
  <c r="BB230" s="1"/>
  <c r="AY231"/>
  <c r="AY230" s="1"/>
  <c r="AZ231"/>
  <c r="AZ230" s="1"/>
  <c r="AW231"/>
  <c r="AW230" s="1"/>
  <c r="AS231"/>
  <c r="AS230" s="1"/>
  <c r="AQ231"/>
  <c r="AQ230" s="1"/>
  <c r="AU231"/>
  <c r="AU230" s="1"/>
  <c r="AR231"/>
  <c r="AR230" s="1"/>
  <c r="AT231"/>
  <c r="AT230" s="1"/>
  <c r="AP231"/>
  <c r="AP230" s="1"/>
  <c r="BC107"/>
  <c r="BD107" s="1"/>
  <c r="AX103"/>
  <c r="AX288"/>
  <c r="BB288"/>
  <c r="AY288"/>
  <c r="AZ288"/>
  <c r="BA288"/>
  <c r="AT288"/>
  <c r="AW288"/>
  <c r="AW286" s="1"/>
  <c r="AQ288"/>
  <c r="AU288"/>
  <c r="AP288"/>
  <c r="AR288"/>
  <c r="AS288"/>
  <c r="AX373"/>
  <c r="BB373"/>
  <c r="AY373"/>
  <c r="AZ373"/>
  <c r="AW373"/>
  <c r="BA373"/>
  <c r="AR373"/>
  <c r="AQ373"/>
  <c r="AS373"/>
  <c r="AT373"/>
  <c r="AU373"/>
  <c r="AP373"/>
  <c r="AY269"/>
  <c r="AZ269"/>
  <c r="BA269"/>
  <c r="AX269"/>
  <c r="AW269"/>
  <c r="AR269"/>
  <c r="BB269"/>
  <c r="AT269"/>
  <c r="AU269"/>
  <c r="AQ269"/>
  <c r="AS269"/>
  <c r="AP269"/>
  <c r="AZ349"/>
  <c r="AZ344" s="1"/>
  <c r="BA349"/>
  <c r="BA344" s="1"/>
  <c r="AW349"/>
  <c r="AW344" s="1"/>
  <c r="AX349"/>
  <c r="AX344" s="1"/>
  <c r="BB349"/>
  <c r="BB344" s="1"/>
  <c r="AY349"/>
  <c r="AY344" s="1"/>
  <c r="AQ349"/>
  <c r="AQ344" s="1"/>
  <c r="AU349"/>
  <c r="AU344" s="1"/>
  <c r="AT349"/>
  <c r="AT344" s="1"/>
  <c r="AP349"/>
  <c r="AP344" s="1"/>
  <c r="AR349"/>
  <c r="AR344" s="1"/>
  <c r="AS349"/>
  <c r="AS344" s="1"/>
  <c r="AY190"/>
  <c r="AZ190"/>
  <c r="AX190"/>
  <c r="BA190"/>
  <c r="BB190"/>
  <c r="AW190"/>
  <c r="AS190"/>
  <c r="AQ190"/>
  <c r="AU190"/>
  <c r="AT190"/>
  <c r="AR190"/>
  <c r="AP190"/>
  <c r="AZ246"/>
  <c r="AZ245" s="1"/>
  <c r="BA246"/>
  <c r="BA245" s="1"/>
  <c r="AX246"/>
  <c r="AX245" s="1"/>
  <c r="AY246"/>
  <c r="AY245" s="1"/>
  <c r="AW246"/>
  <c r="AW245" s="1"/>
  <c r="AQ246"/>
  <c r="AQ245" s="1"/>
  <c r="AU246"/>
  <c r="AU245" s="1"/>
  <c r="BB246"/>
  <c r="BB245" s="1"/>
  <c r="AS246"/>
  <c r="AS245" s="1"/>
  <c r="AR246"/>
  <c r="AR245" s="1"/>
  <c r="AT246"/>
  <c r="AT245" s="1"/>
  <c r="AP246"/>
  <c r="AP245" s="1"/>
  <c r="AZ74"/>
  <c r="AX74"/>
  <c r="BB74"/>
  <c r="AY74"/>
  <c r="AT74"/>
  <c r="BA74"/>
  <c r="AS74"/>
  <c r="AW74"/>
  <c r="AU74"/>
  <c r="AQ74"/>
  <c r="AP74"/>
  <c r="AR74"/>
  <c r="AX60"/>
  <c r="BB60"/>
  <c r="AZ60"/>
  <c r="AQ60"/>
  <c r="AU60"/>
  <c r="AY60"/>
  <c r="AS60"/>
  <c r="AW60"/>
  <c r="AR60"/>
  <c r="AP60"/>
  <c r="BA60"/>
  <c r="AT60"/>
  <c r="AR103"/>
  <c r="AW103"/>
  <c r="AY120"/>
  <c r="AZ120"/>
  <c r="AW120"/>
  <c r="AS120"/>
  <c r="AP120"/>
  <c r="BA120"/>
  <c r="BB120"/>
  <c r="AT120"/>
  <c r="AU120"/>
  <c r="AQ120"/>
  <c r="AX120"/>
  <c r="AR120"/>
  <c r="AY116"/>
  <c r="AZ116"/>
  <c r="BA116"/>
  <c r="AS116"/>
  <c r="AW116"/>
  <c r="AR116"/>
  <c r="AT116"/>
  <c r="AU116"/>
  <c r="BB116"/>
  <c r="AX116"/>
  <c r="AQ116"/>
  <c r="AP116"/>
  <c r="BA73"/>
  <c r="AY73"/>
  <c r="BB73"/>
  <c r="AW73"/>
  <c r="AZ73"/>
  <c r="AQ73"/>
  <c r="AU73"/>
  <c r="AS73"/>
  <c r="AT73"/>
  <c r="AP73"/>
  <c r="AX73"/>
  <c r="AR73"/>
  <c r="AY59"/>
  <c r="BA59"/>
  <c r="AZ59"/>
  <c r="BB59"/>
  <c r="AW59"/>
  <c r="AR59"/>
  <c r="AT59"/>
  <c r="AS59"/>
  <c r="AU59"/>
  <c r="AP59"/>
  <c r="AX59"/>
  <c r="AQ59"/>
  <c r="AQ103"/>
  <c r="AY103"/>
  <c r="BA103"/>
  <c r="BA118"/>
  <c r="AW118"/>
  <c r="AX118"/>
  <c r="BB118"/>
  <c r="AY118"/>
  <c r="AQ118"/>
  <c r="AU118"/>
  <c r="AS118"/>
  <c r="AP118"/>
  <c r="AZ118"/>
  <c r="AT118"/>
  <c r="AR118"/>
  <c r="AY71"/>
  <c r="BA71"/>
  <c r="AX71"/>
  <c r="AS71"/>
  <c r="AP71"/>
  <c r="BB71"/>
  <c r="AR71"/>
  <c r="AT71"/>
  <c r="AW71"/>
  <c r="AU71"/>
  <c r="AZ71"/>
  <c r="AQ71"/>
  <c r="AU103"/>
  <c r="AX121"/>
  <c r="BB121"/>
  <c r="AY121"/>
  <c r="AW121"/>
  <c r="AZ121"/>
  <c r="AR121"/>
  <c r="AT121"/>
  <c r="BA121"/>
  <c r="AU121"/>
  <c r="AQ121"/>
  <c r="AP121"/>
  <c r="AS121"/>
  <c r="AX117"/>
  <c r="BB117"/>
  <c r="AY117"/>
  <c r="AW117"/>
  <c r="AR117"/>
  <c r="AZ117"/>
  <c r="BA117"/>
  <c r="AS117"/>
  <c r="AT117"/>
  <c r="AU117"/>
  <c r="AP117"/>
  <c r="AQ117"/>
  <c r="AZ119"/>
  <c r="BA119"/>
  <c r="BB119"/>
  <c r="AT119"/>
  <c r="AX119"/>
  <c r="AW119"/>
  <c r="AS119"/>
  <c r="AU119"/>
  <c r="AP119"/>
  <c r="AQ119"/>
  <c r="AY119"/>
  <c r="AR119"/>
  <c r="AX72"/>
  <c r="BB72"/>
  <c r="AZ72"/>
  <c r="AY72"/>
  <c r="BA72"/>
  <c r="AW72"/>
  <c r="AR72"/>
  <c r="AS72"/>
  <c r="AT72"/>
  <c r="AP72"/>
  <c r="AU72"/>
  <c r="AQ72"/>
  <c r="AZ58"/>
  <c r="AX58"/>
  <c r="BB58"/>
  <c r="AY58"/>
  <c r="BA58"/>
  <c r="AS58"/>
  <c r="AP58"/>
  <c r="AW58"/>
  <c r="AQ58"/>
  <c r="AU58"/>
  <c r="AR58"/>
  <c r="AT58"/>
  <c r="BB103"/>
  <c r="AP103"/>
  <c r="AZ103"/>
  <c r="AF421"/>
  <c r="AF393"/>
  <c r="BC44"/>
  <c r="BD44" s="1"/>
  <c r="AF245"/>
  <c r="AF152"/>
  <c r="AF210"/>
  <c r="AG129"/>
  <c r="AG188"/>
  <c r="AF170"/>
  <c r="AG170" s="1"/>
  <c r="AF171"/>
  <c r="AG171" s="1"/>
  <c r="AF172"/>
  <c r="AG172" s="1"/>
  <c r="J172"/>
  <c r="J171"/>
  <c r="J170"/>
  <c r="AF83"/>
  <c r="AG83" s="1"/>
  <c r="AF81"/>
  <c r="AG81" s="1"/>
  <c r="AF82"/>
  <c r="AG82" s="1"/>
  <c r="J82"/>
  <c r="J81"/>
  <c r="J83"/>
  <c r="AF418"/>
  <c r="AF419"/>
  <c r="AF420"/>
  <c r="J420"/>
  <c r="J419"/>
  <c r="J418"/>
  <c r="J144"/>
  <c r="AF144"/>
  <c r="Y144"/>
  <c r="AF404"/>
  <c r="AG404" s="1"/>
  <c r="J404"/>
  <c r="AV287" l="1"/>
  <c r="AV288"/>
  <c r="AR372"/>
  <c r="AY372"/>
  <c r="BC374"/>
  <c r="BD374" s="1"/>
  <c r="AQ286"/>
  <c r="AQ393"/>
  <c r="BA372"/>
  <c r="AS372"/>
  <c r="AY393"/>
  <c r="AT393"/>
  <c r="AX393"/>
  <c r="BA329"/>
  <c r="BC375"/>
  <c r="BD375" s="1"/>
  <c r="BC406"/>
  <c r="BD406" s="1"/>
  <c r="BC330"/>
  <c r="BD330" s="1"/>
  <c r="BC394"/>
  <c r="BD394" s="1"/>
  <c r="BC211"/>
  <c r="BC379"/>
  <c r="BD379" s="1"/>
  <c r="BC422"/>
  <c r="AV422"/>
  <c r="AT372"/>
  <c r="AS393"/>
  <c r="AP393"/>
  <c r="BB393"/>
  <c r="BC373"/>
  <c r="BD373" s="1"/>
  <c r="AU286"/>
  <c r="AW372"/>
  <c r="AP372"/>
  <c r="AZ372"/>
  <c r="AZ286"/>
  <c r="AZ393"/>
  <c r="BC395"/>
  <c r="BD395" s="1"/>
  <c r="BC407"/>
  <c r="BD407" s="1"/>
  <c r="BC331"/>
  <c r="BD331" s="1"/>
  <c r="BC396"/>
  <c r="BD396" s="1"/>
  <c r="BC287"/>
  <c r="BD287" s="1"/>
  <c r="BC408"/>
  <c r="BD408" s="1"/>
  <c r="BB57"/>
  <c r="AS57"/>
  <c r="AY57"/>
  <c r="AQ267"/>
  <c r="AP57"/>
  <c r="AU267"/>
  <c r="BC269"/>
  <c r="BD269" s="1"/>
  <c r="BC60"/>
  <c r="BD60" s="1"/>
  <c r="BC74"/>
  <c r="BD74" s="1"/>
  <c r="AU67"/>
  <c r="AT57"/>
  <c r="AW57"/>
  <c r="AZ419"/>
  <c r="BA419"/>
  <c r="AW419"/>
  <c r="AX419"/>
  <c r="BB419"/>
  <c r="AY419"/>
  <c r="AT419"/>
  <c r="AQ419"/>
  <c r="AU419"/>
  <c r="AP419"/>
  <c r="AR419"/>
  <c r="AS419"/>
  <c r="AY171"/>
  <c r="AZ171"/>
  <c r="BB171"/>
  <c r="AX171"/>
  <c r="BA171"/>
  <c r="AW171"/>
  <c r="AS171"/>
  <c r="AQ171"/>
  <c r="AU171"/>
  <c r="AT171"/>
  <c r="AR171"/>
  <c r="AP171"/>
  <c r="AU57"/>
  <c r="BC288"/>
  <c r="AP187"/>
  <c r="BC90"/>
  <c r="BD90" s="1"/>
  <c r="AR187"/>
  <c r="AQ187"/>
  <c r="AX187"/>
  <c r="AS187"/>
  <c r="AR267"/>
  <c r="AW267"/>
  <c r="BA267"/>
  <c r="AQ372"/>
  <c r="BB372"/>
  <c r="AT286"/>
  <c r="BA286"/>
  <c r="AP405"/>
  <c r="AS405"/>
  <c r="AW405"/>
  <c r="AP329"/>
  <c r="AT329"/>
  <c r="AY329"/>
  <c r="AY420"/>
  <c r="AW420"/>
  <c r="AZ420"/>
  <c r="BA420"/>
  <c r="AX420"/>
  <c r="BB420"/>
  <c r="AS420"/>
  <c r="AT420"/>
  <c r="AQ420"/>
  <c r="AU420"/>
  <c r="AP420"/>
  <c r="AR420"/>
  <c r="AX172"/>
  <c r="BB172"/>
  <c r="AY172"/>
  <c r="AZ172"/>
  <c r="BA172"/>
  <c r="AW172"/>
  <c r="AR172"/>
  <c r="AT172"/>
  <c r="AQ172"/>
  <c r="AS172"/>
  <c r="AU172"/>
  <c r="AP172"/>
  <c r="BC119"/>
  <c r="BD119" s="1"/>
  <c r="BA115"/>
  <c r="AT115"/>
  <c r="AQ57"/>
  <c r="BC246"/>
  <c r="BD246" s="1"/>
  <c r="AY187"/>
  <c r="BA187"/>
  <c r="BA405"/>
  <c r="AY267"/>
  <c r="AZ267"/>
  <c r="AX372"/>
  <c r="AS286"/>
  <c r="BB286"/>
  <c r="AQ405"/>
  <c r="BB405"/>
  <c r="AS329"/>
  <c r="BB329"/>
  <c r="AZ404"/>
  <c r="AZ403" s="1"/>
  <c r="BA404"/>
  <c r="BA403" s="1"/>
  <c r="AX404"/>
  <c r="AX403" s="1"/>
  <c r="BB404"/>
  <c r="BB403" s="1"/>
  <c r="AW404"/>
  <c r="AW403" s="1"/>
  <c r="AY404"/>
  <c r="AY403" s="1"/>
  <c r="AS404"/>
  <c r="AS403" s="1"/>
  <c r="AR404"/>
  <c r="AR403" s="1"/>
  <c r="AP404"/>
  <c r="AP403" s="1"/>
  <c r="AT404"/>
  <c r="AT403" s="1"/>
  <c r="AU404"/>
  <c r="AU403" s="1"/>
  <c r="AQ404"/>
  <c r="AQ403" s="1"/>
  <c r="AY144"/>
  <c r="AY143" s="1"/>
  <c r="AZ144"/>
  <c r="AZ143" s="1"/>
  <c r="AX144"/>
  <c r="AX143" s="1"/>
  <c r="BA144"/>
  <c r="BA143" s="1"/>
  <c r="BB144"/>
  <c r="BB143" s="1"/>
  <c r="AW144"/>
  <c r="AW143" s="1"/>
  <c r="AQ144"/>
  <c r="AQ143" s="1"/>
  <c r="AU144"/>
  <c r="AU143" s="1"/>
  <c r="AR144"/>
  <c r="AR143" s="1"/>
  <c r="AS144"/>
  <c r="AS143" s="1"/>
  <c r="AT144"/>
  <c r="AT143" s="1"/>
  <c r="AP144"/>
  <c r="AP143" s="1"/>
  <c r="BC72"/>
  <c r="BD72" s="1"/>
  <c r="BB67"/>
  <c r="BC118"/>
  <c r="BD118" s="1"/>
  <c r="BC59"/>
  <c r="BD59" s="1"/>
  <c r="BB115"/>
  <c r="BC120"/>
  <c r="BD120" s="1"/>
  <c r="BC349"/>
  <c r="BD349" s="1"/>
  <c r="AW187"/>
  <c r="BA393"/>
  <c r="AZ187"/>
  <c r="BC153"/>
  <c r="BD153" s="1"/>
  <c r="AP267"/>
  <c r="BB267"/>
  <c r="BC268"/>
  <c r="BD268" s="1"/>
  <c r="AR286"/>
  <c r="AX286"/>
  <c r="AY286"/>
  <c r="AU405"/>
  <c r="AZ405"/>
  <c r="AQ329"/>
  <c r="AZ329"/>
  <c r="AX329"/>
  <c r="BA418"/>
  <c r="AX418"/>
  <c r="BB418"/>
  <c r="AY418"/>
  <c r="AW418"/>
  <c r="AZ418"/>
  <c r="AQ418"/>
  <c r="AU418"/>
  <c r="AR418"/>
  <c r="AS418"/>
  <c r="AT418"/>
  <c r="AP418"/>
  <c r="AZ170"/>
  <c r="BA170"/>
  <c r="AY170"/>
  <c r="BB170"/>
  <c r="AX170"/>
  <c r="AW170"/>
  <c r="AT170"/>
  <c r="AR170"/>
  <c r="AQ170"/>
  <c r="AS170"/>
  <c r="AU170"/>
  <c r="AP170"/>
  <c r="BC117"/>
  <c r="BD117" s="1"/>
  <c r="BC121"/>
  <c r="BD121" s="1"/>
  <c r="AP67"/>
  <c r="BC73"/>
  <c r="BD73" s="1"/>
  <c r="BC231"/>
  <c r="BD231" s="1"/>
  <c r="AR393"/>
  <c r="AT187"/>
  <c r="AU187"/>
  <c r="BB187"/>
  <c r="AR405"/>
  <c r="AT267"/>
  <c r="AS267"/>
  <c r="AX267"/>
  <c r="AU372"/>
  <c r="AP286"/>
  <c r="AT405"/>
  <c r="AX405"/>
  <c r="AY405"/>
  <c r="AU329"/>
  <c r="AW329"/>
  <c r="AW115"/>
  <c r="AY115"/>
  <c r="BA83"/>
  <c r="AY83"/>
  <c r="AX83"/>
  <c r="AZ83"/>
  <c r="AW83"/>
  <c r="AS83"/>
  <c r="BB83"/>
  <c r="AU83"/>
  <c r="AQ83"/>
  <c r="AR83"/>
  <c r="AT83"/>
  <c r="AP83"/>
  <c r="AR57"/>
  <c r="AW67"/>
  <c r="AP115"/>
  <c r="AU115"/>
  <c r="BC116"/>
  <c r="BD116" s="1"/>
  <c r="AX57"/>
  <c r="AQ67"/>
  <c r="AS67"/>
  <c r="BC71"/>
  <c r="BD71" s="1"/>
  <c r="AQ115"/>
  <c r="AY82"/>
  <c r="BA82"/>
  <c r="AX82"/>
  <c r="AW82"/>
  <c r="AQ82"/>
  <c r="AU82"/>
  <c r="BB82"/>
  <c r="AZ82"/>
  <c r="AR82"/>
  <c r="AS82"/>
  <c r="AP82"/>
  <c r="AT82"/>
  <c r="BA57"/>
  <c r="AZ57"/>
  <c r="AZ67"/>
  <c r="AR67"/>
  <c r="AX67"/>
  <c r="AX115"/>
  <c r="AR115"/>
  <c r="AZ115"/>
  <c r="BC58"/>
  <c r="BD58" s="1"/>
  <c r="BA67"/>
  <c r="AY67"/>
  <c r="AS115"/>
  <c r="AZ81"/>
  <c r="AX81"/>
  <c r="BB81"/>
  <c r="BA81"/>
  <c r="AY81"/>
  <c r="AR81"/>
  <c r="AP81"/>
  <c r="AU81"/>
  <c r="AQ81"/>
  <c r="AW81"/>
  <c r="AS81"/>
  <c r="AT81"/>
  <c r="AT67"/>
  <c r="AK57"/>
  <c r="AO57"/>
  <c r="AF143"/>
  <c r="Y143"/>
  <c r="R143"/>
  <c r="BC188"/>
  <c r="BD188" s="1"/>
  <c r="BC245"/>
  <c r="BC191"/>
  <c r="BD191" s="1"/>
  <c r="BC190"/>
  <c r="BD190" s="1"/>
  <c r="BC189"/>
  <c r="BD189" s="1"/>
  <c r="BC152"/>
  <c r="AK210"/>
  <c r="AV211"/>
  <c r="AO210"/>
  <c r="AG144"/>
  <c r="BD288" l="1"/>
  <c r="BD211"/>
  <c r="AX417"/>
  <c r="AR417"/>
  <c r="BC420"/>
  <c r="BD420" s="1"/>
  <c r="BC393"/>
  <c r="BD422"/>
  <c r="AP417"/>
  <c r="AU417"/>
  <c r="AY417"/>
  <c r="BA417"/>
  <c r="AT417"/>
  <c r="BB417"/>
  <c r="BA169"/>
  <c r="AV57"/>
  <c r="AP169"/>
  <c r="BC81"/>
  <c r="BD81" s="1"/>
  <c r="AU169"/>
  <c r="AT169"/>
  <c r="AY169"/>
  <c r="BC172"/>
  <c r="BD172" s="1"/>
  <c r="AS169"/>
  <c r="AW169"/>
  <c r="BC171"/>
  <c r="BD171" s="1"/>
  <c r="AQ169"/>
  <c r="AX169"/>
  <c r="AZ169"/>
  <c r="AR169"/>
  <c r="BB169"/>
  <c r="AT80"/>
  <c r="BB80"/>
  <c r="AW417"/>
  <c r="BC57"/>
  <c r="BC170"/>
  <c r="BD170" s="1"/>
  <c r="BC144"/>
  <c r="BD144" s="1"/>
  <c r="BC418"/>
  <c r="BD418" s="1"/>
  <c r="BC404"/>
  <c r="BD404" s="1"/>
  <c r="AZ417"/>
  <c r="BC82"/>
  <c r="BD82" s="1"/>
  <c r="AP80"/>
  <c r="AZ80"/>
  <c r="AS417"/>
  <c r="AQ417"/>
  <c r="BC419"/>
  <c r="BD419" s="1"/>
  <c r="AU80"/>
  <c r="AR80"/>
  <c r="AX80"/>
  <c r="BC83"/>
  <c r="BD83" s="1"/>
  <c r="AS80"/>
  <c r="AY80"/>
  <c r="AQ80"/>
  <c r="AW80"/>
  <c r="BA80"/>
  <c r="AO143"/>
  <c r="BC210"/>
  <c r="BC143"/>
  <c r="BD57" l="1"/>
  <c r="AF168"/>
  <c r="J168"/>
  <c r="W46" i="2"/>
  <c r="X46" s="1"/>
  <c r="AF32" i="1"/>
  <c r="AG32" s="1"/>
  <c r="J34"/>
  <c r="J33"/>
  <c r="J32"/>
  <c r="AF33"/>
  <c r="AF34"/>
  <c r="Y33"/>
  <c r="Y34"/>
  <c r="AY168" l="1"/>
  <c r="AZ168"/>
  <c r="BB168"/>
  <c r="AX168"/>
  <c r="BA168"/>
  <c r="AW168"/>
  <c r="AW167" s="1"/>
  <c r="AS168"/>
  <c r="AS167" s="1"/>
  <c r="AQ168"/>
  <c r="AQ167" s="1"/>
  <c r="AU168"/>
  <c r="AU167" s="1"/>
  <c r="AT168"/>
  <c r="AT167" s="1"/>
  <c r="AR168"/>
  <c r="AR167" s="1"/>
  <c r="AP168"/>
  <c r="AP167" s="1"/>
  <c r="AX34"/>
  <c r="BB34"/>
  <c r="AZ34"/>
  <c r="AY34"/>
  <c r="BA34"/>
  <c r="AW34"/>
  <c r="AR34"/>
  <c r="AT34"/>
  <c r="AS34"/>
  <c r="AU34"/>
  <c r="AP34"/>
  <c r="AQ34"/>
  <c r="AZ32"/>
  <c r="AX32"/>
  <c r="BB32"/>
  <c r="BA32"/>
  <c r="AW32"/>
  <c r="AT32"/>
  <c r="AY32"/>
  <c r="AR32"/>
  <c r="AU32"/>
  <c r="AP32"/>
  <c r="AQ32"/>
  <c r="AS32"/>
  <c r="AY33"/>
  <c r="BA33"/>
  <c r="AX33"/>
  <c r="BB33"/>
  <c r="AS33"/>
  <c r="AP33"/>
  <c r="AQ33"/>
  <c r="AU33"/>
  <c r="AR33"/>
  <c r="AW33"/>
  <c r="AT33"/>
  <c r="AZ33"/>
  <c r="AG168"/>
  <c r="AF167"/>
  <c r="AG167" s="1"/>
  <c r="AG33"/>
  <c r="AG34"/>
  <c r="AF26"/>
  <c r="AG26" s="1"/>
  <c r="AF27"/>
  <c r="AG27" s="1"/>
  <c r="J27"/>
  <c r="J26"/>
  <c r="AG96"/>
  <c r="BC34" l="1"/>
  <c r="BC168"/>
  <c r="AZ167"/>
  <c r="BB167"/>
  <c r="BB31"/>
  <c r="AU31"/>
  <c r="AY31"/>
  <c r="BC33"/>
  <c r="AV33"/>
  <c r="AQ31"/>
  <c r="BA167"/>
  <c r="AY167"/>
  <c r="BC32"/>
  <c r="BD32" s="1"/>
  <c r="AX167"/>
  <c r="AP31"/>
  <c r="AR31"/>
  <c r="BA31"/>
  <c r="BA26"/>
  <c r="AY26"/>
  <c r="AX26"/>
  <c r="AW26"/>
  <c r="AR26"/>
  <c r="BB26"/>
  <c r="AT26"/>
  <c r="AQ26"/>
  <c r="AS26"/>
  <c r="AU26"/>
  <c r="AZ26"/>
  <c r="AS31"/>
  <c r="AZ31"/>
  <c r="AZ27"/>
  <c r="AX27"/>
  <c r="BB27"/>
  <c r="AY27"/>
  <c r="BA27"/>
  <c r="AW27"/>
  <c r="AQ27"/>
  <c r="AU27"/>
  <c r="AS27"/>
  <c r="AT27"/>
  <c r="AR27"/>
  <c r="AT31"/>
  <c r="AW31"/>
  <c r="AX31"/>
  <c r="AV34"/>
  <c r="AP26"/>
  <c r="AP27"/>
  <c r="AG31"/>
  <c r="J251"/>
  <c r="J327"/>
  <c r="J249"/>
  <c r="J94"/>
  <c r="J93"/>
  <c r="J92"/>
  <c r="J381"/>
  <c r="J291"/>
  <c r="J88"/>
  <c r="J129"/>
  <c r="J128"/>
  <c r="J102"/>
  <c r="J148"/>
  <c r="J205"/>
  <c r="AV26" l="1"/>
  <c r="BD168"/>
  <c r="BC167"/>
  <c r="BD167" s="1"/>
  <c r="BC27"/>
  <c r="BD27" s="1"/>
  <c r="AS25"/>
  <c r="BD33"/>
  <c r="BD34"/>
  <c r="AZ102"/>
  <c r="AZ101" s="1"/>
  <c r="BA102"/>
  <c r="BA101" s="1"/>
  <c r="AX102"/>
  <c r="AX101" s="1"/>
  <c r="AY102"/>
  <c r="AY101" s="1"/>
  <c r="BB102"/>
  <c r="BB101" s="1"/>
  <c r="AW102"/>
  <c r="AW101" s="1"/>
  <c r="AR102"/>
  <c r="AR101" s="1"/>
  <c r="AS102"/>
  <c r="AS101" s="1"/>
  <c r="AT102"/>
  <c r="AT101" s="1"/>
  <c r="AU102"/>
  <c r="AU101" s="1"/>
  <c r="AP102"/>
  <c r="AP101" s="1"/>
  <c r="AQ102"/>
  <c r="AQ101" s="1"/>
  <c r="AX291"/>
  <c r="AX290" s="1"/>
  <c r="BB291"/>
  <c r="BB290" s="1"/>
  <c r="AY291"/>
  <c r="AY290" s="1"/>
  <c r="AZ291"/>
  <c r="AZ290" s="1"/>
  <c r="BA291"/>
  <c r="BA290" s="1"/>
  <c r="AW291"/>
  <c r="AW290" s="1"/>
  <c r="AS291"/>
  <c r="AS290" s="1"/>
  <c r="AT291"/>
  <c r="AT290" s="1"/>
  <c r="AU291"/>
  <c r="AU290" s="1"/>
  <c r="AQ291"/>
  <c r="AQ290" s="1"/>
  <c r="AR291"/>
  <c r="AR290" s="1"/>
  <c r="AP291"/>
  <c r="AP290" s="1"/>
  <c r="BA25"/>
  <c r="AY148"/>
  <c r="AY147" s="1"/>
  <c r="AZ148"/>
  <c r="AZ147" s="1"/>
  <c r="BA148"/>
  <c r="BA147" s="1"/>
  <c r="BB148"/>
  <c r="BB147" s="1"/>
  <c r="AX148"/>
  <c r="AX147" s="1"/>
  <c r="AT148"/>
  <c r="AT147" s="1"/>
  <c r="AQ148"/>
  <c r="AQ147" s="1"/>
  <c r="AU148"/>
  <c r="AU147" s="1"/>
  <c r="AR148"/>
  <c r="AR147" s="1"/>
  <c r="AS148"/>
  <c r="AS147" s="1"/>
  <c r="AW148"/>
  <c r="AW147" s="1"/>
  <c r="AP148"/>
  <c r="AP147" s="1"/>
  <c r="BA128"/>
  <c r="AX128"/>
  <c r="BB128"/>
  <c r="AY128"/>
  <c r="AZ128"/>
  <c r="AW128"/>
  <c r="AR128"/>
  <c r="AS128"/>
  <c r="AT128"/>
  <c r="AQ128"/>
  <c r="AU128"/>
  <c r="AP128"/>
  <c r="BA381"/>
  <c r="BA380" s="1"/>
  <c r="AX381"/>
  <c r="AX380" s="1"/>
  <c r="BB381"/>
  <c r="BB380" s="1"/>
  <c r="AY381"/>
  <c r="AY380" s="1"/>
  <c r="AW381"/>
  <c r="AW380" s="1"/>
  <c r="AR381"/>
  <c r="AR380" s="1"/>
  <c r="AU381"/>
  <c r="AU380" s="1"/>
  <c r="AZ381"/>
  <c r="AZ380" s="1"/>
  <c r="AQ381"/>
  <c r="AQ380" s="1"/>
  <c r="AP381"/>
  <c r="AP380" s="1"/>
  <c r="AS381"/>
  <c r="AS380" s="1"/>
  <c r="AT381"/>
  <c r="AT380" s="1"/>
  <c r="BA249"/>
  <c r="BA248" s="1"/>
  <c r="AX249"/>
  <c r="AX248" s="1"/>
  <c r="BB249"/>
  <c r="BB248" s="1"/>
  <c r="AY249"/>
  <c r="AY248" s="1"/>
  <c r="AZ249"/>
  <c r="AZ248" s="1"/>
  <c r="AT249"/>
  <c r="AT248" s="1"/>
  <c r="AW249"/>
  <c r="AW248" s="1"/>
  <c r="AR249"/>
  <c r="AR248" s="1"/>
  <c r="AQ249"/>
  <c r="AQ248" s="1"/>
  <c r="AS249"/>
  <c r="AS248" s="1"/>
  <c r="AU249"/>
  <c r="AU248" s="1"/>
  <c r="AP249"/>
  <c r="AP248" s="1"/>
  <c r="AY251"/>
  <c r="AY250" s="1"/>
  <c r="AZ251"/>
  <c r="AZ250" s="1"/>
  <c r="AX251"/>
  <c r="AX250" s="1"/>
  <c r="BA251"/>
  <c r="BA250" s="1"/>
  <c r="BB251"/>
  <c r="BB250" s="1"/>
  <c r="AW251"/>
  <c r="AW250" s="1"/>
  <c r="AT251"/>
  <c r="AT250" s="1"/>
  <c r="AR251"/>
  <c r="AR250" s="1"/>
  <c r="AQ251"/>
  <c r="AQ250" s="1"/>
  <c r="AS251"/>
  <c r="AS250" s="1"/>
  <c r="AU251"/>
  <c r="AU250" s="1"/>
  <c r="AP251"/>
  <c r="AP250" s="1"/>
  <c r="AZ205"/>
  <c r="AZ204" s="1"/>
  <c r="BA205"/>
  <c r="BA204" s="1"/>
  <c r="AX205"/>
  <c r="AX204" s="1"/>
  <c r="BB205"/>
  <c r="BB204" s="1"/>
  <c r="AY205"/>
  <c r="AY204" s="1"/>
  <c r="AW205"/>
  <c r="AW204" s="1"/>
  <c r="AS205"/>
  <c r="AS204" s="1"/>
  <c r="AQ205"/>
  <c r="AQ204" s="1"/>
  <c r="AU205"/>
  <c r="AU204" s="1"/>
  <c r="AT205"/>
  <c r="AT204" s="1"/>
  <c r="AR205"/>
  <c r="AR204" s="1"/>
  <c r="AP205"/>
  <c r="AP204" s="1"/>
  <c r="AZ129"/>
  <c r="BA129"/>
  <c r="AX129"/>
  <c r="AY129"/>
  <c r="BB129"/>
  <c r="AW129"/>
  <c r="AQ129"/>
  <c r="AU129"/>
  <c r="AR129"/>
  <c r="AS129"/>
  <c r="AT129"/>
  <c r="AP129"/>
  <c r="AZ327"/>
  <c r="AZ326" s="1"/>
  <c r="AW327"/>
  <c r="AW326" s="1"/>
  <c r="BA327"/>
  <c r="BA326" s="1"/>
  <c r="AX327"/>
  <c r="AX326" s="1"/>
  <c r="BB327"/>
  <c r="BB326" s="1"/>
  <c r="AY327"/>
  <c r="AY326" s="1"/>
  <c r="AR327"/>
  <c r="AR326" s="1"/>
  <c r="AQ327"/>
  <c r="AQ326" s="1"/>
  <c r="AS327"/>
  <c r="AS326" s="1"/>
  <c r="AP327"/>
  <c r="AP326" s="1"/>
  <c r="AT327"/>
  <c r="AT326" s="1"/>
  <c r="AU327"/>
  <c r="AU326" s="1"/>
  <c r="BC31"/>
  <c r="AZ25"/>
  <c r="BC26"/>
  <c r="AY88"/>
  <c r="AY87" s="1"/>
  <c r="AZ88"/>
  <c r="AZ87" s="1"/>
  <c r="BA88"/>
  <c r="BA87" s="1"/>
  <c r="BB88"/>
  <c r="BB87" s="1"/>
  <c r="AX88"/>
  <c r="AX87" s="1"/>
  <c r="AW88"/>
  <c r="AW87" s="1"/>
  <c r="AS88"/>
  <c r="AS87" s="1"/>
  <c r="AT88"/>
  <c r="AT87" s="1"/>
  <c r="AQ88"/>
  <c r="AQ87" s="1"/>
  <c r="AU88"/>
  <c r="AU87" s="1"/>
  <c r="AR88"/>
  <c r="AR87" s="1"/>
  <c r="AP88"/>
  <c r="AP87" s="1"/>
  <c r="AZ93"/>
  <c r="AX93"/>
  <c r="BB93"/>
  <c r="BA93"/>
  <c r="AW93"/>
  <c r="AT93"/>
  <c r="AP93"/>
  <c r="AY93"/>
  <c r="AU93"/>
  <c r="AQ93"/>
  <c r="AR93"/>
  <c r="AS93"/>
  <c r="AR25"/>
  <c r="AY94"/>
  <c r="BA94"/>
  <c r="AW94"/>
  <c r="AX94"/>
  <c r="AZ94"/>
  <c r="AS94"/>
  <c r="AU94"/>
  <c r="AP94"/>
  <c r="BB94"/>
  <c r="AQ94"/>
  <c r="AR94"/>
  <c r="AT94"/>
  <c r="AQ25"/>
  <c r="AW25"/>
  <c r="AT25"/>
  <c r="AX25"/>
  <c r="BA92"/>
  <c r="AY92"/>
  <c r="AX92"/>
  <c r="AZ92"/>
  <c r="AQ92"/>
  <c r="AU92"/>
  <c r="BB92"/>
  <c r="AW92"/>
  <c r="AT92"/>
  <c r="AP92"/>
  <c r="AR92"/>
  <c r="AS92"/>
  <c r="AV31"/>
  <c r="AU25"/>
  <c r="BB25"/>
  <c r="AY25"/>
  <c r="AP25"/>
  <c r="AF290"/>
  <c r="AF326"/>
  <c r="AF147"/>
  <c r="AF87"/>
  <c r="AF380"/>
  <c r="AF250"/>
  <c r="AF101"/>
  <c r="N101"/>
  <c r="AF248"/>
  <c r="Y380"/>
  <c r="Y101"/>
  <c r="AF204"/>
  <c r="J96"/>
  <c r="J183"/>
  <c r="J182"/>
  <c r="J179"/>
  <c r="J180"/>
  <c r="J239"/>
  <c r="Z46" i="2" l="1"/>
  <c r="AB46"/>
  <c r="BD26" i="1"/>
  <c r="BC249"/>
  <c r="BD249" s="1"/>
  <c r="BC102"/>
  <c r="BD102" s="1"/>
  <c r="BC205"/>
  <c r="BD205" s="1"/>
  <c r="BC128"/>
  <c r="BD128" s="1"/>
  <c r="AU91"/>
  <c r="BC129"/>
  <c r="BD129" s="1"/>
  <c r="BC251"/>
  <c r="BD251" s="1"/>
  <c r="BC92"/>
  <c r="BD92" s="1"/>
  <c r="AZ91"/>
  <c r="AQ91"/>
  <c r="AR91"/>
  <c r="BB91"/>
  <c r="BC93"/>
  <c r="BD93" s="1"/>
  <c r="AY179"/>
  <c r="AZ179"/>
  <c r="BB179"/>
  <c r="AX179"/>
  <c r="BA179"/>
  <c r="AW179"/>
  <c r="AT179"/>
  <c r="AR179"/>
  <c r="AQ179"/>
  <c r="AS179"/>
  <c r="AU179"/>
  <c r="AP179"/>
  <c r="AY182"/>
  <c r="AZ182"/>
  <c r="AX182"/>
  <c r="BA182"/>
  <c r="BB182"/>
  <c r="AW182"/>
  <c r="AT182"/>
  <c r="AR182"/>
  <c r="AU182"/>
  <c r="AQ182"/>
  <c r="AS182"/>
  <c r="AP182"/>
  <c r="BC88"/>
  <c r="BD88" s="1"/>
  <c r="AP127"/>
  <c r="AS127"/>
  <c r="AY127"/>
  <c r="BA239"/>
  <c r="BA238" s="1"/>
  <c r="AX239"/>
  <c r="AX238" s="1"/>
  <c r="BB239"/>
  <c r="BB238" s="1"/>
  <c r="AY239"/>
  <c r="AY238" s="1"/>
  <c r="AZ239"/>
  <c r="AZ238" s="1"/>
  <c r="AW239"/>
  <c r="AW238" s="1"/>
  <c r="AQ239"/>
  <c r="AQ238" s="1"/>
  <c r="AU239"/>
  <c r="AU238" s="1"/>
  <c r="AS239"/>
  <c r="AS238" s="1"/>
  <c r="AR239"/>
  <c r="AR238" s="1"/>
  <c r="AT239"/>
  <c r="AT238" s="1"/>
  <c r="AP239"/>
  <c r="AP238" s="1"/>
  <c r="AX183"/>
  <c r="BB183"/>
  <c r="AY183"/>
  <c r="BA183"/>
  <c r="AZ183"/>
  <c r="AW183"/>
  <c r="AS183"/>
  <c r="AQ183"/>
  <c r="AU183"/>
  <c r="AR183"/>
  <c r="AT183"/>
  <c r="AP183"/>
  <c r="AU127"/>
  <c r="AR127"/>
  <c r="BB127"/>
  <c r="BC148"/>
  <c r="BD148" s="1"/>
  <c r="Z42" i="2" s="1"/>
  <c r="AX180" i="1"/>
  <c r="BB180"/>
  <c r="AY180"/>
  <c r="AZ180"/>
  <c r="BA180"/>
  <c r="AW180"/>
  <c r="AS180"/>
  <c r="AQ180"/>
  <c r="AU180"/>
  <c r="AT180"/>
  <c r="AR180"/>
  <c r="AP180"/>
  <c r="BC94"/>
  <c r="BD94" s="1"/>
  <c r="AQ127"/>
  <c r="AW127"/>
  <c r="AX127"/>
  <c r="AT127"/>
  <c r="AZ127"/>
  <c r="BA127"/>
  <c r="BC291"/>
  <c r="BD291" s="1"/>
  <c r="AX91"/>
  <c r="AP91"/>
  <c r="AY91"/>
  <c r="AS91"/>
  <c r="AY96"/>
  <c r="AY95" s="1"/>
  <c r="AX96"/>
  <c r="AX95" s="1"/>
  <c r="AZ96"/>
  <c r="AZ95" s="1"/>
  <c r="AQ96"/>
  <c r="AQ95" s="1"/>
  <c r="AU96"/>
  <c r="AU95" s="1"/>
  <c r="BA96"/>
  <c r="BA95" s="1"/>
  <c r="AT96"/>
  <c r="AT95" s="1"/>
  <c r="AR96"/>
  <c r="AR95" s="1"/>
  <c r="AW96"/>
  <c r="AW95" s="1"/>
  <c r="BB96"/>
  <c r="BB95" s="1"/>
  <c r="AP96"/>
  <c r="AP95" s="1"/>
  <c r="AS96"/>
  <c r="AS95" s="1"/>
  <c r="AT91"/>
  <c r="BA91"/>
  <c r="AW91"/>
  <c r="R238"/>
  <c r="BC87"/>
  <c r="BC147"/>
  <c r="R204"/>
  <c r="N238"/>
  <c r="Y204"/>
  <c r="N204"/>
  <c r="AO101"/>
  <c r="BC327"/>
  <c r="BD327" s="1"/>
  <c r="AK101"/>
  <c r="BD127" l="1"/>
  <c r="AU177"/>
  <c r="BC179"/>
  <c r="BD179" s="1"/>
  <c r="BC180"/>
  <c r="BD180" s="1"/>
  <c r="BC183"/>
  <c r="BD183" s="1"/>
  <c r="BC96"/>
  <c r="BD96" s="1"/>
  <c r="AS181"/>
  <c r="AT181"/>
  <c r="AX181"/>
  <c r="AP177"/>
  <c r="AR177"/>
  <c r="AX177"/>
  <c r="AQ181"/>
  <c r="AW181"/>
  <c r="AZ181"/>
  <c r="AT177"/>
  <c r="BB177"/>
  <c r="AU181"/>
  <c r="BB181"/>
  <c r="AY181"/>
  <c r="AS177"/>
  <c r="AW177"/>
  <c r="AZ177"/>
  <c r="AP181"/>
  <c r="AR181"/>
  <c r="BA181"/>
  <c r="BC182"/>
  <c r="BD182" s="1"/>
  <c r="AQ177"/>
  <c r="BA177"/>
  <c r="AY177"/>
  <c r="AV101"/>
  <c r="AV204"/>
  <c r="BC204"/>
  <c r="BC239"/>
  <c r="BD239" s="1"/>
  <c r="AW351" l="1"/>
  <c r="AY351"/>
  <c r="AP351"/>
  <c r="AS351"/>
  <c r="AZ351"/>
  <c r="AQ351"/>
  <c r="AR351"/>
  <c r="BB351"/>
  <c r="AY300"/>
  <c r="AY298" s="1"/>
  <c r="AZ300"/>
  <c r="AZ298" s="1"/>
  <c r="BA300"/>
  <c r="BA298" s="1"/>
  <c r="BB300"/>
  <c r="BB298" s="1"/>
  <c r="AW300"/>
  <c r="AW298" s="1"/>
  <c r="AX300"/>
  <c r="AX298" s="1"/>
  <c r="AS300"/>
  <c r="AS298" s="1"/>
  <c r="AT300"/>
  <c r="AT298" s="1"/>
  <c r="AU300"/>
  <c r="AU298" s="1"/>
  <c r="AQ300"/>
  <c r="AQ298" s="1"/>
  <c r="AR300"/>
  <c r="AR298" s="1"/>
  <c r="AP300"/>
  <c r="AP298" s="1"/>
  <c r="AU351"/>
  <c r="AT351"/>
  <c r="BA351"/>
  <c r="AX351"/>
  <c r="AF300"/>
  <c r="AG300" s="1"/>
  <c r="J234"/>
  <c r="AF234"/>
  <c r="AG234" s="1"/>
  <c r="AV351" l="1"/>
  <c r="AX234"/>
  <c r="AX233" s="1"/>
  <c r="BB234"/>
  <c r="BB233" s="1"/>
  <c r="AY234"/>
  <c r="AY233" s="1"/>
  <c r="BA234"/>
  <c r="BA233" s="1"/>
  <c r="AW234"/>
  <c r="AW233" s="1"/>
  <c r="AZ234"/>
  <c r="AZ233" s="1"/>
  <c r="AQ234"/>
  <c r="AQ233" s="1"/>
  <c r="AU234"/>
  <c r="AU233" s="1"/>
  <c r="AS234"/>
  <c r="AS233" s="1"/>
  <c r="AR234"/>
  <c r="AR233" s="1"/>
  <c r="AT234"/>
  <c r="AT233" s="1"/>
  <c r="AP234"/>
  <c r="AP233" s="1"/>
  <c r="BC300"/>
  <c r="BD300" s="1"/>
  <c r="BC234" l="1"/>
  <c r="BD234" s="1"/>
  <c r="AF89" l="1"/>
  <c r="R434" l="1"/>
  <c r="AF434"/>
  <c r="AO434" l="1"/>
  <c r="AF135" l="1"/>
  <c r="AF134"/>
  <c r="AG134" s="1"/>
  <c r="AF133"/>
  <c r="J134"/>
  <c r="J133"/>
  <c r="W37" i="2"/>
  <c r="X37" s="1"/>
  <c r="BA134" i="1" l="1"/>
  <c r="AX134"/>
  <c r="BB134"/>
  <c r="AY134"/>
  <c r="AZ134"/>
  <c r="AW134"/>
  <c r="AQ134"/>
  <c r="AU134"/>
  <c r="AR134"/>
  <c r="AS134"/>
  <c r="AT134"/>
  <c r="AP134"/>
  <c r="AX133"/>
  <c r="BB133"/>
  <c r="AY133"/>
  <c r="AZ133"/>
  <c r="BA133"/>
  <c r="BA132" s="1"/>
  <c r="AR133"/>
  <c r="AS133"/>
  <c r="AW133"/>
  <c r="AT133"/>
  <c r="AU133"/>
  <c r="AP133"/>
  <c r="AQ133"/>
  <c r="AF132"/>
  <c r="AG132" s="1"/>
  <c r="AG133"/>
  <c r="AS132" l="1"/>
  <c r="AQ132"/>
  <c r="AW132"/>
  <c r="AZ132"/>
  <c r="AR132"/>
  <c r="AP132"/>
  <c r="AY132"/>
  <c r="BB132"/>
  <c r="AU132"/>
  <c r="AT132"/>
  <c r="AX132"/>
  <c r="BC134"/>
  <c r="AV134"/>
  <c r="BC133"/>
  <c r="AV133"/>
  <c r="BC132" l="1"/>
  <c r="BD134"/>
  <c r="BD133"/>
  <c r="AV132"/>
  <c r="BD132" l="1"/>
  <c r="AB37" i="2" s="1"/>
  <c r="W109" l="1"/>
  <c r="Y412" i="1" l="1"/>
  <c r="Y413"/>
  <c r="Y414"/>
  <c r="Y415"/>
  <c r="Y416"/>
  <c r="R336"/>
  <c r="R322"/>
  <c r="R313"/>
  <c r="R290"/>
  <c r="R248"/>
  <c r="R210"/>
  <c r="R184"/>
  <c r="R165"/>
  <c r="R154"/>
  <c r="R152"/>
  <c r="R147"/>
  <c r="R145"/>
  <c r="R112"/>
  <c r="R101"/>
  <c r="R103" s="1"/>
  <c r="R99"/>
  <c r="R97"/>
  <c r="R87"/>
  <c r="R41"/>
  <c r="R36"/>
  <c r="R23"/>
  <c r="Y89" l="1"/>
  <c r="BC230" l="1"/>
  <c r="S22" i="2" l="1"/>
  <c r="W22"/>
  <c r="S23"/>
  <c r="Y76" i="1"/>
  <c r="R75"/>
  <c r="Y75"/>
  <c r="AF75"/>
  <c r="S81" i="2"/>
  <c r="AG76" i="1" l="1"/>
  <c r="AG75"/>
  <c r="X22" i="2"/>
  <c r="Z22" s="1"/>
  <c r="W14"/>
  <c r="S14"/>
  <c r="AO31" i="1"/>
  <c r="AK31"/>
  <c r="BD31" l="1"/>
  <c r="AB14" i="2" s="1"/>
  <c r="AV76" i="1"/>
  <c r="BC76"/>
  <c r="X14" i="2"/>
  <c r="BD76" i="1" l="1"/>
  <c r="Z14" i="2" l="1"/>
  <c r="AB22" l="1"/>
  <c r="S57"/>
  <c r="W57"/>
  <c r="O57"/>
  <c r="X57" l="1"/>
  <c r="AO230" i="1" l="1"/>
  <c r="P122" l="1"/>
  <c r="N384" l="1"/>
  <c r="N386"/>
  <c r="R285" l="1"/>
  <c r="Y322"/>
  <c r="R89" l="1"/>
  <c r="R95" l="1"/>
  <c r="N97"/>
  <c r="R135" l="1"/>
  <c r="BC95" l="1"/>
  <c r="AK95"/>
  <c r="O79" i="2" l="1"/>
  <c r="O109"/>
  <c r="O10"/>
  <c r="J41" i="1" l="1"/>
  <c r="AY41" l="1"/>
  <c r="BA41"/>
  <c r="AZ41"/>
  <c r="BB41"/>
  <c r="AW41"/>
  <c r="AQ41"/>
  <c r="AU41"/>
  <c r="AP41"/>
  <c r="AS41"/>
  <c r="AR41"/>
  <c r="AT41"/>
  <c r="AX41"/>
  <c r="X109" i="2"/>
  <c r="AF41" i="1"/>
  <c r="Y41"/>
  <c r="N41"/>
  <c r="G41"/>
  <c r="AM41" l="1"/>
  <c r="AN41"/>
  <c r="AI41"/>
  <c r="AJ41"/>
  <c r="AL41"/>
  <c r="AH41"/>
  <c r="AG41"/>
  <c r="AV41"/>
  <c r="BC41"/>
  <c r="AK41" l="1"/>
  <c r="AO41"/>
  <c r="BD41" l="1"/>
  <c r="Y109" i="2" l="1"/>
  <c r="BC89" i="1"/>
  <c r="Y23"/>
  <c r="Z109" i="2" l="1"/>
  <c r="AB109"/>
  <c r="N285" i="1"/>
  <c r="N284" s="1"/>
  <c r="P284"/>
  <c r="Q284"/>
  <c r="O284"/>
  <c r="R284"/>
  <c r="L284"/>
  <c r="M284"/>
  <c r="K284"/>
  <c r="AF233" l="1"/>
  <c r="R233"/>
  <c r="AH285"/>
  <c r="AH284" s="1"/>
  <c r="AO285" l="1"/>
  <c r="AK285"/>
  <c r="AO322" l="1"/>
  <c r="AK322"/>
  <c r="BC135" l="1"/>
  <c r="Z65" i="2" l="1"/>
  <c r="AK292" i="1" l="1"/>
  <c r="AF292"/>
  <c r="Y292"/>
  <c r="R292"/>
  <c r="N292"/>
  <c r="BC292" l="1"/>
  <c r="AG292"/>
  <c r="AV292"/>
  <c r="AO292"/>
  <c r="W133" i="2"/>
  <c r="O133"/>
  <c r="X133" l="1"/>
  <c r="BD292" i="1"/>
  <c r="Y133" i="2" s="1"/>
  <c r="Y135" i="1"/>
  <c r="N135"/>
  <c r="W38" i="2"/>
  <c r="S38"/>
  <c r="O38"/>
  <c r="Z133" l="1"/>
  <c r="AB133"/>
  <c r="AG135" i="1"/>
  <c r="X38" i="2"/>
  <c r="AO135" i="1"/>
  <c r="AV135"/>
  <c r="AK135"/>
  <c r="Y42"/>
  <c r="BD135" l="1"/>
  <c r="AB433"/>
  <c r="AB38" i="2" l="1"/>
  <c r="J436" i="1"/>
  <c r="AX436" l="1"/>
  <c r="AX433" s="1"/>
  <c r="BB436"/>
  <c r="BB433" s="1"/>
  <c r="AY436"/>
  <c r="AY433" s="1"/>
  <c r="AZ436"/>
  <c r="AZ433" s="1"/>
  <c r="BA436"/>
  <c r="BA433" s="1"/>
  <c r="AW436"/>
  <c r="AW433" s="1"/>
  <c r="AS436"/>
  <c r="AS433" s="1"/>
  <c r="AT436"/>
  <c r="AT433" s="1"/>
  <c r="AQ436"/>
  <c r="AQ433" s="1"/>
  <c r="AU436"/>
  <c r="AU433" s="1"/>
  <c r="AR436"/>
  <c r="AR433" s="1"/>
  <c r="AP436"/>
  <c r="N174"/>
  <c r="AF286" l="1"/>
  <c r="N286" l="1"/>
  <c r="BC286" l="1"/>
  <c r="AK286"/>
  <c r="Y285"/>
  <c r="R271" l="1"/>
  <c r="N271"/>
  <c r="AO286" l="1"/>
  <c r="R286" l="1"/>
  <c r="AF437" l="1"/>
  <c r="AF39" l="1"/>
  <c r="AG39" s="1"/>
  <c r="BC39" l="1"/>
  <c r="AO39"/>
  <c r="Y286" l="1"/>
  <c r="AG286" s="1"/>
  <c r="AV39"/>
  <c r="AV286"/>
  <c r="BD286" s="1"/>
  <c r="AB72" i="2" s="1"/>
  <c r="AF67" i="1" l="1"/>
  <c r="BD39"/>
  <c r="AB16" i="2" s="1"/>
  <c r="Y240" i="1"/>
  <c r="R240"/>
  <c r="N240"/>
  <c r="AF240"/>
  <c r="AF84"/>
  <c r="AF378"/>
  <c r="AF319"/>
  <c r="AG84" l="1"/>
  <c r="AG378"/>
  <c r="AG240"/>
  <c r="AO240"/>
  <c r="W79" i="2"/>
  <c r="X79" s="1"/>
  <c r="AG322" i="1"/>
  <c r="AF285"/>
  <c r="AG285" s="1"/>
  <c r="AF271"/>
  <c r="AF212"/>
  <c r="BC240" l="1"/>
  <c r="BC378"/>
  <c r="AV240"/>
  <c r="AG271"/>
  <c r="AG319"/>
  <c r="AV84"/>
  <c r="BC84"/>
  <c r="AO319"/>
  <c r="AO84"/>
  <c r="AO378"/>
  <c r="AF284"/>
  <c r="AG212"/>
  <c r="BC319" l="1"/>
  <c r="BC212"/>
  <c r="AV319"/>
  <c r="AV322"/>
  <c r="BD240"/>
  <c r="AB60" i="2" s="1"/>
  <c r="AV378" i="1"/>
  <c r="BD378" s="1"/>
  <c r="AB86" i="2" s="1"/>
  <c r="BD84" i="1"/>
  <c r="BC285"/>
  <c r="BD285" s="1"/>
  <c r="BC322"/>
  <c r="BC284"/>
  <c r="Y284"/>
  <c r="AV284"/>
  <c r="AO284"/>
  <c r="AO212"/>
  <c r="AV271"/>
  <c r="BC271"/>
  <c r="AB24" i="2" l="1"/>
  <c r="BD319" i="1"/>
  <c r="AB78" i="2" s="1"/>
  <c r="BD322" i="1"/>
  <c r="AO271"/>
  <c r="AG284"/>
  <c r="AK284"/>
  <c r="BD284" s="1"/>
  <c r="Y130" i="2" s="1"/>
  <c r="AB130" s="1"/>
  <c r="AV212" i="1"/>
  <c r="Y68"/>
  <c r="Y69"/>
  <c r="Y70"/>
  <c r="BD212" l="1"/>
  <c r="AB55" i="2" s="1"/>
  <c r="BD271" i="1"/>
  <c r="AB67" i="2" s="1"/>
  <c r="Z79" l="1"/>
  <c r="AB79"/>
  <c r="W10"/>
  <c r="S10"/>
  <c r="X10" l="1"/>
  <c r="AG23" i="1"/>
  <c r="AK23" l="1"/>
  <c r="AO23"/>
  <c r="AV23"/>
  <c r="BC23"/>
  <c r="BD23" l="1"/>
  <c r="AB10" i="2" l="1"/>
  <c r="Y382" i="1"/>
  <c r="S66" i="2" l="1"/>
  <c r="W66"/>
  <c r="O66"/>
  <c r="AF267" i="1" l="1"/>
  <c r="X66" i="2"/>
  <c r="AG267" i="1" l="1"/>
  <c r="AO267"/>
  <c r="BC267" l="1"/>
  <c r="AV267"/>
  <c r="BD267" l="1"/>
  <c r="AB66" i="2" s="1"/>
  <c r="J51" i="1" l="1"/>
  <c r="AX51" l="1"/>
  <c r="BB51"/>
  <c r="AY51"/>
  <c r="AZ51"/>
  <c r="BA51"/>
  <c r="AW51"/>
  <c r="AT51"/>
  <c r="AQ51"/>
  <c r="AU51"/>
  <c r="AR51"/>
  <c r="AS51"/>
  <c r="AP51"/>
  <c r="Y67"/>
  <c r="S6"/>
  <c r="R66" l="1"/>
  <c r="S90" i="2" l="1"/>
  <c r="S86"/>
  <c r="S73"/>
  <c r="S41"/>
  <c r="R413" i="1" l="1"/>
  <c r="R414"/>
  <c r="R416"/>
  <c r="R412"/>
  <c r="R415"/>
  <c r="R68" l="1"/>
  <c r="R69"/>
  <c r="R70"/>
  <c r="R67" l="1"/>
  <c r="AG67" s="1"/>
  <c r="P156" l="1"/>
  <c r="Q156"/>
  <c r="O156"/>
  <c r="R51" l="1"/>
  <c r="P48"/>
  <c r="Q48"/>
  <c r="O48"/>
  <c r="O90" i="2" l="1"/>
  <c r="O71"/>
  <c r="O73"/>
  <c r="O41"/>
  <c r="O433" i="1" l="1"/>
  <c r="P433"/>
  <c r="Q433"/>
  <c r="S433"/>
  <c r="T433"/>
  <c r="U433"/>
  <c r="V433"/>
  <c r="W433"/>
  <c r="X433"/>
  <c r="Z433"/>
  <c r="AA433"/>
  <c r="AC433"/>
  <c r="AD433"/>
  <c r="AE433"/>
  <c r="Y457" l="1"/>
  <c r="R457"/>
  <c r="Y455"/>
  <c r="N455"/>
  <c r="W103" i="2"/>
  <c r="S103"/>
  <c r="O103"/>
  <c r="K103"/>
  <c r="W102"/>
  <c r="S102"/>
  <c r="O102"/>
  <c r="K102"/>
  <c r="BC457" i="1" l="1"/>
  <c r="X103" i="2"/>
  <c r="AV457" i="1"/>
  <c r="X102" i="2"/>
  <c r="N457" i="1"/>
  <c r="AG457" s="1"/>
  <c r="AV455"/>
  <c r="AG455"/>
  <c r="AO457" l="1"/>
  <c r="AK457"/>
  <c r="AO455"/>
  <c r="AK455"/>
  <c r="BD457" l="1"/>
  <c r="BD455"/>
  <c r="M433" l="1"/>
  <c r="K433"/>
  <c r="W101" i="2"/>
  <c r="S101"/>
  <c r="O101"/>
  <c r="X101" s="1"/>
  <c r="K101"/>
  <c r="R436" i="1" l="1"/>
  <c r="Y436"/>
  <c r="AF436"/>
  <c r="L433"/>
  <c r="G436"/>
  <c r="W100" i="2"/>
  <c r="S100"/>
  <c r="O100"/>
  <c r="K100"/>
  <c r="AM436" i="1" l="1"/>
  <c r="AM433" s="1"/>
  <c r="AL436"/>
  <c r="AL433" s="1"/>
  <c r="AN436"/>
  <c r="AN433" s="1"/>
  <c r="AJ436"/>
  <c r="AJ433" s="1"/>
  <c r="AI436"/>
  <c r="AI433" s="1"/>
  <c r="AH436"/>
  <c r="Z102" i="2"/>
  <c r="BC437" i="1"/>
  <c r="Z103" i="2"/>
  <c r="AV436" i="1"/>
  <c r="BC436"/>
  <c r="N436"/>
  <c r="AG436" s="1"/>
  <c r="X100" i="2"/>
  <c r="BD437" i="1" l="1"/>
  <c r="AO436"/>
  <c r="AK436"/>
  <c r="BD436" l="1"/>
  <c r="AO412"/>
  <c r="Z101" i="2"/>
  <c r="AO413" i="1"/>
  <c r="AO414"/>
  <c r="Z100" i="2" l="1"/>
  <c r="L62" i="1"/>
  <c r="BC233" l="1"/>
  <c r="AO233"/>
  <c r="AV233" l="1"/>
  <c r="M48"/>
  <c r="N51"/>
  <c r="AG51" s="1"/>
  <c r="G51"/>
  <c r="AM51" l="1"/>
  <c r="AI51"/>
  <c r="AN51"/>
  <c r="AL51"/>
  <c r="AJ51"/>
  <c r="AH51"/>
  <c r="L48"/>
  <c r="L187"/>
  <c r="M187"/>
  <c r="AK51" l="1"/>
  <c r="AO51"/>
  <c r="BD51" l="1"/>
  <c r="AF433"/>
  <c r="Y434"/>
  <c r="Y433" s="1"/>
  <c r="R433"/>
  <c r="N434"/>
  <c r="N433" s="1"/>
  <c r="W99" i="2"/>
  <c r="S99"/>
  <c r="O99"/>
  <c r="O104" s="1"/>
  <c r="K99"/>
  <c r="K104" s="1"/>
  <c r="AH433" i="1" l="1"/>
  <c r="AP433"/>
  <c r="AG434"/>
  <c r="AG433" s="1"/>
  <c r="X99" i="2"/>
  <c r="X104" s="1"/>
  <c r="BC434" i="1" l="1"/>
  <c r="BC433" s="1"/>
  <c r="AV434"/>
  <c r="AV433" s="1"/>
  <c r="AO433"/>
  <c r="AK433"/>
  <c r="AF25" l="1"/>
  <c r="BD434"/>
  <c r="AG25" l="1"/>
  <c r="BD433"/>
  <c r="N192"/>
  <c r="N193"/>
  <c r="BC25" l="1"/>
  <c r="AO25"/>
  <c r="Z99" i="2"/>
  <c r="Z104" s="1"/>
  <c r="AV25" i="1"/>
  <c r="N187"/>
  <c r="BD25" l="1"/>
  <c r="AB12" i="2" s="1"/>
  <c r="AK412" i="1"/>
  <c r="AK413"/>
  <c r="AK414"/>
  <c r="N412"/>
  <c r="N413"/>
  <c r="N414"/>
  <c r="N416"/>
  <c r="N415"/>
  <c r="N405" l="1"/>
  <c r="AO416" l="1"/>
  <c r="AK416"/>
  <c r="AO415"/>
  <c r="AK415"/>
  <c r="N68"/>
  <c r="AG68" s="1"/>
  <c r="N69"/>
  <c r="AG69" s="1"/>
  <c r="N70"/>
  <c r="AG70" s="1"/>
  <c r="AO70" l="1"/>
  <c r="AH68"/>
  <c r="AH67" s="1"/>
  <c r="AK67" s="1"/>
  <c r="AV69" l="1"/>
  <c r="AV70"/>
  <c r="AV68"/>
  <c r="AO69"/>
  <c r="BC69"/>
  <c r="AK70"/>
  <c r="AK68"/>
  <c r="AK69"/>
  <c r="BC68"/>
  <c r="AO68"/>
  <c r="BC70"/>
  <c r="K6"/>
  <c r="Y393"/>
  <c r="R393"/>
  <c r="BC67" l="1"/>
  <c r="AO67"/>
  <c r="BD69"/>
  <c r="BD70"/>
  <c r="BD68"/>
  <c r="O60" i="2"/>
  <c r="S59"/>
  <c r="O59"/>
  <c r="Y238" i="1"/>
  <c r="AO393" l="1"/>
  <c r="AK393"/>
  <c r="Y147"/>
  <c r="N147"/>
  <c r="AG147" l="1"/>
  <c r="AO238"/>
  <c r="AK238"/>
  <c r="AO147" l="1"/>
  <c r="AK147"/>
  <c r="W59" i="2" l="1"/>
  <c r="W41"/>
  <c r="W43"/>
  <c r="W51"/>
  <c r="W73"/>
  <c r="X73" l="1"/>
  <c r="AF238" i="1"/>
  <c r="AG238" s="1"/>
  <c r="X59" i="2"/>
  <c r="X41"/>
  <c r="AF412" i="1"/>
  <c r="AG412" s="1"/>
  <c r="AF414"/>
  <c r="AG414" s="1"/>
  <c r="AF416"/>
  <c r="AG416" s="1"/>
  <c r="AF415"/>
  <c r="AG415" s="1"/>
  <c r="AF194" l="1"/>
  <c r="AG194" s="1"/>
  <c r="AV147"/>
  <c r="AF413"/>
  <c r="AG413" s="1"/>
  <c r="AO194"/>
  <c r="AV415" l="1"/>
  <c r="AV416"/>
  <c r="AV414"/>
  <c r="AV413"/>
  <c r="AV412"/>
  <c r="BC415"/>
  <c r="BC413"/>
  <c r="BC416"/>
  <c r="BC414"/>
  <c r="BC412"/>
  <c r="BC238"/>
  <c r="AV238"/>
  <c r="BD147"/>
  <c r="AB41" i="2" s="1"/>
  <c r="W12"/>
  <c r="S12"/>
  <c r="O12"/>
  <c r="A15"/>
  <c r="A16" s="1"/>
  <c r="A17" s="1"/>
  <c r="J25" i="1"/>
  <c r="BD413" l="1"/>
  <c r="BD415"/>
  <c r="BD416"/>
  <c r="BD414"/>
  <c r="BD412"/>
  <c r="BC194"/>
  <c r="AV194"/>
  <c r="BD238"/>
  <c r="AB59" i="2" s="1"/>
  <c r="X12"/>
  <c r="BD194" i="1" l="1"/>
  <c r="AB73" i="2" s="1"/>
  <c r="Z12"/>
  <c r="Z73" l="1"/>
  <c r="AO216" i="1" l="1"/>
  <c r="AG393" l="1"/>
  <c r="W90" i="2"/>
  <c r="X90" s="1"/>
  <c r="AV216" i="1" l="1"/>
  <c r="AV393"/>
  <c r="BD393" s="1"/>
  <c r="AB90" i="2" s="1"/>
  <c r="AO281" i="1" l="1"/>
  <c r="AK281"/>
  <c r="Y281"/>
  <c r="R281"/>
  <c r="N281"/>
  <c r="W71" i="2"/>
  <c r="X71" s="1"/>
  <c r="AG281" i="1" l="1"/>
  <c r="BC281" l="1"/>
  <c r="AV281"/>
  <c r="BC216" l="1"/>
  <c r="BD216" s="1"/>
  <c r="BD281"/>
  <c r="AB71" i="2" s="1"/>
  <c r="AB56" l="1"/>
  <c r="AF417" i="1" l="1"/>
  <c r="BC417" l="1"/>
  <c r="J50" l="1"/>
  <c r="AY50" l="1"/>
  <c r="AZ50"/>
  <c r="BA50"/>
  <c r="BB50"/>
  <c r="AX50"/>
  <c r="AW50"/>
  <c r="AS50"/>
  <c r="AU50"/>
  <c r="AQ50"/>
  <c r="AR50"/>
  <c r="AT50"/>
  <c r="AP50"/>
  <c r="S21" i="2"/>
  <c r="S114"/>
  <c r="W21"/>
  <c r="O21"/>
  <c r="X21" l="1"/>
  <c r="AV67" i="1" l="1"/>
  <c r="BD67" s="1"/>
  <c r="W60" i="2"/>
  <c r="S60"/>
  <c r="AB21" l="1"/>
  <c r="X60"/>
  <c r="Z59" l="1"/>
  <c r="N339" i="1" l="1"/>
  <c r="R339"/>
  <c r="Y339"/>
  <c r="AF339"/>
  <c r="AG339" l="1"/>
  <c r="Y335"/>
  <c r="AF156" l="1"/>
  <c r="P6" l="1"/>
  <c r="Y400" l="1"/>
  <c r="AF400"/>
  <c r="R400" l="1"/>
  <c r="P332" l="1"/>
  <c r="Q332"/>
  <c r="O332"/>
  <c r="R333"/>
  <c r="W67" i="2" l="1"/>
  <c r="S67"/>
  <c r="S68"/>
  <c r="S69"/>
  <c r="O67"/>
  <c r="O92"/>
  <c r="N400" i="1" l="1"/>
  <c r="AG400" s="1"/>
  <c r="G50" l="1"/>
  <c r="G49"/>
  <c r="J49"/>
  <c r="AF50"/>
  <c r="Y50"/>
  <c r="R50"/>
  <c r="N50"/>
  <c r="AF49"/>
  <c r="Y49"/>
  <c r="Y48" s="1"/>
  <c r="R49"/>
  <c r="N49"/>
  <c r="K48"/>
  <c r="AZ49" l="1"/>
  <c r="AZ48" s="1"/>
  <c r="BA49"/>
  <c r="BA48" s="1"/>
  <c r="AX49"/>
  <c r="AX48" s="1"/>
  <c r="AY49"/>
  <c r="AY48" s="1"/>
  <c r="BB49"/>
  <c r="BB48" s="1"/>
  <c r="AR49"/>
  <c r="AR48" s="1"/>
  <c r="AS49"/>
  <c r="AS48" s="1"/>
  <c r="AT49"/>
  <c r="AT48" s="1"/>
  <c r="AU49"/>
  <c r="AU48" s="1"/>
  <c r="AW49"/>
  <c r="AW48" s="1"/>
  <c r="AQ49"/>
  <c r="AQ48" s="1"/>
  <c r="AP49"/>
  <c r="AP48" s="1"/>
  <c r="AM49"/>
  <c r="AI49"/>
  <c r="AN49"/>
  <c r="AL49"/>
  <c r="AH49"/>
  <c r="AJ49"/>
  <c r="AN50"/>
  <c r="AL50"/>
  <c r="AI50"/>
  <c r="AJ50"/>
  <c r="AH50"/>
  <c r="AM50"/>
  <c r="R48"/>
  <c r="N48"/>
  <c r="AV50"/>
  <c r="BC50"/>
  <c r="AG49"/>
  <c r="AF48"/>
  <c r="AG50"/>
  <c r="AF115"/>
  <c r="AI48" l="1"/>
  <c r="AN48"/>
  <c r="AH48"/>
  <c r="AJ48"/>
  <c r="AM48"/>
  <c r="AL48"/>
  <c r="AG48"/>
  <c r="AO49"/>
  <c r="AO50"/>
  <c r="BC49"/>
  <c r="BC48"/>
  <c r="AK49"/>
  <c r="AK50"/>
  <c r="AV49"/>
  <c r="AV48"/>
  <c r="AO48" l="1"/>
  <c r="AG115"/>
  <c r="AK48"/>
  <c r="BD50"/>
  <c r="BD49"/>
  <c r="AK400"/>
  <c r="BD400" s="1"/>
  <c r="AV335"/>
  <c r="L332"/>
  <c r="M332"/>
  <c r="K332"/>
  <c r="N335"/>
  <c r="R335"/>
  <c r="AF335"/>
  <c r="BC115" l="1"/>
  <c r="BD48"/>
  <c r="Y111" i="2" s="1"/>
  <c r="AB111" s="1"/>
  <c r="AV115" i="1"/>
  <c r="AO115"/>
  <c r="AG335"/>
  <c r="BC335"/>
  <c r="AF45"/>
  <c r="BD115" l="1"/>
  <c r="AB34" i="2" s="1"/>
  <c r="AO335" i="1"/>
  <c r="AK335"/>
  <c r="AF351" l="1"/>
  <c r="AG45"/>
  <c r="BD335"/>
  <c r="BC45"/>
  <c r="AV45"/>
  <c r="AO45" l="1"/>
  <c r="BC351" l="1"/>
  <c r="BD45"/>
  <c r="AB18" i="2" s="1"/>
  <c r="BD351" i="1" l="1"/>
  <c r="AB84" i="2" s="1"/>
  <c r="AF350" i="1"/>
  <c r="Y350"/>
  <c r="R350"/>
  <c r="N350"/>
  <c r="W139" i="2"/>
  <c r="S139"/>
  <c r="O139"/>
  <c r="AF169" i="1" l="1"/>
  <c r="X139" i="2"/>
  <c r="AG350" i="1"/>
  <c r="BC169" l="1"/>
  <c r="AG169"/>
  <c r="AK350"/>
  <c r="AO350"/>
  <c r="AV169"/>
  <c r="AV350"/>
  <c r="BC350"/>
  <c r="AF340"/>
  <c r="Y340"/>
  <c r="R340"/>
  <c r="N340"/>
  <c r="Q338"/>
  <c r="P338"/>
  <c r="O338"/>
  <c r="M338"/>
  <c r="L338"/>
  <c r="K338"/>
  <c r="W137" i="2"/>
  <c r="S137"/>
  <c r="O137"/>
  <c r="A18" l="1"/>
  <c r="A19" s="1"/>
  <c r="A20" s="1"/>
  <c r="A21" s="1"/>
  <c r="A22" s="1"/>
  <c r="AO169" i="1"/>
  <c r="AV340"/>
  <c r="X137" i="2"/>
  <c r="Y338" i="1"/>
  <c r="BD350"/>
  <c r="Y139" i="2" s="1"/>
  <c r="AB139" s="1"/>
  <c r="BC339" i="1"/>
  <c r="BC340"/>
  <c r="R338"/>
  <c r="N338"/>
  <c r="AV339"/>
  <c r="AG340"/>
  <c r="AF338"/>
  <c r="A23" i="2" l="1"/>
  <c r="A24" s="1"/>
  <c r="AV338" i="1"/>
  <c r="BD169"/>
  <c r="AB47" i="2" s="1"/>
  <c r="AO339" i="1"/>
  <c r="BC338"/>
  <c r="AK340"/>
  <c r="AO340"/>
  <c r="AG338"/>
  <c r="AK339"/>
  <c r="A25" i="2" l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O338" i="1"/>
  <c r="BD340"/>
  <c r="AK338"/>
  <c r="BD339"/>
  <c r="BD338" l="1"/>
  <c r="Y137" i="2" s="1"/>
  <c r="AB137" s="1"/>
  <c r="X67"/>
  <c r="Z67" s="1"/>
  <c r="AF19" i="1" l="1"/>
  <c r="AF86"/>
  <c r="AF95"/>
  <c r="AF66"/>
  <c r="AF65"/>
  <c r="AF64"/>
  <c r="AF63"/>
  <c r="AF42"/>
  <c r="AF61"/>
  <c r="AF56"/>
  <c r="AF54"/>
  <c r="AF53"/>
  <c r="AF397"/>
  <c r="AF401"/>
  <c r="AF399"/>
  <c r="AF386"/>
  <c r="AF376"/>
  <c r="AF348"/>
  <c r="AF347"/>
  <c r="AF346"/>
  <c r="AF345"/>
  <c r="AF370"/>
  <c r="AF371"/>
  <c r="AF377"/>
  <c r="AF402"/>
  <c r="AF343"/>
  <c r="AF342"/>
  <c r="AF328"/>
  <c r="AF297"/>
  <c r="AF321"/>
  <c r="AF334"/>
  <c r="AF333"/>
  <c r="AF296"/>
  <c r="AF295"/>
  <c r="AF294"/>
  <c r="AF283"/>
  <c r="AF270"/>
  <c r="AF266"/>
  <c r="AF112"/>
  <c r="AF103"/>
  <c r="AF261"/>
  <c r="AF260"/>
  <c r="AF254"/>
  <c r="AF247"/>
  <c r="AF403"/>
  <c r="AF232"/>
  <c r="AF215"/>
  <c r="AF214" s="1"/>
  <c r="AF206"/>
  <c r="AF203"/>
  <c r="AF193"/>
  <c r="AF192"/>
  <c r="AF38"/>
  <c r="AF186"/>
  <c r="AF178"/>
  <c r="AF176"/>
  <c r="AF175"/>
  <c r="AF174"/>
  <c r="AF164"/>
  <c r="AF163"/>
  <c r="AF154"/>
  <c r="AF35"/>
  <c r="AF423"/>
  <c r="AF22"/>
  <c r="AF21"/>
  <c r="AF20"/>
  <c r="AF18"/>
  <c r="AF17"/>
  <c r="AF16"/>
  <c r="AF14"/>
  <c r="AF13"/>
  <c r="AF12"/>
  <c r="AF11"/>
  <c r="AF10"/>
  <c r="AF9"/>
  <c r="AF8"/>
  <c r="AF7"/>
  <c r="AF126"/>
  <c r="Y86"/>
  <c r="Y87"/>
  <c r="Y99"/>
  <c r="Y97"/>
  <c r="Y95"/>
  <c r="Y66"/>
  <c r="Y63"/>
  <c r="Y65"/>
  <c r="Y64"/>
  <c r="Y61"/>
  <c r="Y56"/>
  <c r="Y54"/>
  <c r="Y53"/>
  <c r="Y421"/>
  <c r="Y397"/>
  <c r="Y401"/>
  <c r="Y399"/>
  <c r="Y384"/>
  <c r="Y386"/>
  <c r="Y376"/>
  <c r="Y348"/>
  <c r="Y345"/>
  <c r="Y370"/>
  <c r="Y402"/>
  <c r="Y343"/>
  <c r="Y342"/>
  <c r="Y336"/>
  <c r="Y328"/>
  <c r="Y326"/>
  <c r="Y346"/>
  <c r="Y347"/>
  <c r="Y371"/>
  <c r="Y377"/>
  <c r="Y321"/>
  <c r="Y313"/>
  <c r="Y297"/>
  <c r="Y333"/>
  <c r="Y334"/>
  <c r="Y295"/>
  <c r="Y296"/>
  <c r="Y294"/>
  <c r="Y405"/>
  <c r="Y266"/>
  <c r="Y270"/>
  <c r="Y273"/>
  <c r="Y283"/>
  <c r="Y277"/>
  <c r="Y290"/>
  <c r="Y112"/>
  <c r="Y261"/>
  <c r="Y260"/>
  <c r="Y245"/>
  <c r="Y247"/>
  <c r="Y248"/>
  <c r="Y250"/>
  <c r="Y233"/>
  <c r="Y232"/>
  <c r="Y215"/>
  <c r="Y203"/>
  <c r="Y206"/>
  <c r="Y210"/>
  <c r="Y192"/>
  <c r="Y193"/>
  <c r="Y186"/>
  <c r="Y38"/>
  <c r="Y184"/>
  <c r="Y178"/>
  <c r="Y176"/>
  <c r="Y36"/>
  <c r="Y174"/>
  <c r="Y165"/>
  <c r="Y175"/>
  <c r="Y164"/>
  <c r="Y163"/>
  <c r="Y154"/>
  <c r="Y423"/>
  <c r="Y35"/>
  <c r="Y152"/>
  <c r="Y145"/>
  <c r="Y8"/>
  <c r="Y9"/>
  <c r="Y10"/>
  <c r="Y11"/>
  <c r="Y12"/>
  <c r="Y13"/>
  <c r="Y14"/>
  <c r="Y16"/>
  <c r="Y17"/>
  <c r="Y18"/>
  <c r="Y19"/>
  <c r="Y20"/>
  <c r="Y21"/>
  <c r="Y22"/>
  <c r="Y7"/>
  <c r="Y126"/>
  <c r="V259"/>
  <c r="W259"/>
  <c r="X259"/>
  <c r="V6"/>
  <c r="V424" s="1"/>
  <c r="W6"/>
  <c r="W424" s="1"/>
  <c r="X6"/>
  <c r="X424" s="1"/>
  <c r="T259"/>
  <c r="T6"/>
  <c r="T424" s="1"/>
  <c r="AF162" l="1"/>
  <c r="Y162"/>
  <c r="Y6"/>
  <c r="AF6"/>
  <c r="AF316"/>
  <c r="AF298"/>
  <c r="AG298" s="1"/>
  <c r="AF181"/>
  <c r="AF329"/>
  <c r="AF372"/>
  <c r="AD4"/>
  <c r="AF405"/>
  <c r="AF344"/>
  <c r="AF52"/>
  <c r="AF177"/>
  <c r="AF127"/>
  <c r="AG127" s="1"/>
  <c r="AF91"/>
  <c r="AF80"/>
  <c r="AA4"/>
  <c r="AA3" s="1"/>
  <c r="X4"/>
  <c r="X3" s="1"/>
  <c r="Y344"/>
  <c r="T4"/>
  <c r="T3" s="1"/>
  <c r="V4"/>
  <c r="V3" s="1"/>
  <c r="Y372"/>
  <c r="W4"/>
  <c r="W3" s="1"/>
  <c r="Y187"/>
  <c r="AF62"/>
  <c r="Y332"/>
  <c r="AF332"/>
  <c r="Y156"/>
  <c r="AF341"/>
  <c r="Y398"/>
  <c r="Y259"/>
  <c r="AF259"/>
  <c r="Y214"/>
  <c r="AF122"/>
  <c r="AF398"/>
  <c r="Y122"/>
  <c r="Y293"/>
  <c r="AF293"/>
  <c r="Y52"/>
  <c r="Y341"/>
  <c r="AF424" l="1"/>
  <c r="AF4" s="1"/>
  <c r="AC4"/>
  <c r="AC3" s="1"/>
  <c r="AE4" l="1"/>
  <c r="AE3" s="1"/>
  <c r="W58" i="2" l="1"/>
  <c r="S58"/>
  <c r="O58"/>
  <c r="X58" l="1"/>
  <c r="AG233" i="1"/>
  <c r="K398" l="1"/>
  <c r="R86"/>
  <c r="R65"/>
  <c r="R64"/>
  <c r="R63"/>
  <c r="R42"/>
  <c r="R61"/>
  <c r="R56"/>
  <c r="R54"/>
  <c r="R53"/>
  <c r="R421"/>
  <c r="R382"/>
  <c r="R397"/>
  <c r="R401"/>
  <c r="R399"/>
  <c r="R386"/>
  <c r="R384"/>
  <c r="R380"/>
  <c r="R376"/>
  <c r="R348"/>
  <c r="R347"/>
  <c r="R346"/>
  <c r="R345"/>
  <c r="R370"/>
  <c r="R371"/>
  <c r="R377"/>
  <c r="R402"/>
  <c r="R343"/>
  <c r="R342"/>
  <c r="R328"/>
  <c r="R326"/>
  <c r="R297"/>
  <c r="R321"/>
  <c r="R334"/>
  <c r="R332" s="1"/>
  <c r="R296"/>
  <c r="R295"/>
  <c r="R294"/>
  <c r="R277"/>
  <c r="R283"/>
  <c r="R273"/>
  <c r="R270"/>
  <c r="R266"/>
  <c r="R261"/>
  <c r="R260"/>
  <c r="R250"/>
  <c r="R247"/>
  <c r="R245"/>
  <c r="R232"/>
  <c r="R215"/>
  <c r="R206"/>
  <c r="R203"/>
  <c r="R193"/>
  <c r="R192"/>
  <c r="R38"/>
  <c r="R186"/>
  <c r="R178"/>
  <c r="R176"/>
  <c r="R175"/>
  <c r="R174"/>
  <c r="R164"/>
  <c r="R163"/>
  <c r="R35"/>
  <c r="R423"/>
  <c r="R22"/>
  <c r="R21"/>
  <c r="R20"/>
  <c r="R19"/>
  <c r="R18"/>
  <c r="R17"/>
  <c r="R16"/>
  <c r="R14"/>
  <c r="R13"/>
  <c r="R12"/>
  <c r="R11"/>
  <c r="R10"/>
  <c r="R9"/>
  <c r="R8"/>
  <c r="R7"/>
  <c r="R126"/>
  <c r="N328"/>
  <c r="N326"/>
  <c r="N186"/>
  <c r="P62"/>
  <c r="Q62"/>
  <c r="O62"/>
  <c r="P398"/>
  <c r="Q398"/>
  <c r="O398"/>
  <c r="P372"/>
  <c r="Q372"/>
  <c r="P341"/>
  <c r="Q341"/>
  <c r="O341"/>
  <c r="P293"/>
  <c r="Q293"/>
  <c r="O293"/>
  <c r="P259"/>
  <c r="Q259"/>
  <c r="O259"/>
  <c r="P214"/>
  <c r="Q214"/>
  <c r="O214"/>
  <c r="Q6"/>
  <c r="O6"/>
  <c r="O424" s="1"/>
  <c r="Q122"/>
  <c r="O122"/>
  <c r="N175"/>
  <c r="N7"/>
  <c r="N8"/>
  <c r="N9"/>
  <c r="N10"/>
  <c r="N11"/>
  <c r="N12"/>
  <c r="N13"/>
  <c r="N14"/>
  <c r="N16"/>
  <c r="N17"/>
  <c r="N18"/>
  <c r="N19"/>
  <c r="N20"/>
  <c r="N21"/>
  <c r="N22"/>
  <c r="N423"/>
  <c r="N143"/>
  <c r="N35"/>
  <c r="N152"/>
  <c r="N145"/>
  <c r="N154"/>
  <c r="AG165"/>
  <c r="N163"/>
  <c r="N164"/>
  <c r="N176"/>
  <c r="N36"/>
  <c r="N178"/>
  <c r="N184"/>
  <c r="AG184" s="1"/>
  <c r="N38"/>
  <c r="N203"/>
  <c r="N207"/>
  <c r="N206"/>
  <c r="N232"/>
  <c r="N245"/>
  <c r="N247"/>
  <c r="N248"/>
  <c r="N260"/>
  <c r="N261"/>
  <c r="N266"/>
  <c r="N270"/>
  <c r="N273"/>
  <c r="N283"/>
  <c r="N290"/>
  <c r="N294"/>
  <c r="N295"/>
  <c r="N296"/>
  <c r="N333"/>
  <c r="N334"/>
  <c r="N321"/>
  <c r="N297"/>
  <c r="N342"/>
  <c r="N343"/>
  <c r="N402"/>
  <c r="N377"/>
  <c r="N371"/>
  <c r="N370"/>
  <c r="N345"/>
  <c r="N346"/>
  <c r="N347"/>
  <c r="N348"/>
  <c r="N376"/>
  <c r="N399"/>
  <c r="N401"/>
  <c r="N397"/>
  <c r="N53"/>
  <c r="N54"/>
  <c r="N56"/>
  <c r="N61"/>
  <c r="N42"/>
  <c r="N63"/>
  <c r="N64"/>
  <c r="N65"/>
  <c r="N66"/>
  <c r="AG95"/>
  <c r="AG89"/>
  <c r="N99"/>
  <c r="N43"/>
  <c r="N86"/>
  <c r="M6"/>
  <c r="L6"/>
  <c r="L122"/>
  <c r="M122"/>
  <c r="J8"/>
  <c r="J9"/>
  <c r="J10"/>
  <c r="J11"/>
  <c r="J12"/>
  <c r="J13"/>
  <c r="J14"/>
  <c r="J16"/>
  <c r="J17"/>
  <c r="J18"/>
  <c r="J19"/>
  <c r="J20"/>
  <c r="J21"/>
  <c r="J22"/>
  <c r="J7"/>
  <c r="Q424" l="1"/>
  <c r="Q4" s="1"/>
  <c r="P424"/>
  <c r="P4" s="1"/>
  <c r="N6"/>
  <c r="O4"/>
  <c r="O3" s="1"/>
  <c r="N162"/>
  <c r="R162"/>
  <c r="AP7"/>
  <c r="BA7"/>
  <c r="AY7"/>
  <c r="BB7"/>
  <c r="AR7"/>
  <c r="AZ7"/>
  <c r="AS7"/>
  <c r="AU7"/>
  <c r="AW7"/>
  <c r="AT7"/>
  <c r="AX7"/>
  <c r="AQ7"/>
  <c r="AP21"/>
  <c r="AY21"/>
  <c r="BA21"/>
  <c r="AX21"/>
  <c r="AW21"/>
  <c r="AT21"/>
  <c r="BB21"/>
  <c r="AR21"/>
  <c r="AQ21"/>
  <c r="AS21"/>
  <c r="AU21"/>
  <c r="AZ21"/>
  <c r="AP17"/>
  <c r="AY17"/>
  <c r="BA17"/>
  <c r="AZ17"/>
  <c r="BB17"/>
  <c r="AX17"/>
  <c r="AT17"/>
  <c r="AR17"/>
  <c r="AW17"/>
  <c r="AU17"/>
  <c r="AQ17"/>
  <c r="AS17"/>
  <c r="AP12"/>
  <c r="AZ12"/>
  <c r="AX12"/>
  <c r="BB12"/>
  <c r="BA12"/>
  <c r="AQ12"/>
  <c r="AU12"/>
  <c r="AY12"/>
  <c r="AS12"/>
  <c r="AW12"/>
  <c r="AR12"/>
  <c r="AT12"/>
  <c r="AP8"/>
  <c r="AZ8"/>
  <c r="AX8"/>
  <c r="BB8"/>
  <c r="AY8"/>
  <c r="AQ8"/>
  <c r="AU8"/>
  <c r="AS8"/>
  <c r="BA8"/>
  <c r="AW8"/>
  <c r="AR8"/>
  <c r="AT8"/>
  <c r="AP20"/>
  <c r="AZ20"/>
  <c r="AX20"/>
  <c r="BB20"/>
  <c r="BA20"/>
  <c r="AY20"/>
  <c r="AQ20"/>
  <c r="AU20"/>
  <c r="AS20"/>
  <c r="AR20"/>
  <c r="AT20"/>
  <c r="AW20"/>
  <c r="AP16"/>
  <c r="AZ16"/>
  <c r="AX16"/>
  <c r="BB16"/>
  <c r="AY16"/>
  <c r="AW16"/>
  <c r="AQ16"/>
  <c r="AU16"/>
  <c r="AS16"/>
  <c r="AR16"/>
  <c r="BA16"/>
  <c r="AT16"/>
  <c r="AP11"/>
  <c r="BA11"/>
  <c r="AY11"/>
  <c r="AX11"/>
  <c r="AZ11"/>
  <c r="AW11"/>
  <c r="AR11"/>
  <c r="BB11"/>
  <c r="AT11"/>
  <c r="AS11"/>
  <c r="AU11"/>
  <c r="AQ11"/>
  <c r="AP19"/>
  <c r="BA19"/>
  <c r="AY19"/>
  <c r="AX19"/>
  <c r="AZ19"/>
  <c r="AR19"/>
  <c r="AW19"/>
  <c r="AT19"/>
  <c r="AS19"/>
  <c r="AU19"/>
  <c r="BB19"/>
  <c r="AQ19"/>
  <c r="AP14"/>
  <c r="AX14"/>
  <c r="BB14"/>
  <c r="AZ14"/>
  <c r="AY14"/>
  <c r="BA14"/>
  <c r="AW14"/>
  <c r="AS14"/>
  <c r="AQ14"/>
  <c r="AU14"/>
  <c r="AT14"/>
  <c r="AR14"/>
  <c r="AP10"/>
  <c r="AX10"/>
  <c r="BB10"/>
  <c r="AZ10"/>
  <c r="AW10"/>
  <c r="BA10"/>
  <c r="AS10"/>
  <c r="AQ10"/>
  <c r="AU10"/>
  <c r="AR10"/>
  <c r="AT10"/>
  <c r="AY10"/>
  <c r="AP22"/>
  <c r="AX22"/>
  <c r="BB22"/>
  <c r="AZ22"/>
  <c r="AY22"/>
  <c r="BA22"/>
  <c r="AW22"/>
  <c r="AS22"/>
  <c r="AQ22"/>
  <c r="AU22"/>
  <c r="AT22"/>
  <c r="AR22"/>
  <c r="AP18"/>
  <c r="AX18"/>
  <c r="BB18"/>
  <c r="AZ18"/>
  <c r="AW18"/>
  <c r="AS18"/>
  <c r="AY18"/>
  <c r="BA18"/>
  <c r="AQ18"/>
  <c r="AU18"/>
  <c r="AR18"/>
  <c r="AT18"/>
  <c r="AP13"/>
  <c r="AY13"/>
  <c r="BA13"/>
  <c r="AX13"/>
  <c r="BB13"/>
  <c r="AT13"/>
  <c r="AW13"/>
  <c r="AR13"/>
  <c r="AZ13"/>
  <c r="AQ13"/>
  <c r="AS13"/>
  <c r="AU13"/>
  <c r="AP9"/>
  <c r="AY9"/>
  <c r="BA9"/>
  <c r="AZ9"/>
  <c r="BB9"/>
  <c r="AT9"/>
  <c r="AS9"/>
  <c r="AX9"/>
  <c r="AQ9"/>
  <c r="AU9"/>
  <c r="AW9"/>
  <c r="AR9"/>
  <c r="N52"/>
  <c r="AG421"/>
  <c r="AG254"/>
  <c r="AG245"/>
  <c r="AG403"/>
  <c r="R156"/>
  <c r="R177"/>
  <c r="R405"/>
  <c r="R122"/>
  <c r="R187"/>
  <c r="AG187" s="1"/>
  <c r="R6"/>
  <c r="R344"/>
  <c r="R52"/>
  <c r="R372"/>
  <c r="BD233"/>
  <c r="AB58" i="2" s="1"/>
  <c r="AG313" i="1"/>
  <c r="AG66"/>
  <c r="N332"/>
  <c r="AG332" s="1"/>
  <c r="AG343"/>
  <c r="AG386"/>
  <c r="AG326"/>
  <c r="AG43"/>
  <c r="R259"/>
  <c r="R341"/>
  <c r="AG56"/>
  <c r="AG380"/>
  <c r="AG397"/>
  <c r="AG86"/>
  <c r="AG348"/>
  <c r="AG152"/>
  <c r="AG193"/>
  <c r="AG371"/>
  <c r="AG63"/>
  <c r="AG14"/>
  <c r="AG112"/>
  <c r="AG346"/>
  <c r="AG345"/>
  <c r="R398"/>
  <c r="AG266"/>
  <c r="AG321"/>
  <c r="AG35"/>
  <c r="AG207"/>
  <c r="AG370"/>
  <c r="AG42"/>
  <c r="AG97"/>
  <c r="AG336"/>
  <c r="AG9"/>
  <c r="AG402"/>
  <c r="AG401"/>
  <c r="N341"/>
  <c r="AG204"/>
  <c r="AG21"/>
  <c r="AG53"/>
  <c r="AG64"/>
  <c r="AG347"/>
  <c r="AG376"/>
  <c r="R214"/>
  <c r="R293"/>
  <c r="AG334"/>
  <c r="AG247"/>
  <c r="AG296"/>
  <c r="AG423"/>
  <c r="AG145"/>
  <c r="AG232"/>
  <c r="AG261"/>
  <c r="AG295"/>
  <c r="N293"/>
  <c r="AG178"/>
  <c r="AG126"/>
  <c r="AG11"/>
  <c r="AG19"/>
  <c r="AG143"/>
  <c r="AG154"/>
  <c r="AG176"/>
  <c r="AG192"/>
  <c r="AG203"/>
  <c r="AG248"/>
  <c r="AG175"/>
  <c r="AG87"/>
  <c r="AG8"/>
  <c r="AG12"/>
  <c r="AG16"/>
  <c r="AG20"/>
  <c r="AG186"/>
  <c r="AG215"/>
  <c r="AG283"/>
  <c r="AG333"/>
  <c r="AG384"/>
  <c r="AG382"/>
  <c r="AG54"/>
  <c r="AG61"/>
  <c r="AG65"/>
  <c r="AG101"/>
  <c r="AG163"/>
  <c r="AG99"/>
  <c r="AG164"/>
  <c r="Y177"/>
  <c r="AG38"/>
  <c r="AG210"/>
  <c r="AG260"/>
  <c r="AG290"/>
  <c r="AG377"/>
  <c r="AG399"/>
  <c r="AG342"/>
  <c r="AG273"/>
  <c r="N62"/>
  <c r="N259"/>
  <c r="N214"/>
  <c r="AG13"/>
  <c r="AG17"/>
  <c r="AG328"/>
  <c r="N398"/>
  <c r="AG7"/>
  <c r="AG10"/>
  <c r="AG18"/>
  <c r="AG22"/>
  <c r="Y62"/>
  <c r="AG36"/>
  <c r="AG250"/>
  <c r="AG297"/>
  <c r="AG174"/>
  <c r="AG206"/>
  <c r="AG270"/>
  <c r="AG275"/>
  <c r="AG294"/>
  <c r="R62"/>
  <c r="O35" i="2"/>
  <c r="O36"/>
  <c r="O11"/>
  <c r="O34"/>
  <c r="O148"/>
  <c r="O39"/>
  <c r="O107"/>
  <c r="O43"/>
  <c r="O40"/>
  <c r="O117"/>
  <c r="O44"/>
  <c r="O118"/>
  <c r="O45"/>
  <c r="O119"/>
  <c r="O47"/>
  <c r="O15"/>
  <c r="O49"/>
  <c r="O48"/>
  <c r="O50"/>
  <c r="O120"/>
  <c r="O108"/>
  <c r="O51"/>
  <c r="O54"/>
  <c r="O55"/>
  <c r="O121"/>
  <c r="O52"/>
  <c r="O53"/>
  <c r="O122"/>
  <c r="O123"/>
  <c r="O56"/>
  <c r="O124"/>
  <c r="O91"/>
  <c r="O13"/>
  <c r="O61"/>
  <c r="O125"/>
  <c r="O62"/>
  <c r="O63"/>
  <c r="O64"/>
  <c r="O16"/>
  <c r="O126"/>
  <c r="O32"/>
  <c r="O33"/>
  <c r="O127"/>
  <c r="O128"/>
  <c r="O68"/>
  <c r="O129"/>
  <c r="O70"/>
  <c r="O69"/>
  <c r="O130"/>
  <c r="O72"/>
  <c r="O74"/>
  <c r="O131"/>
  <c r="O77"/>
  <c r="O78"/>
  <c r="O76"/>
  <c r="O136"/>
  <c r="O134"/>
  <c r="O132"/>
  <c r="O75"/>
  <c r="O80"/>
  <c r="O135"/>
  <c r="O81"/>
  <c r="O82"/>
  <c r="O138"/>
  <c r="O147"/>
  <c r="O84"/>
  <c r="O141"/>
  <c r="O140"/>
  <c r="O83"/>
  <c r="O143"/>
  <c r="O142"/>
  <c r="O85"/>
  <c r="O86"/>
  <c r="O87"/>
  <c r="O88"/>
  <c r="O144"/>
  <c r="O89"/>
  <c r="O146"/>
  <c r="O145"/>
  <c r="O95"/>
  <c r="O94"/>
  <c r="O111"/>
  <c r="O19"/>
  <c r="O112"/>
  <c r="O20"/>
  <c r="O113"/>
  <c r="O110"/>
  <c r="O114"/>
  <c r="O28"/>
  <c r="O27"/>
  <c r="O29"/>
  <c r="O26"/>
  <c r="O30"/>
  <c r="O31"/>
  <c r="O18"/>
  <c r="O93"/>
  <c r="O115"/>
  <c r="O17"/>
  <c r="O23"/>
  <c r="O24"/>
  <c r="O116"/>
  <c r="O25"/>
  <c r="O96" l="1"/>
  <c r="A88"/>
  <c r="A89" s="1"/>
  <c r="A90" s="1"/>
  <c r="Y424" i="1"/>
  <c r="Y4" s="1"/>
  <c r="Y3" s="1"/>
  <c r="R424"/>
  <c r="R4" s="1"/>
  <c r="AG420"/>
  <c r="AG419"/>
  <c r="AG162"/>
  <c r="AQ6"/>
  <c r="AU6"/>
  <c r="BB6"/>
  <c r="AX6"/>
  <c r="AS6"/>
  <c r="AY6"/>
  <c r="BA6"/>
  <c r="AT6"/>
  <c r="AZ6"/>
  <c r="AW6"/>
  <c r="AR6"/>
  <c r="AP6"/>
  <c r="AG6"/>
  <c r="AG177"/>
  <c r="AG181"/>
  <c r="AG316"/>
  <c r="AG52"/>
  <c r="AG103"/>
  <c r="AG405"/>
  <c r="AG329"/>
  <c r="AG91"/>
  <c r="AG80"/>
  <c r="Z58" i="2"/>
  <c r="AG156" i="1"/>
  <c r="AG398"/>
  <c r="AG341"/>
  <c r="AG122"/>
  <c r="AG62"/>
  <c r="AG293"/>
  <c r="AG259"/>
  <c r="AG214"/>
  <c r="AG372"/>
  <c r="W114" i="2"/>
  <c r="W132"/>
  <c r="W18"/>
  <c r="A91" l="1"/>
  <c r="A92" s="1"/>
  <c r="A93" s="1"/>
  <c r="A94" s="1"/>
  <c r="AG418" i="1"/>
  <c r="AV6"/>
  <c r="AG417" l="1"/>
  <c r="R6" i="2"/>
  <c r="R5" s="1"/>
  <c r="D277" i="1" l="1"/>
  <c r="W15" i="2" l="1"/>
  <c r="S15"/>
  <c r="W56"/>
  <c r="S56"/>
  <c r="J266" i="1"/>
  <c r="G266"/>
  <c r="W127" i="2"/>
  <c r="S127"/>
  <c r="AX266" i="1" l="1"/>
  <c r="BB266"/>
  <c r="AY266"/>
  <c r="AZ266"/>
  <c r="BA266"/>
  <c r="AW266"/>
  <c r="AQ266"/>
  <c r="AU266"/>
  <c r="AS266"/>
  <c r="AR266"/>
  <c r="AT266"/>
  <c r="AP266"/>
  <c r="AN266"/>
  <c r="AM266"/>
  <c r="AL266"/>
  <c r="AJ266"/>
  <c r="AI266"/>
  <c r="AH266"/>
  <c r="X56" i="2"/>
  <c r="Z56" s="1"/>
  <c r="X15"/>
  <c r="X127"/>
  <c r="BC266" i="1" l="1"/>
  <c r="AK36"/>
  <c r="AV36"/>
  <c r="AV266"/>
  <c r="AK266"/>
  <c r="AO266"/>
  <c r="AO329"/>
  <c r="AO36"/>
  <c r="BC329" l="1"/>
  <c r="AV329"/>
  <c r="BD266"/>
  <c r="Y127" i="2" s="1"/>
  <c r="AB127" s="1"/>
  <c r="BD36" i="1"/>
  <c r="AB15" i="2" s="1"/>
  <c r="Z15" l="1"/>
  <c r="Z127"/>
  <c r="BD329" i="1"/>
  <c r="AB81" i="2" s="1"/>
  <c r="AV193" i="1" l="1"/>
  <c r="BC193"/>
  <c r="BD193" l="1"/>
  <c r="W72" i="2" l="1"/>
  <c r="W74"/>
  <c r="W92"/>
  <c r="S72"/>
  <c r="S92"/>
  <c r="X92" l="1"/>
  <c r="U259" i="1"/>
  <c r="S259"/>
  <c r="S424" s="1"/>
  <c r="L259"/>
  <c r="M259"/>
  <c r="K259"/>
  <c r="BC19" l="1"/>
  <c r="BC11"/>
  <c r="BC20"/>
  <c r="BC16"/>
  <c r="BC12"/>
  <c r="BC8"/>
  <c r="BC21"/>
  <c r="BC17"/>
  <c r="BC13"/>
  <c r="BC9"/>
  <c r="BC22"/>
  <c r="BC18"/>
  <c r="BC14"/>
  <c r="BC10"/>
  <c r="BC7"/>
  <c r="M62"/>
  <c r="K62"/>
  <c r="M341"/>
  <c r="L341"/>
  <c r="K341"/>
  <c r="BC260" l="1"/>
  <c r="BC261"/>
  <c r="AV260"/>
  <c r="AV261"/>
  <c r="AK260"/>
  <c r="AK261"/>
  <c r="AO405"/>
  <c r="AO260"/>
  <c r="AO261"/>
  <c r="K214"/>
  <c r="M344"/>
  <c r="N344" l="1"/>
  <c r="N424" s="1"/>
  <c r="N4" s="1"/>
  <c r="AG344"/>
  <c r="AG424" s="1"/>
  <c r="BC405"/>
  <c r="AV405"/>
  <c r="AV259"/>
  <c r="BC259"/>
  <c r="AK259"/>
  <c r="BD261"/>
  <c r="BD260"/>
  <c r="AV336"/>
  <c r="AG4" l="1"/>
  <c r="N5"/>
  <c r="O5" s="1"/>
  <c r="N3"/>
  <c r="BD405"/>
  <c r="AB92" i="2" s="1"/>
  <c r="AV384" i="1"/>
  <c r="BC290"/>
  <c r="AV290"/>
  <c r="BC384"/>
  <c r="AK290"/>
  <c r="AK336"/>
  <c r="AK384"/>
  <c r="AO290"/>
  <c r="AO336"/>
  <c r="AO384"/>
  <c r="L398"/>
  <c r="M398"/>
  <c r="J423"/>
  <c r="J35"/>
  <c r="J186"/>
  <c r="J38"/>
  <c r="J206"/>
  <c r="J232"/>
  <c r="J397"/>
  <c r="J53"/>
  <c r="J54"/>
  <c r="J56"/>
  <c r="J61"/>
  <c r="J42"/>
  <c r="J63"/>
  <c r="J64"/>
  <c r="J65"/>
  <c r="J66"/>
  <c r="J86"/>
  <c r="G7"/>
  <c r="G8"/>
  <c r="G9"/>
  <c r="G10"/>
  <c r="G11"/>
  <c r="G12"/>
  <c r="G13"/>
  <c r="G14"/>
  <c r="G16"/>
  <c r="G17"/>
  <c r="G18"/>
  <c r="G19"/>
  <c r="G20"/>
  <c r="G21"/>
  <c r="G22"/>
  <c r="G423"/>
  <c r="G35"/>
  <c r="G38"/>
  <c r="G232"/>
  <c r="G397"/>
  <c r="G53"/>
  <c r="G54"/>
  <c r="G61"/>
  <c r="G42"/>
  <c r="G63"/>
  <c r="G64"/>
  <c r="G65"/>
  <c r="G66"/>
  <c r="G86"/>
  <c r="BA397" l="1"/>
  <c r="AW397"/>
  <c r="AX397"/>
  <c r="BB397"/>
  <c r="AY397"/>
  <c r="AZ397"/>
  <c r="AS397"/>
  <c r="AU397"/>
  <c r="AQ397"/>
  <c r="AP397"/>
  <c r="AR397"/>
  <c r="AT397"/>
  <c r="AY186"/>
  <c r="AZ186"/>
  <c r="AX186"/>
  <c r="BA186"/>
  <c r="BB186"/>
  <c r="AW186"/>
  <c r="AR186"/>
  <c r="AT186"/>
  <c r="AS186"/>
  <c r="AU186"/>
  <c r="AP186"/>
  <c r="AQ186"/>
  <c r="AZ232"/>
  <c r="BA232"/>
  <c r="AY232"/>
  <c r="BB232"/>
  <c r="AX232"/>
  <c r="AR232"/>
  <c r="AW232"/>
  <c r="AT232"/>
  <c r="AS232"/>
  <c r="AU232"/>
  <c r="AP232"/>
  <c r="AQ232"/>
  <c r="AY206"/>
  <c r="AZ206"/>
  <c r="BA206"/>
  <c r="AX206"/>
  <c r="BB206"/>
  <c r="AR206"/>
  <c r="AW206"/>
  <c r="AT206"/>
  <c r="AQ206"/>
  <c r="AS206"/>
  <c r="AP206"/>
  <c r="AU206"/>
  <c r="AX423"/>
  <c r="BB423"/>
  <c r="AY423"/>
  <c r="AW423"/>
  <c r="AZ423"/>
  <c r="BA423"/>
  <c r="AR423"/>
  <c r="AS423"/>
  <c r="AT423"/>
  <c r="AU423"/>
  <c r="AQ423"/>
  <c r="BA65"/>
  <c r="AY65"/>
  <c r="AX65"/>
  <c r="AZ65"/>
  <c r="BB65"/>
  <c r="AT65"/>
  <c r="AW65"/>
  <c r="AQ65"/>
  <c r="AR65"/>
  <c r="AS65"/>
  <c r="AP65"/>
  <c r="AU65"/>
  <c r="BA61"/>
  <c r="AY61"/>
  <c r="AX61"/>
  <c r="AZ61"/>
  <c r="BB61"/>
  <c r="AW61"/>
  <c r="AT61"/>
  <c r="AQ61"/>
  <c r="AP61"/>
  <c r="AR61"/>
  <c r="AS61"/>
  <c r="AU61"/>
  <c r="AX64"/>
  <c r="BB64"/>
  <c r="AZ64"/>
  <c r="AW64"/>
  <c r="AQ64"/>
  <c r="AU64"/>
  <c r="AY64"/>
  <c r="BA64"/>
  <c r="AR64"/>
  <c r="AP64"/>
  <c r="AS64"/>
  <c r="AT64"/>
  <c r="AY56"/>
  <c r="BA56"/>
  <c r="AX56"/>
  <c r="AW56"/>
  <c r="AQ56"/>
  <c r="AU56"/>
  <c r="AZ56"/>
  <c r="AS56"/>
  <c r="BB56"/>
  <c r="AR56"/>
  <c r="AT56"/>
  <c r="AP56"/>
  <c r="BA35"/>
  <c r="AY35"/>
  <c r="BB35"/>
  <c r="AQ35"/>
  <c r="AU35"/>
  <c r="AP35"/>
  <c r="AZ35"/>
  <c r="AS35"/>
  <c r="AW35"/>
  <c r="AR35"/>
  <c r="AX35"/>
  <c r="AT35"/>
  <c r="AZ86"/>
  <c r="AX86"/>
  <c r="BB86"/>
  <c r="AY86"/>
  <c r="BA86"/>
  <c r="AT86"/>
  <c r="AW86"/>
  <c r="AQ86"/>
  <c r="AP86"/>
  <c r="AR86"/>
  <c r="AS86"/>
  <c r="AU86"/>
  <c r="AY63"/>
  <c r="BA63"/>
  <c r="AZ63"/>
  <c r="BB63"/>
  <c r="AR63"/>
  <c r="AP63"/>
  <c r="AX63"/>
  <c r="AU63"/>
  <c r="AQ63"/>
  <c r="AS63"/>
  <c r="AT63"/>
  <c r="AW63"/>
  <c r="BA54"/>
  <c r="AY54"/>
  <c r="AX54"/>
  <c r="AZ54"/>
  <c r="BB54"/>
  <c r="AS54"/>
  <c r="AQ54"/>
  <c r="AU54"/>
  <c r="AP54"/>
  <c r="AR54"/>
  <c r="AW54"/>
  <c r="AT54"/>
  <c r="AI35"/>
  <c r="AM35"/>
  <c r="AH35"/>
  <c r="AN35"/>
  <c r="AL35"/>
  <c r="AJ35"/>
  <c r="AZ66"/>
  <c r="AX66"/>
  <c r="BB66"/>
  <c r="BA66"/>
  <c r="AS66"/>
  <c r="AQ66"/>
  <c r="AR66"/>
  <c r="AW66"/>
  <c r="AT66"/>
  <c r="AY66"/>
  <c r="AP66"/>
  <c r="AU66"/>
  <c r="AX42"/>
  <c r="BB42"/>
  <c r="AZ42"/>
  <c r="AY42"/>
  <c r="AT42"/>
  <c r="AW42"/>
  <c r="AR42"/>
  <c r="AS42"/>
  <c r="AP42"/>
  <c r="AU42"/>
  <c r="BA42"/>
  <c r="AQ42"/>
  <c r="AX53"/>
  <c r="AX52" s="1"/>
  <c r="BB53"/>
  <c r="AZ53"/>
  <c r="AT53"/>
  <c r="AP53"/>
  <c r="AY53"/>
  <c r="AW53"/>
  <c r="AR53"/>
  <c r="AR52" s="1"/>
  <c r="AU53"/>
  <c r="AQ53"/>
  <c r="BA53"/>
  <c r="BA52" s="1"/>
  <c r="AS53"/>
  <c r="AS52" s="1"/>
  <c r="AX38"/>
  <c r="BB38"/>
  <c r="AZ38"/>
  <c r="AY38"/>
  <c r="AT38"/>
  <c r="AR38"/>
  <c r="AS38"/>
  <c r="BA38"/>
  <c r="AU38"/>
  <c r="AP38"/>
  <c r="AW38"/>
  <c r="AQ38"/>
  <c r="AM86"/>
  <c r="AJ86"/>
  <c r="AN86"/>
  <c r="AL86"/>
  <c r="AI86"/>
  <c r="AH86"/>
  <c r="AM53"/>
  <c r="AL53"/>
  <c r="AJ53"/>
  <c r="AH53"/>
  <c r="AI53"/>
  <c r="AN53"/>
  <c r="AM17"/>
  <c r="AL17"/>
  <c r="AJ17"/>
  <c r="AN17"/>
  <c r="AI17"/>
  <c r="AH17"/>
  <c r="AN64"/>
  <c r="AL64"/>
  <c r="AM64"/>
  <c r="AI64"/>
  <c r="AH64"/>
  <c r="AJ64"/>
  <c r="AL54"/>
  <c r="AN54"/>
  <c r="AI54"/>
  <c r="AM54"/>
  <c r="AJ54"/>
  <c r="AH54"/>
  <c r="AM38"/>
  <c r="AI38"/>
  <c r="AN38"/>
  <c r="AH38"/>
  <c r="AL38"/>
  <c r="AJ38"/>
  <c r="AN22"/>
  <c r="AL22"/>
  <c r="AJ22"/>
  <c r="AM22"/>
  <c r="AH22"/>
  <c r="AI22"/>
  <c r="AN18"/>
  <c r="AL18"/>
  <c r="AJ18"/>
  <c r="AI18"/>
  <c r="AM18"/>
  <c r="AH18"/>
  <c r="AM13"/>
  <c r="AN13"/>
  <c r="AI13"/>
  <c r="AL13"/>
  <c r="AJ13"/>
  <c r="AH13"/>
  <c r="AM9"/>
  <c r="AL9"/>
  <c r="AJ9"/>
  <c r="AI9"/>
  <c r="AN9"/>
  <c r="AH9"/>
  <c r="AL8"/>
  <c r="AN8"/>
  <c r="AJ8"/>
  <c r="AM8"/>
  <c r="AI8"/>
  <c r="AH8"/>
  <c r="AM63"/>
  <c r="AL63"/>
  <c r="AJ63"/>
  <c r="AN63"/>
  <c r="AI63"/>
  <c r="AH63"/>
  <c r="AM21"/>
  <c r="AN21"/>
  <c r="AI21"/>
  <c r="AL21"/>
  <c r="AJ21"/>
  <c r="AH21"/>
  <c r="AN42"/>
  <c r="AL42"/>
  <c r="AJ42"/>
  <c r="AI42"/>
  <c r="AM42"/>
  <c r="AH42"/>
  <c r="AL397"/>
  <c r="AN397"/>
  <c r="AM397"/>
  <c r="AI397"/>
  <c r="AJ397"/>
  <c r="AH397"/>
  <c r="AL20"/>
  <c r="AN20"/>
  <c r="AJ20"/>
  <c r="AI20"/>
  <c r="AH20"/>
  <c r="AM20"/>
  <c r="AL16"/>
  <c r="AN16"/>
  <c r="AJ16"/>
  <c r="AM16"/>
  <c r="AI16"/>
  <c r="AH16"/>
  <c r="AM11"/>
  <c r="AN11"/>
  <c r="AL11"/>
  <c r="AI11"/>
  <c r="AJ11"/>
  <c r="AH11"/>
  <c r="AM7"/>
  <c r="AI7"/>
  <c r="AJ7"/>
  <c r="AN7"/>
  <c r="AL7"/>
  <c r="AH7"/>
  <c r="AL12"/>
  <c r="AN12"/>
  <c r="AJ12"/>
  <c r="AI12"/>
  <c r="AM12"/>
  <c r="AH12"/>
  <c r="AL66"/>
  <c r="AN66"/>
  <c r="AJ66"/>
  <c r="AM66"/>
  <c r="AH66"/>
  <c r="AI66"/>
  <c r="AL65"/>
  <c r="AN65"/>
  <c r="AJ65"/>
  <c r="AM65"/>
  <c r="AI65"/>
  <c r="AH65"/>
  <c r="AL61"/>
  <c r="AM61"/>
  <c r="AJ61"/>
  <c r="AI61"/>
  <c r="AH61"/>
  <c r="AN61"/>
  <c r="AL232"/>
  <c r="AM232"/>
  <c r="AI232"/>
  <c r="AN232"/>
  <c r="AH232"/>
  <c r="AJ232"/>
  <c r="AP423"/>
  <c r="AM423"/>
  <c r="AL423"/>
  <c r="AN423"/>
  <c r="AJ423"/>
  <c r="AI423"/>
  <c r="AH423"/>
  <c r="AM19"/>
  <c r="AN19"/>
  <c r="AL19"/>
  <c r="AI19"/>
  <c r="AJ19"/>
  <c r="AH19"/>
  <c r="AN14"/>
  <c r="AL14"/>
  <c r="AJ14"/>
  <c r="AM14"/>
  <c r="AH14"/>
  <c r="AI14"/>
  <c r="AN10"/>
  <c r="AL10"/>
  <c r="AJ10"/>
  <c r="AI10"/>
  <c r="AM10"/>
  <c r="AH10"/>
  <c r="AV8"/>
  <c r="BD290"/>
  <c r="AB74" i="2" s="1"/>
  <c r="AQ52" i="1" l="1"/>
  <c r="AP52"/>
  <c r="AY52"/>
  <c r="AT62"/>
  <c r="BB52"/>
  <c r="AW62"/>
  <c r="BB62"/>
  <c r="AU52"/>
  <c r="AI52"/>
  <c r="AT52"/>
  <c r="AU62"/>
  <c r="AJ52"/>
  <c r="AX62"/>
  <c r="AX424" s="1"/>
  <c r="AZ62"/>
  <c r="AS62"/>
  <c r="AS424" s="1"/>
  <c r="BA62"/>
  <c r="BA424" s="1"/>
  <c r="AW52"/>
  <c r="AZ52"/>
  <c r="AZ424" s="1"/>
  <c r="AQ62"/>
  <c r="AR62"/>
  <c r="AR424" s="1"/>
  <c r="AY62"/>
  <c r="AO423"/>
  <c r="AN6"/>
  <c r="AP62"/>
  <c r="AH52"/>
  <c r="AJ6"/>
  <c r="AJ62"/>
  <c r="AN62"/>
  <c r="AH6"/>
  <c r="AH62"/>
  <c r="AL62"/>
  <c r="AI6"/>
  <c r="AI62"/>
  <c r="AN52"/>
  <c r="AL52"/>
  <c r="AL6"/>
  <c r="AM6"/>
  <c r="AM62"/>
  <c r="AM52"/>
  <c r="BC254"/>
  <c r="BC403"/>
  <c r="AK75"/>
  <c r="AV230"/>
  <c r="BD230" s="1"/>
  <c r="BC387"/>
  <c r="BC326"/>
  <c r="AV154"/>
  <c r="AV277"/>
  <c r="Z92" i="2"/>
  <c r="AV87" i="1"/>
  <c r="AK296"/>
  <c r="BC294"/>
  <c r="BC347"/>
  <c r="BC283"/>
  <c r="BC421"/>
  <c r="BC43"/>
  <c r="BC186"/>
  <c r="BC386"/>
  <c r="BC232"/>
  <c r="AV65"/>
  <c r="AV61"/>
  <c r="AV54"/>
  <c r="AV382"/>
  <c r="AV346"/>
  <c r="AV371"/>
  <c r="AV343"/>
  <c r="AV328"/>
  <c r="AV297"/>
  <c r="AV321"/>
  <c r="AV294"/>
  <c r="AV273"/>
  <c r="AV248"/>
  <c r="AV207"/>
  <c r="AV192"/>
  <c r="AV186"/>
  <c r="AV178"/>
  <c r="AV175"/>
  <c r="AV423"/>
  <c r="BC176"/>
  <c r="BC380"/>
  <c r="BC86"/>
  <c r="BC348"/>
  <c r="BC401"/>
  <c r="BC112"/>
  <c r="BC99"/>
  <c r="AK206"/>
  <c r="AK38"/>
  <c r="AK176"/>
  <c r="AK163"/>
  <c r="BC328"/>
  <c r="BC66"/>
  <c r="BC215"/>
  <c r="BC214" s="1"/>
  <c r="BC54"/>
  <c r="BC175"/>
  <c r="BC192"/>
  <c r="BC273"/>
  <c r="BC333"/>
  <c r="BC382"/>
  <c r="BC399"/>
  <c r="BC207"/>
  <c r="BC342"/>
  <c r="AV347"/>
  <c r="AV402"/>
  <c r="AV333"/>
  <c r="AV295"/>
  <c r="AV247"/>
  <c r="AV215"/>
  <c r="AV214" s="1"/>
  <c r="AV206"/>
  <c r="AV210"/>
  <c r="AV176"/>
  <c r="AV163"/>
  <c r="AK154"/>
  <c r="AK152"/>
  <c r="AV143"/>
  <c r="AV401"/>
  <c r="AK399"/>
  <c r="BC145"/>
  <c r="BC270"/>
  <c r="BC297"/>
  <c r="BC370"/>
  <c r="BC101"/>
  <c r="BC250"/>
  <c r="BC345"/>
  <c r="BC64"/>
  <c r="BC371"/>
  <c r="BC42"/>
  <c r="BC178"/>
  <c r="BC248"/>
  <c r="BC376"/>
  <c r="BC53"/>
  <c r="BC35"/>
  <c r="BC28"/>
  <c r="BC377"/>
  <c r="BC61"/>
  <c r="AV250"/>
  <c r="AV403"/>
  <c r="AV97"/>
  <c r="AV66"/>
  <c r="AK64"/>
  <c r="AV42"/>
  <c r="AV421"/>
  <c r="AK397"/>
  <c r="AV86"/>
  <c r="AV417"/>
  <c r="AV99"/>
  <c r="AV95"/>
  <c r="AV63"/>
  <c r="AV56"/>
  <c r="AV380"/>
  <c r="AV376"/>
  <c r="AK346"/>
  <c r="AV370"/>
  <c r="AV377"/>
  <c r="AV342"/>
  <c r="AK328"/>
  <c r="AK321"/>
  <c r="AV296"/>
  <c r="AV283"/>
  <c r="AV112"/>
  <c r="AV232"/>
  <c r="AV203"/>
  <c r="AV38"/>
  <c r="AV164"/>
  <c r="AV145"/>
  <c r="AV35"/>
  <c r="AV399"/>
  <c r="BC423"/>
  <c r="BC164"/>
  <c r="BC203"/>
  <c r="BC247"/>
  <c r="BC343"/>
  <c r="BC56"/>
  <c r="BC296"/>
  <c r="BC334"/>
  <c r="BC163"/>
  <c r="BC206"/>
  <c r="BC154"/>
  <c r="BC174"/>
  <c r="BC402"/>
  <c r="BC63"/>
  <c r="BC38"/>
  <c r="BC65"/>
  <c r="AV165"/>
  <c r="AV313"/>
  <c r="AV43"/>
  <c r="AV89"/>
  <c r="AV64"/>
  <c r="AV53"/>
  <c r="AV397"/>
  <c r="AV386"/>
  <c r="AV345"/>
  <c r="AV326"/>
  <c r="AV334"/>
  <c r="AV270"/>
  <c r="AV245"/>
  <c r="AV184"/>
  <c r="AV174"/>
  <c r="AV152"/>
  <c r="BC397"/>
  <c r="BC277"/>
  <c r="BC313"/>
  <c r="BC346"/>
  <c r="BC295"/>
  <c r="BC321"/>
  <c r="AK145"/>
  <c r="AK53"/>
  <c r="AK380"/>
  <c r="AK326"/>
  <c r="AK273"/>
  <c r="AK97"/>
  <c r="AK66"/>
  <c r="AK42"/>
  <c r="AK421"/>
  <c r="AK377"/>
  <c r="AK294"/>
  <c r="AK112"/>
  <c r="AK250"/>
  <c r="AK245"/>
  <c r="AK204"/>
  <c r="AK203"/>
  <c r="AK184"/>
  <c r="AK174"/>
  <c r="AK401"/>
  <c r="AK87"/>
  <c r="AK99"/>
  <c r="AK89"/>
  <c r="AK63"/>
  <c r="AK56"/>
  <c r="AK376"/>
  <c r="AK348"/>
  <c r="AK345"/>
  <c r="AK370"/>
  <c r="AK371"/>
  <c r="AO321"/>
  <c r="AK333"/>
  <c r="AK313"/>
  <c r="AK295"/>
  <c r="AK270"/>
  <c r="AK248"/>
  <c r="AK247"/>
  <c r="AK207"/>
  <c r="AK186"/>
  <c r="AK178"/>
  <c r="AK175"/>
  <c r="AK165"/>
  <c r="AK35"/>
  <c r="AK143"/>
  <c r="AK65"/>
  <c r="AK61"/>
  <c r="AK54"/>
  <c r="AK382"/>
  <c r="AK386"/>
  <c r="AK347"/>
  <c r="AK402"/>
  <c r="AK343"/>
  <c r="AK342"/>
  <c r="AK275"/>
  <c r="AK283"/>
  <c r="AK232"/>
  <c r="AO204"/>
  <c r="AO174"/>
  <c r="AK164"/>
  <c r="AK423"/>
  <c r="AO270"/>
  <c r="AO65"/>
  <c r="AO42"/>
  <c r="AO63"/>
  <c r="AV387"/>
  <c r="AO399"/>
  <c r="AO401"/>
  <c r="AO97"/>
  <c r="AO95"/>
  <c r="AO64"/>
  <c r="AO54"/>
  <c r="AO283"/>
  <c r="AO275"/>
  <c r="AO397"/>
  <c r="AO380"/>
  <c r="AO348"/>
  <c r="AO421"/>
  <c r="AO61"/>
  <c r="AO56"/>
  <c r="AO347"/>
  <c r="AO345"/>
  <c r="AO370"/>
  <c r="AO377"/>
  <c r="AO328"/>
  <c r="AO297"/>
  <c r="AO296"/>
  <c r="AO294"/>
  <c r="AO259"/>
  <c r="AO248"/>
  <c r="AO245"/>
  <c r="AO232"/>
  <c r="AO206"/>
  <c r="AO192"/>
  <c r="AO186"/>
  <c r="AO178"/>
  <c r="AO175"/>
  <c r="AO163"/>
  <c r="AO165"/>
  <c r="AO154"/>
  <c r="AO152"/>
  <c r="AO86"/>
  <c r="AO43"/>
  <c r="AO417"/>
  <c r="AO89"/>
  <c r="AO66"/>
  <c r="AO112"/>
  <c r="AO164"/>
  <c r="AO386"/>
  <c r="AO376"/>
  <c r="AO277"/>
  <c r="AO53"/>
  <c r="AO382"/>
  <c r="AO346"/>
  <c r="AO371"/>
  <c r="AO326"/>
  <c r="AO313"/>
  <c r="AO402"/>
  <c r="AO333"/>
  <c r="AO295"/>
  <c r="AO273"/>
  <c r="AO247"/>
  <c r="AO145"/>
  <c r="AO250"/>
  <c r="AO215"/>
  <c r="AO214" s="1"/>
  <c r="AO207"/>
  <c r="AO203"/>
  <c r="AO184"/>
  <c r="AO176"/>
  <c r="AO38"/>
  <c r="AO35"/>
  <c r="AW424" l="1"/>
  <c r="AT424"/>
  <c r="AP424"/>
  <c r="BB424"/>
  <c r="BB4" s="1"/>
  <c r="BB3" s="1"/>
  <c r="AH424"/>
  <c r="AQ424"/>
  <c r="AU424"/>
  <c r="AN424"/>
  <c r="AY424"/>
  <c r="AM424"/>
  <c r="BD421"/>
  <c r="AL424"/>
  <c r="AI424"/>
  <c r="AJ424"/>
  <c r="AK52"/>
  <c r="BD250"/>
  <c r="AK162"/>
  <c r="BD162" s="1"/>
  <c r="AZ4"/>
  <c r="AZ3" s="1"/>
  <c r="BD97"/>
  <c r="BC298"/>
  <c r="BC177"/>
  <c r="BC181"/>
  <c r="BC344"/>
  <c r="BC316"/>
  <c r="BC52"/>
  <c r="BD165"/>
  <c r="AB45" i="2" s="1"/>
  <c r="BD275" i="1"/>
  <c r="AB69" i="2" s="1"/>
  <c r="BC103" i="1"/>
  <c r="BC372"/>
  <c r="BC187"/>
  <c r="BD152"/>
  <c r="BD417"/>
  <c r="AB93" i="2" s="1"/>
  <c r="BC91" i="1"/>
  <c r="BD89"/>
  <c r="AB26" i="2" s="1"/>
  <c r="BC80" i="1"/>
  <c r="BD143"/>
  <c r="AB39" i="2" s="1"/>
  <c r="BD95" i="1"/>
  <c r="AV103"/>
  <c r="BD313"/>
  <c r="AB76" i="2" s="1"/>
  <c r="BD28" i="1"/>
  <c r="BC341"/>
  <c r="AV332"/>
  <c r="AV298"/>
  <c r="AV62"/>
  <c r="AV91"/>
  <c r="AV177"/>
  <c r="AK398"/>
  <c r="AV341"/>
  <c r="AV254"/>
  <c r="AV398"/>
  <c r="AV181"/>
  <c r="AV344"/>
  <c r="BC156"/>
  <c r="AV80"/>
  <c r="BC62"/>
  <c r="AV52"/>
  <c r="AV372"/>
  <c r="BC332"/>
  <c r="AV293"/>
  <c r="BC398"/>
  <c r="AV156"/>
  <c r="AV187"/>
  <c r="AK62"/>
  <c r="BC293"/>
  <c r="AK341"/>
  <c r="AK293"/>
  <c r="AO187"/>
  <c r="AO103"/>
  <c r="AO156"/>
  <c r="AO177"/>
  <c r="AO254"/>
  <c r="AO52"/>
  <c r="AB63" i="2" l="1"/>
  <c r="BD103" i="1"/>
  <c r="BD187"/>
  <c r="AB13" i="2"/>
  <c r="BD156" i="1"/>
  <c r="AB44" i="2" s="1"/>
  <c r="AV9" i="1"/>
  <c r="AV10"/>
  <c r="AV11"/>
  <c r="AV12"/>
  <c r="AV13"/>
  <c r="AV14"/>
  <c r="AV16"/>
  <c r="AV17"/>
  <c r="AV18"/>
  <c r="AV19"/>
  <c r="AV20"/>
  <c r="AV21"/>
  <c r="AV22"/>
  <c r="AV7"/>
  <c r="U6"/>
  <c r="U424" s="1"/>
  <c r="AB51" i="2" l="1"/>
  <c r="Z57"/>
  <c r="AB57"/>
  <c r="AK19" i="1"/>
  <c r="AK11"/>
  <c r="AK21"/>
  <c r="AK17"/>
  <c r="AK13"/>
  <c r="AK9"/>
  <c r="AK20"/>
  <c r="AK16"/>
  <c r="AK12"/>
  <c r="AK8"/>
  <c r="AK7"/>
  <c r="AK22"/>
  <c r="AK18"/>
  <c r="AK14"/>
  <c r="AK10"/>
  <c r="AO21"/>
  <c r="AO19"/>
  <c r="AO17"/>
  <c r="AO13"/>
  <c r="AO11"/>
  <c r="AO9"/>
  <c r="AO22"/>
  <c r="AO20"/>
  <c r="AO18"/>
  <c r="AO16"/>
  <c r="AO14"/>
  <c r="AO12"/>
  <c r="AO10"/>
  <c r="AO8"/>
  <c r="AO7"/>
  <c r="BD401" l="1"/>
  <c r="BD336"/>
  <c r="AB82" i="2" s="1"/>
  <c r="BD65" i="1"/>
  <c r="BD19"/>
  <c r="AO126" l="1"/>
  <c r="BC126"/>
  <c r="AV126"/>
  <c r="BD386"/>
  <c r="Y144" i="2" s="1"/>
  <c r="AB144" s="1"/>
  <c r="BD270" i="1"/>
  <c r="BD259"/>
  <c r="Y126" i="2" s="1"/>
  <c r="AB126" s="1"/>
  <c r="BD63" i="1"/>
  <c r="Z21" i="2" s="1"/>
  <c r="BD399" i="1"/>
  <c r="BD384"/>
  <c r="AB88" i="2" s="1"/>
  <c r="BD328" i="1"/>
  <c r="Y135" i="2" s="1"/>
  <c r="AB135" s="1"/>
  <c r="Z90"/>
  <c r="BD186" i="1"/>
  <c r="Y120" i="2" s="1"/>
  <c r="AB120" s="1"/>
  <c r="BD178" i="1"/>
  <c r="BD181"/>
  <c r="AB49" i="2" s="1"/>
  <c r="BD66" i="1"/>
  <c r="BD54"/>
  <c r="AB94" i="2"/>
  <c r="BD326" i="1"/>
  <c r="AB80" i="2" s="1"/>
  <c r="BD402" i="1"/>
  <c r="Y147" i="2" s="1"/>
  <c r="AB147" s="1"/>
  <c r="BD321" i="1"/>
  <c r="BD333"/>
  <c r="BD295"/>
  <c r="BD283"/>
  <c r="Y129" i="2" s="1"/>
  <c r="AB129" s="1"/>
  <c r="BD210" i="1"/>
  <c r="AB54" i="2" s="1"/>
  <c r="BD38" i="1"/>
  <c r="Y108" i="2" s="1"/>
  <c r="AB108" s="1"/>
  <c r="BD176" i="1"/>
  <c r="BD164"/>
  <c r="Y118" i="2"/>
  <c r="AB118" s="1"/>
  <c r="BD42" i="1"/>
  <c r="Y110" i="2" s="1"/>
  <c r="AB110" s="1"/>
  <c r="BD101" i="1"/>
  <c r="AB31" i="2" s="1"/>
  <c r="AB29"/>
  <c r="AB28"/>
  <c r="BD53" i="1"/>
  <c r="BD382"/>
  <c r="BD376"/>
  <c r="BD345"/>
  <c r="Z139" i="2" s="1"/>
  <c r="BD370" i="1"/>
  <c r="Y140" i="2" s="1"/>
  <c r="AB140" s="1"/>
  <c r="BD377" i="1"/>
  <c r="Y143" i="2" s="1"/>
  <c r="AB143" s="1"/>
  <c r="BD296" i="1"/>
  <c r="BD294"/>
  <c r="BD277"/>
  <c r="AB70" i="2" s="1"/>
  <c r="BD273" i="1"/>
  <c r="AB68" i="2" s="1"/>
  <c r="BD232" i="1"/>
  <c r="Y124" i="2" s="1"/>
  <c r="AB124" s="1"/>
  <c r="BD145" i="1"/>
  <c r="AB40" i="2" s="1"/>
  <c r="BD35" i="1"/>
  <c r="AB107" i="2" s="1"/>
  <c r="BD192" i="1"/>
  <c r="BD175"/>
  <c r="BD174"/>
  <c r="Y119" i="2" s="1"/>
  <c r="AB119" s="1"/>
  <c r="BD163" i="1"/>
  <c r="BD61"/>
  <c r="Y113" i="2" s="1"/>
  <c r="AB113" s="1"/>
  <c r="BD56" i="1"/>
  <c r="Y112" i="2" s="1"/>
  <c r="AB112" s="1"/>
  <c r="BD371" i="1"/>
  <c r="Y141" i="2" s="1"/>
  <c r="AB141" s="1"/>
  <c r="BD64" i="1"/>
  <c r="BD397"/>
  <c r="Y145" i="2" s="1"/>
  <c r="AB145" s="1"/>
  <c r="BD380" i="1"/>
  <c r="AB87" i="2" s="1"/>
  <c r="BD348" i="1"/>
  <c r="BD347"/>
  <c r="BD346"/>
  <c r="BD206"/>
  <c r="Y122" i="2" s="1"/>
  <c r="AB122" s="1"/>
  <c r="BD204" i="1"/>
  <c r="AB52" i="2" s="1"/>
  <c r="BD154" i="1"/>
  <c r="Y117" i="2" s="1"/>
  <c r="AB117" s="1"/>
  <c r="AB43"/>
  <c r="BD112" i="1"/>
  <c r="BD207"/>
  <c r="AB53" i="2" s="1"/>
  <c r="BD203" i="1"/>
  <c r="Y121" i="2" s="1"/>
  <c r="AB121" s="1"/>
  <c r="BD184" i="1"/>
  <c r="AB50" i="2" s="1"/>
  <c r="BD248" i="1"/>
  <c r="BD247"/>
  <c r="Y125" i="2" s="1"/>
  <c r="AB125" s="1"/>
  <c r="BD245" i="1"/>
  <c r="AB61" i="2" s="1"/>
  <c r="BD423" i="1"/>
  <c r="Y148" i="2" s="1"/>
  <c r="AB148" s="1"/>
  <c r="BD21" i="1"/>
  <c r="BD17"/>
  <c r="BD13"/>
  <c r="BD9"/>
  <c r="BD16"/>
  <c r="BD12"/>
  <c r="BD8"/>
  <c r="BD7"/>
  <c r="BD20"/>
  <c r="BD11"/>
  <c r="BD22"/>
  <c r="BD18"/>
  <c r="BD14"/>
  <c r="BD10"/>
  <c r="AB62" i="2" l="1"/>
  <c r="AB33"/>
  <c r="BD126" i="1"/>
  <c r="AR4"/>
  <c r="AR3" s="1"/>
  <c r="AX4"/>
  <c r="AX3" s="1"/>
  <c r="BC122"/>
  <c r="BC127"/>
  <c r="Y128" i="2"/>
  <c r="AB128" s="1"/>
  <c r="Z66"/>
  <c r="Z41"/>
  <c r="Y134"/>
  <c r="AB134" s="1"/>
  <c r="AV127" i="1"/>
  <c r="Z71" i="2"/>
  <c r="Z60"/>
  <c r="AS4" i="1"/>
  <c r="AS3" s="1"/>
  <c r="AU4"/>
  <c r="AU3" s="1"/>
  <c r="AQ4"/>
  <c r="AQ3" s="1"/>
  <c r="AV122"/>
  <c r="AB32" i="2"/>
  <c r="BD254" i="1"/>
  <c r="BD177"/>
  <c r="BD52"/>
  <c r="AB19" i="2" s="1"/>
  <c r="AO122" i="1"/>
  <c r="AB64" i="2" l="1"/>
  <c r="AB48"/>
  <c r="AB36"/>
  <c r="Z38"/>
  <c r="Z37"/>
  <c r="BD122" i="1"/>
  <c r="AB35" i="2" s="1"/>
  <c r="W119" l="1"/>
  <c r="W47"/>
  <c r="S47"/>
  <c r="S119"/>
  <c r="S117"/>
  <c r="AV75" i="1" l="1"/>
  <c r="AV424" s="1"/>
  <c r="AO99" l="1"/>
  <c r="BD99" l="1"/>
  <c r="AB30" i="2" s="1"/>
  <c r="BC75" i="1" l="1"/>
  <c r="AO62"/>
  <c r="AO343" l="1"/>
  <c r="BD343" s="1"/>
  <c r="AB20" i="2" l="1"/>
  <c r="AO332" i="1"/>
  <c r="AO342"/>
  <c r="BD342" s="1"/>
  <c r="AO334"/>
  <c r="AO341" l="1"/>
  <c r="AO87" l="1"/>
  <c r="BD87" s="1"/>
  <c r="AB25" i="2" s="1"/>
  <c r="AO75" i="1" l="1"/>
  <c r="BD75" l="1"/>
  <c r="Y115" i="2" s="1"/>
  <c r="AB115" s="1"/>
  <c r="BA4" i="1"/>
  <c r="BA3" s="1"/>
  <c r="AK6"/>
  <c r="AN4" l="1"/>
  <c r="BC6"/>
  <c r="BC424" s="1"/>
  <c r="AW4"/>
  <c r="AW3" s="1"/>
  <c r="AT4"/>
  <c r="AT3" s="1"/>
  <c r="AO6"/>
  <c r="AK297"/>
  <c r="BD297" s="1"/>
  <c r="Y132" i="2" s="1"/>
  <c r="AB132" s="1"/>
  <c r="AV4" i="1" l="1"/>
  <c r="AV3" s="1"/>
  <c r="BD6"/>
  <c r="AK215" l="1"/>
  <c r="AK214" s="1"/>
  <c r="AK43"/>
  <c r="AB11" i="2" l="1"/>
  <c r="BD43" i="1"/>
  <c r="BD215"/>
  <c r="X119" i="2"/>
  <c r="X47"/>
  <c r="X72"/>
  <c r="X132"/>
  <c r="X114"/>
  <c r="AK86" i="1" l="1"/>
  <c r="AB17" i="2" l="1"/>
  <c r="BD86" i="1"/>
  <c r="Y116" i="2" s="1"/>
  <c r="AB116" s="1"/>
  <c r="Y142"/>
  <c r="AB142" s="1"/>
  <c r="AK334" i="1" l="1"/>
  <c r="AK332" s="1"/>
  <c r="AK424" s="1"/>
  <c r="BD341"/>
  <c r="Y138" i="2" s="1"/>
  <c r="AB138" s="1"/>
  <c r="BD334" i="1" l="1"/>
  <c r="Z137" i="2"/>
  <c r="BD332" i="1" l="1"/>
  <c r="BD62"/>
  <c r="Y136" i="2" l="1"/>
  <c r="AB136" s="1"/>
  <c r="Y114"/>
  <c r="W117"/>
  <c r="X117" s="1"/>
  <c r="Z117" s="1"/>
  <c r="AB114" l="1"/>
  <c r="X18"/>
  <c r="W126" l="1"/>
  <c r="X126" s="1"/>
  <c r="W81" l="1"/>
  <c r="X81" s="1"/>
  <c r="W68" l="1"/>
  <c r="X68" s="1"/>
  <c r="W23" l="1"/>
  <c r="X23" s="1"/>
  <c r="W86" l="1"/>
  <c r="X86" s="1"/>
  <c r="W69"/>
  <c r="X69" s="1"/>
  <c r="Z69" s="1"/>
  <c r="S112" l="1"/>
  <c r="W112"/>
  <c r="X112" l="1"/>
  <c r="S95" l="1"/>
  <c r="W95"/>
  <c r="X95" l="1"/>
  <c r="K293" i="1" l="1"/>
  <c r="K424" s="1"/>
  <c r="D75" l="1"/>
  <c r="M293"/>
  <c r="L293"/>
  <c r="M214"/>
  <c r="L214"/>
  <c r="Q6" i="2"/>
  <c r="Q5" s="1"/>
  <c r="P6"/>
  <c r="P5" s="1"/>
  <c r="W25"/>
  <c r="S25"/>
  <c r="W116"/>
  <c r="S116"/>
  <c r="W24"/>
  <c r="S24"/>
  <c r="W17"/>
  <c r="S17"/>
  <c r="W115"/>
  <c r="S115"/>
  <c r="D115"/>
  <c r="W93"/>
  <c r="S93"/>
  <c r="W31"/>
  <c r="S31"/>
  <c r="W30"/>
  <c r="S30"/>
  <c r="W26"/>
  <c r="S26"/>
  <c r="W29"/>
  <c r="S29"/>
  <c r="W27"/>
  <c r="S27"/>
  <c r="W28"/>
  <c r="S28"/>
  <c r="W110"/>
  <c r="S110"/>
  <c r="W113"/>
  <c r="S113"/>
  <c r="W20"/>
  <c r="S20"/>
  <c r="W19"/>
  <c r="S19"/>
  <c r="W111"/>
  <c r="S111"/>
  <c r="W94"/>
  <c r="S94"/>
  <c r="W145"/>
  <c r="S145"/>
  <c r="W146"/>
  <c r="S146"/>
  <c r="W89"/>
  <c r="S89"/>
  <c r="W144"/>
  <c r="S144"/>
  <c r="W88"/>
  <c r="S88"/>
  <c r="W87"/>
  <c r="S87"/>
  <c r="W85"/>
  <c r="S85"/>
  <c r="W142"/>
  <c r="S142"/>
  <c r="W143"/>
  <c r="S143"/>
  <c r="W83"/>
  <c r="S83"/>
  <c r="W140"/>
  <c r="S140"/>
  <c r="W141"/>
  <c r="S141"/>
  <c r="W84"/>
  <c r="S84"/>
  <c r="W147"/>
  <c r="S147"/>
  <c r="W138"/>
  <c r="S138"/>
  <c r="W82"/>
  <c r="S82"/>
  <c r="W135"/>
  <c r="S135"/>
  <c r="W80"/>
  <c r="S80"/>
  <c r="W75"/>
  <c r="S75"/>
  <c r="W134"/>
  <c r="S134"/>
  <c r="W136"/>
  <c r="S136"/>
  <c r="W76"/>
  <c r="S76"/>
  <c r="W78"/>
  <c r="S78"/>
  <c r="W77"/>
  <c r="S77"/>
  <c r="W131"/>
  <c r="S131"/>
  <c r="S74"/>
  <c r="W130"/>
  <c r="S130"/>
  <c r="W70"/>
  <c r="S70"/>
  <c r="W129"/>
  <c r="S129"/>
  <c r="W128"/>
  <c r="S128"/>
  <c r="W33"/>
  <c r="S33"/>
  <c r="W32"/>
  <c r="S32"/>
  <c r="W16"/>
  <c r="S16"/>
  <c r="W64"/>
  <c r="S64"/>
  <c r="W63"/>
  <c r="S63"/>
  <c r="W62"/>
  <c r="S62"/>
  <c r="W125"/>
  <c r="S125"/>
  <c r="W61"/>
  <c r="S61"/>
  <c r="W13"/>
  <c r="S13"/>
  <c r="W91"/>
  <c r="S91"/>
  <c r="W124"/>
  <c r="S124"/>
  <c r="W123"/>
  <c r="S123"/>
  <c r="W122"/>
  <c r="S122"/>
  <c r="W53"/>
  <c r="S53"/>
  <c r="W52"/>
  <c r="S52"/>
  <c r="W121"/>
  <c r="S121"/>
  <c r="W55"/>
  <c r="S55"/>
  <c r="W54"/>
  <c r="S54"/>
  <c r="S51"/>
  <c r="W108"/>
  <c r="S108"/>
  <c r="W120"/>
  <c r="S120"/>
  <c r="W50"/>
  <c r="S50"/>
  <c r="W48"/>
  <c r="S48"/>
  <c r="W49"/>
  <c r="S49"/>
  <c r="W45"/>
  <c r="S45"/>
  <c r="W118"/>
  <c r="S118"/>
  <c r="W44"/>
  <c r="S44"/>
  <c r="W40"/>
  <c r="S40"/>
  <c r="S43"/>
  <c r="W107"/>
  <c r="S107"/>
  <c r="W39"/>
  <c r="S39"/>
  <c r="W148"/>
  <c r="S148"/>
  <c r="W34"/>
  <c r="S34"/>
  <c r="W11"/>
  <c r="W96" s="1"/>
  <c r="S11"/>
  <c r="S96" s="1"/>
  <c r="W36"/>
  <c r="S36"/>
  <c r="W35"/>
  <c r="S35"/>
  <c r="M424" i="1" l="1"/>
  <c r="M4" s="1"/>
  <c r="L424"/>
  <c r="L4" s="1"/>
  <c r="X136" i="2"/>
  <c r="Z4" i="1"/>
  <c r="Z3" s="1"/>
  <c r="S4"/>
  <c r="S3" s="1"/>
  <c r="X89" i="2"/>
  <c r="X88"/>
  <c r="X94"/>
  <c r="X130"/>
  <c r="X39"/>
  <c r="X53"/>
  <c r="X40"/>
  <c r="Z40" s="1"/>
  <c r="AB4" i="1"/>
  <c r="AB3" s="1"/>
  <c r="AD3"/>
  <c r="AO293"/>
  <c r="AO316"/>
  <c r="BD316" s="1"/>
  <c r="AB77" i="2" s="1"/>
  <c r="AO403" i="1"/>
  <c r="BD403" s="1"/>
  <c r="AB91" i="2" s="1"/>
  <c r="AO298" i="1"/>
  <c r="BD298" s="1"/>
  <c r="AB75" i="2" s="1"/>
  <c r="X11"/>
  <c r="X148"/>
  <c r="X107"/>
  <c r="X118"/>
  <c r="X49"/>
  <c r="X50"/>
  <c r="X108"/>
  <c r="X54"/>
  <c r="X123"/>
  <c r="X91"/>
  <c r="X61"/>
  <c r="X62"/>
  <c r="X64"/>
  <c r="X32"/>
  <c r="Z32" s="1"/>
  <c r="X128"/>
  <c r="X70"/>
  <c r="X74"/>
  <c r="X77"/>
  <c r="X76"/>
  <c r="Z76" s="1"/>
  <c r="X134"/>
  <c r="X80"/>
  <c r="X82"/>
  <c r="X147"/>
  <c r="X141"/>
  <c r="X83"/>
  <c r="X142"/>
  <c r="X87"/>
  <c r="X144"/>
  <c r="X146"/>
  <c r="X19"/>
  <c r="X113"/>
  <c r="Z113" s="1"/>
  <c r="X28"/>
  <c r="X29"/>
  <c r="X30"/>
  <c r="Z30" s="1"/>
  <c r="X93"/>
  <c r="X115"/>
  <c r="X24"/>
  <c r="X25"/>
  <c r="X121"/>
  <c r="X36"/>
  <c r="Z36" s="1"/>
  <c r="X34"/>
  <c r="X43"/>
  <c r="X44"/>
  <c r="X45"/>
  <c r="Z45" s="1"/>
  <c r="X48"/>
  <c r="X120"/>
  <c r="X51"/>
  <c r="X55"/>
  <c r="Z55" s="1"/>
  <c r="X52"/>
  <c r="X122"/>
  <c r="X124"/>
  <c r="X13"/>
  <c r="X125"/>
  <c r="X63"/>
  <c r="X16"/>
  <c r="X33"/>
  <c r="X129"/>
  <c r="X131"/>
  <c r="X78"/>
  <c r="X75"/>
  <c r="X135"/>
  <c r="X138"/>
  <c r="X84"/>
  <c r="X140"/>
  <c r="X143"/>
  <c r="X85"/>
  <c r="X145"/>
  <c r="X111"/>
  <c r="X20"/>
  <c r="X110"/>
  <c r="X27"/>
  <c r="X26"/>
  <c r="X31"/>
  <c r="X17"/>
  <c r="X116"/>
  <c r="X35"/>
  <c r="S6"/>
  <c r="S5" s="1"/>
  <c r="K4" i="1"/>
  <c r="K3" s="1"/>
  <c r="X96" i="2" l="1"/>
  <c r="U4" i="1"/>
  <c r="U3" s="1"/>
  <c r="BD214"/>
  <c r="BD293"/>
  <c r="Y131" i="2" l="1"/>
  <c r="AB131" s="1"/>
  <c r="Y123"/>
  <c r="AB123" s="1"/>
  <c r="Z135"/>
  <c r="Z16"/>
  <c r="Z81"/>
  <c r="Z93"/>
  <c r="Z143"/>
  <c r="Z43"/>
  <c r="Z145"/>
  <c r="Z147"/>
  <c r="Z33"/>
  <c r="Z108"/>
  <c r="Z24"/>
  <c r="Z82"/>
  <c r="Z88"/>
  <c r="Z47"/>
  <c r="Z107"/>
  <c r="Z50"/>
  <c r="Z52"/>
  <c r="Z31"/>
  <c r="Z18"/>
  <c r="Z53"/>
  <c r="Z63" l="1"/>
  <c r="Z120"/>
  <c r="Z128"/>
  <c r="Z116"/>
  <c r="Z17"/>
  <c r="Z119"/>
  <c r="Z61"/>
  <c r="Z72"/>
  <c r="Z78"/>
  <c r="Z94"/>
  <c r="Z74"/>
  <c r="Z129"/>
  <c r="Z114"/>
  <c r="Z132"/>
  <c r="Z134"/>
  <c r="Z34"/>
  <c r="Z110"/>
  <c r="Z111"/>
  <c r="Z80"/>
  <c r="Z125"/>
  <c r="Z121"/>
  <c r="Z68"/>
  <c r="Z122"/>
  <c r="Z28"/>
  <c r="Z13"/>
  <c r="Z84"/>
  <c r="Z144"/>
  <c r="Z39"/>
  <c r="Z26"/>
  <c r="Z124"/>
  <c r="Z141"/>
  <c r="Z148"/>
  <c r="Z130"/>
  <c r="Z51"/>
  <c r="Z49"/>
  <c r="Z77"/>
  <c r="Z75"/>
  <c r="Z64"/>
  <c r="Z131" l="1"/>
  <c r="Z118"/>
  <c r="Z91"/>
  <c r="Z140"/>
  <c r="Z70"/>
  <c r="Z115"/>
  <c r="Z62"/>
  <c r="Z112"/>
  <c r="Z142"/>
  <c r="Z35" l="1"/>
  <c r="Z136"/>
  <c r="Z44" l="1"/>
  <c r="Z29"/>
  <c r="Z48"/>
  <c r="Z54" l="1"/>
  <c r="Z138"/>
  <c r="Z126" l="1"/>
  <c r="Z123" l="1"/>
  <c r="Z11" l="1"/>
  <c r="Z20" l="1"/>
  <c r="Z19" l="1"/>
  <c r="Z25" l="1"/>
  <c r="AO387" i="1" l="1"/>
  <c r="BD387" l="1"/>
  <c r="AB89" i="2" s="1"/>
  <c r="AO398" i="1"/>
  <c r="BD398" l="1"/>
  <c r="Y146" i="2" s="1"/>
  <c r="AB146" s="1"/>
  <c r="Z87"/>
  <c r="AO372" i="1"/>
  <c r="BD372" s="1"/>
  <c r="AB85" i="2" l="1"/>
  <c r="Z89"/>
  <c r="Z146" l="1"/>
  <c r="Z86"/>
  <c r="AO344" i="1"/>
  <c r="BD344" s="1"/>
  <c r="Z85" i="2" l="1"/>
  <c r="AB83"/>
  <c r="AO91" i="1"/>
  <c r="Z83" i="2" l="1"/>
  <c r="BD91" i="1"/>
  <c r="AY4"/>
  <c r="AY3" s="1"/>
  <c r="K5"/>
  <c r="AH4"/>
  <c r="AH3" s="1"/>
  <c r="AB27" i="2" l="1"/>
  <c r="BC4" i="1"/>
  <c r="BC3" s="1"/>
  <c r="AH5"/>
  <c r="AJ4"/>
  <c r="AJ3" s="1"/>
  <c r="M3"/>
  <c r="AI4"/>
  <c r="AI3" s="1"/>
  <c r="Z27" i="2" l="1"/>
  <c r="L5" i="1"/>
  <c r="M5" s="1"/>
  <c r="L3"/>
  <c r="AI5"/>
  <c r="AJ5" s="1"/>
  <c r="AK4" l="1"/>
  <c r="AK3" s="1"/>
  <c r="AK5"/>
  <c r="AL4" l="1"/>
  <c r="AL3" s="1"/>
  <c r="AL5" l="1"/>
  <c r="P3" l="1"/>
  <c r="P5" l="1"/>
  <c r="AM4"/>
  <c r="AM5" l="1"/>
  <c r="AM3"/>
  <c r="AO80"/>
  <c r="AO424" s="1"/>
  <c r="AO4" l="1"/>
  <c r="AO3" s="1"/>
  <c r="BD80"/>
  <c r="BD424" s="1"/>
  <c r="BD5" s="1"/>
  <c r="Q5"/>
  <c r="S5" s="1"/>
  <c r="Q3"/>
  <c r="R3"/>
  <c r="AN3"/>
  <c r="T5" l="1"/>
  <c r="U5" s="1"/>
  <c r="V5" s="1"/>
  <c r="R5"/>
  <c r="AN5"/>
  <c r="AO5" s="1"/>
  <c r="AB23" i="2" l="1"/>
  <c r="W5" i="1"/>
  <c r="AP4"/>
  <c r="X5" l="1"/>
  <c r="Y5" s="1"/>
  <c r="AP5"/>
  <c r="AQ5" s="1"/>
  <c r="AR5" s="1"/>
  <c r="AS5" s="1"/>
  <c r="AT5" s="1"/>
  <c r="AU5" s="1"/>
  <c r="AV5" s="1"/>
  <c r="AP3"/>
  <c r="Z5" l="1"/>
  <c r="AA5" s="1"/>
  <c r="AB5" s="1"/>
  <c r="AC5" s="1"/>
  <c r="AD5" s="1"/>
  <c r="AE5" s="1"/>
  <c r="AF5" s="1"/>
  <c r="AW5"/>
  <c r="AX5" s="1"/>
  <c r="AY5" s="1"/>
  <c r="AG5" l="1"/>
  <c r="AZ5"/>
  <c r="BA5" s="1"/>
  <c r="BB5" s="1"/>
  <c r="BD4"/>
  <c r="BD3" s="1"/>
  <c r="Z23" i="2" l="1"/>
  <c r="AF3" i="1" l="1"/>
  <c r="AG3"/>
  <c r="W339" i="14"/>
  <c r="W340" l="1"/>
  <c r="X339"/>
  <c r="Y95" i="2"/>
  <c r="L6"/>
  <c r="J6"/>
  <c r="T6"/>
  <c r="T5" s="1"/>
  <c r="N6"/>
  <c r="N5" s="1"/>
  <c r="V6"/>
  <c r="V5" s="1"/>
  <c r="M6"/>
  <c r="M5" s="1"/>
  <c r="U6"/>
  <c r="U5" s="1"/>
  <c r="I6"/>
  <c r="I5" s="1"/>
  <c r="W368" i="14" l="1"/>
  <c r="W367" s="1"/>
  <c r="X340"/>
  <c r="X368"/>
  <c r="X367" s="1"/>
  <c r="X375" s="1"/>
  <c r="Y6" i="2"/>
  <c r="Y7" s="1"/>
  <c r="AB95"/>
  <c r="Z95"/>
  <c r="I7"/>
  <c r="O6"/>
  <c r="O5" s="1"/>
  <c r="J7"/>
  <c r="K7" s="1"/>
  <c r="K6"/>
  <c r="K5" s="1"/>
  <c r="J5"/>
  <c r="L2"/>
  <c r="W6"/>
  <c r="L5"/>
  <c r="Z7" l="1"/>
  <c r="Z244" s="1"/>
  <c r="Z246" s="1"/>
  <c r="Y5"/>
  <c r="L7"/>
  <c r="M7" s="1"/>
  <c r="N7" s="1"/>
  <c r="O7" s="1"/>
  <c r="P7" s="1"/>
  <c r="Q7" s="1"/>
  <c r="R7" s="1"/>
  <c r="S7" s="1"/>
  <c r="X6"/>
  <c r="W5"/>
  <c r="T7" l="1"/>
  <c r="U7" s="1"/>
  <c r="V7" s="1"/>
  <c r="W7" s="1"/>
  <c r="X5"/>
  <c r="Z6"/>
  <c r="Z5" s="1"/>
</calcChain>
</file>

<file path=xl/comments1.xml><?xml version="1.0" encoding="utf-8"?>
<comments xmlns="http://schemas.openxmlformats.org/spreadsheetml/2006/main">
  <authors>
    <author>Блинова Екатерина Николаевна</author>
    <author>lubovtsova</author>
    <author>Карпова Оксана Владимировна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34-р от 30.01.2023</t>
        </r>
      </text>
    </comment>
    <comment ref="I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47-р от 01.02.2023, 58-р, 59-р, 60-р от 03.02.2023,70-р от 06.02.2023, 84-р от 08.02.2023</t>
        </r>
      </text>
    </commen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129-р от 01.03.2023+122-р от 01.03.2023 (на сумму 144 335, 87), 244-р от 28.03.2023 на сумму 585749668,26</t>
        </r>
      </text>
    </commen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341-р от 28.04.2023</t>
        </r>
      </text>
    </comment>
    <comment ref="M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428-р от 25.05.2023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518-р от 22.06.2023,
541-р от 27.06.2023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107-р от 17.02.2023
</t>
        </r>
      </text>
    </comment>
    <comment ref="J1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150-р от 06.03.2023</t>
        </r>
      </text>
    </comment>
    <comment ref="J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122-р от 01.03.2023</t>
        </r>
      </text>
    </comment>
    <comment ref="J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150-р от 06.03.2023</t>
        </r>
      </text>
    </comment>
    <comment ref="I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107-р от 17.02.2023</t>
        </r>
      </text>
    </comment>
    <comment ref="C70" authorId="1">
      <text>
        <r>
          <rPr>
            <b/>
            <sz val="8"/>
            <color indexed="81"/>
            <rFont val="Tahoma"/>
            <family val="2"/>
            <charset val="204"/>
          </rPr>
          <t>lubovtsova:</t>
        </r>
        <r>
          <rPr>
            <sz val="8"/>
            <color indexed="81"/>
            <rFont val="Tahoma"/>
            <family val="2"/>
            <charset val="204"/>
          </rPr>
          <t xml:space="preserve">
луковецкое</t>
        </r>
      </text>
    </comment>
    <comment ref="N72" authorId="2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541-р от 27.06.2023</t>
        </r>
      </text>
    </comment>
    <comment ref="N90" authorId="2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541-р от 27.06.2023</t>
        </r>
      </text>
    </comment>
    <comment ref="N92" authorId="2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541-р от 27.06.2023</t>
        </r>
      </text>
    </comment>
    <comment ref="N93" authorId="2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541-р от 27.06.2023</t>
        </r>
      </text>
    </comment>
    <comment ref="J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123-р от 01.03.2023</t>
        </r>
      </text>
    </comment>
    <comment ref="I1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48-р от 01.02.2023</t>
        </r>
      </text>
    </comment>
    <comment ref="J1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130-р от 01.03.2023</t>
        </r>
      </text>
    </comment>
    <comment ref="I10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85-р от 08.02.2023</t>
        </r>
      </text>
    </comment>
    <comment ref="M10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за декабрь 2022 411-р от 22.05.2023</t>
        </r>
      </text>
    </comment>
    <comment ref="J1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245-р от 28.03.2023 на сумму 18973709,53</t>
        </r>
      </text>
    </comment>
    <comment ref="L1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320-р от 26.04.2023</t>
        </r>
      </text>
    </comment>
    <comment ref="M1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429-р от 25.05.2023</t>
        </r>
      </text>
    </comment>
    <comment ref="N104" authorId="2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543-р от 27.06.2023</t>
        </r>
      </text>
    </comment>
  </commentList>
</comments>
</file>

<file path=xl/comments2.xml><?xml version="1.0" encoding="utf-8"?>
<comments xmlns="http://schemas.openxmlformats.org/spreadsheetml/2006/main">
  <authors>
    <author>Карпова Оксана Владимировна</author>
  </authors>
  <commentList>
    <comment ref="C143" authorId="0">
      <text>
        <r>
          <rPr>
            <b/>
            <sz val="9"/>
            <color indexed="81"/>
            <rFont val="Tahoma"/>
            <family val="2"/>
            <charset val="204"/>
          </rPr>
          <t>Карпова Оксана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от котельных, располаг в доме 13 по ул.Дзержинского, №20а по ул. Хаджи-Мурата, 119б по ул. П.Виноградова, дом 9 стр. 6 ул.Молодежная пос Березник
</t>
        </r>
      </text>
    </comment>
  </commentList>
</comments>
</file>

<file path=xl/sharedStrings.xml><?xml version="1.0" encoding="utf-8"?>
<sst xmlns="http://schemas.openxmlformats.org/spreadsheetml/2006/main" count="3450" uniqueCount="1227">
  <si>
    <t>№ п/п</t>
  </si>
  <si>
    <t>ООФ</t>
  </si>
  <si>
    <t>Сокращенное наименование</t>
  </si>
  <si>
    <t>ИНН</t>
  </si>
  <si>
    <t>фактическая потребность в средствах субсидии</t>
  </si>
  <si>
    <t>январь</t>
  </si>
  <si>
    <t>фев</t>
  </si>
  <si>
    <t>март</t>
  </si>
  <si>
    <t>1 квартал</t>
  </si>
  <si>
    <t>апр</t>
  </si>
  <si>
    <t>май</t>
  </si>
  <si>
    <t>июнь</t>
  </si>
  <si>
    <t>2 квартал</t>
  </si>
  <si>
    <t>июль</t>
  </si>
  <si>
    <t>авг</t>
  </si>
  <si>
    <t>сент</t>
  </si>
  <si>
    <t>3 квартал</t>
  </si>
  <si>
    <t>окт</t>
  </si>
  <si>
    <t>ноя</t>
  </si>
  <si>
    <t>дек</t>
  </si>
  <si>
    <t>4 квартал</t>
  </si>
  <si>
    <t>1 полуг</t>
  </si>
  <si>
    <t>2 полуг</t>
  </si>
  <si>
    <t>Тэо</t>
  </si>
  <si>
    <t>Тнас</t>
  </si>
  <si>
    <t>ОАО</t>
  </si>
  <si>
    <t>ООО</t>
  </si>
  <si>
    <t>АльянсТеплоЭнерго</t>
  </si>
  <si>
    <t>Шилегское</t>
  </si>
  <si>
    <t>Карпогорское</t>
  </si>
  <si>
    <t>Газпром теплоэнерго Плесецк</t>
  </si>
  <si>
    <t>Архбиоэнерго</t>
  </si>
  <si>
    <t>2901200792</t>
  </si>
  <si>
    <t>АрхоблЭнерго</t>
  </si>
  <si>
    <t>д. Курцево-Котласский</t>
  </si>
  <si>
    <t xml:space="preserve">д. Куимиха- котласский </t>
  </si>
  <si>
    <t>МО Уемское</t>
  </si>
  <si>
    <t>МО Приморское</t>
  </si>
  <si>
    <t>Газпром теплоэнерго Архангельск</t>
  </si>
  <si>
    <t>Учреждение</t>
  </si>
  <si>
    <t>Базовый санаторий "Беломорье"</t>
  </si>
  <si>
    <t>Березниковское ТСП</t>
  </si>
  <si>
    <t>Вельское Горпо</t>
  </si>
  <si>
    <t>2907000246</t>
  </si>
  <si>
    <t>Вилегодск ЖКХ</t>
  </si>
  <si>
    <t>2909003034</t>
  </si>
  <si>
    <t>2923006012</t>
  </si>
  <si>
    <t>Емецкое ТСП</t>
  </si>
  <si>
    <t>2923006245</t>
  </si>
  <si>
    <t>ЖКХ Малодоры</t>
  </si>
  <si>
    <t>ЖКХ Регион</t>
  </si>
  <si>
    <t>2909003010</t>
  </si>
  <si>
    <t>ИП</t>
  </si>
  <si>
    <t>Звягина А.В.</t>
  </si>
  <si>
    <t>Ильинск ЖКХ</t>
  </si>
  <si>
    <t>2909002320</t>
  </si>
  <si>
    <t xml:space="preserve">ООО </t>
  </si>
  <si>
    <t>Коношский хлебозавод</t>
  </si>
  <si>
    <t>Кондратовское</t>
  </si>
  <si>
    <t>ЛЕТО</t>
  </si>
  <si>
    <t>7802312751</t>
  </si>
  <si>
    <t>Сафроновское</t>
  </si>
  <si>
    <t>Онега-Энергия</t>
  </si>
  <si>
    <t>2906006277</t>
  </si>
  <si>
    <t>Павловск ЖКХ</t>
  </si>
  <si>
    <t>2909002440</t>
  </si>
  <si>
    <t>ПЖКХ</t>
  </si>
  <si>
    <t>2920012988</t>
  </si>
  <si>
    <t>Пинега</t>
  </si>
  <si>
    <t>ПКТС</t>
  </si>
  <si>
    <t>Помор</t>
  </si>
  <si>
    <t xml:space="preserve">Коношский </t>
  </si>
  <si>
    <t>РЖД Сольвычегодск</t>
  </si>
  <si>
    <t>РЭП СФЕРА</t>
  </si>
  <si>
    <t>2921012050</t>
  </si>
  <si>
    <t>Сийское</t>
  </si>
  <si>
    <t>2919006299</t>
  </si>
  <si>
    <t>Стройсервис</t>
  </si>
  <si>
    <t>2918009770</t>
  </si>
  <si>
    <t>2921011754</t>
  </si>
  <si>
    <t>УК "Уютный город"</t>
  </si>
  <si>
    <t>2924005075</t>
  </si>
  <si>
    <t>Управдом</t>
  </si>
  <si>
    <t>2909001076</t>
  </si>
  <si>
    <t>Управдом Сервис</t>
  </si>
  <si>
    <t>2904022749</t>
  </si>
  <si>
    <t>Управляющая компания "Весна</t>
  </si>
  <si>
    <t>2924005220</t>
  </si>
  <si>
    <t>Уютный город</t>
  </si>
  <si>
    <t>Устьянская теплоэнергетическая компания</t>
  </si>
  <si>
    <t>Уют-2</t>
  </si>
  <si>
    <t>2920011448</t>
  </si>
  <si>
    <t>Фарватер</t>
  </si>
  <si>
    <t>Холмогорское ТСП</t>
  </si>
  <si>
    <t>2923006541</t>
  </si>
  <si>
    <t>ООО ПК</t>
  </si>
  <si>
    <t>Энергия Севера</t>
  </si>
  <si>
    <t>Энергосфера</t>
  </si>
  <si>
    <t>СМУП</t>
  </si>
  <si>
    <t>Белое озеро</t>
  </si>
  <si>
    <t>2902046374</t>
  </si>
  <si>
    <t>МУП</t>
  </si>
  <si>
    <t>Бестужевское</t>
  </si>
  <si>
    <t>2922007013</t>
  </si>
  <si>
    <t>Ерцевские теплосети</t>
  </si>
  <si>
    <t>2912006155</t>
  </si>
  <si>
    <t>ЖЭУ</t>
  </si>
  <si>
    <t>2925003747</t>
  </si>
  <si>
    <t>Илезское</t>
  </si>
  <si>
    <t>2922006997</t>
  </si>
  <si>
    <t>Козьминское МУП ПЖКХ</t>
  </si>
  <si>
    <t>2915003297</t>
  </si>
  <si>
    <t>2911004356</t>
  </si>
  <si>
    <t>2911004405</t>
  </si>
  <si>
    <t>2911004420</t>
  </si>
  <si>
    <t>2911004363</t>
  </si>
  <si>
    <t>2911004349</t>
  </si>
  <si>
    <t>МП</t>
  </si>
  <si>
    <t>Пинежское МП ЖКХ</t>
  </si>
  <si>
    <t>2919000794</t>
  </si>
  <si>
    <t>Телеговское ЖКХ</t>
  </si>
  <si>
    <t>2914003174</t>
  </si>
  <si>
    <t>Хозьминское</t>
  </si>
  <si>
    <t>2907010396</t>
  </si>
  <si>
    <t>Шадреньгское</t>
  </si>
  <si>
    <t>2907010220</t>
  </si>
  <si>
    <t>ШЛИТ</t>
  </si>
  <si>
    <t>Финансирование</t>
  </si>
  <si>
    <t>Примечание</t>
  </si>
  <si>
    <t>Учр</t>
  </si>
  <si>
    <t>Лето</t>
  </si>
  <si>
    <t>Северо-Западная консалтинговая компания"</t>
  </si>
  <si>
    <t>ТеплоСнаб устьянский район</t>
  </si>
  <si>
    <t>Шлит</t>
  </si>
  <si>
    <t>Трансавто</t>
  </si>
  <si>
    <t>Договор</t>
  </si>
  <si>
    <t>Газпром энерго, Северный филиал</t>
  </si>
  <si>
    <t>Газпром энерго Северный филиал</t>
  </si>
  <si>
    <t>Плосское</t>
  </si>
  <si>
    <t>КМ ТеплоЭнергоРесурс</t>
  </si>
  <si>
    <t>Наименование</t>
  </si>
  <si>
    <t xml:space="preserve">Сводный расчет фактической потребности в средствах субсидии на возмещение недополученных доходов, возникающих в результате государственного регулирования тарифов на тепловую энергию, поставляемую населению и потребителям, приравненным к населению на нужды теплоснабжения </t>
  </si>
  <si>
    <t>МПМК</t>
  </si>
  <si>
    <t>Задолженность</t>
  </si>
  <si>
    <t>Теплосервис (МО Кулойское)</t>
  </si>
  <si>
    <t>Управдом (вилегодский р-н)</t>
  </si>
  <si>
    <t>Северная энергетическая компания</t>
  </si>
  <si>
    <t>ТСП Холмогоры</t>
  </si>
  <si>
    <t>Удар</t>
  </si>
  <si>
    <t>Теплоресурс</t>
  </si>
  <si>
    <t xml:space="preserve">ИТОГО </t>
  </si>
  <si>
    <t>Островное-д. Пустошь</t>
  </si>
  <si>
    <t>Островное-д. Ластола</t>
  </si>
  <si>
    <t>Островное - с. Вознесенье, д. Кяросстров</t>
  </si>
  <si>
    <t>Итого</t>
  </si>
  <si>
    <t>Теплоэнерго</t>
  </si>
  <si>
    <t xml:space="preserve">Факт. потребность в субсидии с учетом актов сверки </t>
  </si>
  <si>
    <t>Северная энергетическая компания (Луковецкий)</t>
  </si>
  <si>
    <t>Шангальский ЖКС</t>
  </si>
  <si>
    <t>район</t>
  </si>
  <si>
    <t>Шенкурский</t>
  </si>
  <si>
    <t>Виноградовский</t>
  </si>
  <si>
    <t>Холмогорский</t>
  </si>
  <si>
    <t xml:space="preserve"> ПК Энергия Севера</t>
  </si>
  <si>
    <t>нарастающий итог</t>
  </si>
  <si>
    <t>РЖД Исакогорка</t>
  </si>
  <si>
    <t>Штиль</t>
  </si>
  <si>
    <t>АГТС</t>
  </si>
  <si>
    <t>УК "Жилуправление"</t>
  </si>
  <si>
    <t>ВелГазСервис</t>
  </si>
  <si>
    <t>Сосновское, Лавельское, Кушкопальское</t>
  </si>
  <si>
    <t>отпуск т/э Гкал</t>
  </si>
  <si>
    <t>Теплодом</t>
  </si>
  <si>
    <t>Верхнеустькулойское</t>
  </si>
  <si>
    <t>Судромское</t>
  </si>
  <si>
    <t>Пуйское</t>
  </si>
  <si>
    <t>Теплострой</t>
  </si>
  <si>
    <t>с. Ненокса</t>
  </si>
  <si>
    <t>.</t>
  </si>
  <si>
    <t xml:space="preserve">МУП </t>
  </si>
  <si>
    <t>Звягина А.В. (МО Лисестровское)</t>
  </si>
  <si>
    <t>межтарифная разница 1 полуг</t>
  </si>
  <si>
    <t>межтарифная разница 2 полугодие</t>
  </si>
  <si>
    <t>Вельский (Верхнеустькулойское)</t>
  </si>
  <si>
    <t>МО Няндомское</t>
  </si>
  <si>
    <t>МО Шалакушское</t>
  </si>
  <si>
    <t xml:space="preserve">Няндомский </t>
  </si>
  <si>
    <t>Теплоснаб приморский район</t>
  </si>
  <si>
    <t>Каскад</t>
  </si>
  <si>
    <t>Т-Сервис</t>
  </si>
  <si>
    <t>МО Ерцевское</t>
  </si>
  <si>
    <t>МО Вельское</t>
  </si>
  <si>
    <t>МО "Северодвинск"</t>
  </si>
  <si>
    <t>п. Водогон</t>
  </si>
  <si>
    <t>д. Кошкино</t>
  </si>
  <si>
    <t>КТС (Каргопольский район)</t>
  </si>
  <si>
    <t>КТС (Красноборский район)</t>
  </si>
  <si>
    <t>Советская</t>
  </si>
  <si>
    <t>ФинансГрупп</t>
  </si>
  <si>
    <t>доверенность на Зубкова до 30.06.2023</t>
  </si>
  <si>
    <t>"Жилкомсервис" администрации МО "Коношское"</t>
  </si>
  <si>
    <t>МО Коношское</t>
  </si>
  <si>
    <t>Жилкомсервис администрации МО "Коношское"</t>
  </si>
  <si>
    <t>Уют-Энерго</t>
  </si>
  <si>
    <t>Плесецкий МО Обозерское"</t>
  </si>
  <si>
    <t>Северная энергетическая компания - Беломорье</t>
  </si>
  <si>
    <t>МО Катунинское Приморский</t>
  </si>
  <si>
    <t>Северная энергетическая компания -Беломорье</t>
  </si>
  <si>
    <t>МО Тавреньгское (ул Школьная)</t>
  </si>
  <si>
    <t>"ТеплоСервис"</t>
  </si>
  <si>
    <t>Коношский район</t>
  </si>
  <si>
    <t>МО Приводинское</t>
  </si>
  <si>
    <t>МО Котласский район</t>
  </si>
  <si>
    <t>Приморский район</t>
  </si>
  <si>
    <t>Приморская теплоснабжающая компания</t>
  </si>
  <si>
    <t>ВельскТеплоКом</t>
  </si>
  <si>
    <t>Вельский</t>
  </si>
  <si>
    <t xml:space="preserve">Котласский </t>
  </si>
  <si>
    <t>МПЖРЭП Северодвинска</t>
  </si>
  <si>
    <t>МПЖРЭП Северодвинск</t>
  </si>
  <si>
    <t>МО Северодвинск</t>
  </si>
  <si>
    <t>вместо АО ПЖРЭП</t>
  </si>
  <si>
    <t>Градиант</t>
  </si>
  <si>
    <t>Приморский</t>
  </si>
  <si>
    <t>С-Неруд</t>
  </si>
  <si>
    <t>Теплолайн</t>
  </si>
  <si>
    <t>Онежский</t>
  </si>
  <si>
    <t xml:space="preserve">Плесецкий </t>
  </si>
  <si>
    <t>Лойгинское</t>
  </si>
  <si>
    <t>Северная Двина</t>
  </si>
  <si>
    <t>Трест Сервис</t>
  </si>
  <si>
    <t>Красноборский</t>
  </si>
  <si>
    <t>Вилегодский</t>
  </si>
  <si>
    <t>Верхнетоемский</t>
  </si>
  <si>
    <t>Ленский</t>
  </si>
  <si>
    <t>АО</t>
  </si>
  <si>
    <t>Плесецкий</t>
  </si>
  <si>
    <t>пинежский</t>
  </si>
  <si>
    <t>вельский</t>
  </si>
  <si>
    <t>виноградовский</t>
  </si>
  <si>
    <t>Устьянский</t>
  </si>
  <si>
    <t>Северодвинск</t>
  </si>
  <si>
    <t>Каргопольский</t>
  </si>
  <si>
    <t>ГК "УЛК"</t>
  </si>
  <si>
    <t>(акт сверки)</t>
  </si>
  <si>
    <t>ЕмецкСтройсервис (до18.02.2019 ООО Двина)</t>
  </si>
  <si>
    <t>ЕмецкСтройСервис ( до 18.02.21019 ООО Двина)</t>
  </si>
  <si>
    <t>ПАО</t>
  </si>
  <si>
    <t>"Северо-Западная консалтинговая компания"</t>
  </si>
  <si>
    <t>ТГК-2</t>
  </si>
  <si>
    <t>МО Архангельск</t>
  </si>
  <si>
    <t>МО Приморский муниципальный район</t>
  </si>
  <si>
    <t xml:space="preserve">Кедрова-21-1 </t>
  </si>
  <si>
    <t>РемСтройСервис</t>
  </si>
  <si>
    <t>Лешуконский</t>
  </si>
  <si>
    <t>Денисов Василий Петрович</t>
  </si>
  <si>
    <t>Пинежский</t>
  </si>
  <si>
    <t xml:space="preserve">Приморский </t>
  </si>
  <si>
    <t>Верхнетоемский, МО Афанасьевское</t>
  </si>
  <si>
    <t>Верхнетоемский, МО Пучужское</t>
  </si>
  <si>
    <t>Моржегорское</t>
  </si>
  <si>
    <t>Попонаволоцкое</t>
  </si>
  <si>
    <t>Верхнешоношское</t>
  </si>
  <si>
    <t>Липовское</t>
  </si>
  <si>
    <t>Тегринское</t>
  </si>
  <si>
    <t>Вельский (Кулойское)</t>
  </si>
  <si>
    <t>Мирный</t>
  </si>
  <si>
    <t>Орловское</t>
  </si>
  <si>
    <t>Дмитриевское</t>
  </si>
  <si>
    <t>Синцкое</t>
  </si>
  <si>
    <t>Лихачевское</t>
  </si>
  <si>
    <t>Пригородный</t>
  </si>
  <si>
    <t>Казаково</t>
  </si>
  <si>
    <t>Заостровское</t>
  </si>
  <si>
    <t>Матигорское</t>
  </si>
  <si>
    <t>Никольское</t>
  </si>
  <si>
    <t>МО Шеговарское - ул. Центральная</t>
  </si>
  <si>
    <t>МО Шеговарское - ул. Садовая</t>
  </si>
  <si>
    <t>МО Ровдинское</t>
  </si>
  <si>
    <t>Рочегодское</t>
  </si>
  <si>
    <t>Мелиоративная</t>
  </si>
  <si>
    <t>Октябрьское</t>
  </si>
  <si>
    <t>Березницкое</t>
  </si>
  <si>
    <t>Лешуконский р-н</t>
  </si>
  <si>
    <t>МО Двинское- Верхнетоемский</t>
  </si>
  <si>
    <t>МО Лисестровское-Приморский</t>
  </si>
  <si>
    <t>МО Ильинское-Вилегодский</t>
  </si>
  <si>
    <t>Соловецкое-Примосркий</t>
  </si>
  <si>
    <t>МО Шипицынское- Котласский</t>
  </si>
  <si>
    <t>г. Сольвычегодск - Котласский</t>
  </si>
  <si>
    <t>д. Григорово- Котласский</t>
  </si>
  <si>
    <t>пос. Харитоново - Котласский</t>
  </si>
  <si>
    <t>МО Савинское</t>
  </si>
  <si>
    <t>Муравьевское - Вельский</t>
  </si>
  <si>
    <t>Мезенская теплоснабжающая компания</t>
  </si>
  <si>
    <t>июль (корректировка   1 полугодия)</t>
  </si>
  <si>
    <t>август (корректировка   1 полугодия)</t>
  </si>
  <si>
    <t>сентябрь (корректировка        1 полугодия)</t>
  </si>
  <si>
    <t>октябрь (корректировка   1 полугодия)</t>
  </si>
  <si>
    <t>ноябрь (корректировка   1 полугодия)</t>
  </si>
  <si>
    <t>декабрь (корректировка   1 полугодия)</t>
  </si>
  <si>
    <t>сентябрь (корректировка   1 полугодия)</t>
  </si>
  <si>
    <t>февраль</t>
  </si>
  <si>
    <t>апрель</t>
  </si>
  <si>
    <t>август</t>
  </si>
  <si>
    <t>сентябрь</t>
  </si>
  <si>
    <t>октябрь</t>
  </si>
  <si>
    <t>ноябрь</t>
  </si>
  <si>
    <t>декабрь</t>
  </si>
  <si>
    <t>ЛТК</t>
  </si>
  <si>
    <t>РЭП-1</t>
  </si>
  <si>
    <t>МТК</t>
  </si>
  <si>
    <t>РЭП 1</t>
  </si>
  <si>
    <t xml:space="preserve">ТСП </t>
  </si>
  <si>
    <t>ТСП</t>
  </si>
  <si>
    <t>пос. Плесецк, Садовая -26А</t>
  </si>
  <si>
    <t>пос.Пукса, Центральная 39</t>
  </si>
  <si>
    <t xml:space="preserve"> д.Анашкино</t>
  </si>
  <si>
    <t>МО Холмогорское д. Красное село</t>
  </si>
  <si>
    <t>МО Холмогорское с. Холмогоры (ул. Племзаводская)</t>
  </si>
  <si>
    <t>ТеплоСнаб (Устьянский район)</t>
  </si>
  <si>
    <t>Теплоснаб (Приморский район)</t>
  </si>
  <si>
    <t>УК ЖКС+</t>
  </si>
  <si>
    <t>г.п. Плесецкое</t>
  </si>
  <si>
    <t>г.п. Североонежское</t>
  </si>
  <si>
    <t>УК "Весна"</t>
  </si>
  <si>
    <t>с/п Двинское</t>
  </si>
  <si>
    <t>с/п Боброво-Лявленское дер. Кузьмино, Новинки, Черный Яр</t>
  </si>
  <si>
    <t>с/п Боброво-Лявленское дер. Бабанегово</t>
  </si>
  <si>
    <t>с/п Боброво-Лявленское</t>
  </si>
  <si>
    <t>с/п Уемское</t>
  </si>
  <si>
    <t>с/п Волошское</t>
  </si>
  <si>
    <t>Солгинское</t>
  </si>
  <si>
    <t>Ракуло-Кокшеньгское</t>
  </si>
  <si>
    <t>Березниковское</t>
  </si>
  <si>
    <t>Шидровское</t>
  </si>
  <si>
    <t>Попов Михаил Александрович</t>
  </si>
  <si>
    <t xml:space="preserve">Попов М. А. </t>
  </si>
  <si>
    <t>Пакшеньгское</t>
  </si>
  <si>
    <t>Лисестровское</t>
  </si>
  <si>
    <t xml:space="preserve">АГТС </t>
  </si>
  <si>
    <t>Урдомское</t>
  </si>
  <si>
    <t>Козьминское</t>
  </si>
  <si>
    <t>с/п Плосское</t>
  </si>
  <si>
    <t>прекратили деятельность, вместо них с 01.01.2020 ООО "УК ЖКС+"</t>
  </si>
  <si>
    <t>прекратили деятельность 22.11.2019; вместо них ООО "ТСП"</t>
  </si>
  <si>
    <t>прекратили деятельность с 01.08.2020; вместо них ООО "РЭП 1"</t>
  </si>
  <si>
    <t>прекратили деятельностьс 30.06.2019; вместо них ООО "ГК УЛК"</t>
  </si>
  <si>
    <t>прекратили деятельность с 25.06.2019; вместо них ООО "АГТС"</t>
  </si>
  <si>
    <t>прекратили деятельность с 10.06.2019; вместо них ООО "Трест Сервис"</t>
  </si>
  <si>
    <t>вместо ООО "Управдом Сервис"</t>
  </si>
  <si>
    <t>прекратила деятельность  с 31.05.2019; вместо неё  ООО ПК "Энергия Севера"</t>
  </si>
  <si>
    <t>прекратили деятельность с 27.05.2019; вместо них ИП  Денисов В.П.</t>
  </si>
  <si>
    <t>вместо ООО "Трансавто"</t>
  </si>
  <si>
    <t>Присоеденение к МУП "Бестужевское"</t>
  </si>
  <si>
    <t>Ленский (Урдомское)</t>
  </si>
  <si>
    <t>С 30.05.2020 прекратили деятельность по т/с; тепловые сети переданы МО "Селянское" по акту от 31.05.2020</t>
  </si>
  <si>
    <t>прекратили деятельность с 23.09.2019; вместо них ООО "АГТС"</t>
  </si>
  <si>
    <t>ОК и ТС</t>
  </si>
  <si>
    <t xml:space="preserve">ОК и ТС </t>
  </si>
  <si>
    <t>Котлас</t>
  </si>
  <si>
    <t>Плесецк-Ресурс</t>
  </si>
  <si>
    <t>прекратили деятельность по т/с с 01.09.2020, котельные переданы администрации МО "Вельское"</t>
  </si>
  <si>
    <t>со 2 полугодия 2020 не осуществляют деят-сть по т/с в МО "Двинское", тарифы установлены для ООО "Северный Дом"</t>
  </si>
  <si>
    <t>планируется концессия в ООО, необходимо отслеживать информацию; со 2 п/г в МО "Тавреньгское" (дер. Пономаревская, ул. Школьная и ул. Советская) услуги по т/с оказывает МУП "ТеплоСервис"</t>
  </si>
  <si>
    <t>с 25.08.2020 прекратили деятельность по т/с на территории МО "Верхнеустькулойское", "Пуйское", "Судромское"; услуги оказывает ООО "Теплоресурс"</t>
  </si>
  <si>
    <t>с 29.09.2020 установлены тарифы в МО "Карпогорское" вместо"АльянсТеплоЭнерго" (кроме 1 котельной); с 07.10.2020 установлены тарифы в МО "Кушкопальское", "Лавельское", "Сосновское" вместо "АльянсТеплоЭнерго"</t>
  </si>
  <si>
    <t>с 29.09.2020 не оказывает услуги по т/с  в МО "Карпогорское" (кроме 1 котельной), вместо них Пинежское МП ЖКХ; с 07.10.2020 тарифы в МО "Кушкопальское", "Лавельское", "Сосновское" установлены для Пинежского МП ЖКХ</t>
  </si>
  <si>
    <t>присоединены к Газпром теплоэнерго Архангельск со 2 полугодия 2020</t>
  </si>
  <si>
    <t>изменеие эк/обосн тарифа с 02.10.2020 (увеличение м/т разницы)</t>
  </si>
  <si>
    <t>Северный Дом</t>
  </si>
  <si>
    <t xml:space="preserve">Холмогорский </t>
  </si>
  <si>
    <t>МО Матигорское</t>
  </si>
  <si>
    <t>по МО "Матигорское" тариф установлен с 27.10.2020 (вместо ООО "ПК "ЭнергияСевера")</t>
  </si>
  <si>
    <t>Тавреньгское</t>
  </si>
  <si>
    <t>с 02.10.2020 установлен тариф по МО "Тавреньгское" вместо МУП "Ерцевские теплосети"</t>
  </si>
  <si>
    <t>не оказывают услуги т/с в МО "Вельское" с 25.09.2020, вместо них придет АО "ГТ Энерго"; отменены тарифы в МО "Шалакушское" с 01.10.2020, в МО "Няндомское" с 07.10.2020, в Лешуконском р-не и МО "Лисестровское" Приморского р-на с 23.10.2020</t>
  </si>
  <si>
    <t>изменеие тарифов с 12.11.2020</t>
  </si>
  <si>
    <t>новые тарифы с 18.09.2020 по всем МО; кроме тго по "Верхнеустькулойское", "Пуйское", "Судромское" тариф установлен впервые с 18.09.2020 (вместо ООО "Теплодом"); с 12.11.2020 установлен тариф по МО "Шадреньгское" (вместо МУП "Шадреньгское")</t>
  </si>
  <si>
    <t>вместо ООО "ПЖКХ" (с 01.01.2020); прекратили деятельность с 04.09.2020; с 14.10.2020 тарифы установлены для МУП "Плесецк-Ресурс"</t>
  </si>
  <si>
    <t>прекратили деятельность с 04.09.2020; с 14.10.2020 тариф установлен для МУП "Плесецк-Ресурс"</t>
  </si>
  <si>
    <t>прекратили деятельность; с 22.10.2020 тариф установлен для МУП "Плесецк-Ресурс"</t>
  </si>
  <si>
    <t>прекратили деятельность с 05.06.2020; тариф установлен для ООО "Теплоресурс" с 12.11.2020</t>
  </si>
  <si>
    <t>прекратили деятельность по т/с с 01.09.2020; котельные переданы ООО "Нейтраль", тарифы для них установлены с 06.11.2020</t>
  </si>
  <si>
    <t>Вожгорское, Олемское, Юромское</t>
  </si>
  <si>
    <t xml:space="preserve">АО </t>
  </si>
  <si>
    <t>ГТ Энерго</t>
  </si>
  <si>
    <t>тариф установлен с 25.09.2020</t>
  </si>
  <si>
    <t>Лисестровское (пос. Ширшинский, д.59; д. Исакогорка)</t>
  </si>
  <si>
    <t>Сольвычегодское (г. Сольвычегодск)</t>
  </si>
  <si>
    <t>Сольвычегодское (дер. Григорово)</t>
  </si>
  <si>
    <t>Сольвычегодское (дпос. Харитоново)</t>
  </si>
  <si>
    <t>Вектор</t>
  </si>
  <si>
    <t>Нейтраль</t>
  </si>
  <si>
    <r>
      <t xml:space="preserve">МО Заостровское вместо Ремэнерго 3, котельные Виноградовский район - энергия севера переданы 01.11.2017 (Моржегорское, Хетово); вместо ИП Звягина А.В.; с 07.05.2020 новый ген. директор Трескин; с 01.09.2020 не оказывают услуги по т/с МО Матигорское, вместо них ООО "Штиль"; </t>
    </r>
    <r>
      <rPr>
        <i/>
        <sz val="9"/>
        <color rgb="FFFF0000"/>
        <rFont val="Times New Roman"/>
        <family val="1"/>
        <charset val="204"/>
      </rPr>
      <t>не оказывают услуги, вместо них Интеко-Инвест</t>
    </r>
  </si>
  <si>
    <r>
      <t xml:space="preserve">с 03.08.2020 новый глав. врач Семенов М.Б. (до 30.09.2020); </t>
    </r>
    <r>
      <rPr>
        <b/>
        <sz val="9"/>
        <color rgb="FFFF0000"/>
        <rFont val="Times New Roman"/>
        <family val="1"/>
        <charset val="204"/>
      </rPr>
      <t>с 13.10.2020 глав. Врач Шпанькова Евгения Викторовна</t>
    </r>
  </si>
  <si>
    <t>не оказывают услуги с 29.10.2020, планируется Ильинск-ЖКХ</t>
  </si>
  <si>
    <t>Няндомский, с/п Шалакушское</t>
  </si>
  <si>
    <t>Пинежский, с/п Усть-Пинежское</t>
  </si>
  <si>
    <t>Холмогорский, с/п Луковецкое</t>
  </si>
  <si>
    <t xml:space="preserve">МО Тавреньгское (ул Советская) </t>
  </si>
  <si>
    <t>Каргопольский, д. Ширяиха</t>
  </si>
  <si>
    <t>Онежский, г/п Онежское</t>
  </si>
  <si>
    <t>Няндомский, г/п Няндомское</t>
  </si>
  <si>
    <t>Виноградовский, г/п Березниковское</t>
  </si>
  <si>
    <t>Каргопольский, г. Каргополь</t>
  </si>
  <si>
    <t>Холмогорский, с. Холмогоры, ул. Шубина, 20А</t>
  </si>
  <si>
    <t>Холмогорский, с. Холмогоры, ул. Октябрьская, д. 36-В</t>
  </si>
  <si>
    <t>Вельский, г. Вельск, ул. Фефилова, д.31</t>
  </si>
  <si>
    <t>Аргуновское и Благовещенское</t>
  </si>
  <si>
    <t xml:space="preserve">Верхнеустькулойское </t>
  </si>
  <si>
    <t xml:space="preserve">Шадреньгское </t>
  </si>
  <si>
    <t>дер. Скрипчинская и Семеновская 1-я</t>
  </si>
  <si>
    <t>Каргопольский, дер. Патровская и Песок</t>
  </si>
  <si>
    <t>Устьянский, с/п Шангальское</t>
  </si>
  <si>
    <t>Онежский, с/п Чекуевское</t>
  </si>
  <si>
    <t>Каргопольский, д. Усачевская, Трофимовская</t>
  </si>
  <si>
    <t>Холмогорский, с/п Светлозерское</t>
  </si>
  <si>
    <t>Красноборский, с/п Алексеевское</t>
  </si>
  <si>
    <t>Каргопольский, с/п Печниковское</t>
  </si>
  <si>
    <t>г/п Плесецкое (рп Плесецк, ул. Зеленая, ул. Октябрьская-79, Промкомбинат-9,Юбилейная-59А)</t>
  </si>
  <si>
    <t>г/п Плесецк (пос. Пукса, ул. Центральная, д. 39)</t>
  </si>
  <si>
    <t>г/п Плесецк (пос. Плесецк, ул. Садовая, д. 26А)</t>
  </si>
  <si>
    <t>г/п Плесецк (пос. Плесецк, ул. Беданова, д. 5А)</t>
  </si>
  <si>
    <t>г/п Плесецк (пос. Плесецк, ул. Уборевича, д. 7)</t>
  </si>
  <si>
    <t>с/п Никольское</t>
  </si>
  <si>
    <t>гор. округ г. Котлас</t>
  </si>
  <si>
    <t>Вельский, с/п Низовское</t>
  </si>
  <si>
    <t>"Кенозерское" от котельной пос. Поча, ул.Школьная 73Б</t>
  </si>
  <si>
    <t>"Мошинское", от котельной дер. Петариха, ул. Городская 10А</t>
  </si>
  <si>
    <t>Сафроновское, с. Яренск</t>
  </si>
  <si>
    <t>с. Ильинско-Подомское, Кедрова 21</t>
  </si>
  <si>
    <t>с. Ильинско-Подомское, Мелиоративная, д. 7</t>
  </si>
  <si>
    <t>Савинское, пос. Река Емца, ул. Набережная, д. 15</t>
  </si>
  <si>
    <t>доверенность на Ершова Сергея Викторовича№ ЦДТВ -448/Д от  03.06.20 по 26.05.2023</t>
  </si>
  <si>
    <t>гор. Поселение "Няндомское"</t>
  </si>
  <si>
    <t>Онежский, г/п "Малошуйское"</t>
  </si>
  <si>
    <t>Плесецкий, г/п "Обозерское"</t>
  </si>
  <si>
    <t xml:space="preserve">Ильинско-Подомское, ул. Советская, д. 1 </t>
  </si>
  <si>
    <t>пос. Сорово</t>
  </si>
  <si>
    <t>с. Никольск</t>
  </si>
  <si>
    <t>прекратили деятельность в с/п "Ильинское" (с. Ильинско-Подомское, ул. Мелиоративная, д. 7 с 30.07.2020; ул. Кедрова, д. 21, фл.1 с 15.05.2020), новое РСО ООО "АГТС"</t>
  </si>
  <si>
    <t>с/п "Подюжское", "Мирный"</t>
  </si>
  <si>
    <t>Устьянский, с/п Малодорское</t>
  </si>
  <si>
    <t>с/п Бестужевское (за искл. Пос. Глуюокий, ул. Школьная)</t>
  </si>
  <si>
    <t>г/п "Вельское"</t>
  </si>
  <si>
    <t>с/п "Муравьевское"</t>
  </si>
  <si>
    <t>ГРАНТЫ</t>
  </si>
  <si>
    <t xml:space="preserve">ГБУЗ АО </t>
  </si>
  <si>
    <t>Санаторий имени М.Н. Фаворской</t>
  </si>
  <si>
    <t>Черемушское (ул. Песчаная, д.24-г)</t>
  </si>
  <si>
    <t>Черемушское</t>
  </si>
  <si>
    <t>с/п Плосское (неверно занесен тариф)</t>
  </si>
  <si>
    <t>Мезенский,</t>
  </si>
  <si>
    <t>МБОУ</t>
  </si>
  <si>
    <t>Авнюгская СОШ</t>
  </si>
  <si>
    <t>сельское поселение Федьковское Верхнетоемского МО (п. Авнюгский)</t>
  </si>
  <si>
    <t>ФГБУ "ЦЖКУ" МО РФ</t>
  </si>
  <si>
    <t>МО "Боброво-Лявленское" (д. Хорьково, д. Черный Яр)</t>
  </si>
  <si>
    <t>МО "Коношское", в/г 1(17)</t>
  </si>
  <si>
    <t>МО "Город Архангельск", в/г 42, в/г 49</t>
  </si>
  <si>
    <t>МО "Котлас", в/г 8 (п. Байка)</t>
  </si>
  <si>
    <t>МО "Мезенское", в/г 49</t>
  </si>
  <si>
    <t>МО "Мирный", в/г 15</t>
  </si>
  <si>
    <t>МО "Новая Земля", в/г 1, в/г 2</t>
  </si>
  <si>
    <t>МО "Северодвинск", в/г 24 (п. Ненокса)</t>
  </si>
  <si>
    <t>МО "Талажское", в/г 65</t>
  </si>
  <si>
    <t>МО "Черемушское", п. Савватия</t>
  </si>
  <si>
    <t>с учетом ГРАНТОВ</t>
  </si>
  <si>
    <t>Каргопольского муниципального округа "Тихманьга"</t>
  </si>
  <si>
    <t>Каргопольский муниципального округа "Тихманьга"</t>
  </si>
  <si>
    <t>Каргопольского муниципального округа "Казаково"</t>
  </si>
  <si>
    <t>МБОУ "Кеврольская ОШ №18 им. М.Ф. Теплова"</t>
  </si>
  <si>
    <t>МБОУ "Сурская СШ №2"</t>
  </si>
  <si>
    <t>сельское поселение "Кеврольское" Пинежского муниципального района</t>
  </si>
  <si>
    <t>сельское поселение "Сурское" Пинежского муниципального района</t>
  </si>
  <si>
    <t>Каргопольского муниципального округа "Ошевенское"</t>
  </si>
  <si>
    <t>Каргопольского муниципального округа "Усачево"</t>
  </si>
  <si>
    <t>сельское поселение "Боброво-Лявленское" (дер. Кузьмино, Новинки, Черный Яр)</t>
  </si>
  <si>
    <t>сельское поселение "Боброво-Лявленское" (дер. Бабонегово)</t>
  </si>
  <si>
    <t>не оказывают услуги с 01.01.2021, тариф установлен с 04.03.2021 для ООО "Интеко-Инвест"</t>
  </si>
  <si>
    <t xml:space="preserve">Каргопольского муниципального округа  "Архангело" </t>
  </si>
  <si>
    <t>Каргопольского муниципального округа  "Печниково"</t>
  </si>
  <si>
    <t>Каргопольского муниципального округа  "Архангело"</t>
  </si>
  <si>
    <r>
      <rPr>
        <b/>
        <i/>
        <sz val="9"/>
        <rFont val="Times New Roman"/>
        <family val="1"/>
        <charset val="204"/>
      </rPr>
      <t>увеличение субсидии в 2021 за счет оказания услуг в с. Ильинско-Подомское</t>
    </r>
    <r>
      <rPr>
        <i/>
        <sz val="9"/>
        <rFont val="Times New Roman"/>
        <family val="1"/>
        <charset val="204"/>
      </rPr>
      <t>; вместо Козьминского МУППЖКХ (МО Козьминское) и вместо ООО "Энергосфера" (МО Урдомское), вместо ООО "ИльинскЖКХ" (с. Ильинско-Подомское, ул. Мелиоративная, д. 7 ; ул. Кедрова, д. 21, фл.1)</t>
    </r>
  </si>
  <si>
    <t>увеличение субсидии в 2021 году за счет присоединения МО "Боброво-Лявленское" вместо ООО "Приморская теплоснабжающая компания"</t>
  </si>
  <si>
    <t>увеличение размера субсидии в 2021 году за счет увеличения межтарифной разницы на 1800 руб. с 05.02.2021</t>
  </si>
  <si>
    <r>
      <t xml:space="preserve">увеличение межтарифной разницы в 2020 г; </t>
    </r>
    <r>
      <rPr>
        <b/>
        <i/>
        <sz val="9"/>
        <color theme="1"/>
        <rFont val="Times New Roman"/>
        <family val="1"/>
        <charset val="204"/>
      </rPr>
      <t>увеличение размера субсидии зимой 2021 года за счет холодной зимы</t>
    </r>
  </si>
  <si>
    <r>
      <t xml:space="preserve">по МО Вожгорское, Олемское, Юромское тариф установлен с 27.11.2020; </t>
    </r>
    <r>
      <rPr>
        <b/>
        <i/>
        <sz val="9"/>
        <rFont val="Times New Roman"/>
        <family val="1"/>
        <charset val="204"/>
      </rPr>
      <t>увеличение размера субсидии зимой 2021 года за счет холодной зимы</t>
    </r>
  </si>
  <si>
    <t>с/п Лисестровское</t>
  </si>
  <si>
    <t>вместо ООО "РЭП Сфера" (с 01.01.2020)не оказывают услуги с 01.01.2021, вместо них ООО "УК "Уютный город" с 14.05.2021</t>
  </si>
  <si>
    <t>Договрр аренды имущества расторгнут с 15.05.2021 (письмо РСО от 13.07.2021)</t>
  </si>
  <si>
    <t>Савинское (за искл. пос. Река Емца, ул. Набережная, д. 15а)</t>
  </si>
  <si>
    <t>СРК (Интеко-Инвест)</t>
  </si>
  <si>
    <t>Ресурс-Сервис</t>
  </si>
  <si>
    <t>п. Березник, Воронцы, Шидрово, Конецгорье, Пянда</t>
  </si>
  <si>
    <t>д.Моржегоры, п. Хетово</t>
  </si>
  <si>
    <t>прекратили деятельность, вместо них с 09.09.21 "Р-Сервис"</t>
  </si>
  <si>
    <t>в 1 п/г 2021 оказывали услуги т/с в п. Вычегодский, во 2 п/г г. Котлас (кроме п. Вычегодский, в связи с этим рост объемов услуг т/с во 2 п/г 2021</t>
  </si>
  <si>
    <t>вместо ООО "УК Жилуправление", рост м/т разницы во 2 п/г 2021</t>
  </si>
  <si>
    <t>не оказывают услуг т/с с 26.07.2021, вместо них планируется ООО "Березник"</t>
  </si>
  <si>
    <t>Россети Северо-Запад (МРСК Северо-Запада Архэнерго)</t>
  </si>
  <si>
    <t>2-ой Архангельский объединенный авиаотряд</t>
  </si>
  <si>
    <t>Приморский Лисестровское()</t>
  </si>
  <si>
    <t>не оказывают услуги т/с с 01.09.2021, новое РСО неизвестно</t>
  </si>
  <si>
    <t>Присоеденение МУП "Плосское" с 24 декабря 2019; не оказывают услуги т/с с 17.08.2021</t>
  </si>
  <si>
    <t>увеличение субсидии в 2021 году за счет увеличения межтарифной разницы на 450 р. Прекратили деятельность по т/с с 19.05.2021, вместо них ООО "ТХК"</t>
  </si>
  <si>
    <t>новый тариф с 01.10.2021</t>
  </si>
  <si>
    <t>Теплохолдинг Коноша</t>
  </si>
  <si>
    <t>Коношский муниципальный район</t>
  </si>
  <si>
    <t>Теплохолдиг Коноша (ТХК)</t>
  </si>
  <si>
    <t>поселок Вычегодский</t>
  </si>
  <si>
    <t>кроме поселка Вычегодский</t>
  </si>
  <si>
    <t>не оказывают услуги по т/с с 01.09.2021, вместо них УК Уютный город (тариф установлен с 10.11.2021)</t>
  </si>
  <si>
    <t>тарифы действуют с 04.09.2020; с 14.10.2020 вместо ООО "ТСП" и ООО "Теплолайн", с 22.10.2020 вместо ООО "Северо-западная консалтинговая компания"; не оказывают услуги т/с по ул. Беданова 5А и ул. Садовая 26А, вместо них УК Уютный город (тариф с 03.11.2021)</t>
  </si>
  <si>
    <t>не оказ. услуги т/с с 01.09.2021, вместо них УК Уютный город, тариф с 10.11.2021</t>
  </si>
  <si>
    <t>не оказывают услуг по т/с с 2 п/г 2021, вместо них УК "Уютный город" тариф с 10.11.2021</t>
  </si>
  <si>
    <t xml:space="preserve">не оказывает услуги т/с с 01.06.2021, вместо них УК Уютный город </t>
  </si>
  <si>
    <t>"Малошуйское" (Привокзальная -1, ира-28)</t>
  </si>
  <si>
    <t>городское поселение "Приводинское" (пос. Приводино)</t>
  </si>
  <si>
    <t>городское поселение "Приводинское" (пос. Удимский)</t>
  </si>
  <si>
    <t>Приводинское (Курцево)</t>
  </si>
  <si>
    <t>Приводинское (Куимиха)</t>
  </si>
  <si>
    <t>сельское поселение "Пинежское" (за искл. П. Пинега , ул. Первомайская, д.38)</t>
  </si>
  <si>
    <t>сельское поселение "Пинежское" (п. Пинега , ул. Первомайская, д.38)</t>
  </si>
  <si>
    <t>итого 2022, Гкал</t>
  </si>
  <si>
    <t>наличие акта сверки на 01.01.2022</t>
  </si>
  <si>
    <t>ООО "Березник"</t>
  </si>
  <si>
    <t>Березник</t>
  </si>
  <si>
    <t>Тепло</t>
  </si>
  <si>
    <t>дер. Мухонская и с. Ильинско-Подомское, за искл. Потребителей, получающих т/э от котельной Советская 1</t>
  </si>
  <si>
    <t>Коношский, "Коношское" от кот. Печорская д9 стр1</t>
  </si>
  <si>
    <t>Синицкое</t>
  </si>
  <si>
    <t>Каргополь</t>
  </si>
  <si>
    <t>п. Строитель ул. Набережная -1, п. Оксовский ул. Биржевая - 16А, пер. Рабочий -2</t>
  </si>
  <si>
    <t>п. Самково, ул. Школьная -14, с. Конево, ул. Мира - 6А и ул. Восточная</t>
  </si>
  <si>
    <t>МО Холмогорский район, с.п. Двинское</t>
  </si>
  <si>
    <t>п. Сельменьга</t>
  </si>
  <si>
    <t>пос. Двинской</t>
  </si>
  <si>
    <t xml:space="preserve">р/п Североонежск </t>
  </si>
  <si>
    <t>установлен тариф с 14.05.2021 по МО "Лисестровское" вместо  ООО "УК "ЖКС +"; увеличение субсидии в 2022 году, в связи с оказанием услуг на территории р/п. Североонежск</t>
  </si>
  <si>
    <t>Каменское, Мезенское, Дорогорское, Быченское, Зареченское</t>
  </si>
  <si>
    <t>от котельной в д. Шелоховская</t>
  </si>
  <si>
    <t xml:space="preserve">Каргопольский </t>
  </si>
  <si>
    <t>пос. Рочегда от кот. по ул. Комсомольская, д. 67-В</t>
  </si>
  <si>
    <t>Рукаванов Олег Анатольевич</t>
  </si>
  <si>
    <t>Шипицино</t>
  </si>
  <si>
    <t>вместо МУП "Жилкомсервис" администрации МО "Коношское"</t>
  </si>
  <si>
    <t>Мошинские тепловые сети</t>
  </si>
  <si>
    <t>вместо ООО "Уют-2" на территории Мошинского, дер. Петариха (с 14.01.2022, тариф с 24.06.2022)</t>
  </si>
  <si>
    <t>Сети</t>
  </si>
  <si>
    <t>г. Новодвинск и с/п Лисестровское</t>
  </si>
  <si>
    <t>ПУ ЖКХ</t>
  </si>
  <si>
    <t>г. Коряжма</t>
  </si>
  <si>
    <t>со 2 полугодия 2020 не осуществляют деят-сть по т/с в МО "Никольское", услуги оказывает ООО "УК "Уютный город"; с 2022 не оказывает услуги по п. Рочегодское, вместо них УК Уютный город; с 31.05.2022 не оказывют услуги в МО Шеговарское (планируется УК Уютный город)</t>
  </si>
  <si>
    <t>доверенность на Попова А.А. до 31.12.2022</t>
  </si>
  <si>
    <t>увеличение размера субсидии зимой 2021 года за счет холодной зимы; доверенность на Вантрусова Д.С. по 01.08.2023</t>
  </si>
  <si>
    <t>не оказывает услуги т/с с 12.08.2022</t>
  </si>
  <si>
    <t>не оказывает услуги с 01.09.2022</t>
  </si>
  <si>
    <t>АТГК</t>
  </si>
  <si>
    <t>Савинский (пос. Река Емца, ул. Набережная, д. 15)</t>
  </si>
  <si>
    <t>Савинский (за искл. пос. Река Емца, ул. Набережная, д. 15)</t>
  </si>
  <si>
    <t>с 13.10.2022 мсесто ПАО "ТГК-2"</t>
  </si>
  <si>
    <r>
      <t xml:space="preserve">тарифы по МО "Савинское" и "Сольвычегодское" установлены с 20.11.2020; </t>
    </r>
    <r>
      <rPr>
        <b/>
        <i/>
        <sz val="9"/>
        <rFont val="Times New Roman"/>
        <family val="1"/>
        <charset val="204"/>
      </rPr>
      <t>увеличение размера субсидии зимой 2021 года за счет холодной зим. С 13.10.2022 на территории Савинского оказывают услуги ООО "АТГК"</t>
    </r>
  </si>
  <si>
    <t>сельское поселение "Соянское"</t>
  </si>
  <si>
    <t>Низовское</t>
  </si>
  <si>
    <t>Шеговарское (от кот. 68-а ул. Центральная)</t>
  </si>
  <si>
    <t>Шеговарское (от кот. 1 ул. Садовая)</t>
  </si>
  <si>
    <t>Холмогорский, с/п Ухтостровское (с 01.12.2022)</t>
  </si>
  <si>
    <t>с/п Ракульское (с 01.12.2022)</t>
  </si>
  <si>
    <t>с/п Емецкое (с 01.12.2022)</t>
  </si>
  <si>
    <t>с/п Емецкое, с. Емецк, ул. Жолобова (с 01.12.2022)</t>
  </si>
  <si>
    <t>с/п Емецкое, д. Погост, ул. Почтовая (с 01.12.2022)</t>
  </si>
  <si>
    <t>Няндомский, с/п Шалакушское (с 01.12.2022)</t>
  </si>
  <si>
    <t>Няндомский, г/п Няндомское (с 01.12.2022)</t>
  </si>
  <si>
    <t>Холмогорский, с/п Белогорское (с 01.12.2022)</t>
  </si>
  <si>
    <t>Коношский район, г/п Коношское (с 01.12.2022)</t>
  </si>
  <si>
    <t>на отопление</t>
  </si>
  <si>
    <t>на подогрев</t>
  </si>
  <si>
    <t>теплоноситель</t>
  </si>
  <si>
    <t>Гефест</t>
  </si>
  <si>
    <t>Шангальское</t>
  </si>
  <si>
    <t>Регион-Энерго</t>
  </si>
  <si>
    <t>не оказывают услуги с 01.12.2022, вместо них ООО "Регион-Энерго"</t>
  </si>
  <si>
    <t>с 01.12.2022, вместо ООО "Сийское"</t>
  </si>
  <si>
    <t>МО Матигорское (д. Данилово)</t>
  </si>
  <si>
    <t xml:space="preserve">на отопление </t>
  </si>
  <si>
    <t>Судромское (за искл. пос. Иванское)</t>
  </si>
  <si>
    <t>Судромское (пос. Иванское)</t>
  </si>
  <si>
    <t>Вознесенское</t>
  </si>
  <si>
    <t>Кондратовская</t>
  </si>
  <si>
    <t>с. Верхняя Тойма</t>
  </si>
  <si>
    <t>пос. Плесецк, ул. Беданова, д. 5А</t>
  </si>
  <si>
    <t>пос. Плесецк, ул. Садовая,  д. 26А</t>
  </si>
  <si>
    <t>от кот. по ул. Кудрявцева - 21 г</t>
  </si>
  <si>
    <t>г/п Шенкурское и фйедорогорское (за искл. Кудрявцева - 21, Ленина 18-а)</t>
  </si>
  <si>
    <r>
      <t xml:space="preserve">тариф действует с 02.10.2020 (вместо АО "АрхОблЭнерго"); </t>
    </r>
    <r>
      <rPr>
        <b/>
        <i/>
        <sz val="9"/>
        <rFont val="Times New Roman"/>
        <family val="1"/>
        <charset val="204"/>
      </rPr>
      <t>увеличение размера субсидии зимой 2021 года за счет холодной зимы; доверенность на Вантрусова Д.С. по 01.07.2023</t>
    </r>
  </si>
  <si>
    <t xml:space="preserve">Доверенность на Мецлер Ю.В. До  12.08.2024 </t>
  </si>
  <si>
    <t>не оказывает услуги с 01.12.2022</t>
  </si>
  <si>
    <t>сальдо на 01.01.2023</t>
  </si>
  <si>
    <t>Профинансировано
 всего 
2023</t>
  </si>
  <si>
    <t xml:space="preserve">Междуреченское </t>
  </si>
  <si>
    <t>итого 2023, руб.</t>
  </si>
  <si>
    <t>Шилегское (на подогрев)</t>
  </si>
  <si>
    <t>Луковецкое (на отопление)</t>
  </si>
  <si>
    <t>Луковецкое (на подогрев)</t>
  </si>
  <si>
    <t>Луковецкое (теплоноситель)</t>
  </si>
  <si>
    <t>28-Т от 06.02.23</t>
  </si>
  <si>
    <t>26-Т от 06.02.23</t>
  </si>
  <si>
    <t>2-Т от 26.01.23</t>
  </si>
  <si>
    <t>с/п Лешуконское и Ценогорское</t>
  </si>
  <si>
    <t xml:space="preserve">г. Сольвычегодск - Котласский </t>
  </si>
  <si>
    <t xml:space="preserve">пос. Харитоново - Котласский </t>
  </si>
  <si>
    <t xml:space="preserve">МО Шипицынское- Котласский </t>
  </si>
  <si>
    <t>д. Григорово- Котласский (на подогрев)</t>
  </si>
  <si>
    <t>кроме д. Григорово- Котласский (на подогрев)</t>
  </si>
  <si>
    <t>23-Т от 06.02.23</t>
  </si>
  <si>
    <t>4-Т от 26.01.23</t>
  </si>
  <si>
    <t>Островное - д. Кяросстров (на подогрев)</t>
  </si>
  <si>
    <t>44-Т от 06.02.23</t>
  </si>
  <si>
    <t xml:space="preserve">с/п Катунинское </t>
  </si>
  <si>
    <t xml:space="preserve">с/п Приморское, Заостровское, Боброво-Лявленское </t>
  </si>
  <si>
    <t>с/п Катунинское (на подогрев)</t>
  </si>
  <si>
    <t>с/п Приморское, Заостровское, Боброво-Лявленское (на подогрев)</t>
  </si>
  <si>
    <t>27-Т от 06.02.23</t>
  </si>
  <si>
    <t>70-Т от 09.02.23</t>
  </si>
  <si>
    <t>31-Т от 06.02.23</t>
  </si>
  <si>
    <t>53-Т от 07.02.23</t>
  </si>
  <si>
    <t>77-Т от 13.02.23</t>
  </si>
  <si>
    <t>56-Т от 07.02.23</t>
  </si>
  <si>
    <t>3-Т от 26.01.23</t>
  </si>
  <si>
    <t>54-Т от 07.02.23</t>
  </si>
  <si>
    <t>60-Т от 07.02.23</t>
  </si>
  <si>
    <t>МО Уемское (на подогрев)</t>
  </si>
  <si>
    <t>МО Приморское (на подогрев)</t>
  </si>
  <si>
    <t>37-Т от 06.02.23</t>
  </si>
  <si>
    <t>Заостровское (на подогрев)</t>
  </si>
  <si>
    <t>Лисестровское (пос. Ширшинский, д.59; д. Исакогорка) (на подогрев)</t>
  </si>
  <si>
    <t>сельское поселение "Боброво-Лявленское" (дер. Кузьмино, Новинки, Черный Яр) (на подогрев)</t>
  </si>
  <si>
    <t>сельское поселение "Боброво-Лявленское" (дер. Бабонегово) (на подогрев)</t>
  </si>
  <si>
    <t>55-Т от 07.02.23</t>
  </si>
  <si>
    <t>64-Т от 08.02.23</t>
  </si>
  <si>
    <t>69-Т от 09.02.23</t>
  </si>
  <si>
    <t>57-Т от 07.02.23</t>
  </si>
  <si>
    <t>Октябрьское (на подогрев)</t>
  </si>
  <si>
    <t>16-Т от 31.01.23</t>
  </si>
  <si>
    <t>12-Т от 31.01.23</t>
  </si>
  <si>
    <t>50-Т от 07.02.23</t>
  </si>
  <si>
    <t>9-Т от 27.01.23</t>
  </si>
  <si>
    <t>Онежский (на отопление)</t>
  </si>
  <si>
    <t>Малошуйское (на подогрев)</t>
  </si>
  <si>
    <t>Онежское (на подогрев)</t>
  </si>
  <si>
    <t>8-Т от 27.01.23</t>
  </si>
  <si>
    <t>67-Т от 09.02.23</t>
  </si>
  <si>
    <t>15-Т от 31.01.23</t>
  </si>
  <si>
    <t>76-Т от 10.02.23</t>
  </si>
  <si>
    <t>14-Т от 31.01.23</t>
  </si>
  <si>
    <t>10-Т от 30.01.23</t>
  </si>
  <si>
    <t>6-Т от 27.01.23</t>
  </si>
  <si>
    <t>Онежское (Цветочный)</t>
  </si>
  <si>
    <t>5-Т от 27.01.23</t>
  </si>
  <si>
    <t>19-Т от 02.02.23</t>
  </si>
  <si>
    <t>45-Т от 06.02.23</t>
  </si>
  <si>
    <t>20-Т от 02.02.23</t>
  </si>
  <si>
    <t>24-Т от 06.02.23</t>
  </si>
  <si>
    <t>25-Т от 06.02.23</t>
  </si>
  <si>
    <t>29-Т от 06.02.23</t>
  </si>
  <si>
    <t>30-Т от 06.02.23</t>
  </si>
  <si>
    <t>рабочий поселок Плесецк</t>
  </si>
  <si>
    <t>32-Т от 06.02.23</t>
  </si>
  <si>
    <t>81-Т от 15.02.23</t>
  </si>
  <si>
    <t>36-Т от 06.02.23</t>
  </si>
  <si>
    <t>39-Т от 06.02.23</t>
  </si>
  <si>
    <t>43-Т от 06.02.23</t>
  </si>
  <si>
    <t>46-Т от 06.02.23</t>
  </si>
  <si>
    <t>49-Т от 07.02.23</t>
  </si>
  <si>
    <t>59-Т от 07.02.23</t>
  </si>
  <si>
    <t>62-Т от 08.02.23</t>
  </si>
  <si>
    <t>63-Т от 08.02.23</t>
  </si>
  <si>
    <t>71-Т от 09.02.23</t>
  </si>
  <si>
    <t>74-Т от 09.02.23</t>
  </si>
  <si>
    <t>79-Т от 15.02.23</t>
  </si>
  <si>
    <t>80-Т от 15.02.23</t>
  </si>
  <si>
    <t>41-Т от 06.02.23</t>
  </si>
  <si>
    <t>82-Т от 15.02.23</t>
  </si>
  <si>
    <t>27-Т от 09.02.23</t>
  </si>
  <si>
    <t>68-Т от 09.02.23</t>
  </si>
  <si>
    <t>51-Т от 07.02.23</t>
  </si>
  <si>
    <t>48-Т от 07.02.23</t>
  </si>
  <si>
    <t>75-Т от 10.02.23</t>
  </si>
  <si>
    <t>21-Т от 03.02.23</t>
  </si>
  <si>
    <t>78-Т от 15.02.23</t>
  </si>
  <si>
    <t>Вельская тепловая компания</t>
  </si>
  <si>
    <t>1-Т от 19.01.23</t>
  </si>
  <si>
    <t>вмсетсо ООО "Финанс-Групп"</t>
  </si>
  <si>
    <t>Кулойское (на отопление)</t>
  </si>
  <si>
    <t>Кулойское (на подогрев)</t>
  </si>
  <si>
    <t>не оказывают услуги т/с с 01.01.2023, вместо них ООО "Вельская тепловая компания"</t>
  </si>
  <si>
    <t>66-Т от 09.02.23</t>
  </si>
  <si>
    <r>
      <t xml:space="preserve">гор. округ г. Котлас </t>
    </r>
    <r>
      <rPr>
        <b/>
        <i/>
        <sz val="8"/>
        <color rgb="FF000000"/>
        <rFont val="Times New Roman"/>
        <family val="1"/>
        <charset val="204"/>
      </rPr>
      <t xml:space="preserve">на отопление </t>
    </r>
  </si>
  <si>
    <r>
      <t xml:space="preserve">гор. округ г. Котлас </t>
    </r>
    <r>
      <rPr>
        <b/>
        <i/>
        <sz val="8"/>
        <color rgb="FF000000"/>
        <rFont val="Times New Roman"/>
        <family val="1"/>
        <charset val="204"/>
      </rPr>
      <t>на подогрев</t>
    </r>
  </si>
  <si>
    <t>38-Т от 06.02.23</t>
  </si>
  <si>
    <t>13-Т от 31.01.23</t>
  </si>
  <si>
    <t>Онежское (на отопление)</t>
  </si>
  <si>
    <t>42-Т от 06.02.23</t>
  </si>
  <si>
    <t>22-Т от 03.02.23</t>
  </si>
  <si>
    <t>2-Тг от 22.02.23</t>
  </si>
  <si>
    <t>1-Тг от 13.02.23</t>
  </si>
  <si>
    <t>подогрев</t>
  </si>
  <si>
    <t>58-Т от 07.02.23</t>
  </si>
  <si>
    <t>40-Т от 06.02.23</t>
  </si>
  <si>
    <t>33-Т от 06.02.23</t>
  </si>
  <si>
    <t>65-Т от 09.02.23</t>
  </si>
  <si>
    <t xml:space="preserve"> - </t>
  </si>
  <si>
    <t/>
  </si>
  <si>
    <t>городской округ Арх.обл. "Северодвинск"</t>
  </si>
  <si>
    <t>СМУП "Белое озеро"</t>
  </si>
  <si>
    <t>8-Т</t>
  </si>
  <si>
    <t>27.01.2023</t>
  </si>
  <si>
    <t>сельское поселение "Междуреченское"</t>
  </si>
  <si>
    <t>Пинежский муниципальный район Арх.обл.</t>
  </si>
  <si>
    <t>сельские поселения "Сосновское", "Лавельское" и "Кушкопальское"</t>
  </si>
  <si>
    <t>сельское поселение "Карпогорское"</t>
  </si>
  <si>
    <t>18-Т</t>
  </si>
  <si>
    <t>02.02.2023</t>
  </si>
  <si>
    <t>ПАО "ТГК-2"</t>
  </si>
  <si>
    <t>Приморский муниципальный район Арх.обл.</t>
  </si>
  <si>
    <t>городской округ "Город Архангельск"</t>
  </si>
  <si>
    <t>7606053324</t>
  </si>
  <si>
    <t>82-Т</t>
  </si>
  <si>
    <t>15.02.2023</t>
  </si>
  <si>
    <t>сельское поселение "Сафроновское"</t>
  </si>
  <si>
    <t>Ленский муниципальный район Арх.обл.</t>
  </si>
  <si>
    <t>ПАО "Россети Северо-Запада"</t>
  </si>
  <si>
    <t>70-Т</t>
  </si>
  <si>
    <t>09.02.2023</t>
  </si>
  <si>
    <t>городское поселение "Няндомское"</t>
  </si>
  <si>
    <t>Няндомский муниципальный район Арх.обл.</t>
  </si>
  <si>
    <t>ООО "Энергия Севера"</t>
  </si>
  <si>
    <t>2918011948</t>
  </si>
  <si>
    <t>76-Т</t>
  </si>
  <si>
    <t>10.02.2023</t>
  </si>
  <si>
    <t>Холмогорский муниципальный район Арх.обл.</t>
  </si>
  <si>
    <t>ООО "Штиль"</t>
  </si>
  <si>
    <t>2923007217</t>
  </si>
  <si>
    <t>10-Т</t>
  </si>
  <si>
    <t>30.01.2023</t>
  </si>
  <si>
    <t>Холмогорский муниципальный округ Арх. обл.</t>
  </si>
  <si>
    <t>ООО "Холмогорское ТСП"</t>
  </si>
  <si>
    <t>20-Т</t>
  </si>
  <si>
    <t>сельское поселение "Усть-Пинежское"</t>
  </si>
  <si>
    <t>ООО "Фарватер"</t>
  </si>
  <si>
    <t>2901230116</t>
  </si>
  <si>
    <t>43-Т</t>
  </si>
  <si>
    <t>06.02.2023</t>
  </si>
  <si>
    <t>рабочий поселок Обозерский</t>
  </si>
  <si>
    <t>Плесецкий муниципальный округ Арх.обл.</t>
  </si>
  <si>
    <t>ООО "Уют-Энерго"</t>
  </si>
  <si>
    <t>2920016693</t>
  </si>
  <si>
    <t>54-Т</t>
  </si>
  <si>
    <t>07.02.2023</t>
  </si>
  <si>
    <t>от котельных по адресам: д. № 14 по ул. Школьная в пос. Самково, в д. № 6а по ул. Мира в с. Конево и по ул.   Восточная в с. Конево</t>
  </si>
  <si>
    <t>ООО "Уют-2"</t>
  </si>
  <si>
    <t>от котельной в д. № 73 Б по ул. Школьная в пос. Поча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</si>
  <si>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</si>
  <si>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60-Т</t>
  </si>
  <si>
    <t>сельское поселение "Лисестровское"</t>
  </si>
  <si>
    <t>ООО "УК "Уютный город"</t>
  </si>
  <si>
    <t>рабочий поселок Североонежск</t>
  </si>
  <si>
    <t>Верхнетоемский муниципальный округ Арх.обл.</t>
  </si>
  <si>
    <t>от котельной в доме №67 «в» по ул. Комсомольская в пос. Рочегда</t>
  </si>
  <si>
    <t>Виноградовский муниципальный округ Арх.обл.</t>
  </si>
  <si>
    <t>рабочий поселок Плесецк, от котельной по ул. Садовая, д. 26А</t>
  </si>
  <si>
    <t>рабочий поселок Плесецк, от котельной по ул. Беданова, д. 5А</t>
  </si>
  <si>
    <t>дер. Кондратовская</t>
  </si>
  <si>
    <t>с. Вознесенское</t>
  </si>
  <si>
    <t>сельское поселение "Шеговарское" (от котельной в доме № 1 по ул. Садовая в пос. Красная Горка)</t>
  </si>
  <si>
    <t>Шенкурский муниципальный район Арх.обл.</t>
  </si>
  <si>
    <t>сельское поселение "Шеговарское" (от котельной в доме № 68а по ул. Центральная в с. Шеговары)</t>
  </si>
  <si>
    <t>сельское поселение "Никольское"</t>
  </si>
  <si>
    <t>Городское поселение "Шенкурское", от котельной по адресу г. Шенкурск, ул. Кудрявцева, д. 21 г</t>
  </si>
  <si>
    <t>гор. поселение "Шенкурское" и сельск. поселение "Федорогорское", за искл. котельных в доме № 21г по ул. Кудрявцева в г. Шенкурске и в доме № 18а по ул. Ленина в дер. Никифоровская</t>
  </si>
  <si>
    <t>57-Т</t>
  </si>
  <si>
    <t>сельское поселение "Ровдинское"</t>
  </si>
  <si>
    <t>ООО "УК "Весна"</t>
  </si>
  <si>
    <t>59-т</t>
  </si>
  <si>
    <t>сельское поселение "Холмогорское" (с. Холмогоры, ул. Октябрьская, д. 36 В)</t>
  </si>
  <si>
    <t>ООО "ТСП Холмогоры"</t>
  </si>
  <si>
    <t>2923007344</t>
  </si>
  <si>
    <t>45-Т</t>
  </si>
  <si>
    <t>сельское поселение "Черемушское" (пос. Черемушское, ул.Песчаная, 24-г)</t>
  </si>
  <si>
    <t>Котласский муниципальный район Арх.обл.</t>
  </si>
  <si>
    <t>ООО "Трест Сервис"</t>
  </si>
  <si>
    <t>сельское поселение "Черемушское" (пос. Черемушское, ул.Железнодорожная, 21/1 и дер. Борки, ул. Школьная, д 1А)</t>
  </si>
  <si>
    <t>2904022428</t>
  </si>
  <si>
    <t>63-Т</t>
  </si>
  <si>
    <t>08.02.2023</t>
  </si>
  <si>
    <t>городское поселение "Коношское"</t>
  </si>
  <si>
    <t>Коношский муниципальный район Арх.обл.</t>
  </si>
  <si>
    <t>ООО "Теплоэнерго"</t>
  </si>
  <si>
    <t>2912006620</t>
  </si>
  <si>
    <t>58-Т</t>
  </si>
  <si>
    <t>ООО "Теплохолдинг Коноша"</t>
  </si>
  <si>
    <t>2912007007</t>
  </si>
  <si>
    <t>40-Т</t>
  </si>
  <si>
    <t>Устьянский муниципальный район Арх.обл.</t>
  </si>
  <si>
    <t>ООО "ТеплоСнаб" (Устьянский район)</t>
  </si>
  <si>
    <t>2922008803</t>
  </si>
  <si>
    <t>36-Т</t>
  </si>
  <si>
    <t>сельское поселение "Боброво-Лявленское"</t>
  </si>
  <si>
    <t>ООО "Теплоснаб" (Приморский район)</t>
  </si>
  <si>
    <t>сельское поселение "Уемское"</t>
  </si>
  <si>
    <t>11-Т</t>
  </si>
  <si>
    <t>31.01.2023</t>
  </si>
  <si>
    <t>городское поселение "Кулойское"</t>
  </si>
  <si>
    <t>Вельский муниципальный район Арх.обл.</t>
  </si>
  <si>
    <t>ООО "Теплосервис"</t>
  </si>
  <si>
    <t>2907015570</t>
  </si>
  <si>
    <t>22-Т</t>
  </si>
  <si>
    <t>03.02.2023</t>
  </si>
  <si>
    <t>сельское поселение "Тегринское"</t>
  </si>
  <si>
    <t>ООО "Теплоресурс"</t>
  </si>
  <si>
    <t>сельское поселение "Судромское" (за искл. потреб. получ. тепл.энергию от котельной в пос. Иванское)</t>
  </si>
  <si>
    <t>сельское поселение "Солгинское"</t>
  </si>
  <si>
    <t>сельское поселение "Ракуло-Кокшеньгское"</t>
  </si>
  <si>
    <t>сельское поселение "Пуйское"</t>
  </si>
  <si>
    <t>сельское поселение "Попонаволоцкое"</t>
  </si>
  <si>
    <t>сельское поселение "Пакшеньгское"</t>
  </si>
  <si>
    <t>сельское поселение "Липовское"</t>
  </si>
  <si>
    <t>сельское поселение "Верхнешоношское"</t>
  </si>
  <si>
    <t>сельское поселение "Верхнеустькулойское"</t>
  </si>
  <si>
    <t>сельские поселения "Аргуновское" и "Благовещенское"</t>
  </si>
  <si>
    <t>сельское поселение "Шадреньгское"</t>
  </si>
  <si>
    <t>сельское поселение "Низовское"</t>
  </si>
  <si>
    <t>сельское поселение "Судромское" (получ. тепл.энергию от котельной в пос. Иванское)</t>
  </si>
  <si>
    <t>2907016373</t>
  </si>
  <si>
    <t>38-Т</t>
  </si>
  <si>
    <t>городское поселение Няндмское</t>
  </si>
  <si>
    <t>Няндомский муниципальный округ Арх.обл.</t>
  </si>
  <si>
    <t>ООО "Стройсервис"</t>
  </si>
  <si>
    <t>5-Т</t>
  </si>
  <si>
    <t>ООО "СРК"</t>
  </si>
  <si>
    <t>сельское поселение "Боброво-Лявленское" (дер. Бабанегово)</t>
  </si>
  <si>
    <t>сельское поселение "Лисестровское" (от котельных, расположенных по адресам пос. Ширшинский, д. 59 и дер. Исакогорка)</t>
  </si>
  <si>
    <t>сельское поселение "Заостровское"</t>
  </si>
  <si>
    <t>2901150333</t>
  </si>
  <si>
    <t>66-Т</t>
  </si>
  <si>
    <t>городское поселение "Онежское" (от котельной по пер. Цветочный в г. Онега, земельный участок № 5)</t>
  </si>
  <si>
    <t>Онежский муниципальный район Арх.обл.</t>
  </si>
  <si>
    <t>ООО "С-НЕРУД"</t>
  </si>
  <si>
    <t>городское поселение "Малошуйское" (от котельных в р.п. Малошуйка, ул. Привокзальная, д1 и ул. Мира, д.28)</t>
  </si>
  <si>
    <t>сельское поселение "Чекуевское"</t>
  </si>
  <si>
    <t>2906008443</t>
  </si>
  <si>
    <t>6-Т</t>
  </si>
  <si>
    <t>сельское поселение "Двинское"</t>
  </si>
  <si>
    <t>ООО "Северный Дом"</t>
  </si>
  <si>
    <t>2923007633</t>
  </si>
  <si>
    <t>81-Т</t>
  </si>
  <si>
    <t>сельское поселение "Луковецкое"</t>
  </si>
  <si>
    <t>ООО "Северная Энергетическая Компания"</t>
  </si>
  <si>
    <t>2901192407</t>
  </si>
  <si>
    <t>28-Т</t>
  </si>
  <si>
    <t>сельское поселение "Катунинское"</t>
  </si>
  <si>
    <t>ООО "Северная Энергетическая Компания - Беломорье"</t>
  </si>
  <si>
    <t>2923007418</t>
  </si>
  <si>
    <t>26-Т</t>
  </si>
  <si>
    <t>сельское поселение "Двинское" (пос. Двинской, ул. Лесная, д. 62)</t>
  </si>
  <si>
    <t>ООО "Северная Двина"</t>
  </si>
  <si>
    <t>2923006943</t>
  </si>
  <si>
    <t>33-Т</t>
  </si>
  <si>
    <t>сельское поселение "Ростовско-Минское"</t>
  </si>
  <si>
    <t>ООО "РЭП 1"</t>
  </si>
  <si>
    <t>2901265373</t>
  </si>
  <si>
    <t>24-Т</t>
  </si>
  <si>
    <t>д. Моржегоры, п. Хетово</t>
  </si>
  <si>
    <t>ООО "Ресурс-Сервис"</t>
  </si>
  <si>
    <t>п. Березник, п. Воронцы, п. Шидрово, д. Конецгорье, д. Пянда</t>
  </si>
  <si>
    <t>2910005276</t>
  </si>
  <si>
    <t>21-Т</t>
  </si>
  <si>
    <t>сельское поселение "Сийское"</t>
  </si>
  <si>
    <t>ООО "Регион-Энерго"</t>
  </si>
  <si>
    <t>2901250754</t>
  </si>
  <si>
    <t>31-Т</t>
  </si>
  <si>
    <t>сельское поселение "Островное" (д. Кяростров)</t>
  </si>
  <si>
    <t>ООО "Помор"</t>
  </si>
  <si>
    <t>сельское поселение "Островное" (с. Вознесенье и дер. Кяростров)</t>
  </si>
  <si>
    <t>сельское поселение "Островное" (дер. Пустошь)</t>
  </si>
  <si>
    <t>сельское поселение "Островное" (дер. Ластола)</t>
  </si>
  <si>
    <t>2921126730</t>
  </si>
  <si>
    <t>44-Т</t>
  </si>
  <si>
    <t>городское поселение "Онежское"</t>
  </si>
  <si>
    <t>ООО "ПКТС"</t>
  </si>
  <si>
    <t>городское поселение "Малошуйское"</t>
  </si>
  <si>
    <t>2906006238</t>
  </si>
  <si>
    <t>52-Т</t>
  </si>
  <si>
    <t>сельское поселение "Белогорское"</t>
  </si>
  <si>
    <t>ООО "Пинега"</t>
  </si>
  <si>
    <t>2923007104</t>
  </si>
  <si>
    <t>14-Т</t>
  </si>
  <si>
    <t>с. Павловск и дер. Быково</t>
  </si>
  <si>
    <t>Вилегодский муниципальный округ Арх.обл.</t>
  </si>
  <si>
    <t>ООО "Павловск ЖКХ"</t>
  </si>
  <si>
    <t>34-Т</t>
  </si>
  <si>
    <t>городской округ Арх.обл. "Котлас"</t>
  </si>
  <si>
    <t>ООО "ОК и ТС"</t>
  </si>
  <si>
    <t>2904030161</t>
  </si>
  <si>
    <t>49-Т</t>
  </si>
  <si>
    <t>сельское поселение "Ухтостровское"</t>
  </si>
  <si>
    <t>ООО "Нейтраль"</t>
  </si>
  <si>
    <t>2923007640</t>
  </si>
  <si>
    <t>46-Т</t>
  </si>
  <si>
    <t>сельское поселение "Пинежское" (от котельной п. Пинега, ул. Первомайская, д. 38 )</t>
  </si>
  <si>
    <t>ООО "МТК"</t>
  </si>
  <si>
    <t>сельское поселение "Пинежское" (за искл. котельной п. Пинега, ул. Первомайская, д. 38)</t>
  </si>
  <si>
    <t>гор. посел. "Мезенское", сельск. посел. "Каменское", "Койденское", "Дорогорское", "Совпольское", "Быченское", "Соянское", "Зареченское"</t>
  </si>
  <si>
    <t>Мезенский муниципальный район Арх.обл.</t>
  </si>
  <si>
    <t>2901294127</t>
  </si>
  <si>
    <t>2-Т</t>
  </si>
  <si>
    <t>26.01.2023</t>
  </si>
  <si>
    <t>сельское поселение "Мошинское" (от котельной в дер. Петариха, ул. Городская, 10А)</t>
  </si>
  <si>
    <t>ООО "Мошинские тепловые сети"</t>
  </si>
  <si>
    <t>2918012540</t>
  </si>
  <si>
    <t>16-т</t>
  </si>
  <si>
    <t>ООО "ЛТК"</t>
  </si>
  <si>
    <t>городское поселение "Приводинское" (д. Куимиха)</t>
  </si>
  <si>
    <t>городское поселение "Приводинское" (д. Курцево)</t>
  </si>
  <si>
    <t>городское поселение "Шипицынское"</t>
  </si>
  <si>
    <t>городское поселение "Сольвычегодское" (д. Григорово)</t>
  </si>
  <si>
    <t>городское поселение "Сольвычегодское" (кроме д. Григорово)</t>
  </si>
  <si>
    <t>городское поселение "Сольвычегодское" (пос. Харитоново)</t>
  </si>
  <si>
    <t>городское поселение "Сольвычегодское" ((Т) г. Сольвычегодск)</t>
  </si>
  <si>
    <t>сельские поселения "Вожгорское", "Олемское", "Юромское"</t>
  </si>
  <si>
    <t>Лешуконский муниципальный район Арх.обл.</t>
  </si>
  <si>
    <t>сельские поселения "Лешуконское" и "Ценогорское"</t>
  </si>
  <si>
    <t>2901294110</t>
  </si>
  <si>
    <t>23-Т</t>
  </si>
  <si>
    <t>сельское поселение "Алексеевское"</t>
  </si>
  <si>
    <t>Красноборский муниципальный район Арх.обл.</t>
  </si>
  <si>
    <t>ООО "КТС"(Красноборский район)</t>
  </si>
  <si>
    <t>2914003625</t>
  </si>
  <si>
    <t>15-Т</t>
  </si>
  <si>
    <t>г. Каргополь</t>
  </si>
  <si>
    <t>Каргопольский муниципальный округ Арх.обл.</t>
  </si>
  <si>
    <t>ООО "КТС"(Каргопольский район)</t>
  </si>
  <si>
    <t>2911005649</t>
  </si>
  <si>
    <t>69-Т</t>
  </si>
  <si>
    <t>ООО "Коношский хлебозавод"</t>
  </si>
  <si>
    <t>2912006268</t>
  </si>
  <si>
    <t>84-Т</t>
  </si>
  <si>
    <t>13.03.2023</t>
  </si>
  <si>
    <t>сельское поселение "Светлозерское"</t>
  </si>
  <si>
    <t>ООО "КМ ТЭР"</t>
  </si>
  <si>
    <t>2923007175</t>
  </si>
  <si>
    <t>39-Т</t>
  </si>
  <si>
    <t>д. №1 по ул. Советская в с. Ильинско-Подомское</t>
  </si>
  <si>
    <t>ООО "Ильинск ЖКХ"</t>
  </si>
  <si>
    <t>село Никольск</t>
  </si>
  <si>
    <t>дер. Кошкино</t>
  </si>
  <si>
    <t>35-Т</t>
  </si>
  <si>
    <t>сельское поселение "Малодорское"</t>
  </si>
  <si>
    <t>ООО "ЖКХ Малодоры"</t>
  </si>
  <si>
    <t>2922007704</t>
  </si>
  <si>
    <t>79-Т</t>
  </si>
  <si>
    <t>сельское поселение "Емецкое" (д. Погост, ул. Почтовая)</t>
  </si>
  <si>
    <t>ООО "ЕмецкСтройСервис"</t>
  </si>
  <si>
    <t>сельское поселение "Емецкое" (с. Емецк, ул. Жолобова)</t>
  </si>
  <si>
    <t>62-Т</t>
  </si>
  <si>
    <t>сельское поселение "Ракульское"</t>
  </si>
  <si>
    <t>ООО "Емецкое ТСП"</t>
  </si>
  <si>
    <t>сельское поселение "Емецкое"</t>
  </si>
  <si>
    <t>61-Т</t>
  </si>
  <si>
    <t>сельское поселение "Березницкое"</t>
  </si>
  <si>
    <t>ООО "ГК "УЛК"</t>
  </si>
  <si>
    <t>поселок Сельменьга</t>
  </si>
  <si>
    <t>городское поселение "Октябрьское"</t>
  </si>
  <si>
    <t>2922008546</t>
  </si>
  <si>
    <t>7-Т</t>
  </si>
  <si>
    <t>сельское поселение "Шангальское"</t>
  </si>
  <si>
    <t>ООО "Гефест"</t>
  </si>
  <si>
    <t>2907018878</t>
  </si>
  <si>
    <t>47-Т</t>
  </si>
  <si>
    <t>сельское поселение "Приморское"</t>
  </si>
  <si>
    <t>ООО "Газпром теплоэнерго Архангельск"</t>
  </si>
  <si>
    <t>2901252021</t>
  </si>
  <si>
    <t>73-Т</t>
  </si>
  <si>
    <t>с. Вилегодск</t>
  </si>
  <si>
    <t>ООО "Вилегодск ЖКХ"</t>
  </si>
  <si>
    <t>78-Т</t>
  </si>
  <si>
    <t>ООО "Вельская тепловая компания"</t>
  </si>
  <si>
    <t>2907018155</t>
  </si>
  <si>
    <t>1-Т</t>
  </si>
  <si>
    <t>19.01.2023</t>
  </si>
  <si>
    <t>сельское поселение "Шалакушское"</t>
  </si>
  <si>
    <t>ООО "Вектор"</t>
  </si>
  <si>
    <t>2918012331</t>
  </si>
  <si>
    <t>12-Т</t>
  </si>
  <si>
    <t>городское поселение "Вельское"</t>
  </si>
  <si>
    <t>ООО "ВГС"</t>
  </si>
  <si>
    <t>2907016905</t>
  </si>
  <si>
    <t>55-Т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</si>
  <si>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</si>
  <si>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ООО "Березниковское ТСП"</t>
  </si>
  <si>
    <t>2910004882</t>
  </si>
  <si>
    <t>67-Т</t>
  </si>
  <si>
    <t>сельское поселение "Синицкое"</t>
  </si>
  <si>
    <t>сельское поселение "Плосское"</t>
  </si>
  <si>
    <t>сельское поселение "Орловское"</t>
  </si>
  <si>
    <t>сельское поселение "Лихачёвское"</t>
  </si>
  <si>
    <t>сельское поселение "Илезское"</t>
  </si>
  <si>
    <t>сельское поселение "Дмитриевское"</t>
  </si>
  <si>
    <t>сельское поселение "Бестужевское"</t>
  </si>
  <si>
    <t>2922007775</t>
  </si>
  <si>
    <t>30-Т</t>
  </si>
  <si>
    <t>рабочий поселок Савинский (за искл. пос. Река Емца, ул. Набережная, д. 15)</t>
  </si>
  <si>
    <t>ООО "АТГК"</t>
  </si>
  <si>
    <t>рабочий поселок Савинский (пос. Река Емца, ул. Набережная, д. 15)</t>
  </si>
  <si>
    <t>2901307418</t>
  </si>
  <si>
    <t>64-Т</t>
  </si>
  <si>
    <t>сельские поселения "Приморское", "Заостровское", "Боброво-Лявленское"</t>
  </si>
  <si>
    <t>ООО "Архбиоэнерго"</t>
  </si>
  <si>
    <t>27-Т</t>
  </si>
  <si>
    <t>сельское поселение "Шилегское"</t>
  </si>
  <si>
    <t>ООО "АльянсТеплоЭнерго"</t>
  </si>
  <si>
    <t>2901249879</t>
  </si>
  <si>
    <t>17-Т</t>
  </si>
  <si>
    <t>дер. Мухонская и с. Ильинско-Подомское, за искл. ул. Кедрова , д. 21, фл. №1 и ул. Мелиоративная, д. 7, фл. №1 в с. Ильинско-Подомское</t>
  </si>
  <si>
    <t>ООО "АГТС"</t>
  </si>
  <si>
    <t xml:space="preserve">с. Ильинско-Подомское, ул. Мелиоративная д.7, фл. №1 </t>
  </si>
  <si>
    <t>с. Ильинско-Подомское, ул. Кедрова д.21, фл. №1</t>
  </si>
  <si>
    <t>сельское поселение "Козьминское"</t>
  </si>
  <si>
    <t>городское поселение "Урдомское"</t>
  </si>
  <si>
    <t>2901265172</t>
  </si>
  <si>
    <t>80-Т</t>
  </si>
  <si>
    <t>ОАО "РЖД" (Сольвычегодский участок)</t>
  </si>
  <si>
    <t>7708503727</t>
  </si>
  <si>
    <t>75-Т</t>
  </si>
  <si>
    <t>рабочий поселок Обозерский (от котельных по ул. Калинина, 19б и ул. Лесная, 34)</t>
  </si>
  <si>
    <t>ОАО "РЖД" (Исакогорский участок)</t>
  </si>
  <si>
    <t>городское поселение "Коношское" (рабочий поселок Коноша, от котельной по ул. Печорская, 9/1)</t>
  </si>
  <si>
    <t>65-Т</t>
  </si>
  <si>
    <t>дер. Усачевская и дер. Трофимовская</t>
  </si>
  <si>
    <t>МУП Каргопольского муниципального округа "Усачево"</t>
  </si>
  <si>
    <t>41-Т</t>
  </si>
  <si>
    <t>дер. Патровская и дер. Песок</t>
  </si>
  <si>
    <t>МУП Каргопольского муниципального округа "Тихманьга"</t>
  </si>
  <si>
    <t>48-Т</t>
  </si>
  <si>
    <t>от котельной в дер. Ватамановская</t>
  </si>
  <si>
    <t>МУП Каргопольского муниципального округа "Печниково"</t>
  </si>
  <si>
    <t>2911004331</t>
  </si>
  <si>
    <t>74-Т</t>
  </si>
  <si>
    <t>от котельных в деревне Ширяиха</t>
  </si>
  <si>
    <t>МУП Каргопольского муниципального округа "Ошевенское"</t>
  </si>
  <si>
    <t>9-Т</t>
  </si>
  <si>
    <t>МУП Каргопольского муниципального округа "Казаково"</t>
  </si>
  <si>
    <t>пос. Пригородный</t>
  </si>
  <si>
    <t>дер. Казаково</t>
  </si>
  <si>
    <t>13-Т</t>
  </si>
  <si>
    <t>от котельной в деревне Шелоховская</t>
  </si>
  <si>
    <t>МУП Каргопольского муниципального округа "Архангело"</t>
  </si>
  <si>
    <t>25-Т</t>
  </si>
  <si>
    <t>МУП "ШЛИТ"</t>
  </si>
  <si>
    <t>2918002171</t>
  </si>
  <si>
    <t>29-Т</t>
  </si>
  <si>
    <t>сельское поселение "Хозьминское"</t>
  </si>
  <si>
    <t>МУП "Хозьминское"</t>
  </si>
  <si>
    <t>19-Т</t>
  </si>
  <si>
    <t>сельское поселение "Волошское"</t>
  </si>
  <si>
    <t>МУП "ТеплоСервис"</t>
  </si>
  <si>
    <t>сельское поселение "Тавреньгское"</t>
  </si>
  <si>
    <t>сельские поселения "Подюжское", "Мирный"</t>
  </si>
  <si>
    <t>2912005994</t>
  </si>
  <si>
    <t>3-Т</t>
  </si>
  <si>
    <t>городской округ Арх.обл. "Город Коряжма"</t>
  </si>
  <si>
    <t>МУП "ПУ ЖКХ"</t>
  </si>
  <si>
    <t>2905001195</t>
  </si>
  <si>
    <t>50-Т</t>
  </si>
  <si>
    <t>МУП "Плесецк-Ресурс"</t>
  </si>
  <si>
    <t>от котельных в раб. пос. Плесецк по адресам: ул. Зеленая, ул. Октябрьская, д. 79, ул. Промкомбинат, д. 9,ул. Юбилейная, д. 59А</t>
  </si>
  <si>
    <t>от котельной по адресу Арх. обл., Плесецкий район, пос. Пукса, ул. Центральная, д. 39</t>
  </si>
  <si>
    <t>2920015308</t>
  </si>
  <si>
    <t>32-Т</t>
  </si>
  <si>
    <t>городской округ Арх.обл. "Мирный"</t>
  </si>
  <si>
    <t>МУП "ЖЭУ"</t>
  </si>
  <si>
    <t>37-Т</t>
  </si>
  <si>
    <t>сельское поселение "Ерцевское"</t>
  </si>
  <si>
    <t>МУП "Ерцевские теплосети"</t>
  </si>
  <si>
    <t>51-Т</t>
  </si>
  <si>
    <t>ул. Водогон</t>
  </si>
  <si>
    <t>2902009446</t>
  </si>
  <si>
    <t>42-Т</t>
  </si>
  <si>
    <t>сельское поселение "Телеговское"</t>
  </si>
  <si>
    <t>МП "Телеговское ЖКХ"</t>
  </si>
  <si>
    <t>56-Т</t>
  </si>
  <si>
    <t>ИП Попов Михаил Александрович</t>
  </si>
  <si>
    <t>290604109003</t>
  </si>
  <si>
    <t>83-Т</t>
  </si>
  <si>
    <t>03.03.2023</t>
  </si>
  <si>
    <t>пос.Березник (от котельной по ул.Романа Куликова, д.72а)</t>
  </si>
  <si>
    <t>ИП Денисов В.П.</t>
  </si>
  <si>
    <t>291000022979</t>
  </si>
  <si>
    <t>77-Т</t>
  </si>
  <si>
    <t>13.02.2023</t>
  </si>
  <si>
    <t>городской округ Арх.обл. "Город Новодвинск"</t>
  </si>
  <si>
    <t>АО "Сети"</t>
  </si>
  <si>
    <t>2903011092</t>
  </si>
  <si>
    <t>68-Т</t>
  </si>
  <si>
    <t>АО "Онега-Энергия"</t>
  </si>
  <si>
    <t>72-Т</t>
  </si>
  <si>
    <t>АО "ГТ Энерго"</t>
  </si>
  <si>
    <t>сельское поселение "Муравьевское"</t>
  </si>
  <si>
    <t>7703806647</t>
  </si>
  <si>
    <t>71-Т</t>
  </si>
  <si>
    <t>сельское поселение "Соловецкое"</t>
  </si>
  <si>
    <t>АО "АрхоблЭнерго"</t>
  </si>
  <si>
    <t>2901179251</t>
  </si>
  <si>
    <t>4-Т</t>
  </si>
  <si>
    <t>АО "2-ой Архангельский объединенный авиаотряд"</t>
  </si>
  <si>
    <t>2901125778</t>
  </si>
  <si>
    <t>53-Т</t>
  </si>
  <si>
    <t>план</t>
  </si>
  <si>
    <t>факт</t>
  </si>
  <si>
    <t>всего</t>
  </si>
  <si>
    <t>2 полугодие</t>
  </si>
  <si>
    <t>1 полугодие</t>
  </si>
  <si>
    <t>Декабрь 2022 года,
рублей</t>
  </si>
  <si>
    <t>льготный тариф,
рублей/Гкал</t>
  </si>
  <si>
    <t>экономически обоснованный тариф, рублей/Гкал</t>
  </si>
  <si>
    <t>Наименование городского / сельского поселения (поселок, село, деревня)</t>
  </si>
  <si>
    <t>Наименование теплоснабжающей организации/
наименование муниципального района/
муниципального округа/
городского округа</t>
  </si>
  <si>
    <t>Ресурс
(тепловая энергия на отопление, Гкал;
тепловая энергия на подогрев, Гкал;
теплоноситель, м3)</t>
  </si>
  <si>
    <t>тепловая энергия на отопление</t>
  </si>
  <si>
    <t>тепловая энергия на подогрев</t>
  </si>
  <si>
    <t>Декабрь 2023 года,
рублей</t>
  </si>
  <si>
    <t>Потребность в средствах областного бюджета
 всего в 2023 году
(за декабрь 2022
 - ноябрь 2023),
рублей</t>
  </si>
  <si>
    <t>Итого субсидии</t>
  </si>
  <si>
    <t>ООО "Газпром энерго"</t>
  </si>
  <si>
    <t>7736186950</t>
  </si>
  <si>
    <t>85-Т</t>
  </si>
  <si>
    <t>27.03.2023</t>
  </si>
  <si>
    <t>ООО "ФинансГрупп"</t>
  </si>
  <si>
    <t>3525369837</t>
  </si>
  <si>
    <t>22.02.2023</t>
  </si>
  <si>
    <t>2-Тг</t>
  </si>
  <si>
    <t>2914001089</t>
  </si>
  <si>
    <t>ГБУЗ АО "Санаторий имени М.Н. Фаворской"</t>
  </si>
  <si>
    <t>06.03.2023</t>
  </si>
  <si>
    <t>3-Тг</t>
  </si>
  <si>
    <t>2919003788</t>
  </si>
  <si>
    <t>МБОУ "'Кеврольская ОШ №18 им. М.Ф.Теплова"</t>
  </si>
  <si>
    <t>1-Тг</t>
  </si>
  <si>
    <t>7729314745</t>
  </si>
  <si>
    <t>ФГБУ "ЦЖКУ" Минобороны России</t>
  </si>
  <si>
    <t>сельское поселение "Кеврольское"</t>
  </si>
  <si>
    <t>в/г 49/68, 42/51 и 49/20</t>
  </si>
  <si>
    <t>военный городок №15</t>
  </si>
  <si>
    <t>городской округ Арх.обл. "Новая Земля"</t>
  </si>
  <si>
    <t>в/г 6/3 и 23/74</t>
  </si>
  <si>
    <t>в/г 24/6</t>
  </si>
  <si>
    <t>городское поселение "Коношское" (котельная № 1010423 в/г № 1(17))</t>
  </si>
  <si>
    <t>городское поселение "Мезенское" (в/г 49 котельная № 7)</t>
  </si>
  <si>
    <t>сельское поселение "Черемушское" (в/г № 9)</t>
  </si>
  <si>
    <t>сельское поселение "Боброво-Лявленское" (в/г № 8)</t>
  </si>
  <si>
    <t>сельское поселение "Талажское" (в/г 65)</t>
  </si>
  <si>
    <t>в/г 8/53</t>
  </si>
  <si>
    <t>сельское поселение "Черемушское" (в/г 9 поселок Савватия)</t>
  </si>
  <si>
    <t>Военный городок №24 пос. Ненокса</t>
  </si>
  <si>
    <t>кроме военного городка №4</t>
  </si>
  <si>
    <t>Итого гранты</t>
  </si>
  <si>
    <t>ВСЕГО</t>
  </si>
  <si>
    <t>декабрь 2022</t>
  </si>
  <si>
    <t>СУБСИДИИ</t>
  </si>
  <si>
    <t>ПРЕКРАТИЛИ ДЕЯТЕЛЬНОСТЬ</t>
  </si>
  <si>
    <t>ГОД</t>
  </si>
  <si>
    <t>52-Т от 07.02.23</t>
  </si>
  <si>
    <t>73-Т от 09.02.23</t>
  </si>
  <si>
    <t>11-Т от 31.01.23</t>
  </si>
  <si>
    <t>от котельной с. Холмогоры, ул. Племзаводская, д.18</t>
  </si>
  <si>
    <t>от котельной в д. Анашкино</t>
  </si>
  <si>
    <t>от котельной в д. Красное Село, д. 40Б</t>
  </si>
  <si>
    <t>от котельной в д. Заполье, д. 4А</t>
  </si>
  <si>
    <t>от котельной в д. Данилово</t>
  </si>
  <si>
    <t>Холмогорский муниципальный округ Арх.обл.</t>
  </si>
  <si>
    <t xml:space="preserve">от котельной в с. Холмогоры, ул. Шубина, д. 20А </t>
  </si>
  <si>
    <t>18-Т от 02.02.23</t>
  </si>
  <si>
    <t>от котельных по адресам: д. № 1 по ул. Набережная в поселке Строитель, д.№ 16а по ул. Биржевая и в д. № 2 по пер. Рабочий в пос. Оксовский (новый тариф с 29.03.2023)</t>
  </si>
  <si>
    <t>от котельной в д. № 73 Б по ул. Школьная в пос. Поча (новый тариф с 29.03.2023)</t>
  </si>
  <si>
    <t>от котельных по адресам: д. № 14 по ул. Школьная в пос. Самково, в д. № 6а по ул. Мира в с. Конево и по ул.   Восточная в с. Конево (новый тариф с 29.03.2023)</t>
  </si>
  <si>
    <t>Устьянский муниципальный округ Арх.обл.</t>
  </si>
  <si>
    <t>от котельной в дер. Юрятинская, зд. №8г, пос. Советский, с. Шангалы</t>
  </si>
  <si>
    <t>34-Т от 06.02.23</t>
  </si>
  <si>
    <t>3-Тг от 06.03.23</t>
  </si>
  <si>
    <t>без дог.</t>
  </si>
  <si>
    <t>МБОУ "Сурская СШ № 2"</t>
  </si>
  <si>
    <t>сельское поселение "Сурскоее"</t>
  </si>
  <si>
    <t>17-Т от 31.01.23</t>
  </si>
  <si>
    <t>сельские поселения "Аргуновское" и "Благовещенское" (новый тариф с 20.04.2023)</t>
  </si>
  <si>
    <t>сельское поселение "Верхнеустькулойское" (новый тариф с 20.04.2023)</t>
  </si>
  <si>
    <t>сельское поселение "Верхнешоношское" (новый тариф с 20.04.2023)</t>
  </si>
  <si>
    <t>сельское поселение "Липовское" (новый тариф с 20.04.2023)</t>
  </si>
  <si>
    <t>сельское поселение "Пакшеньгское" (новый тариф с 20.04.2023)</t>
  </si>
  <si>
    <t>сельское поселение "Попонаволоцкое" (новый тариф с 20.04.2023)</t>
  </si>
  <si>
    <t>сельское поселение "Пуйское" (новый тариф с 20.04.2023)</t>
  </si>
  <si>
    <t>сельское поселение "Ракуло-Кокшеньгское" (новый тариф с 20.04.2023)</t>
  </si>
  <si>
    <t>сельское поселение "Солгинское" (новый тариф с 20.04.2023)</t>
  </si>
  <si>
    <t>сельское поселение "Судромское" (за искл. потреб. получ. тепл.энергию от котельной в пос. Иванское) (новый тариф с 20.04.2023)</t>
  </si>
  <si>
    <t>сельское поселение "Тегринское" (новый тариф с 20.04.2023)</t>
  </si>
  <si>
    <t xml:space="preserve">сельское поселение "Тегринское" </t>
  </si>
  <si>
    <t xml:space="preserve">сельское поселение "Солгинское" </t>
  </si>
  <si>
    <t>85-Т от  27.03.23</t>
  </si>
  <si>
    <t>83-Т от 03.03.23</t>
  </si>
  <si>
    <r>
      <t xml:space="preserve">вместо ООО "Градиант"; </t>
    </r>
    <r>
      <rPr>
        <b/>
        <i/>
        <sz val="9"/>
        <color theme="1"/>
        <rFont val="Times New Roman"/>
        <family val="1"/>
        <charset val="204"/>
      </rPr>
      <t>доверенность на Охулкову В.А. от 25.08.2022 по 24.08.2025 (на три года)</t>
    </r>
  </si>
  <si>
    <t>от котельных в поселке Кизема по ул. Юбилейная, д. 4А, ул. Железнодорожная, д. 19, ул. Терешковой, д. №1А, ул. Советская, д.13</t>
  </si>
  <si>
    <t>городское поселение "Вельское" (от котельной по адресу г. Вельск, ул. Дзержинского, д.201, стр. 12)</t>
  </si>
  <si>
    <t>не оказывает услуги с 01.06.2023, новое РСО неизвестно</t>
  </si>
  <si>
    <t>вместо ООО "Т-Сервис", тариф с 09.09.2021, не оказывет услуги с 31.05.2023, новое РСО неизвестно</t>
  </si>
  <si>
    <t xml:space="preserve">тепловая энергия </t>
  </si>
  <si>
    <t>ООО "Содействие" (ООО "С-НЕРУД")</t>
  </si>
  <si>
    <t>Содействие (С-Неруд)</t>
  </si>
  <si>
    <t>Объем ресурса (тепловая энергия, Гкал; теплоноситель, м3)</t>
  </si>
  <si>
    <t>Недостаток средств областного бюджета, 
рублей</t>
  </si>
  <si>
    <t>в том числе:</t>
  </si>
  <si>
    <t>Потребность в средствах субсидии, рублей</t>
  </si>
  <si>
    <r>
  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</t>
    </r>
    <r>
      <rPr>
        <b/>
        <sz val="24"/>
        <rFont val="Tahoma"/>
        <family val="2"/>
        <charset val="204"/>
      </rPr>
      <t>на тепловую энергию, горячую воду в открытой системе, поставляемые населению и потребителям, приравненным к населению</t>
    </r>
    <r>
      <rPr>
        <sz val="24"/>
        <rFont val="Tahoma"/>
        <family val="2"/>
        <charset val="204"/>
      </rPr>
      <t xml:space="preserve">
на 2023 год </t>
    </r>
  </si>
  <si>
    <t>снято на уплату госпошлины</t>
  </si>
  <si>
    <t>постановление Правительства Архангельской области 
от 19.04.2023 № 357-пп</t>
  </si>
  <si>
    <t>постановление Правительства Архангельской области 
от 06.06.2023 № 509-пп</t>
  </si>
  <si>
    <t>Лимит на 2023 год согласно областному закону от 20.12.2022
 № 655-40-ОЗ "Об областном бюджете на 2023 год и на плановый период 2024 и 2025 годов", 
рублей</t>
  </si>
</sst>
</file>

<file path=xl/styles.xml><?xml version="1.0" encoding="utf-8"?>
<styleSheet xmlns="http://schemas.openxmlformats.org/spreadsheetml/2006/main">
  <numFmts count="57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#,##0.00&quot;р.&quot;;\-#,##0.00&quot;р.&quot;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,##0.000"/>
    <numFmt numFmtId="171" formatCode="#,##0.00_ ;\-#,##0.00\ "/>
    <numFmt numFmtId="172" formatCode="0.0"/>
    <numFmt numFmtId="173" formatCode="_(* #,##0.00_);_(* \(\ #,##0.00\ \);_(* &quot;-&quot;??_);_(\ @_ \)"/>
    <numFmt numFmtId="174" formatCode="_-* #,##0.00[$€-1]_-;\-* #,##0.00[$€-1]_-;_-* &quot;-&quot;??[$€-1]_-"/>
    <numFmt numFmtId="175" formatCode="0.0%"/>
    <numFmt numFmtId="176" formatCode="0.0%_);\(0.0%\)"/>
    <numFmt numFmtId="177" formatCode="#,##0_);[Red]\(#,##0\)"/>
    <numFmt numFmtId="178" formatCode="#,##0;\(#,##0\)"/>
    <numFmt numFmtId="179" formatCode="_-* #,##0.00\ _$_-;\-* #,##0.00\ _$_-;_-* &quot;-&quot;??\ _$_-;_-@_-"/>
    <numFmt numFmtId="180" formatCode="#.##0\.00"/>
    <numFmt numFmtId="181" formatCode="#\.00"/>
    <numFmt numFmtId="182" formatCode="#\."/>
    <numFmt numFmtId="183" formatCode="_-* #,##0\ &quot;руб&quot;_-;\-* #,##0\ &quot;руб&quot;_-;_-* &quot;-&quot;\ &quot;руб&quot;_-;_-@_-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&quot;$&quot;#,##0_);[Red]\(&quot;$&quot;#,##0\)"/>
    <numFmt numFmtId="188" formatCode="\$#,##0\ ;\(\$#,##0\)"/>
    <numFmt numFmtId="189" formatCode="#,##0.0"/>
    <numFmt numFmtId="190" formatCode="#,##0.0000"/>
    <numFmt numFmtId="191" formatCode="#,##0.000[$р.-419];\-#,##0.000[$р.-419]"/>
    <numFmt numFmtId="192" formatCode="_-* #,##0.0\ _$_-;\-* #,##0.0\ _$_-;_-* &quot;-&quot;??\ _$_-;_-@_-"/>
    <numFmt numFmtId="193" formatCode="#,##0.0_);\(#,##0.0\)"/>
    <numFmt numFmtId="194" formatCode="#,##0_ ;[Red]\-#,##0\ "/>
    <numFmt numFmtId="195" formatCode="#,##0_);[Blue]\(#,##0\)"/>
    <numFmt numFmtId="196" formatCode="_ * #,##0_ ;_ * \-#,##0_ ;_ * &quot;-&quot;_ ;_ @_ "/>
    <numFmt numFmtId="197" formatCode="_ * #,##0.00_ ;_ * \-#,##0.00_ ;_ * &quot;-&quot;??_ ;_ @_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_-* #,##0_đ_._-;\-* #,##0_đ_._-;_-* &quot;-&quot;_đ_._-;_-@_-"/>
    <numFmt numFmtId="204" formatCode="_-* #,##0.00_đ_._-;\-* #,##0.00_đ_._-;_-* &quot;-&quot;??_đ_._-;_-@_-"/>
    <numFmt numFmtId="205" formatCode="\(#,##0.0\)"/>
    <numFmt numFmtId="206" formatCode="#,##0\ &quot;?.&quot;;\-#,##0\ &quot;?.&quot;"/>
    <numFmt numFmtId="207" formatCode="#,##0______;;&quot;------------      &quot;"/>
    <numFmt numFmtId="208" formatCode="&quot;$&quot;#,##0"/>
    <numFmt numFmtId="209" formatCode="#,##0.000_ ;\-#,##0.000\ "/>
    <numFmt numFmtId="210" formatCode="#,##0.00_ ;[Red]\-#,##0.00\ "/>
    <numFmt numFmtId="211" formatCode="_(&quot;$&quot;* #,##0.00_);_(&quot;$&quot;* \(#,##0.00\);_(&quot;$&quot;* &quot;-&quot;??_);_(@_)"/>
    <numFmt numFmtId="212" formatCode="0_)"/>
    <numFmt numFmtId="213" formatCode="0.000"/>
    <numFmt numFmtId="214" formatCode="_(* #,##0_);_(* \(#,##0\);_(* &quot;-&quot;_);_(@_)"/>
    <numFmt numFmtId="215" formatCode="_(* #,##0.00_);_(* \(#,##0.00\);_(* &quot;-&quot;??_);_(@_)"/>
    <numFmt numFmtId="216" formatCode="_-* #,##0.00\ _р_._-;\-* #,##0.00\ _р_._-;_-* &quot;-&quot;??\ _р_._-;_-@_-"/>
    <numFmt numFmtId="217" formatCode="_-* #,##0\ _$_-;\-* #,##0\ _$_-;_-* &quot;-&quot;\ _$_-;_-@_-"/>
    <numFmt numFmtId="218" formatCode="_-* #,##0.000_р_._-;\-* #,##0.000_р_._-;_-* &quot;-&quot;??_р_._-;_-@_-"/>
    <numFmt numFmtId="219" formatCode="_-* #,##0.000\ _₽_-;\-* #,##0.000\ _₽_-;_-* &quot;-&quot;???\ _₽_-;_-@_-"/>
  </numFmts>
  <fonts count="27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i/>
      <sz val="10"/>
      <color rgb="FF0070C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ahoma"/>
      <family val="2"/>
      <charset val="204"/>
    </font>
    <font>
      <sz val="8"/>
      <color rgb="FFFF0000"/>
      <name val="Times New Roman"/>
      <family val="1"/>
      <charset val="204"/>
    </font>
    <font>
      <i/>
      <sz val="7"/>
      <color indexed="8"/>
      <name val="Times New Roman"/>
      <family val="1"/>
      <charset val="204"/>
    </font>
    <font>
      <i/>
      <sz val="7"/>
      <name val="Times New Roman"/>
      <family val="1"/>
      <charset val="204"/>
    </font>
    <font>
      <i/>
      <sz val="7.5"/>
      <name val="Times New Roman"/>
      <family val="1"/>
      <charset val="204"/>
    </font>
    <font>
      <i/>
      <sz val="8"/>
      <color rgb="FF0070C0"/>
      <name val="Times New Roman"/>
      <family val="1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1"/>
      <color rgb="FFFF0000"/>
      <name val="Times New Roman"/>
      <family val="1"/>
      <charset val="204"/>
    </font>
    <font>
      <sz val="10"/>
      <name val="Tahoma"/>
      <family val="2"/>
      <charset val="204"/>
    </font>
    <font>
      <i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theme="7" tint="-0.249977111117893"/>
      <name val="Times New Roman"/>
      <family val="1"/>
      <charset val="204"/>
    </font>
    <font>
      <i/>
      <sz val="8"/>
      <color theme="7" tint="-0.249977111117893"/>
      <name val="Times New Roman"/>
      <family val="1"/>
      <charset val="204"/>
    </font>
    <font>
      <i/>
      <sz val="7.5"/>
      <color rgb="FF000000"/>
      <name val="Times New Roman"/>
      <family val="1"/>
      <charset val="204"/>
    </font>
    <font>
      <i/>
      <sz val="7.5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8"/>
      <color theme="7" tint="-0.249977111117893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color rgb="FF000000"/>
      <name val="Times New Roman"/>
      <family val="1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26"/>
      <name val="Tahoma"/>
      <family val="2"/>
      <charset val="204"/>
    </font>
    <font>
      <sz val="14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24"/>
      <name val="Tahoma"/>
      <family val="2"/>
      <charset val="204"/>
    </font>
    <font>
      <b/>
      <sz val="24"/>
      <name val="Tahoma"/>
      <family val="2"/>
      <charset val="204"/>
    </font>
    <font>
      <i/>
      <sz val="14"/>
      <name val="Tahoma"/>
      <family val="2"/>
      <charset val="204"/>
    </font>
    <font>
      <i/>
      <sz val="10"/>
      <name val="Tahoma"/>
      <family val="2"/>
      <charset val="204"/>
    </font>
    <font>
      <sz val="16"/>
      <name val="Tahoma"/>
      <family val="2"/>
      <charset val="204"/>
    </font>
    <font>
      <sz val="16"/>
      <color theme="1"/>
      <name val="Tahoma"/>
      <family val="2"/>
      <charset val="204"/>
    </font>
  </fonts>
  <fills count="8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AC6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749">
    <xf numFmtId="0" fontId="0" fillId="0" borderId="0"/>
    <xf numFmtId="169" fontId="1" fillId="0" borderId="0" applyFont="0" applyFill="0" applyBorder="0" applyAlignment="0" applyProtection="0"/>
    <xf numFmtId="0" fontId="7" fillId="0" borderId="0"/>
    <xf numFmtId="0" fontId="35" fillId="0" borderId="0"/>
    <xf numFmtId="0" fontId="43" fillId="0" borderId="0"/>
    <xf numFmtId="0" fontId="35" fillId="0" borderId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0" fontId="47" fillId="0" borderId="0"/>
    <xf numFmtId="174" fontId="47" fillId="0" borderId="0"/>
    <xf numFmtId="0" fontId="48" fillId="0" borderId="0"/>
    <xf numFmtId="0" fontId="49" fillId="0" borderId="0"/>
    <xf numFmtId="175" fontId="50" fillId="0" borderId="0">
      <alignment vertical="top"/>
    </xf>
    <xf numFmtId="175" fontId="51" fillId="0" borderId="0">
      <alignment vertical="top"/>
    </xf>
    <xf numFmtId="176" fontId="51" fillId="8" borderId="0">
      <alignment vertical="top"/>
    </xf>
    <xf numFmtId="176" fontId="51" fillId="8" borderId="0">
      <alignment vertical="top"/>
    </xf>
    <xf numFmtId="176" fontId="51" fillId="8" borderId="0">
      <alignment vertical="top"/>
    </xf>
    <xf numFmtId="176" fontId="51" fillId="8" borderId="0">
      <alignment vertical="top"/>
    </xf>
    <xf numFmtId="175" fontId="51" fillId="9" borderId="0">
      <alignment vertical="top"/>
    </xf>
    <xf numFmtId="175" fontId="51" fillId="9" borderId="0">
      <alignment vertical="top"/>
    </xf>
    <xf numFmtId="175" fontId="51" fillId="9" borderId="0">
      <alignment vertical="top"/>
    </xf>
    <xf numFmtId="175" fontId="51" fillId="9" borderId="0">
      <alignment vertical="top"/>
    </xf>
    <xf numFmtId="0" fontId="7" fillId="0" borderId="0"/>
    <xf numFmtId="40" fontId="52" fillId="0" borderId="0" applyFont="0" applyFill="0" applyBorder="0" applyAlignment="0" applyProtection="0"/>
    <xf numFmtId="0" fontId="53" fillId="0" borderId="0"/>
    <xf numFmtId="0" fontId="49" fillId="0" borderId="0"/>
    <xf numFmtId="0" fontId="49" fillId="0" borderId="0"/>
    <xf numFmtId="0" fontId="48" fillId="0" borderId="0"/>
    <xf numFmtId="0" fontId="7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17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7" fontId="50" fillId="0" borderId="0">
      <alignment vertical="top"/>
    </xf>
    <xf numFmtId="17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7" fontId="50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8" fontId="49" fillId="10" borderId="24">
      <alignment wrapText="1"/>
      <protection locked="0"/>
    </xf>
    <xf numFmtId="178" fontId="49" fillId="10" borderId="24">
      <alignment wrapText="1"/>
      <protection locked="0"/>
    </xf>
    <xf numFmtId="178" fontId="49" fillId="10" borderId="24">
      <alignment wrapText="1"/>
      <protection locked="0"/>
    </xf>
    <xf numFmtId="178" fontId="49" fillId="10" borderId="24">
      <alignment wrapText="1"/>
      <protection locked="0"/>
    </xf>
    <xf numFmtId="178" fontId="49" fillId="10" borderId="24">
      <alignment wrapText="1"/>
      <protection locked="0"/>
    </xf>
    <xf numFmtId="0" fontId="54" fillId="11" borderId="25" applyNumberFormat="0">
      <alignment readingOrder="1"/>
      <protection locked="0"/>
    </xf>
    <xf numFmtId="0" fontId="47" fillId="0" borderId="0"/>
    <xf numFmtId="0" fontId="47" fillId="0" borderId="0"/>
    <xf numFmtId="0" fontId="47" fillId="0" borderId="0"/>
    <xf numFmtId="0" fontId="55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174" fontId="48" fillId="0" borderId="0"/>
    <xf numFmtId="0" fontId="48" fillId="0" borderId="0"/>
    <xf numFmtId="174" fontId="48" fillId="0" borderId="0"/>
    <xf numFmtId="0" fontId="48" fillId="0" borderId="0"/>
    <xf numFmtId="174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48" fillId="0" borderId="0"/>
    <xf numFmtId="0" fontId="56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174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7" fontId="50" fillId="0" borderId="0">
      <alignment vertical="top"/>
    </xf>
    <xf numFmtId="0" fontId="47" fillId="0" borderId="0"/>
    <xf numFmtId="174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4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174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4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17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7" fontId="50" fillId="0" borderId="0">
      <alignment vertical="top"/>
    </xf>
    <xf numFmtId="0" fontId="47" fillId="0" borderId="0"/>
    <xf numFmtId="0" fontId="47" fillId="0" borderId="0"/>
    <xf numFmtId="0" fontId="47" fillId="0" borderId="0"/>
    <xf numFmtId="0" fontId="48" fillId="0" borderId="0"/>
    <xf numFmtId="174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7" fontId="50" fillId="0" borderId="0">
      <alignment vertical="top"/>
    </xf>
    <xf numFmtId="17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7" fontId="50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57" fillId="0" borderId="0"/>
    <xf numFmtId="0" fontId="47" fillId="0" borderId="0"/>
    <xf numFmtId="0" fontId="48" fillId="0" borderId="0"/>
    <xf numFmtId="0" fontId="48" fillId="0" borderId="0"/>
    <xf numFmtId="174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174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4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7" fillId="0" borderId="0"/>
    <xf numFmtId="174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174" fontId="47" fillId="0" borderId="0"/>
    <xf numFmtId="0" fontId="47" fillId="0" borderId="0"/>
    <xf numFmtId="0" fontId="47" fillId="0" borderId="0"/>
    <xf numFmtId="0" fontId="47" fillId="0" borderId="0"/>
    <xf numFmtId="0" fontId="57" fillId="0" borderId="0"/>
    <xf numFmtId="0" fontId="48" fillId="0" borderId="0"/>
    <xf numFmtId="174" fontId="48" fillId="0" borderId="0"/>
    <xf numFmtId="179" fontId="57" fillId="0" borderId="0" applyFont="0" applyFill="0" applyBorder="0" applyAlignment="0" applyProtection="0"/>
    <xf numFmtId="0" fontId="58" fillId="0" borderId="26">
      <protection locked="0"/>
    </xf>
    <xf numFmtId="180" fontId="59" fillId="0" borderId="0">
      <protection locked="0"/>
    </xf>
    <xf numFmtId="181" fontId="59" fillId="0" borderId="0">
      <protection locked="0"/>
    </xf>
    <xf numFmtId="168" fontId="58" fillId="0" borderId="0">
      <protection locked="0"/>
    </xf>
    <xf numFmtId="168" fontId="58" fillId="0" borderId="0">
      <protection locked="0"/>
    </xf>
    <xf numFmtId="168" fontId="58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82" fontId="59" fillId="0" borderId="26">
      <protection locked="0"/>
    </xf>
    <xf numFmtId="183" fontId="57" fillId="0" borderId="0">
      <alignment horizontal="center"/>
    </xf>
    <xf numFmtId="183" fontId="57" fillId="0" borderId="0">
      <alignment horizontal="center"/>
    </xf>
    <xf numFmtId="183" fontId="57" fillId="0" borderId="0">
      <alignment horizontal="center"/>
    </xf>
    <xf numFmtId="183" fontId="57" fillId="0" borderId="0">
      <alignment horizontal="center"/>
    </xf>
    <xf numFmtId="0" fontId="61" fillId="12" borderId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3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3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3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3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3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3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3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3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23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3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3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3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18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5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6" borderId="0" applyNumberFormat="0" applyBorder="0" applyAlignment="0" applyProtection="0"/>
    <xf numFmtId="0" fontId="64" fillId="24" borderId="0" applyNumberFormat="0" applyBorder="0" applyAlignment="0" applyProtection="0"/>
    <xf numFmtId="0" fontId="65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5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5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5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5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5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5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5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30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31" borderId="0" applyNumberFormat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32" borderId="25" applyNumberFormat="0" applyAlignment="0"/>
    <xf numFmtId="0" fontId="56" fillId="0" borderId="0"/>
    <xf numFmtId="184" fontId="55" fillId="0" borderId="27">
      <protection locked="0"/>
    </xf>
    <xf numFmtId="185" fontId="57" fillId="0" borderId="0" applyFont="0" applyFill="0" applyBorder="0" applyAlignment="0" applyProtection="0"/>
    <xf numFmtId="186" fontId="57" fillId="0" borderId="0" applyFont="0" applyFill="0" applyBorder="0" applyAlignment="0" applyProtection="0"/>
    <xf numFmtId="0" fontId="68" fillId="14" borderId="0" applyNumberFormat="0" applyBorder="0" applyAlignment="0" applyProtection="0"/>
    <xf numFmtId="10" fontId="69" fillId="0" borderId="0" applyNumberFormat="0" applyFill="0" applyBorder="0" applyAlignment="0"/>
    <xf numFmtId="0" fontId="70" fillId="0" borderId="0"/>
    <xf numFmtId="0" fontId="71" fillId="23" borderId="25" applyNumberFormat="0" applyAlignment="0" applyProtection="0"/>
    <xf numFmtId="0" fontId="35" fillId="0" borderId="25" applyNumberFormat="0" applyAlignment="0">
      <protection locked="0"/>
    </xf>
    <xf numFmtId="0" fontId="35" fillId="0" borderId="25" applyNumberFormat="0" applyAlignment="0">
      <protection locked="0"/>
    </xf>
    <xf numFmtId="0" fontId="35" fillId="0" borderId="25" applyNumberFormat="0" applyAlignment="0">
      <protection locked="0"/>
    </xf>
    <xf numFmtId="0" fontId="35" fillId="0" borderId="25" applyNumberFormat="0" applyAlignment="0">
      <protection locked="0"/>
    </xf>
    <xf numFmtId="0" fontId="72" fillId="33" borderId="28" applyNumberFormat="0" applyAlignment="0" applyProtection="0"/>
    <xf numFmtId="0" fontId="73" fillId="0" borderId="18">
      <alignment horizontal="left" vertical="center"/>
    </xf>
    <xf numFmtId="167" fontId="49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169" fontId="49" fillId="0" borderId="0" applyFont="0" applyFill="0" applyBorder="0" applyAlignment="0" applyProtection="0"/>
    <xf numFmtId="3" fontId="75" fillId="0" borderId="0" applyFont="0" applyFill="0" applyBorder="0" applyAlignment="0" applyProtection="0"/>
    <xf numFmtId="184" fontId="76" fillId="34" borderId="27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61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>
      <alignment horizontal="right"/>
    </xf>
    <xf numFmtId="168" fontId="49" fillId="0" borderId="0" applyFont="0" applyFill="0" applyBorder="0" applyAlignment="0" applyProtection="0"/>
    <xf numFmtId="188" fontId="75" fillId="0" borderId="0" applyFont="0" applyFill="0" applyBorder="0" applyAlignment="0" applyProtection="0"/>
    <xf numFmtId="189" fontId="46" fillId="10" borderId="0">
      <protection locked="0"/>
    </xf>
    <xf numFmtId="0" fontId="74" fillId="0" borderId="0" applyFill="0" applyBorder="0" applyProtection="0">
      <alignment vertical="center"/>
    </xf>
    <xf numFmtId="170" fontId="46" fillId="10" borderId="0">
      <protection locked="0"/>
    </xf>
    <xf numFmtId="190" fontId="46" fillId="10" borderId="0">
      <protection locked="0"/>
    </xf>
    <xf numFmtId="0" fontId="75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77" fillId="0" borderId="0">
      <alignment vertical="top"/>
    </xf>
    <xf numFmtId="0" fontId="35" fillId="35" borderId="25" applyAlignment="0">
      <alignment horizontal="left" vertical="center"/>
    </xf>
    <xf numFmtId="0" fontId="35" fillId="35" borderId="25" applyAlignment="0">
      <alignment horizontal="left" vertical="center"/>
    </xf>
    <xf numFmtId="191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74" fillId="0" borderId="29" applyNumberFormat="0" applyFont="0" applyFill="0" applyAlignment="0" applyProtection="0"/>
    <xf numFmtId="0" fontId="78" fillId="0" borderId="0" applyNumberFormat="0" applyFill="0" applyBorder="0" applyAlignment="0" applyProtection="0"/>
    <xf numFmtId="177" fontId="79" fillId="0" borderId="0">
      <alignment vertical="top"/>
    </xf>
    <xf numFmtId="38" fontId="79" fillId="0" borderId="0">
      <alignment vertical="top"/>
    </xf>
    <xf numFmtId="38" fontId="79" fillId="0" borderId="0">
      <alignment vertical="top"/>
    </xf>
    <xf numFmtId="174" fontId="44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37" fontId="49" fillId="0" borderId="0"/>
    <xf numFmtId="0" fontId="62" fillId="0" borderId="0"/>
    <xf numFmtId="0" fontId="80" fillId="0" borderId="0"/>
    <xf numFmtId="0" fontId="81" fillId="0" borderId="0"/>
    <xf numFmtId="0" fontId="82" fillId="0" borderId="0" applyNumberFormat="0" applyFill="0" applyBorder="0" applyAlignment="0" applyProtection="0"/>
    <xf numFmtId="172" fontId="83" fillId="0" borderId="0" applyFill="0" applyBorder="0" applyAlignment="0" applyProtection="0"/>
    <xf numFmtId="172" fontId="50" fillId="0" borderId="0" applyFill="0" applyBorder="0" applyAlignment="0" applyProtection="0"/>
    <xf numFmtId="172" fontId="84" fillId="0" borderId="0" applyFill="0" applyBorder="0" applyAlignment="0" applyProtection="0"/>
    <xf numFmtId="172" fontId="85" fillId="0" borderId="0" applyFill="0" applyBorder="0" applyAlignment="0" applyProtection="0"/>
    <xf numFmtId="172" fontId="86" fillId="0" borderId="0" applyFill="0" applyBorder="0" applyAlignment="0" applyProtection="0"/>
    <xf numFmtId="172" fontId="87" fillId="0" borderId="0" applyFill="0" applyBorder="0" applyAlignment="0" applyProtection="0"/>
    <xf numFmtId="172" fontId="88" fillId="0" borderId="0" applyFill="0" applyBorder="0" applyAlignment="0" applyProtection="0"/>
    <xf numFmtId="2" fontId="75" fillId="0" borderId="0" applyFont="0" applyFill="0" applyBorder="0" applyAlignment="0" applyProtection="0"/>
    <xf numFmtId="0" fontId="89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Fill="0" applyBorder="0" applyProtection="0">
      <alignment horizontal="left"/>
    </xf>
    <xf numFmtId="0" fontId="35" fillId="15" borderId="25" applyNumberFormat="0" applyAlignment="0"/>
    <xf numFmtId="0" fontId="35" fillId="15" borderId="25" applyNumberFormat="0" applyAlignment="0"/>
    <xf numFmtId="0" fontId="92" fillId="15" borderId="0" applyNumberFormat="0" applyBorder="0" applyAlignment="0" applyProtection="0"/>
    <xf numFmtId="175" fontId="93" fillId="9" borderId="18" applyNumberFormat="0" applyFont="0" applyBorder="0" applyAlignment="0" applyProtection="0"/>
    <xf numFmtId="0" fontId="74" fillId="0" borderId="0" applyFont="0" applyFill="0" applyBorder="0" applyAlignment="0" applyProtection="0">
      <alignment horizontal="right"/>
    </xf>
    <xf numFmtId="193" fontId="94" fillId="9" borderId="0" applyNumberFormat="0" applyFont="0" applyAlignment="0"/>
    <xf numFmtId="0" fontId="95" fillId="0" borderId="30" applyNumberFormat="0" applyBorder="0">
      <alignment horizontal="centerContinuous"/>
    </xf>
    <xf numFmtId="0" fontId="96" fillId="0" borderId="0" applyProtection="0">
      <alignment horizontal="right"/>
    </xf>
    <xf numFmtId="0" fontId="35" fillId="23" borderId="25" applyNumberFormat="0" applyAlignment="0"/>
    <xf numFmtId="0" fontId="35" fillId="23" borderId="25" applyNumberFormat="0" applyAlignment="0"/>
    <xf numFmtId="0" fontId="97" fillId="0" borderId="0">
      <alignment horizontal="center"/>
    </xf>
    <xf numFmtId="0" fontId="97" fillId="36" borderId="0">
      <alignment horizontal="center"/>
    </xf>
    <xf numFmtId="0" fontId="98" fillId="0" borderId="0">
      <alignment vertical="top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31" applyNumberFormat="0" applyFill="0" applyAlignment="0" applyProtection="0"/>
    <xf numFmtId="0" fontId="101" fillId="0" borderId="0" applyNumberFormat="0" applyFill="0" applyBorder="0" applyAlignment="0" applyProtection="0"/>
    <xf numFmtId="2" fontId="102" fillId="37" borderId="0" applyAlignment="0">
      <alignment horizontal="right"/>
      <protection locked="0"/>
    </xf>
    <xf numFmtId="177" fontId="103" fillId="0" borderId="0">
      <alignment vertical="top"/>
    </xf>
    <xf numFmtId="38" fontId="103" fillId="0" borderId="0">
      <alignment vertical="top"/>
    </xf>
    <xf numFmtId="38" fontId="103" fillId="0" borderId="0">
      <alignment vertical="top"/>
    </xf>
    <xf numFmtId="0" fontId="104" fillId="38" borderId="0"/>
    <xf numFmtId="0" fontId="105" fillId="39" borderId="0"/>
    <xf numFmtId="0" fontId="44" fillId="0" borderId="0"/>
    <xf numFmtId="0" fontId="106" fillId="0" borderId="0" applyNumberFormat="0" applyFill="0" applyBorder="0" applyAlignment="0" applyProtection="0">
      <alignment vertical="top"/>
      <protection locked="0"/>
    </xf>
    <xf numFmtId="0" fontId="57" fillId="0" borderId="0"/>
    <xf numFmtId="184" fontId="107" fillId="0" borderId="0"/>
    <xf numFmtId="0" fontId="49" fillId="0" borderId="0"/>
    <xf numFmtId="0" fontId="108" fillId="0" borderId="0" applyNumberFormat="0" applyFill="0" applyBorder="0" applyAlignment="0" applyProtection="0">
      <alignment vertical="top"/>
      <protection locked="0"/>
    </xf>
    <xf numFmtId="194" fontId="109" fillId="0" borderId="18">
      <alignment horizontal="center" vertical="center" wrapText="1"/>
    </xf>
    <xf numFmtId="0" fontId="110" fillId="18" borderId="25" applyNumberFormat="0" applyAlignment="0" applyProtection="0"/>
    <xf numFmtId="0" fontId="111" fillId="0" borderId="0" applyFill="0" applyBorder="0" applyProtection="0">
      <alignment vertical="center"/>
    </xf>
    <xf numFmtId="0" fontId="111" fillId="0" borderId="0" applyFill="0" applyBorder="0" applyProtection="0">
      <alignment vertical="center"/>
    </xf>
    <xf numFmtId="0" fontId="111" fillId="0" borderId="0" applyFill="0" applyBorder="0" applyProtection="0">
      <alignment vertical="center"/>
    </xf>
    <xf numFmtId="0" fontId="111" fillId="0" borderId="0" applyFill="0" applyBorder="0" applyProtection="0">
      <alignment vertical="center"/>
    </xf>
    <xf numFmtId="177" fontId="51" fillId="0" borderId="0">
      <alignment vertical="top"/>
    </xf>
    <xf numFmtId="177" fontId="51" fillId="8" borderId="0">
      <alignment vertical="top"/>
    </xf>
    <xf numFmtId="38" fontId="51" fillId="8" borderId="0">
      <alignment vertical="top"/>
    </xf>
    <xf numFmtId="38" fontId="51" fillId="8" borderId="0">
      <alignment vertical="top"/>
    </xf>
    <xf numFmtId="38" fontId="51" fillId="0" borderId="0">
      <alignment vertical="top"/>
    </xf>
    <xf numFmtId="195" fontId="51" fillId="9" borderId="0">
      <alignment vertical="top"/>
    </xf>
    <xf numFmtId="38" fontId="51" fillId="0" borderId="0">
      <alignment vertical="top"/>
    </xf>
    <xf numFmtId="0" fontId="112" fillId="0" borderId="32" applyNumberFormat="0" applyFill="0" applyAlignment="0" applyProtection="0"/>
    <xf numFmtId="164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114" fillId="0" borderId="18">
      <alignment horizontal="right"/>
      <protection locked="0"/>
    </xf>
    <xf numFmtId="199" fontId="113" fillId="0" borderId="0" applyFont="0" applyFill="0" applyBorder="0" applyAlignment="0" applyProtection="0"/>
    <xf numFmtId="200" fontId="113" fillId="0" borderId="0" applyFont="0" applyFill="0" applyBorder="0" applyAlignment="0" applyProtection="0"/>
    <xf numFmtId="199" fontId="113" fillId="0" borderId="0" applyFont="0" applyFill="0" applyBorder="0" applyAlignment="0" applyProtection="0"/>
    <xf numFmtId="200" fontId="113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74" fillId="0" borderId="0" applyFill="0" applyBorder="0" applyProtection="0">
      <alignment vertical="center"/>
    </xf>
    <xf numFmtId="0" fontId="74" fillId="0" borderId="0" applyFont="0" applyFill="0" applyBorder="0" applyAlignment="0" applyProtection="0">
      <alignment horizontal="right"/>
    </xf>
    <xf numFmtId="3" fontId="57" fillId="0" borderId="33" applyFont="0" applyBorder="0">
      <alignment horizontal="center" vertical="center"/>
    </xf>
    <xf numFmtId="0" fontId="115" fillId="40" borderId="0" applyNumberFormat="0" applyBorder="0" applyAlignment="0" applyProtection="0"/>
    <xf numFmtId="0" fontId="61" fillId="0" borderId="2"/>
    <xf numFmtId="0" fontId="116" fillId="0" borderId="0" applyNumberFormat="0" applyFill="0" applyBorder="0" applyAlignment="0" applyProtection="0"/>
    <xf numFmtId="201" fontId="57" fillId="0" borderId="0"/>
    <xf numFmtId="0" fontId="116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horizontal="right"/>
    </xf>
    <xf numFmtId="0" fontId="57" fillId="0" borderId="0"/>
    <xf numFmtId="0" fontId="118" fillId="0" borderId="0"/>
    <xf numFmtId="0" fontId="74" fillId="0" borderId="0" applyFill="0" applyBorder="0" applyProtection="0">
      <alignment vertical="center"/>
    </xf>
    <xf numFmtId="0" fontId="119" fillId="0" borderId="0"/>
    <xf numFmtId="0" fontId="49" fillId="0" borderId="0"/>
    <xf numFmtId="0" fontId="47" fillId="0" borderId="0"/>
    <xf numFmtId="0" fontId="46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202" fontId="57" fillId="0" borderId="0" applyFont="0" applyAlignment="0">
      <alignment horizontal="center"/>
    </xf>
    <xf numFmtId="203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0" fontId="93" fillId="0" borderId="0"/>
    <xf numFmtId="205" fontId="93" fillId="0" borderId="0" applyFont="0" applyFill="0" applyBorder="0" applyAlignment="0" applyProtection="0"/>
    <xf numFmtId="206" fontId="93" fillId="0" borderId="0" applyFont="0" applyFill="0" applyBorder="0" applyAlignment="0" applyProtection="0"/>
    <xf numFmtId="0" fontId="120" fillId="23" borderId="35" applyNumberFormat="0" applyAlignment="0" applyProtection="0"/>
    <xf numFmtId="1" fontId="121" fillId="0" borderId="0" applyProtection="0">
      <alignment horizontal="right" vertical="center"/>
    </xf>
    <xf numFmtId="49" fontId="122" fillId="0" borderId="36" applyFill="0" applyProtection="0">
      <alignment vertical="center"/>
    </xf>
    <xf numFmtId="9" fontId="49" fillId="0" borderId="0" applyFont="0" applyFill="0" applyBorder="0" applyAlignment="0" applyProtection="0"/>
    <xf numFmtId="0" fontId="74" fillId="0" borderId="0" applyFill="0" applyBorder="0" applyProtection="0">
      <alignment vertical="center"/>
    </xf>
    <xf numFmtId="37" fontId="123" fillId="10" borderId="37"/>
    <xf numFmtId="37" fontId="123" fillId="10" borderId="37"/>
    <xf numFmtId="0" fontId="124" fillId="0" borderId="0" applyNumberFormat="0">
      <alignment horizontal="left"/>
    </xf>
    <xf numFmtId="207" fontId="125" fillId="0" borderId="38" applyBorder="0">
      <alignment horizontal="right"/>
      <protection locked="0"/>
    </xf>
    <xf numFmtId="49" fontId="126" fillId="0" borderId="18" applyNumberFormat="0">
      <alignment horizontal="left" vertical="center"/>
    </xf>
    <xf numFmtId="0" fontId="127" fillId="0" borderId="39">
      <alignment vertical="center"/>
    </xf>
    <xf numFmtId="4" fontId="128" fillId="10" borderId="35" applyNumberFormat="0" applyProtection="0">
      <alignment vertical="center"/>
    </xf>
    <xf numFmtId="4" fontId="129" fillId="10" borderId="35" applyNumberFormat="0" applyProtection="0">
      <alignment vertical="center"/>
    </xf>
    <xf numFmtId="4" fontId="128" fillId="10" borderId="35" applyNumberFormat="0" applyProtection="0">
      <alignment horizontal="left" vertical="center" indent="1"/>
    </xf>
    <xf numFmtId="4" fontId="128" fillId="10" borderId="35" applyNumberFormat="0" applyProtection="0">
      <alignment horizontal="left" vertical="center" indent="1"/>
    </xf>
    <xf numFmtId="0" fontId="49" fillId="11" borderId="35" applyNumberFormat="0" applyProtection="0">
      <alignment horizontal="left" vertical="center" indent="1"/>
    </xf>
    <xf numFmtId="4" fontId="128" fillId="42" borderId="35" applyNumberFormat="0" applyProtection="0">
      <alignment horizontal="right" vertical="center"/>
    </xf>
    <xf numFmtId="4" fontId="128" fillId="43" borderId="35" applyNumberFormat="0" applyProtection="0">
      <alignment horizontal="right" vertical="center"/>
    </xf>
    <xf numFmtId="4" fontId="128" fillId="44" borderId="35" applyNumberFormat="0" applyProtection="0">
      <alignment horizontal="right" vertical="center"/>
    </xf>
    <xf numFmtId="4" fontId="128" fillId="45" borderId="35" applyNumberFormat="0" applyProtection="0">
      <alignment horizontal="right" vertical="center"/>
    </xf>
    <xf numFmtId="4" fontId="128" fillId="46" borderId="35" applyNumberFormat="0" applyProtection="0">
      <alignment horizontal="right" vertical="center"/>
    </xf>
    <xf numFmtId="4" fontId="128" fillId="47" borderId="35" applyNumberFormat="0" applyProtection="0">
      <alignment horizontal="right" vertical="center"/>
    </xf>
    <xf numFmtId="4" fontId="128" fillId="48" borderId="35" applyNumberFormat="0" applyProtection="0">
      <alignment horizontal="right" vertical="center"/>
    </xf>
    <xf numFmtId="4" fontId="128" fillId="49" borderId="35" applyNumberFormat="0" applyProtection="0">
      <alignment horizontal="right" vertical="center"/>
    </xf>
    <xf numFmtId="4" fontId="128" fillId="50" borderId="35" applyNumberFormat="0" applyProtection="0">
      <alignment horizontal="right" vertical="center"/>
    </xf>
    <xf numFmtId="4" fontId="130" fillId="51" borderId="35" applyNumberFormat="0" applyProtection="0">
      <alignment horizontal="left" vertical="center" indent="1"/>
    </xf>
    <xf numFmtId="4" fontId="128" fillId="52" borderId="40" applyNumberFormat="0" applyProtection="0">
      <alignment horizontal="left" vertical="center" indent="1"/>
    </xf>
    <xf numFmtId="4" fontId="131" fillId="53" borderId="0" applyNumberFormat="0" applyProtection="0">
      <alignment horizontal="left" vertical="center" indent="1"/>
    </xf>
    <xf numFmtId="0" fontId="49" fillId="11" borderId="35" applyNumberFormat="0" applyProtection="0">
      <alignment horizontal="left" vertical="center" indent="1"/>
    </xf>
    <xf numFmtId="4" fontId="7" fillId="52" borderId="35" applyNumberFormat="0" applyProtection="0">
      <alignment horizontal="left" vertical="center" indent="1"/>
    </xf>
    <xf numFmtId="4" fontId="7" fillId="54" borderId="35" applyNumberFormat="0" applyProtection="0">
      <alignment horizontal="left" vertical="center" indent="1"/>
    </xf>
    <xf numFmtId="0" fontId="49" fillId="54" borderId="35" applyNumberFormat="0" applyProtection="0">
      <alignment horizontal="left" vertical="center" indent="1"/>
    </xf>
    <xf numFmtId="0" fontId="49" fillId="54" borderId="35" applyNumberFormat="0" applyProtection="0">
      <alignment horizontal="left" vertical="center" indent="1"/>
    </xf>
    <xf numFmtId="0" fontId="49" fillId="55" borderId="35" applyNumberFormat="0" applyProtection="0">
      <alignment horizontal="left" vertical="center" indent="1"/>
    </xf>
    <xf numFmtId="0" fontId="49" fillId="55" borderId="35" applyNumberFormat="0" applyProtection="0">
      <alignment horizontal="left" vertical="center" indent="1"/>
    </xf>
    <xf numFmtId="0" fontId="49" fillId="8" borderId="35" applyNumberFormat="0" applyProtection="0">
      <alignment horizontal="left" vertical="center" indent="1"/>
    </xf>
    <xf numFmtId="0" fontId="49" fillId="8" borderId="35" applyNumberFormat="0" applyProtection="0">
      <alignment horizontal="left" vertical="center" indent="1"/>
    </xf>
    <xf numFmtId="0" fontId="49" fillId="11" borderId="35" applyNumberFormat="0" applyProtection="0">
      <alignment horizontal="left" vertical="center" indent="1"/>
    </xf>
    <xf numFmtId="0" fontId="49" fillId="11" borderId="35" applyNumberFormat="0" applyProtection="0">
      <alignment horizontal="left" vertical="center" indent="1"/>
    </xf>
    <xf numFmtId="0" fontId="57" fillId="0" borderId="0"/>
    <xf numFmtId="4" fontId="128" fillId="56" borderId="35" applyNumberFormat="0" applyProtection="0">
      <alignment vertical="center"/>
    </xf>
    <xf numFmtId="4" fontId="129" fillId="56" borderId="35" applyNumberFormat="0" applyProtection="0">
      <alignment vertical="center"/>
    </xf>
    <xf numFmtId="4" fontId="128" fillId="56" borderId="35" applyNumberFormat="0" applyProtection="0">
      <alignment horizontal="left" vertical="center" indent="1"/>
    </xf>
    <xf numFmtId="4" fontId="128" fillId="56" borderId="35" applyNumberFormat="0" applyProtection="0">
      <alignment horizontal="left" vertical="center" indent="1"/>
    </xf>
    <xf numFmtId="4" fontId="128" fillId="52" borderId="35" applyNumberFormat="0" applyProtection="0">
      <alignment horizontal="right" vertical="center"/>
    </xf>
    <xf numFmtId="4" fontId="129" fillId="52" borderId="35" applyNumberFormat="0" applyProtection="0">
      <alignment horizontal="right" vertical="center"/>
    </xf>
    <xf numFmtId="0" fontId="49" fillId="11" borderId="35" applyNumberFormat="0" applyProtection="0">
      <alignment horizontal="left" vertical="center" indent="1"/>
    </xf>
    <xf numFmtId="0" fontId="49" fillId="11" borderId="35" applyNumberFormat="0" applyProtection="0">
      <alignment horizontal="left" vertical="center" indent="1"/>
    </xf>
    <xf numFmtId="0" fontId="132" fillId="0" borderId="0"/>
    <xf numFmtId="4" fontId="133" fillId="52" borderId="35" applyNumberFormat="0" applyProtection="0">
      <alignment horizontal="right" vertical="center"/>
    </xf>
    <xf numFmtId="0" fontId="134" fillId="0" borderId="0">
      <alignment horizontal="left" vertical="center" wrapText="1"/>
    </xf>
    <xf numFmtId="208" fontId="135" fillId="0" borderId="18">
      <alignment horizontal="left" vertical="center"/>
      <protection locked="0"/>
    </xf>
    <xf numFmtId="0" fontId="49" fillId="0" borderId="0"/>
    <xf numFmtId="0" fontId="47" fillId="0" borderId="0"/>
    <xf numFmtId="2" fontId="136" fillId="57" borderId="41" applyProtection="0"/>
    <xf numFmtId="2" fontId="136" fillId="57" borderId="41" applyProtection="0"/>
    <xf numFmtId="2" fontId="137" fillId="0" borderId="0" applyFill="0" applyBorder="0" applyProtection="0"/>
    <xf numFmtId="2" fontId="54" fillId="0" borderId="0" applyFill="0" applyBorder="0" applyProtection="0"/>
    <xf numFmtId="2" fontId="54" fillId="58" borderId="41" applyProtection="0"/>
    <xf numFmtId="2" fontId="54" fillId="59" borderId="41" applyProtection="0"/>
    <xf numFmtId="2" fontId="54" fillId="60" borderId="41" applyProtection="0"/>
    <xf numFmtId="2" fontId="54" fillId="60" borderId="41" applyProtection="0">
      <alignment horizontal="center"/>
    </xf>
    <xf numFmtId="2" fontId="54" fillId="59" borderId="41" applyProtection="0">
      <alignment horizontal="center"/>
    </xf>
    <xf numFmtId="0" fontId="138" fillId="0" borderId="0" applyBorder="0" applyProtection="0">
      <alignment vertical="center"/>
    </xf>
    <xf numFmtId="0" fontId="138" fillId="0" borderId="36" applyBorder="0" applyProtection="0">
      <alignment horizontal="right" vertical="center"/>
    </xf>
    <xf numFmtId="0" fontId="139" fillId="61" borderId="0" applyBorder="0" applyProtection="0">
      <alignment horizontal="centerContinuous" vertical="center"/>
    </xf>
    <xf numFmtId="0" fontId="139" fillId="62" borderId="36" applyBorder="0" applyProtection="0">
      <alignment horizontal="centerContinuous" vertical="center"/>
    </xf>
    <xf numFmtId="0" fontId="140" fillId="0" borderId="0"/>
    <xf numFmtId="177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0" fontId="119" fillId="0" borderId="0"/>
    <xf numFmtId="0" fontId="142" fillId="0" borderId="0" applyFill="0" applyBorder="0" applyProtection="0">
      <alignment horizontal="left"/>
    </xf>
    <xf numFmtId="0" fontId="91" fillId="0" borderId="42" applyFill="0" applyBorder="0" applyProtection="0">
      <alignment horizontal="left" vertical="top"/>
    </xf>
    <xf numFmtId="0" fontId="143" fillId="0" borderId="0">
      <alignment horizontal="centerContinuous"/>
    </xf>
    <xf numFmtId="4" fontId="62" fillId="64" borderId="0">
      <alignment horizontal="right"/>
    </xf>
    <xf numFmtId="4" fontId="62" fillId="64" borderId="0">
      <alignment horizontal="right"/>
    </xf>
    <xf numFmtId="0" fontId="144" fillId="0" borderId="42" applyFill="0" applyBorder="0" applyProtection="0"/>
    <xf numFmtId="0" fontId="144" fillId="0" borderId="0"/>
    <xf numFmtId="0" fontId="145" fillId="0" borderId="0" applyFill="0" applyBorder="0" applyProtection="0"/>
    <xf numFmtId="0" fontId="146" fillId="0" borderId="0"/>
    <xf numFmtId="0" fontId="147" fillId="0" borderId="0" applyNumberFormat="0" applyFill="0" applyBorder="0" applyAlignment="0" applyProtection="0"/>
    <xf numFmtId="0" fontId="148" fillId="65" borderId="43" applyNumberFormat="0">
      <alignment horizontal="center" vertical="center"/>
    </xf>
    <xf numFmtId="49" fontId="149" fillId="55" borderId="44" applyNumberFormat="0">
      <alignment horizontal="center" vertical="center"/>
    </xf>
    <xf numFmtId="0" fontId="75" fillId="0" borderId="45" applyNumberFormat="0" applyFont="0" applyFill="0" applyAlignment="0" applyProtection="0"/>
    <xf numFmtId="0" fontId="75" fillId="0" borderId="45" applyNumberFormat="0" applyFont="0" applyFill="0" applyAlignment="0" applyProtection="0"/>
    <xf numFmtId="0" fontId="150" fillId="0" borderId="29" applyFill="0" applyBorder="0" applyProtection="0">
      <alignment vertical="center"/>
    </xf>
    <xf numFmtId="0" fontId="151" fillId="0" borderId="0">
      <alignment horizontal="fill"/>
    </xf>
    <xf numFmtId="0" fontId="93" fillId="0" borderId="0"/>
    <xf numFmtId="0" fontId="152" fillId="0" borderId="0" applyNumberFormat="0" applyFill="0" applyBorder="0" applyAlignment="0" applyProtection="0"/>
    <xf numFmtId="0" fontId="153" fillId="0" borderId="36" applyBorder="0" applyProtection="0">
      <alignment horizontal="right"/>
    </xf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5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5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29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5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3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5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5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26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5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5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5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5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5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5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184" fontId="55" fillId="0" borderId="27">
      <protection locked="0"/>
    </xf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54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0" fontId="110" fillId="18" borderId="25" applyNumberFormat="0" applyAlignment="0" applyProtection="0"/>
    <xf numFmtId="3" fontId="155" fillId="0" borderId="0">
      <alignment horizontal="center" vertical="center" textRotation="90" wrapText="1"/>
    </xf>
    <xf numFmtId="209" fontId="55" fillId="0" borderId="18">
      <alignment vertical="top" wrapText="1"/>
    </xf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56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56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56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56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56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56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120" fillId="23" borderId="3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157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157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157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157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157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157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71" fillId="23" borderId="25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210" fontId="162" fillId="0" borderId="18">
      <alignment vertical="top" wrapText="1"/>
    </xf>
    <xf numFmtId="4" fontId="163" fillId="0" borderId="18">
      <alignment horizontal="left" vertical="center"/>
    </xf>
    <xf numFmtId="4" fontId="163" fillId="0" borderId="18"/>
    <xf numFmtId="4" fontId="163" fillId="66" borderId="18"/>
    <xf numFmtId="4" fontId="163" fillId="67" borderId="18"/>
    <xf numFmtId="4" fontId="164" fillId="68" borderId="18"/>
    <xf numFmtId="4" fontId="165" fillId="8" borderId="18"/>
    <xf numFmtId="4" fontId="166" fillId="0" borderId="18">
      <alignment horizontal="center" wrapText="1"/>
    </xf>
    <xf numFmtId="210" fontId="163" fillId="0" borderId="18"/>
    <xf numFmtId="210" fontId="162" fillId="0" borderId="18">
      <alignment horizontal="center" vertical="center" wrapText="1"/>
    </xf>
    <xf numFmtId="210" fontId="162" fillId="0" borderId="18">
      <alignment vertical="top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11" fontId="49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168" fontId="62" fillId="0" borderId="0" applyFont="0" applyFill="0" applyBorder="0" applyAlignment="0" applyProtection="0"/>
    <xf numFmtId="0" fontId="49" fillId="0" borderId="0"/>
    <xf numFmtId="0" fontId="49" fillId="0" borderId="0"/>
    <xf numFmtId="0" fontId="167" fillId="0" borderId="0" applyBorder="0">
      <alignment horizontal="center" vertical="center" wrapText="1"/>
    </xf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9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9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9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9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9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9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68" fillId="0" borderId="46" applyNumberFormat="0" applyFill="0" applyAlignment="0" applyProtection="0"/>
    <xf numFmtId="0" fontId="170" fillId="0" borderId="47" applyNumberFormat="0" applyFill="0" applyAlignment="0" applyProtection="0"/>
    <xf numFmtId="0" fontId="41" fillId="0" borderId="22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1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1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1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1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1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1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70" fillId="0" borderId="47" applyNumberFormat="0" applyFill="0" applyAlignment="0" applyProtection="0"/>
    <xf numFmtId="0" fontId="101" fillId="0" borderId="31" applyNumberFormat="0" applyFill="0" applyAlignment="0" applyProtection="0"/>
    <xf numFmtId="0" fontId="42" fillId="0" borderId="23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72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72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72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72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72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72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31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8" fontId="173" fillId="0" borderId="0" applyProtection="0">
      <alignment horizontal="center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5" fillId="0" borderId="48" applyBorder="0">
      <alignment horizontal="center" vertical="center" wrapText="1"/>
    </xf>
    <xf numFmtId="184" fontId="76" fillId="34" borderId="27"/>
    <xf numFmtId="4" fontId="46" fillId="10" borderId="18" applyBorder="0">
      <alignment horizontal="right"/>
    </xf>
    <xf numFmtId="49" fontId="176" fillId="0" borderId="0" applyBorder="0">
      <alignment vertical="center"/>
    </xf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8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8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8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8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8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8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0" fontId="177" fillId="0" borderId="49" applyNumberFormat="0" applyFill="0" applyAlignment="0" applyProtection="0"/>
    <xf numFmtId="3" fontId="76" fillId="0" borderId="18" applyBorder="0">
      <alignment vertical="center"/>
    </xf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116" fillId="0" borderId="26" applyNumberFormat="0" applyFill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179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179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179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179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179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179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72" fillId="33" borderId="28" applyNumberFormat="0" applyAlignment="0" applyProtection="0"/>
    <xf numFmtId="0" fontId="57" fillId="0" borderId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0" fontId="116" fillId="9" borderId="0" applyFill="0">
      <alignment wrapText="1"/>
    </xf>
    <xf numFmtId="174" fontId="116" fillId="9" borderId="0" applyFill="0">
      <alignment wrapText="1"/>
    </xf>
    <xf numFmtId="0" fontId="175" fillId="0" borderId="0">
      <alignment horizontal="center" vertical="top" wrapText="1"/>
    </xf>
    <xf numFmtId="0" fontId="180" fillId="0" borderId="0">
      <alignment horizontal="center" vertical="center" wrapText="1"/>
    </xf>
    <xf numFmtId="0" fontId="180" fillId="0" borderId="0">
      <alignment horizontal="center" vertical="center" wrapText="1"/>
    </xf>
    <xf numFmtId="174" fontId="175" fillId="0" borderId="0">
      <alignment horizontal="center" vertical="top" wrapText="1"/>
    </xf>
    <xf numFmtId="170" fontId="181" fillId="9" borderId="18">
      <alignment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82" fillId="0" borderId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83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83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83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83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83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83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49" fontId="155" fillId="0" borderId="18">
      <alignment horizontal="right" vertical="top" wrapText="1"/>
    </xf>
    <xf numFmtId="172" fontId="184" fillId="0" borderId="0">
      <alignment horizontal="right" vertical="top" wrapText="1"/>
    </xf>
    <xf numFmtId="0" fontId="35" fillId="0" borderId="0"/>
    <xf numFmtId="0" fontId="1" fillId="0" borderId="0"/>
    <xf numFmtId="0" fontId="1" fillId="0" borderId="0"/>
    <xf numFmtId="49" fontId="46" fillId="0" borderId="0" applyBorder="0">
      <alignment vertical="top"/>
    </xf>
    <xf numFmtId="0" fontId="35" fillId="0" borderId="0"/>
    <xf numFmtId="0" fontId="35" fillId="0" borderId="0"/>
    <xf numFmtId="0" fontId="185" fillId="0" borderId="0"/>
    <xf numFmtId="0" fontId="49" fillId="0" borderId="0"/>
    <xf numFmtId="0" fontId="49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62" fillId="0" borderId="0"/>
    <xf numFmtId="0" fontId="35" fillId="0" borderId="0"/>
    <xf numFmtId="0" fontId="187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9" fontId="46" fillId="0" borderId="0" applyBorder="0">
      <alignment vertical="top"/>
    </xf>
    <xf numFmtId="0" fontId="62" fillId="0" borderId="0"/>
    <xf numFmtId="0" fontId="62" fillId="0" borderId="0"/>
    <xf numFmtId="49" fontId="46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86" fillId="0" borderId="0"/>
    <xf numFmtId="0" fontId="57" fillId="0" borderId="0"/>
    <xf numFmtId="0" fontId="50" fillId="0" borderId="0">
      <alignment horizontal="left"/>
    </xf>
    <xf numFmtId="0" fontId="1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8" fillId="50" borderId="0" applyNumberFormat="0" applyBorder="0" applyAlignment="0">
      <alignment horizontal="left" vertical="center"/>
    </xf>
    <xf numFmtId="0" fontId="57" fillId="0" borderId="0"/>
    <xf numFmtId="0" fontId="189" fillId="0" borderId="0"/>
    <xf numFmtId="0" fontId="57" fillId="0" borderId="0"/>
    <xf numFmtId="0" fontId="49" fillId="0" borderId="0"/>
    <xf numFmtId="0" fontId="57" fillId="0" borderId="0"/>
    <xf numFmtId="0" fontId="186" fillId="0" borderId="0"/>
    <xf numFmtId="0" fontId="186" fillId="0" borderId="0"/>
    <xf numFmtId="49" fontId="46" fillId="0" borderId="0" applyBorder="0">
      <alignment vertical="top"/>
    </xf>
    <xf numFmtId="0" fontId="186" fillId="0" borderId="0"/>
    <xf numFmtId="0" fontId="57" fillId="0" borderId="0"/>
    <xf numFmtId="0" fontId="49" fillId="0" borderId="0" applyNumberFormat="0" applyFont="0" applyFill="0" applyBorder="0" applyAlignment="0" applyProtection="0">
      <alignment vertical="top"/>
    </xf>
    <xf numFmtId="0" fontId="189" fillId="0" borderId="0"/>
    <xf numFmtId="0" fontId="49" fillId="0" borderId="0"/>
    <xf numFmtId="0" fontId="62" fillId="0" borderId="0"/>
    <xf numFmtId="0" fontId="62" fillId="0" borderId="0"/>
    <xf numFmtId="0" fontId="57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190" fillId="0" borderId="0"/>
    <xf numFmtId="0" fontId="55" fillId="0" borderId="0"/>
    <xf numFmtId="0" fontId="57" fillId="0" borderId="0"/>
    <xf numFmtId="0" fontId="189" fillId="0" borderId="0"/>
    <xf numFmtId="0" fontId="62" fillId="0" borderId="0"/>
    <xf numFmtId="0" fontId="62" fillId="0" borderId="0"/>
    <xf numFmtId="0" fontId="57" fillId="0" borderId="0"/>
    <xf numFmtId="0" fontId="1" fillId="0" borderId="0"/>
    <xf numFmtId="0" fontId="1" fillId="0" borderId="0"/>
    <xf numFmtId="0" fontId="189" fillId="0" borderId="0"/>
    <xf numFmtId="0" fontId="62" fillId="0" borderId="0"/>
    <xf numFmtId="0" fontId="57" fillId="0" borderId="0"/>
    <xf numFmtId="0" fontId="4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9" fillId="0" borderId="0"/>
    <xf numFmtId="0" fontId="62" fillId="0" borderId="0"/>
    <xf numFmtId="0" fontId="5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9" fillId="0" borderId="0"/>
    <xf numFmtId="0" fontId="49" fillId="0" borderId="0"/>
    <xf numFmtId="0" fontId="62" fillId="0" borderId="0"/>
    <xf numFmtId="0" fontId="57" fillId="0" borderId="0"/>
    <xf numFmtId="0" fontId="5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7" fillId="0" borderId="0"/>
    <xf numFmtId="0" fontId="1" fillId="0" borderId="0"/>
    <xf numFmtId="0" fontId="1" fillId="0" borderId="0"/>
    <xf numFmtId="0" fontId="62" fillId="0" borderId="0"/>
    <xf numFmtId="0" fontId="57" fillId="0" borderId="0"/>
    <xf numFmtId="0" fontId="49" fillId="0" borderId="0"/>
    <xf numFmtId="0" fontId="57" fillId="0" borderId="0"/>
    <xf numFmtId="0" fontId="49" fillId="0" borderId="0"/>
    <xf numFmtId="0" fontId="57" fillId="0" borderId="0"/>
    <xf numFmtId="0" fontId="35" fillId="0" borderId="0">
      <alignment wrapText="1"/>
    </xf>
    <xf numFmtId="0" fontId="57" fillId="0" borderId="0"/>
    <xf numFmtId="0" fontId="35" fillId="0" borderId="0">
      <alignment wrapText="1"/>
    </xf>
    <xf numFmtId="0" fontId="35" fillId="0" borderId="0">
      <alignment wrapText="1"/>
    </xf>
    <xf numFmtId="0" fontId="57" fillId="0" borderId="0"/>
    <xf numFmtId="0" fontId="35" fillId="0" borderId="0">
      <alignment wrapText="1"/>
    </xf>
    <xf numFmtId="0" fontId="35" fillId="0" borderId="0">
      <alignment wrapText="1"/>
    </xf>
    <xf numFmtId="0" fontId="57" fillId="0" borderId="0"/>
    <xf numFmtId="0" fontId="35" fillId="0" borderId="0">
      <alignment wrapText="1"/>
    </xf>
    <xf numFmtId="0" fontId="35" fillId="0" borderId="0">
      <alignment wrapText="1"/>
    </xf>
    <xf numFmtId="0" fontId="35" fillId="0" borderId="0">
      <alignment wrapText="1"/>
    </xf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49" fillId="0" borderId="0"/>
    <xf numFmtId="0" fontId="57" fillId="0" borderId="0"/>
    <xf numFmtId="0" fontId="49" fillId="0" borderId="0"/>
    <xf numFmtId="0" fontId="57" fillId="0" borderId="0"/>
    <xf numFmtId="0" fontId="49" fillId="0" borderId="0"/>
    <xf numFmtId="0" fontId="57" fillId="0" borderId="0"/>
    <xf numFmtId="0" fontId="57" fillId="0" borderId="0"/>
    <xf numFmtId="49" fontId="46" fillId="50" borderId="0" applyBorder="0">
      <alignment vertical="top"/>
    </xf>
    <xf numFmtId="0" fontId="49" fillId="0" borderId="0"/>
    <xf numFmtId="0" fontId="57" fillId="0" borderId="0"/>
    <xf numFmtId="0" fontId="62" fillId="0" borderId="0"/>
    <xf numFmtId="0" fontId="62" fillId="0" borderId="0"/>
    <xf numFmtId="0" fontId="57" fillId="0" borderId="0"/>
    <xf numFmtId="0" fontId="49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90" fillId="0" borderId="0"/>
    <xf numFmtId="0" fontId="49" fillId="0" borderId="0"/>
    <xf numFmtId="0" fontId="57" fillId="0" borderId="0"/>
    <xf numFmtId="0" fontId="57" fillId="0" borderId="0"/>
    <xf numFmtId="0" fontId="191" fillId="0" borderId="0"/>
    <xf numFmtId="0" fontId="1" fillId="0" borderId="0"/>
    <xf numFmtId="0" fontId="1" fillId="0" borderId="0"/>
    <xf numFmtId="0" fontId="57" fillId="0" borderId="0"/>
    <xf numFmtId="212" fontId="8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12" fontId="89" fillId="0" borderId="0"/>
    <xf numFmtId="0" fontId="62" fillId="0" borderId="0"/>
    <xf numFmtId="0" fontId="57" fillId="0" borderId="0"/>
    <xf numFmtId="0" fontId="49" fillId="0" borderId="0"/>
    <xf numFmtId="0" fontId="57" fillId="0" borderId="0"/>
    <xf numFmtId="0" fontId="49" fillId="0" borderId="0"/>
    <xf numFmtId="0" fontId="57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57" fillId="0" borderId="0"/>
    <xf numFmtId="0" fontId="35" fillId="0" borderId="0"/>
    <xf numFmtId="0" fontId="57" fillId="0" borderId="0"/>
    <xf numFmtId="0" fontId="57" fillId="0" borderId="0"/>
    <xf numFmtId="0" fontId="35" fillId="0" borderId="0"/>
    <xf numFmtId="0" fontId="57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62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6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9" fontId="46" fillId="0" borderId="0" applyBorder="0">
      <alignment vertical="top"/>
    </xf>
    <xf numFmtId="0" fontId="35" fillId="0" borderId="0"/>
    <xf numFmtId="0" fontId="18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1" fontId="192" fillId="0" borderId="18">
      <alignment horizontal="left" vertical="center"/>
    </xf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93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93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93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93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93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93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57" fillId="0" borderId="0" applyFont="0" applyFill="0" applyBorder="0" applyProtection="0">
      <alignment horizontal="center" vertical="center" wrapText="1"/>
    </xf>
    <xf numFmtId="0" fontId="57" fillId="0" borderId="0" applyNumberFormat="0" applyFont="0" applyFill="0" applyBorder="0" applyProtection="0">
      <alignment horizontal="justify" vertical="center" wrapText="1"/>
    </xf>
    <xf numFmtId="210" fontId="173" fillId="0" borderId="18">
      <alignment vertical="top"/>
    </xf>
    <xf numFmtId="172" fontId="194" fillId="10" borderId="37" applyNumberFormat="0" applyBorder="0" applyAlignment="0">
      <alignment vertical="center"/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57" fillId="41" borderId="34" applyNumberFormat="0" applyFont="0" applyAlignment="0" applyProtection="0"/>
    <xf numFmtId="0" fontId="62" fillId="41" borderId="34" applyNumberFormat="0" applyFont="0" applyAlignment="0" applyProtection="0"/>
    <xf numFmtId="0" fontId="62" fillId="41" borderId="34" applyNumberFormat="0" applyFont="0" applyAlignment="0" applyProtection="0"/>
    <xf numFmtId="0" fontId="62" fillId="41" borderId="34" applyNumberFormat="0" applyFont="0" applyAlignment="0" applyProtection="0"/>
    <xf numFmtId="0" fontId="62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57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35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63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63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0" fontId="49" fillId="41" borderId="34" applyNumberFormat="0" applyFont="0" applyAlignment="0" applyProtection="0"/>
    <xf numFmtId="49" fontId="164" fillId="0" borderId="24">
      <alignment horizontal="left" vertical="center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5" fillId="0" borderId="0" applyFill="0" applyBorder="0" applyAlignment="0" applyProtection="0"/>
    <xf numFmtId="9" fontId="35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2" fillId="0" borderId="0" applyFont="0" applyFill="0" applyBorder="0" applyAlignment="0" applyProtection="0"/>
    <xf numFmtId="213" fontId="196" fillId="0" borderId="18"/>
    <xf numFmtId="0" fontId="57" fillId="0" borderId="18" applyNumberFormat="0" applyFont="0" applyFill="0" applyAlignment="0" applyProtection="0"/>
    <xf numFmtId="3" fontId="197" fillId="69" borderId="24">
      <alignment horizontal="justify" vertical="center"/>
    </xf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98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98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98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98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98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98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112" fillId="0" borderId="32" applyNumberFormat="0" applyFill="0" applyAlignment="0" applyProtection="0"/>
    <xf numFmtId="0" fontId="47" fillId="0" borderId="0"/>
    <xf numFmtId="177" fontId="50" fillId="0" borderId="0">
      <alignment vertical="top"/>
    </xf>
    <xf numFmtId="38" fontId="50" fillId="0" borderId="0">
      <alignment vertical="top"/>
    </xf>
    <xf numFmtId="0" fontId="48" fillId="0" borderId="0"/>
    <xf numFmtId="38" fontId="50" fillId="0" borderId="0">
      <alignment vertical="top"/>
    </xf>
    <xf numFmtId="0" fontId="47" fillId="0" borderId="0"/>
    <xf numFmtId="177" fontId="50" fillId="0" borderId="0">
      <alignment vertical="top"/>
    </xf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8" fontId="56" fillId="0" borderId="0" applyFont="0" applyFill="0" applyBorder="0" applyAlignment="0" applyProtection="0"/>
    <xf numFmtId="3" fontId="202" fillId="0" borderId="24" applyFont="0" applyBorder="0">
      <alignment horizontal="right"/>
      <protection locked="0"/>
    </xf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14" fontId="49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89" fillId="0" borderId="0" applyFont="0" applyFill="0" applyBorder="0" applyAlignment="0" applyProtection="0"/>
    <xf numFmtId="215" fontId="4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189" fillId="0" borderId="0" applyFont="0" applyFill="0" applyBorder="0" applyAlignment="0" applyProtection="0"/>
    <xf numFmtId="215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69" fontId="5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62" fillId="0" borderId="0" applyFont="0" applyFill="0" applyBorder="0" applyAlignment="0" applyProtection="0"/>
    <xf numFmtId="215" fontId="49" fillId="0" borderId="0" applyFont="0" applyFill="0" applyBorder="0" applyAlignment="0" applyProtection="0"/>
    <xf numFmtId="169" fontId="62" fillId="0" borderId="0" applyFont="0" applyFill="0" applyBorder="0" applyAlignment="0" applyProtection="0"/>
    <xf numFmtId="216" fontId="49" fillId="0" borderId="0" applyFont="0" applyFill="0" applyBorder="0" applyAlignment="0" applyProtection="0"/>
    <xf numFmtId="216" fontId="49" fillId="0" borderId="0" applyFont="0" applyFill="0" applyBorder="0" applyAlignment="0" applyProtection="0"/>
    <xf numFmtId="215" fontId="4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191" fillId="0" borderId="0" applyFont="0" applyFill="0" applyBorder="0" applyAlignment="0" applyProtection="0"/>
    <xf numFmtId="169" fontId="191" fillId="0" borderId="0" applyFont="0" applyFill="0" applyBorder="0" applyAlignment="0" applyProtection="0"/>
    <xf numFmtId="169" fontId="191" fillId="0" borderId="0" applyFont="0" applyFill="0" applyBorder="0" applyAlignment="0" applyProtection="0"/>
    <xf numFmtId="217" fontId="57" fillId="0" borderId="0" applyFont="0" applyFill="0" applyBorder="0" applyAlignment="0" applyProtection="0"/>
    <xf numFmtId="4" fontId="46" fillId="9" borderId="0" applyFont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Font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0" applyBorder="0">
      <alignment horizontal="right"/>
    </xf>
    <xf numFmtId="4" fontId="46" fillId="9" borderId="50" applyBorder="0">
      <alignment horizontal="right"/>
    </xf>
    <xf numFmtId="4" fontId="46" fillId="9" borderId="50" applyBorder="0">
      <alignment horizontal="right"/>
    </xf>
    <xf numFmtId="4" fontId="46" fillId="70" borderId="51" applyBorder="0">
      <alignment horizontal="right"/>
    </xf>
    <xf numFmtId="4" fontId="46" fillId="70" borderId="51" applyBorder="0">
      <alignment horizontal="right"/>
    </xf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203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203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203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203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203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203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0" fontId="92" fillId="15" borderId="0" applyNumberFormat="0" applyBorder="0" applyAlignment="0" applyProtection="0"/>
    <xf numFmtId="171" fontId="55" fillId="0" borderId="24">
      <alignment vertical="top" wrapText="1"/>
    </xf>
    <xf numFmtId="189" fontId="57" fillId="0" borderId="18" applyFont="0" applyFill="0" applyBorder="0" applyProtection="0">
      <alignment horizontal="center" vertical="center"/>
    </xf>
    <xf numFmtId="3" fontId="57" fillId="0" borderId="0" applyFont="0" applyBorder="0">
      <alignment horizontal="center"/>
    </xf>
    <xf numFmtId="168" fontId="58" fillId="0" borderId="0">
      <protection locked="0"/>
    </xf>
    <xf numFmtId="49" fontId="162" fillId="0" borderId="18">
      <alignment horizontal="center" vertical="center" wrapText="1"/>
    </xf>
    <xf numFmtId="0" fontId="55" fillId="0" borderId="18" applyBorder="0">
      <alignment horizontal="center" vertical="center" wrapText="1"/>
    </xf>
    <xf numFmtId="49" fontId="162" fillId="0" borderId="18">
      <alignment horizontal="center" vertical="center" wrapText="1"/>
    </xf>
    <xf numFmtId="49" fontId="134" fillId="0" borderId="18" applyNumberFormat="0" applyFill="0" applyAlignment="0" applyProtection="0"/>
    <xf numFmtId="170" fontId="57" fillId="0" borderId="0"/>
    <xf numFmtId="0" fontId="110" fillId="18" borderId="25" applyNumberFormat="0" applyAlignment="0" applyProtection="0"/>
    <xf numFmtId="0" fontId="49" fillId="0" borderId="0"/>
    <xf numFmtId="0" fontId="205" fillId="0" borderId="0"/>
    <xf numFmtId="0" fontId="205" fillId="41" borderId="34" applyNumberFormat="0" applyFont="0" applyAlignment="0" applyProtection="0"/>
    <xf numFmtId="0" fontId="205" fillId="0" borderId="0"/>
    <xf numFmtId="0" fontId="205" fillId="41" borderId="34" applyNumberFormat="0" applyFont="0" applyAlignment="0" applyProtection="0"/>
    <xf numFmtId="0" fontId="205" fillId="41" borderId="34" applyNumberFormat="0" applyFont="0" applyAlignment="0" applyProtection="0"/>
    <xf numFmtId="0" fontId="205" fillId="41" borderId="34" applyNumberFormat="0" applyFont="0" applyAlignment="0" applyProtection="0"/>
    <xf numFmtId="0" fontId="205" fillId="41" borderId="34" applyNumberFormat="0" applyFont="0" applyAlignment="0" applyProtection="0"/>
    <xf numFmtId="0" fontId="205" fillId="0" borderId="0"/>
    <xf numFmtId="0" fontId="205" fillId="0" borderId="0"/>
    <xf numFmtId="0" fontId="20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64" fillId="27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8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29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30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64" fillId="31" borderId="0"/>
    <xf numFmtId="0" fontId="235" fillId="80" borderId="54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110" fillId="18" borderId="25"/>
    <xf numFmtId="0" fontId="236" fillId="81" borderId="5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120" fillId="23" borderId="35"/>
    <xf numFmtId="0" fontId="237" fillId="81" borderId="54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71" fillId="23" borderId="25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68" fillId="0" borderId="46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70" fillId="0" borderId="47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31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177" fillId="0" borderId="49"/>
    <xf numFmtId="0" fontId="72" fillId="82" borderId="57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72" fillId="33" borderId="28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4" fillId="0" borderId="0"/>
    <xf numFmtId="0" fontId="238" fillId="79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115" fillId="40" borderId="0"/>
    <xf numFmtId="0" fontId="64" fillId="27" borderId="0"/>
    <xf numFmtId="0" fontId="64" fillId="25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2" fillId="16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4" fillId="25" borderId="0"/>
    <xf numFmtId="0" fontId="64" fillId="25" borderId="0"/>
    <xf numFmtId="0" fontId="62" fillId="15" borderId="0"/>
    <xf numFmtId="0" fontId="64" fillId="25" borderId="0"/>
    <xf numFmtId="0" fontId="62" fillId="15" borderId="0"/>
    <xf numFmtId="0" fontId="62" fillId="15" borderId="0"/>
    <xf numFmtId="0" fontId="62" fillId="15" borderId="0"/>
    <xf numFmtId="0" fontId="62" fillId="18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5" borderId="0"/>
    <xf numFmtId="0" fontId="62" fillId="18" borderId="0"/>
    <xf numFmtId="0" fontId="62" fillId="18" borderId="0"/>
    <xf numFmtId="0" fontId="62" fillId="18" borderId="0"/>
    <xf numFmtId="0" fontId="62" fillId="14" borderId="0"/>
    <xf numFmtId="0" fontId="62" fillId="16" borderId="0"/>
    <xf numFmtId="0" fontId="62" fillId="18" borderId="0"/>
    <xf numFmtId="0" fontId="62" fillId="18" borderId="0"/>
    <xf numFmtId="0" fontId="62" fillId="18" borderId="0"/>
    <xf numFmtId="0" fontId="62" fillId="16" borderId="0"/>
    <xf numFmtId="0" fontId="62" fillId="16" borderId="0"/>
    <xf numFmtId="0" fontId="64" fillId="25" borderId="0"/>
    <xf numFmtId="0" fontId="62" fillId="14" borderId="0"/>
    <xf numFmtId="0" fontId="64" fillId="25" borderId="0"/>
    <xf numFmtId="0" fontId="62" fillId="14" borderId="0"/>
    <xf numFmtId="0" fontId="62" fillId="14" borderId="0"/>
    <xf numFmtId="0" fontId="62" fillId="14" borderId="0"/>
    <xf numFmtId="0" fontId="64" fillId="24" borderId="0"/>
    <xf numFmtId="0" fontId="64" fillId="25" borderId="0"/>
    <xf numFmtId="0" fontId="64" fillId="24" borderId="0"/>
    <xf numFmtId="0" fontId="64" fillId="24" borderId="0"/>
    <xf numFmtId="0" fontId="64" fillId="24" borderId="0"/>
    <xf numFmtId="0" fontId="62" fillId="17" borderId="0"/>
    <xf numFmtId="0" fontId="64" fillId="24" borderId="0"/>
    <xf numFmtId="0" fontId="56" fillId="0" borderId="0"/>
    <xf numFmtId="0" fontId="56" fillId="0" borderId="0"/>
    <xf numFmtId="0" fontId="64" fillId="24" borderId="0"/>
    <xf numFmtId="0" fontId="62" fillId="21" borderId="0"/>
    <xf numFmtId="0" fontId="62" fillId="13" borderId="0"/>
    <xf numFmtId="0" fontId="64" fillId="24" borderId="0"/>
    <xf numFmtId="0" fontId="64" fillId="24" borderId="0"/>
    <xf numFmtId="0" fontId="62" fillId="17" borderId="0"/>
    <xf numFmtId="0" fontId="62" fillId="17" borderId="0"/>
    <xf numFmtId="0" fontId="62" fillId="17" borderId="0"/>
    <xf numFmtId="0" fontId="64" fillId="25" borderId="0"/>
    <xf numFmtId="0" fontId="62" fillId="17" borderId="0"/>
    <xf numFmtId="0" fontId="62" fillId="13" borderId="0"/>
    <xf numFmtId="0" fontId="62" fillId="17" borderId="0"/>
    <xf numFmtId="0" fontId="62" fillId="13" borderId="0"/>
    <xf numFmtId="0" fontId="62" fillId="13" borderId="0"/>
    <xf numFmtId="0" fontId="62" fillId="13" borderId="0"/>
    <xf numFmtId="0" fontId="64" fillId="25" borderId="0"/>
    <xf numFmtId="0" fontId="239" fillId="78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68" fillId="14" borderId="0"/>
    <xf numFmtId="0" fontId="24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5" fillId="83" borderId="58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35" fillId="41" borderId="34"/>
    <xf numFmtId="0" fontId="241" fillId="0" borderId="56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112" fillId="0" borderId="32"/>
    <xf numFmtId="0" fontId="24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43" fillId="77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92" fillId="15" borderId="0"/>
    <xf numFmtId="0" fontId="64" fillId="20" borderId="0"/>
    <xf numFmtId="0" fontId="62" fillId="15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4" fillId="27" borderId="0"/>
    <xf numFmtId="0" fontId="62" fillId="16" borderId="0"/>
    <xf numFmtId="0" fontId="62" fillId="16" borderId="0"/>
    <xf numFmtId="0" fontId="62" fillId="16" borderId="0"/>
    <xf numFmtId="0" fontId="64" fillId="20" borderId="0"/>
    <xf numFmtId="0" fontId="62" fillId="16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2" fillId="19" borderId="0"/>
    <xf numFmtId="0" fontId="62" fillId="1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17" borderId="0"/>
    <xf numFmtId="0" fontId="62" fillId="17" borderId="0"/>
    <xf numFmtId="0" fontId="62" fillId="17" borderId="0"/>
    <xf numFmtId="0" fontId="64" fillId="20" borderId="0"/>
    <xf numFmtId="0" fontId="62" fillId="17" borderId="0"/>
    <xf numFmtId="0" fontId="62" fillId="20" borderId="0"/>
    <xf numFmtId="0" fontId="62" fillId="20" borderId="0"/>
    <xf numFmtId="0" fontId="62" fillId="20" borderId="0"/>
    <xf numFmtId="0" fontId="62" fillId="19" borderId="0"/>
    <xf numFmtId="0" fontId="64" fillId="20" borderId="0"/>
    <xf numFmtId="0" fontId="64" fillId="27" borderId="0"/>
    <xf numFmtId="0" fontId="64" fillId="20" borderId="0"/>
    <xf numFmtId="0" fontId="62" fillId="17" borderId="0"/>
    <xf numFmtId="0" fontId="64" fillId="27" borderId="0"/>
    <xf numFmtId="0" fontId="62" fillId="20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6" borderId="0"/>
    <xf numFmtId="0" fontId="62" fillId="22" borderId="0"/>
    <xf numFmtId="0" fontId="62" fillId="22" borderId="0"/>
    <xf numFmtId="0" fontId="62" fillId="18" borderId="0"/>
    <xf numFmtId="0" fontId="62" fillId="18" borderId="0"/>
    <xf numFmtId="0" fontId="62" fillId="18" borderId="0"/>
    <xf numFmtId="0" fontId="62" fillId="22" borderId="0"/>
    <xf numFmtId="0" fontId="62" fillId="18" borderId="0"/>
    <xf numFmtId="0" fontId="64" fillId="26" borderId="0"/>
    <xf numFmtId="0" fontId="62" fillId="21" borderId="0"/>
    <xf numFmtId="0" fontId="62" fillId="21" borderId="0"/>
    <xf numFmtId="0" fontId="62" fillId="21" borderId="0"/>
    <xf numFmtId="0" fontId="62" fillId="22" borderId="0"/>
    <xf numFmtId="0" fontId="62" fillId="21" borderId="0"/>
    <xf numFmtId="0" fontId="62" fillId="21" borderId="0"/>
    <xf numFmtId="0" fontId="62" fillId="18" borderId="0"/>
    <xf numFmtId="0" fontId="62" fillId="21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4" fillId="26" borderId="0"/>
    <xf numFmtId="0" fontId="62" fillId="21" borderId="0"/>
    <xf numFmtId="0" fontId="64" fillId="26" borderId="0"/>
    <xf numFmtId="0" fontId="64" fillId="21" borderId="0"/>
    <xf numFmtId="0" fontId="62" fillId="19" borderId="0"/>
    <xf numFmtId="0" fontId="62" fillId="19" borderId="0"/>
    <xf numFmtId="0" fontId="62" fillId="19" borderId="0"/>
    <xf numFmtId="0" fontId="62" fillId="22" borderId="0"/>
    <xf numFmtId="0" fontId="62" fillId="19" borderId="0"/>
    <xf numFmtId="0" fontId="64" fillId="21" borderId="0"/>
    <xf numFmtId="0" fontId="64" fillId="21" borderId="0"/>
    <xf numFmtId="0" fontId="64" fillId="26" borderId="0"/>
    <xf numFmtId="0" fontId="64" fillId="21" borderId="0"/>
    <xf numFmtId="0" fontId="64" fillId="21" borderId="0"/>
    <xf numFmtId="0" fontId="64" fillId="21" borderId="0"/>
    <xf numFmtId="0" fontId="62" fillId="16" borderId="0"/>
    <xf numFmtId="0" fontId="62" fillId="19" borderId="0"/>
    <xf numFmtId="0" fontId="62" fillId="16" borderId="0"/>
    <xf numFmtId="0" fontId="62" fillId="16" borderId="0"/>
    <xf numFmtId="0" fontId="64" fillId="21" borderId="0"/>
    <xf numFmtId="0" fontId="62" fillId="16" borderId="0"/>
    <xf numFmtId="0" fontId="62" fillId="16" borderId="0"/>
    <xf numFmtId="0" fontId="64" fillId="21" borderId="0"/>
    <xf numFmtId="0" fontId="64" fillId="21" borderId="0"/>
    <xf numFmtId="0" fontId="64" fillId="24" borderId="0"/>
    <xf numFmtId="0" fontId="64" fillId="24" borderId="0"/>
    <xf numFmtId="0" fontId="62" fillId="20" borderId="0"/>
    <xf numFmtId="0" fontId="62" fillId="20" borderId="0"/>
    <xf numFmtId="0" fontId="62" fillId="20" borderId="0"/>
    <xf numFmtId="0" fontId="64" fillId="24" borderId="0"/>
    <xf numFmtId="0" fontId="62" fillId="20" borderId="0"/>
    <xf numFmtId="0" fontId="62" fillId="16" borderId="0"/>
    <xf numFmtId="0" fontId="64" fillId="21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20" borderId="0"/>
    <xf numFmtId="0" fontId="64" fillId="26" borderId="0"/>
    <xf numFmtId="0" fontId="64" fillId="21" borderId="0"/>
    <xf numFmtId="0" fontId="64" fillId="26" borderId="0"/>
    <xf numFmtId="0" fontId="62" fillId="19" borderId="0"/>
    <xf numFmtId="0" fontId="62" fillId="19" borderId="0"/>
    <xf numFmtId="0" fontId="62" fillId="19" borderId="0"/>
    <xf numFmtId="0" fontId="64" fillId="24" borderId="0"/>
    <xf numFmtId="0" fontId="62" fillId="19" borderId="0"/>
    <xf numFmtId="0" fontId="62" fillId="19" borderId="0"/>
    <xf numFmtId="0" fontId="62" fillId="21" borderId="0"/>
    <xf numFmtId="0" fontId="62" fillId="21" borderId="0"/>
    <xf numFmtId="0" fontId="62" fillId="21" borderId="0"/>
    <xf numFmtId="0" fontId="62" fillId="19" borderId="0"/>
    <xf numFmtId="0" fontId="62" fillId="21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2" fillId="19" borderId="0"/>
    <xf numFmtId="0" fontId="64" fillId="26" borderId="0"/>
    <xf numFmtId="0" fontId="62" fillId="21" borderId="0"/>
    <xf numFmtId="0" fontId="64" fillId="27" borderId="0"/>
    <xf numFmtId="0" fontId="64" fillId="27" borderId="0"/>
    <xf numFmtId="0" fontId="64" fillId="25" borderId="0"/>
    <xf numFmtId="0" fontId="64" fillId="20" borderId="0"/>
    <xf numFmtId="0" fontId="64" fillId="20" borderId="0"/>
    <xf numFmtId="0" fontId="64" fillId="20" borderId="0"/>
    <xf numFmtId="0" fontId="64" fillId="25" borderId="0"/>
    <xf numFmtId="0" fontId="64" fillId="20" borderId="0"/>
    <xf numFmtId="0" fontId="62" fillId="22" borderId="0"/>
    <xf numFmtId="0" fontId="62" fillId="16" borderId="0"/>
    <xf numFmtId="0" fontId="62" fillId="16" borderId="0"/>
    <xf numFmtId="0" fontId="62" fillId="16" borderId="0"/>
    <xf numFmtId="0" fontId="62" fillId="22" borderId="0"/>
    <xf numFmtId="0" fontId="62" fillId="16" borderId="0"/>
    <xf numFmtId="0" fontId="62" fillId="22" borderId="0"/>
    <xf numFmtId="0" fontId="64" fillId="20" borderId="0"/>
    <xf numFmtId="0" fontId="62" fillId="22" borderId="0"/>
    <xf numFmtId="0" fontId="62" fillId="22" borderId="0"/>
    <xf numFmtId="0" fontId="62" fillId="22" borderId="0"/>
    <xf numFmtId="0" fontId="64" fillId="20" borderId="0"/>
    <xf numFmtId="0" fontId="64" fillId="20" borderId="0"/>
    <xf numFmtId="0" fontId="62" fillId="16" borderId="0"/>
    <xf numFmtId="0" fontId="64" fillId="20" borderId="0"/>
    <xf numFmtId="0" fontId="64" fillId="25" borderId="0"/>
    <xf numFmtId="0" fontId="64" fillId="27" borderId="0"/>
    <xf numFmtId="0" fontId="62" fillId="22" borderId="0"/>
    <xf numFmtId="0" fontId="64" fillId="25" borderId="0"/>
    <xf numFmtId="0" fontId="64" fillId="20" borderId="0"/>
    <xf numFmtId="0" fontId="64" fillId="25" borderId="0"/>
    <xf numFmtId="0" fontId="64" fillId="25" borderId="0"/>
    <xf numFmtId="0" fontId="64" fillId="25" borderId="0"/>
    <xf numFmtId="0" fontId="62" fillId="19" borderId="0"/>
    <xf numFmtId="0" fontId="62" fillId="19" borderId="0"/>
    <xf numFmtId="0" fontId="62" fillId="19" borderId="0"/>
    <xf numFmtId="0" fontId="64" fillId="25" borderId="0"/>
    <xf numFmtId="0" fontId="62" fillId="19" borderId="0"/>
    <xf numFmtId="0" fontId="64" fillId="25" borderId="0"/>
    <xf numFmtId="0" fontId="64" fillId="25" borderId="0"/>
    <xf numFmtId="0" fontId="64" fillId="27" borderId="0"/>
    <xf numFmtId="0" fontId="64" fillId="24" borderId="0"/>
    <xf numFmtId="0" fontId="64" fillId="24" borderId="0"/>
    <xf numFmtId="0" fontId="64" fillId="24" borderId="0"/>
    <xf numFmtId="0" fontId="64" fillId="25" borderId="0"/>
    <xf numFmtId="0" fontId="62" fillId="19" borderId="0"/>
    <xf numFmtId="0" fontId="64" fillId="24" borderId="0"/>
    <xf numFmtId="0" fontId="64" fillId="24" borderId="0"/>
    <xf numFmtId="0" fontId="64" fillId="24" borderId="0"/>
    <xf numFmtId="0" fontId="64" fillId="27" borderId="0"/>
    <xf numFmtId="0" fontId="64" fillId="21" borderId="0"/>
    <xf numFmtId="0" fontId="64" fillId="21" borderId="0"/>
    <xf numFmtId="0" fontId="64" fillId="21" borderId="0"/>
    <xf numFmtId="0" fontId="64" fillId="27" borderId="0"/>
    <xf numFmtId="0" fontId="64" fillId="24" borderId="0"/>
    <xf numFmtId="0" fontId="62" fillId="22" borderId="0"/>
    <xf numFmtId="0" fontId="62" fillId="22" borderId="0"/>
    <xf numFmtId="0" fontId="62" fillId="22" borderId="0"/>
    <xf numFmtId="0" fontId="64" fillId="21" borderId="0"/>
    <xf numFmtId="0" fontId="62" fillId="22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7" borderId="0"/>
    <xf numFmtId="0" fontId="64" fillId="27" borderId="0"/>
    <xf numFmtId="0" fontId="64" fillId="27" borderId="0"/>
    <xf numFmtId="0" fontId="62" fillId="22" borderId="0"/>
    <xf numFmtId="0" fontId="64" fillId="21" borderId="0"/>
    <xf numFmtId="0" fontId="64" fillId="20" borderId="0"/>
    <xf numFmtId="0" fontId="64" fillId="20" borderId="0"/>
    <xf numFmtId="0" fontId="64" fillId="20" borderId="0"/>
    <xf numFmtId="0" fontId="64" fillId="27" borderId="0"/>
    <xf numFmtId="0" fontId="64" fillId="20" borderId="0"/>
    <xf numFmtId="0" fontId="64" fillId="20" borderId="0"/>
    <xf numFmtId="0" fontId="64" fillId="20" borderId="0"/>
    <xf numFmtId="0" fontId="64" fillId="27" borderId="0"/>
    <xf numFmtId="0" fontId="64" fillId="24" borderId="0"/>
    <xf numFmtId="0" fontId="64" fillId="24" borderId="0"/>
    <xf numFmtId="0" fontId="64" fillId="24" borderId="0"/>
    <xf numFmtId="0" fontId="64" fillId="27" borderId="0"/>
    <xf numFmtId="0" fontId="64" fillId="24" borderId="0"/>
    <xf numFmtId="0" fontId="64" fillId="27" borderId="0"/>
    <xf numFmtId="0" fontId="64" fillId="26" borderId="0"/>
    <xf numFmtId="0" fontId="64" fillId="26" borderId="0"/>
    <xf numFmtId="0" fontId="64" fillId="20" borderId="0"/>
    <xf numFmtId="0" fontId="64" fillId="26" borderId="0"/>
    <xf numFmtId="0" fontId="64" fillId="27" borderId="0"/>
    <xf numFmtId="0" fontId="64" fillId="26" borderId="0"/>
    <xf numFmtId="0" fontId="64" fillId="24" borderId="0"/>
    <xf numFmtId="0" fontId="64" fillId="25" borderId="0"/>
    <xf numFmtId="0" fontId="64" fillId="25" borderId="0"/>
    <xf numFmtId="0" fontId="64" fillId="25" borderId="0"/>
    <xf numFmtId="0" fontId="64" fillId="26" borderId="0"/>
    <xf numFmtId="0" fontId="64" fillId="25" borderId="0"/>
    <xf numFmtId="0" fontId="64" fillId="25" borderId="0"/>
    <xf numFmtId="0" fontId="64" fillId="21" borderId="0"/>
    <xf numFmtId="0" fontId="64" fillId="21" borderId="0"/>
    <xf numFmtId="0" fontId="64" fillId="21" borderId="0"/>
    <xf numFmtId="0" fontId="64" fillId="20" borderId="0"/>
    <xf numFmtId="0" fontId="64" fillId="20" borderId="0"/>
    <xf numFmtId="0" fontId="64" fillId="20" borderId="0"/>
    <xf numFmtId="0" fontId="64" fillId="25" borderId="0"/>
    <xf numFmtId="0" fontId="64" fillId="20" borderId="0"/>
    <xf numFmtId="0" fontId="64" fillId="21" borderId="0"/>
    <xf numFmtId="0" fontId="64" fillId="21" borderId="0"/>
    <xf numFmtId="0" fontId="64" fillId="21" borderId="0"/>
    <xf numFmtId="0" fontId="64" fillId="25" borderId="0"/>
    <xf numFmtId="0" fontId="64" fillId="25" borderId="0"/>
    <xf numFmtId="0" fontId="64" fillId="26" borderId="0"/>
    <xf numFmtId="0" fontId="64" fillId="26" borderId="0"/>
    <xf numFmtId="0" fontId="64" fillId="20" borderId="0"/>
    <xf numFmtId="0" fontId="64" fillId="26" borderId="0"/>
    <xf numFmtId="0" fontId="64" fillId="21" borderId="0"/>
    <xf numFmtId="0" fontId="64" fillId="25" borderId="0"/>
    <xf numFmtId="0" fontId="64" fillId="26" borderId="0"/>
    <xf numFmtId="0" fontId="64" fillId="26" borderId="0"/>
    <xf numFmtId="0" fontId="64" fillId="27" borderId="0"/>
    <xf numFmtId="0" fontId="64" fillId="26" borderId="0"/>
    <xf numFmtId="0" fontId="64" fillId="27" borderId="0"/>
    <xf numFmtId="0" fontId="64" fillId="27" borderId="0"/>
    <xf numFmtId="0" fontId="64" fillId="21" borderId="0"/>
    <xf numFmtId="0" fontId="64" fillId="21" borderId="0"/>
    <xf numFmtId="0" fontId="64" fillId="21" borderId="0"/>
    <xf numFmtId="0" fontId="64" fillId="27" borderId="0"/>
    <xf numFmtId="0" fontId="64" fillId="21" borderId="0"/>
    <xf numFmtId="0" fontId="64" fillId="27" borderId="0"/>
    <xf numFmtId="0" fontId="64" fillId="25" borderId="0"/>
    <xf numFmtId="0" fontId="64" fillId="25" borderId="0"/>
    <xf numFmtId="0" fontId="64" fillId="25" borderId="0"/>
    <xf numFmtId="0" fontId="64" fillId="27" borderId="0"/>
    <xf numFmtId="0" fontId="64" fillId="25" borderId="0"/>
    <xf numFmtId="0" fontId="64" fillId="25" borderId="0"/>
    <xf numFmtId="0" fontId="64" fillId="21" borderId="0"/>
    <xf numFmtId="0" fontId="64" fillId="25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6" borderId="0"/>
    <xf numFmtId="0" fontId="64" fillId="25" borderId="0"/>
    <xf numFmtId="0" fontId="64" fillId="26" borderId="0"/>
    <xf numFmtId="0" fontId="64" fillId="26" borderId="0"/>
    <xf numFmtId="0" fontId="64" fillId="25" borderId="0"/>
    <xf numFmtId="0" fontId="64" fillId="25" borderId="0"/>
    <xf numFmtId="0" fontId="64" fillId="25" borderId="0"/>
    <xf numFmtId="0" fontId="64" fillId="26" borderId="0"/>
    <xf numFmtId="0" fontId="64" fillId="25" borderId="0"/>
    <xf numFmtId="0" fontId="64" fillId="26" borderId="0"/>
    <xf numFmtId="0" fontId="64" fillId="27" borderId="0"/>
    <xf numFmtId="0" fontId="64" fillId="26" borderId="0"/>
    <xf numFmtId="0" fontId="64" fillId="27" borderId="0"/>
    <xf numFmtId="0" fontId="64" fillId="26" borderId="0"/>
    <xf numFmtId="0" fontId="64" fillId="25" borderId="0"/>
    <xf numFmtId="0" fontId="64" fillId="26" borderId="0"/>
    <xf numFmtId="0" fontId="64" fillId="26" borderId="0"/>
    <xf numFmtId="0" fontId="64" fillId="27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7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6" borderId="0"/>
    <xf numFmtId="0" fontId="64" fillId="27" borderId="0"/>
    <xf numFmtId="0" fontId="64" fillId="26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6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6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5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7" borderId="0"/>
    <xf numFmtId="0" fontId="64" fillId="27" borderId="0"/>
    <xf numFmtId="0" fontId="64" fillId="25" borderId="0"/>
    <xf numFmtId="0" fontId="64" fillId="25" borderId="0"/>
    <xf numFmtId="0" fontId="64" fillId="26" borderId="0"/>
    <xf numFmtId="0" fontId="64" fillId="25" borderId="0"/>
    <xf numFmtId="0" fontId="64" fillId="25" borderId="0"/>
    <xf numFmtId="0" fontId="64" fillId="25" borderId="0"/>
    <xf numFmtId="0" fontId="64" fillId="27" borderId="0"/>
    <xf numFmtId="0" fontId="64" fillId="27" borderId="0"/>
    <xf numFmtId="0" fontId="64" fillId="26" borderId="0"/>
    <xf numFmtId="0" fontId="64" fillId="26" borderId="0"/>
    <xf numFmtId="0" fontId="64" fillId="26" borderId="0"/>
    <xf numFmtId="0" fontId="64" fillId="25" borderId="0"/>
    <xf numFmtId="0" fontId="64" fillId="26" borderId="0"/>
    <xf numFmtId="0" fontId="64" fillId="26" borderId="0"/>
    <xf numFmtId="0" fontId="64" fillId="26" borderId="0"/>
    <xf numFmtId="0" fontId="64" fillId="21" borderId="0"/>
    <xf numFmtId="0" fontId="64" fillId="27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6" borderId="0"/>
    <xf numFmtId="0" fontId="64" fillId="21" borderId="0"/>
    <xf numFmtId="0" fontId="64" fillId="21" borderId="0"/>
    <xf numFmtId="0" fontId="64" fillId="25" borderId="0"/>
    <xf numFmtId="0" fontId="64" fillId="21" borderId="0"/>
    <xf numFmtId="0" fontId="64" fillId="21" borderId="0"/>
    <xf numFmtId="0" fontId="64" fillId="21" borderId="0"/>
    <xf numFmtId="0" fontId="64" fillId="25" borderId="0"/>
    <xf numFmtId="0" fontId="64" fillId="25" borderId="0"/>
    <xf numFmtId="0" fontId="64" fillId="26" borderId="0"/>
    <xf numFmtId="0" fontId="64" fillId="26" borderId="0"/>
    <xf numFmtId="0" fontId="64" fillId="27" borderId="0"/>
    <xf numFmtId="0" fontId="64" fillId="27" borderId="0"/>
    <xf numFmtId="0" fontId="64" fillId="27" borderId="0"/>
    <xf numFmtId="0" fontId="64" fillId="26" borderId="0"/>
    <xf numFmtId="0" fontId="64" fillId="26" borderId="0"/>
    <xf numFmtId="0" fontId="64" fillId="20" borderId="0"/>
    <xf numFmtId="0" fontId="64" fillId="26" borderId="0"/>
    <xf numFmtId="0" fontId="64" fillId="26" borderId="0"/>
    <xf numFmtId="0" fontId="64" fillId="21" borderId="0"/>
    <xf numFmtId="0" fontId="64" fillId="26" borderId="0"/>
    <xf numFmtId="0" fontId="64" fillId="26" borderId="0"/>
    <xf numFmtId="0" fontId="64" fillId="25" borderId="0"/>
    <xf numFmtId="0" fontId="64" fillId="20" borderId="0"/>
    <xf numFmtId="0" fontId="64" fillId="20" borderId="0"/>
    <xf numFmtId="0" fontId="64" fillId="26" borderId="0"/>
    <xf numFmtId="0" fontId="64" fillId="20" borderId="0"/>
    <xf numFmtId="0" fontId="64" fillId="20" borderId="0"/>
    <xf numFmtId="0" fontId="64" fillId="20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6" borderId="0"/>
    <xf numFmtId="0" fontId="64" fillId="21" borderId="0"/>
    <xf numFmtId="0" fontId="64" fillId="21" borderId="0"/>
    <xf numFmtId="0" fontId="64" fillId="21" borderId="0"/>
    <xf numFmtId="0" fontId="64" fillId="25" borderId="0"/>
    <xf numFmtId="0" fontId="64" fillId="24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6" borderId="0"/>
    <xf numFmtId="0" fontId="64" fillId="24" borderId="0"/>
    <xf numFmtId="0" fontId="64" fillId="24" borderId="0"/>
    <xf numFmtId="0" fontId="64" fillId="25" borderId="0"/>
    <xf numFmtId="0" fontId="64" fillId="24" borderId="0"/>
    <xf numFmtId="0" fontId="64" fillId="24" borderId="0"/>
    <xf numFmtId="0" fontId="64" fillId="24" borderId="0"/>
    <xf numFmtId="0" fontId="64" fillId="25" borderId="0"/>
    <xf numFmtId="0" fontId="64" fillId="20" borderId="0"/>
    <xf numFmtId="0" fontId="64" fillId="25" borderId="0"/>
    <xf numFmtId="0" fontId="64" fillId="27" borderId="0"/>
    <xf numFmtId="0" fontId="64" fillId="26" borderId="0"/>
    <xf numFmtId="0" fontId="64" fillId="26" borderId="0"/>
    <xf numFmtId="0" fontId="64" fillId="20" borderId="0"/>
    <xf numFmtId="0" fontId="64" fillId="20" borderId="0"/>
    <xf numFmtId="0" fontId="64" fillId="20" borderId="0"/>
    <xf numFmtId="0" fontId="62" fillId="22" borderId="0"/>
    <xf numFmtId="0" fontId="64" fillId="20" borderId="0"/>
    <xf numFmtId="0" fontId="64" fillId="26" borderId="0"/>
    <xf numFmtId="0" fontId="64" fillId="20" borderId="0"/>
    <xf numFmtId="0" fontId="64" fillId="20" borderId="0"/>
    <xf numFmtId="0" fontId="64" fillId="20" borderId="0"/>
    <xf numFmtId="0" fontId="64" fillId="27" borderId="0"/>
    <xf numFmtId="0" fontId="62" fillId="22" borderId="0"/>
    <xf numFmtId="0" fontId="62" fillId="22" borderId="0"/>
    <xf numFmtId="0" fontId="64" fillId="27" borderId="0"/>
    <xf numFmtId="0" fontId="62" fillId="22" borderId="0"/>
    <xf numFmtId="0" fontId="62" fillId="22" borderId="0"/>
    <xf numFmtId="0" fontId="62" fillId="22" borderId="0"/>
    <xf numFmtId="0" fontId="64" fillId="27" borderId="0"/>
    <xf numFmtId="0" fontId="64" fillId="27" borderId="0"/>
    <xf numFmtId="0" fontId="64" fillId="27" borderId="0"/>
    <xf numFmtId="0" fontId="64" fillId="21" borderId="0"/>
    <xf numFmtId="0" fontId="64" fillId="27" borderId="0"/>
    <xf numFmtId="0" fontId="64" fillId="27" borderId="0"/>
    <xf numFmtId="0" fontId="64" fillId="21" borderId="0"/>
    <xf numFmtId="0" fontId="64" fillId="24" borderId="0"/>
    <xf numFmtId="0" fontId="64" fillId="21" borderId="0"/>
    <xf numFmtId="0" fontId="62" fillId="19" borderId="0"/>
    <xf numFmtId="0" fontId="64" fillId="21" borderId="0"/>
    <xf numFmtId="0" fontId="64" fillId="21" borderId="0"/>
    <xf numFmtId="0" fontId="64" fillId="21" borderId="0"/>
    <xf numFmtId="0" fontId="64" fillId="24" borderId="0"/>
    <xf numFmtId="0" fontId="64" fillId="24" borderId="0"/>
    <xf numFmtId="0" fontId="64" fillId="24" borderId="0"/>
    <xf numFmtId="0" fontId="62" fillId="19" borderId="0"/>
    <xf numFmtId="0" fontId="62" fillId="19" borderId="0"/>
    <xf numFmtId="0" fontId="64" fillId="24" borderId="0"/>
    <xf numFmtId="0" fontId="62" fillId="19" borderId="0"/>
    <xf numFmtId="0" fontId="62" fillId="19" borderId="0"/>
    <xf numFmtId="0" fontId="62" fillId="19" borderId="0"/>
    <xf numFmtId="0" fontId="64" fillId="21" borderId="0"/>
    <xf numFmtId="0" fontId="64" fillId="24" borderId="0"/>
    <xf numFmtId="0" fontId="64" fillId="24" borderId="0"/>
    <xf numFmtId="0" fontId="64" fillId="24" borderId="0"/>
    <xf numFmtId="0" fontId="64" fillId="27" borderId="0"/>
    <xf numFmtId="0" fontId="64" fillId="21" borderId="0"/>
    <xf numFmtId="0" fontId="64" fillId="21" borderId="0"/>
    <xf numFmtId="0" fontId="64" fillId="21" borderId="0"/>
    <xf numFmtId="0" fontId="64" fillId="27" borderId="0"/>
    <xf numFmtId="0" fontId="62" fillId="1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2" fillId="22" borderId="0"/>
    <xf numFmtId="0" fontId="62" fillId="16" borderId="0"/>
    <xf numFmtId="0" fontId="62" fillId="16" borderId="0"/>
    <xf numFmtId="0" fontId="64" fillId="25" borderId="0"/>
    <xf numFmtId="0" fontId="62" fillId="16" borderId="0"/>
    <xf numFmtId="0" fontId="62" fillId="16" borderId="0"/>
    <xf numFmtId="0" fontId="62" fillId="16" borderId="0"/>
    <xf numFmtId="0" fontId="64" fillId="25" borderId="0"/>
    <xf numFmtId="0" fontId="64" fillId="2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4" fillId="20" borderId="0"/>
    <xf numFmtId="0" fontId="62" fillId="22" borderId="0"/>
    <xf numFmtId="0" fontId="62" fillId="22" borderId="0"/>
    <xf numFmtId="0" fontId="62" fillId="21" borderId="0"/>
    <xf numFmtId="0" fontId="62" fillId="22" borderId="0"/>
    <xf numFmtId="0" fontId="64" fillId="25" borderId="0"/>
    <xf numFmtId="0" fontId="64" fillId="27" borderId="0"/>
    <xf numFmtId="0" fontId="64" fillId="20" borderId="0"/>
    <xf numFmtId="0" fontId="64" fillId="20" borderId="0"/>
    <xf numFmtId="0" fontId="64" fillId="20" borderId="0"/>
    <xf numFmtId="0" fontId="62" fillId="21" borderId="0"/>
    <xf numFmtId="0" fontId="62" fillId="21" borderId="0"/>
    <xf numFmtId="0" fontId="64" fillId="20" borderId="0"/>
    <xf numFmtId="0" fontId="62" fillId="21" borderId="0"/>
    <xf numFmtId="0" fontId="62" fillId="21" borderId="0"/>
    <xf numFmtId="0" fontId="62" fillId="21" borderId="0"/>
    <xf numFmtId="0" fontId="64" fillId="20" borderId="0"/>
    <xf numFmtId="0" fontId="64" fillId="20" borderId="0"/>
    <xf numFmtId="0" fontId="64" fillId="25" borderId="0"/>
    <xf numFmtId="0" fontId="62" fillId="19" borderId="0"/>
    <xf numFmtId="0" fontId="64" fillId="20" borderId="0"/>
    <xf numFmtId="0" fontId="64" fillId="20" borderId="0"/>
    <xf numFmtId="0" fontId="64" fillId="20" borderId="0"/>
    <xf numFmtId="0" fontId="64" fillId="25" borderId="0"/>
    <xf numFmtId="0" fontId="62" fillId="19" borderId="0"/>
    <xf numFmtId="0" fontId="62" fillId="20" borderId="0"/>
    <xf numFmtId="0" fontId="62" fillId="19" borderId="0"/>
    <xf numFmtId="0" fontId="62" fillId="19" borderId="0"/>
    <xf numFmtId="0" fontId="62" fillId="19" borderId="0"/>
    <xf numFmtId="0" fontId="64" fillId="25" borderId="0"/>
    <xf numFmtId="0" fontId="62" fillId="19" borderId="0"/>
    <xf numFmtId="0" fontId="62" fillId="19" borderId="0"/>
    <xf numFmtId="0" fontId="62" fillId="20" borderId="0"/>
    <xf numFmtId="0" fontId="62" fillId="20" borderId="0"/>
    <xf numFmtId="0" fontId="62" fillId="19" borderId="0"/>
    <xf numFmtId="0" fontId="62" fillId="20" borderId="0"/>
    <xf numFmtId="0" fontId="62" fillId="20" borderId="0"/>
    <xf numFmtId="0" fontId="62" fillId="20" borderId="0"/>
    <xf numFmtId="0" fontId="64" fillId="27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4" borderId="0"/>
    <xf numFmtId="0" fontId="64" fillId="26" borderId="0"/>
    <xf numFmtId="0" fontId="62" fillId="19" borderId="0"/>
    <xf numFmtId="0" fontId="62" fillId="16" borderId="0"/>
    <xf numFmtId="0" fontId="64" fillId="26" borderId="0"/>
    <xf numFmtId="0" fontId="64" fillId="24" borderId="0"/>
    <xf numFmtId="0" fontId="64" fillId="24" borderId="0"/>
    <xf numFmtId="0" fontId="64" fillId="24" borderId="0"/>
    <xf numFmtId="0" fontId="62" fillId="16" borderId="0"/>
    <xf numFmtId="0" fontId="62" fillId="19" borderId="0"/>
    <xf numFmtId="0" fontId="62" fillId="19" borderId="0"/>
    <xf numFmtId="0" fontId="62" fillId="16" borderId="0"/>
    <xf numFmtId="0" fontId="62" fillId="19" borderId="0"/>
    <xf numFmtId="0" fontId="62" fillId="19" borderId="0"/>
    <xf numFmtId="0" fontId="62" fillId="19" borderId="0"/>
    <xf numFmtId="0" fontId="62" fillId="16" borderId="0"/>
    <xf numFmtId="0" fontId="64" fillId="24" borderId="0"/>
    <xf numFmtId="0" fontId="62" fillId="16" borderId="0"/>
    <xf numFmtId="0" fontId="62" fillId="16" borderId="0"/>
    <xf numFmtId="0" fontId="62" fillId="16" borderId="0"/>
    <xf numFmtId="0" fontId="64" fillId="24" borderId="0"/>
    <xf numFmtId="0" fontId="64" fillId="24" borderId="0"/>
    <xf numFmtId="0" fontId="64" fillId="21" borderId="0"/>
    <xf numFmtId="0" fontId="64" fillId="24" borderId="0"/>
    <xf numFmtId="0" fontId="62" fillId="18" borderId="0"/>
    <xf numFmtId="0" fontId="64" fillId="24" borderId="0"/>
    <xf numFmtId="0" fontId="64" fillId="24" borderId="0"/>
    <xf numFmtId="0" fontId="64" fillId="21" borderId="0"/>
    <xf numFmtId="0" fontId="64" fillId="21" borderId="0"/>
    <xf numFmtId="0" fontId="64" fillId="21" borderId="0"/>
    <xf numFmtId="0" fontId="62" fillId="21" borderId="0"/>
    <xf numFmtId="0" fontId="62" fillId="18" borderId="0"/>
    <xf numFmtId="0" fontId="62" fillId="18" borderId="0"/>
    <xf numFmtId="0" fontId="64" fillId="21" borderId="0"/>
    <xf numFmtId="0" fontId="62" fillId="18" borderId="0"/>
    <xf numFmtId="0" fontId="62" fillId="18" borderId="0"/>
    <xf numFmtId="0" fontId="62" fillId="18" borderId="0"/>
    <xf numFmtId="0" fontId="64" fillId="21" borderId="0"/>
    <xf numFmtId="0" fontId="64" fillId="21" borderId="0"/>
    <xf numFmtId="0" fontId="64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1" borderId="0"/>
    <xf numFmtId="0" fontId="62" fillId="21" borderId="0"/>
    <xf numFmtId="0" fontId="62" fillId="17" borderId="0"/>
    <xf numFmtId="0" fontId="62" fillId="21" borderId="0"/>
    <xf numFmtId="0" fontId="62" fillId="21" borderId="0"/>
    <xf numFmtId="0" fontId="64" fillId="26" borderId="0"/>
    <xf numFmtId="0" fontId="62" fillId="22" borderId="0"/>
    <xf numFmtId="0" fontId="64" fillId="21" borderId="0"/>
    <xf numFmtId="0" fontId="64" fillId="21" borderId="0"/>
    <xf numFmtId="0" fontId="62" fillId="17" borderId="0"/>
    <xf numFmtId="0" fontId="62" fillId="17" borderId="0"/>
    <xf numFmtId="0" fontId="62" fillId="22" borderId="0"/>
    <xf numFmtId="0" fontId="62" fillId="17" borderId="0"/>
    <xf numFmtId="0" fontId="62" fillId="17" borderId="0"/>
    <xf numFmtId="0" fontId="62" fillId="17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0" borderId="0"/>
    <xf numFmtId="0" fontId="62" fillId="22" borderId="0"/>
    <xf numFmtId="0" fontId="35" fillId="83" borderId="58"/>
    <xf numFmtId="0" fontId="64" fillId="21" borderId="0"/>
    <xf numFmtId="0" fontId="62" fillId="22" borderId="0"/>
    <xf numFmtId="0" fontId="62" fillId="22" borderId="0"/>
    <xf numFmtId="0" fontId="62" fillId="16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2" borderId="0"/>
    <xf numFmtId="0" fontId="62" fillId="20" borderId="0"/>
    <xf numFmtId="0" fontId="62" fillId="16" borderId="0"/>
    <xf numFmtId="0" fontId="62" fillId="16" borderId="0"/>
    <xf numFmtId="0" fontId="62" fillId="20" borderId="0"/>
    <xf numFmtId="0" fontId="62" fillId="16" borderId="0"/>
    <xf numFmtId="0" fontId="62" fillId="16" borderId="0"/>
    <xf numFmtId="0" fontId="62" fillId="16" borderId="0"/>
    <xf numFmtId="0" fontId="62" fillId="20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2" fillId="15" borderId="0"/>
    <xf numFmtId="0" fontId="64" fillId="27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2" fillId="19" borderId="0"/>
    <xf numFmtId="0" fontId="62" fillId="15" borderId="0"/>
    <xf numFmtId="0" fontId="62" fillId="15" borderId="0"/>
    <xf numFmtId="0" fontId="62" fillId="19" borderId="0"/>
    <xf numFmtId="0" fontId="62" fillId="15" borderId="0"/>
    <xf numFmtId="0" fontId="62" fillId="15" borderId="0"/>
    <xf numFmtId="0" fontId="62" fillId="15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4" borderId="0"/>
    <xf numFmtId="0" fontId="62" fillId="19" borderId="0"/>
    <xf numFmtId="0" fontId="62" fillId="19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4" borderId="0"/>
    <xf numFmtId="0" fontId="62" fillId="14" borderId="0"/>
    <xf numFmtId="0" fontId="64" fillId="20" borderId="0"/>
    <xf numFmtId="0" fontId="62" fillId="14" borderId="0"/>
    <xf numFmtId="0" fontId="62" fillId="14" borderId="0"/>
    <xf numFmtId="0" fontId="62" fillId="14" borderId="0"/>
    <xf numFmtId="0" fontId="62" fillId="18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3" borderId="0"/>
    <xf numFmtId="0" fontId="64" fillId="20" borderId="0"/>
    <xf numFmtId="0" fontId="62" fillId="18" borderId="0"/>
    <xf numFmtId="0" fontId="62" fillId="18" borderId="0"/>
    <xf numFmtId="0" fontId="62" fillId="18" borderId="0"/>
    <xf numFmtId="0" fontId="64" fillId="27" borderId="0"/>
    <xf numFmtId="0" fontId="64" fillId="20" borderId="0"/>
    <xf numFmtId="0" fontId="62" fillId="13" borderId="0"/>
    <xf numFmtId="0" fontId="62" fillId="13" borderId="0"/>
    <xf numFmtId="0" fontId="64" fillId="20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2" fillId="17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4" borderId="0"/>
    <xf numFmtId="0" fontId="35" fillId="83" borderId="58"/>
    <xf numFmtId="0" fontId="62" fillId="21" borderId="0"/>
    <xf numFmtId="0" fontId="62" fillId="21" borderId="0"/>
    <xf numFmtId="0" fontId="62" fillId="21" borderId="0"/>
    <xf numFmtId="0" fontId="62" fillId="16" borderId="0"/>
    <xf numFmtId="0" fontId="64" fillId="24" borderId="0"/>
    <xf numFmtId="0" fontId="64" fillId="24" borderId="0"/>
    <xf numFmtId="0" fontId="64" fillId="25" borderId="0"/>
    <xf numFmtId="0" fontId="64" fillId="25" borderId="0"/>
    <xf numFmtId="0" fontId="64" fillId="25" borderId="0"/>
    <xf numFmtId="0" fontId="62" fillId="16" borderId="0"/>
    <xf numFmtId="0" fontId="62" fillId="16" borderId="0"/>
    <xf numFmtId="0" fontId="62" fillId="16" borderId="0"/>
    <xf numFmtId="0" fontId="64" fillId="25" borderId="0"/>
    <xf numFmtId="0" fontId="62" fillId="16" borderId="0"/>
    <xf numFmtId="0" fontId="62" fillId="16" borderId="0"/>
    <xf numFmtId="0" fontId="62" fillId="16" borderId="0"/>
    <xf numFmtId="0" fontId="64" fillId="27" borderId="0"/>
    <xf numFmtId="0" fontId="64" fillId="27" borderId="0"/>
    <xf numFmtId="0" fontId="64" fillId="27" borderId="0"/>
    <xf numFmtId="0" fontId="62" fillId="20" borderId="0"/>
    <xf numFmtId="0" fontId="64" fillId="27" borderId="0"/>
    <xf numFmtId="0" fontId="64" fillId="26" borderId="0"/>
    <xf numFmtId="0" fontId="62" fillId="22" borderId="0"/>
    <xf numFmtId="0" fontId="62" fillId="20" borderId="0"/>
    <xf numFmtId="0" fontId="62" fillId="20" borderId="0"/>
    <xf numFmtId="0" fontId="62" fillId="15" borderId="0"/>
    <xf numFmtId="0" fontId="62" fillId="20" borderId="0"/>
    <xf numFmtId="0" fontId="62" fillId="20" borderId="0"/>
    <xf numFmtId="0" fontId="62" fillId="20" borderId="0"/>
    <xf numFmtId="0" fontId="64" fillId="26" borderId="0"/>
    <xf numFmtId="0" fontId="62" fillId="20" borderId="0"/>
    <xf numFmtId="0" fontId="62" fillId="15" borderId="0"/>
    <xf numFmtId="0" fontId="62" fillId="15" borderId="0"/>
    <xf numFmtId="0" fontId="62" fillId="15" borderId="0"/>
    <xf numFmtId="0" fontId="62" fillId="20" borderId="0"/>
    <xf numFmtId="0" fontId="62" fillId="15" borderId="0"/>
    <xf numFmtId="0" fontId="62" fillId="15" borderId="0"/>
    <xf numFmtId="0" fontId="62" fillId="15" borderId="0"/>
    <xf numFmtId="0" fontId="62" fillId="20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4" fillId="26" borderId="0"/>
    <xf numFmtId="0" fontId="62" fillId="14" borderId="0"/>
    <xf numFmtId="0" fontId="62" fillId="22" borderId="0"/>
    <xf numFmtId="0" fontId="62" fillId="19" borderId="0"/>
    <xf numFmtId="0" fontId="62" fillId="22" borderId="0"/>
    <xf numFmtId="0" fontId="62" fillId="22" borderId="0"/>
    <xf numFmtId="0" fontId="64" fillId="26" borderId="0"/>
    <xf numFmtId="0" fontId="62" fillId="14" borderId="0"/>
    <xf numFmtId="0" fontId="62" fillId="14" borderId="0"/>
    <xf numFmtId="0" fontId="62" fillId="14" borderId="0"/>
    <xf numFmtId="0" fontId="62" fillId="19" borderId="0"/>
    <xf numFmtId="0" fontId="62" fillId="14" borderId="0"/>
    <xf numFmtId="0" fontId="62" fillId="14" borderId="0"/>
    <xf numFmtId="0" fontId="62" fillId="14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6" borderId="0"/>
    <xf numFmtId="0" fontId="62" fillId="19" borderId="0"/>
    <xf numFmtId="0" fontId="62" fillId="19" borderId="0"/>
    <xf numFmtId="0" fontId="62" fillId="19" borderId="0"/>
    <xf numFmtId="0" fontId="64" fillId="21" borderId="0"/>
    <xf numFmtId="0" fontId="62" fillId="13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13" borderId="0"/>
    <xf numFmtId="0" fontId="62" fillId="13" borderId="0"/>
    <xf numFmtId="0" fontId="62" fillId="13" borderId="0"/>
    <xf numFmtId="0" fontId="64" fillId="21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2" fillId="16" borderId="0"/>
    <xf numFmtId="0" fontId="64" fillId="20" borderId="0"/>
    <xf numFmtId="0" fontId="64" fillId="27" borderId="0"/>
    <xf numFmtId="0" fontId="62" fillId="16" borderId="0"/>
    <xf numFmtId="0" fontId="62" fillId="16" borderId="0"/>
    <xf numFmtId="0" fontId="62" fillId="16" borderId="0"/>
    <xf numFmtId="0" fontId="62" fillId="17" borderId="0"/>
    <xf numFmtId="0" fontId="62" fillId="16" borderId="0"/>
    <xf numFmtId="0" fontId="62" fillId="16" borderId="0"/>
    <xf numFmtId="0" fontId="64" fillId="27" borderId="0"/>
    <xf numFmtId="0" fontId="62" fillId="16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6" borderId="0"/>
    <xf numFmtId="0" fontId="62" fillId="17" borderId="0"/>
    <xf numFmtId="0" fontId="62" fillId="17" borderId="0"/>
    <xf numFmtId="0" fontId="62" fillId="17" borderId="0"/>
    <xf numFmtId="0" fontId="62" fillId="16" borderId="0"/>
    <xf numFmtId="0" fontId="64" fillId="27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35" fillId="83" borderId="58"/>
    <xf numFmtId="0" fontId="64" fillId="25" borderId="0"/>
    <xf numFmtId="0" fontId="64" fillId="25" borderId="0"/>
    <xf numFmtId="0" fontId="64" fillId="24" borderId="0"/>
    <xf numFmtId="0" fontId="62" fillId="16" borderId="0"/>
    <xf numFmtId="0" fontId="64" fillId="24" borderId="0"/>
    <xf numFmtId="0" fontId="62" fillId="21" borderId="0"/>
    <xf numFmtId="0" fontId="64" fillId="24" borderId="0"/>
    <xf numFmtId="0" fontId="64" fillId="24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1" borderId="0"/>
    <xf numFmtId="0" fontId="62" fillId="16" borderId="0"/>
    <xf numFmtId="0" fontId="62" fillId="16" borderId="0"/>
    <xf numFmtId="0" fontId="62" fillId="1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4" borderId="0"/>
    <xf numFmtId="0" fontId="62" fillId="21" borderId="0"/>
    <xf numFmtId="0" fontId="62" fillId="21" borderId="0"/>
    <xf numFmtId="0" fontId="62" fillId="21" borderId="0"/>
    <xf numFmtId="0" fontId="62" fillId="15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4" fillId="25" borderId="0"/>
    <xf numFmtId="0" fontId="62" fillId="15" borderId="0"/>
    <xf numFmtId="0" fontId="62" fillId="15" borderId="0"/>
    <xf numFmtId="0" fontId="62" fillId="15" borderId="0"/>
    <xf numFmtId="0" fontId="64" fillId="24" borderId="0"/>
    <xf numFmtId="0" fontId="64" fillId="24" borderId="0"/>
    <xf numFmtId="0" fontId="64" fillId="24" borderId="0"/>
    <xf numFmtId="0" fontId="64" fillId="25" borderId="0"/>
    <xf numFmtId="0" fontId="62" fillId="20" borderId="0"/>
    <xf numFmtId="0" fontId="64" fillId="25" borderId="0"/>
    <xf numFmtId="0" fontId="64" fillId="25" borderId="0"/>
    <xf numFmtId="0" fontId="62" fillId="20" borderId="0"/>
    <xf numFmtId="0" fontId="62" fillId="20" borderId="0"/>
    <xf numFmtId="0" fontId="62" fillId="14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4" fillId="25" borderId="0"/>
    <xf numFmtId="0" fontId="62" fillId="14" borderId="0"/>
    <xf numFmtId="0" fontId="62" fillId="14" borderId="0"/>
    <xf numFmtId="0" fontId="62" fillId="14" borderId="0"/>
    <xf numFmtId="0" fontId="62" fillId="20" borderId="0"/>
    <xf numFmtId="0" fontId="62" fillId="20" borderId="0"/>
    <xf numFmtId="0" fontId="62" fillId="20" borderId="0"/>
    <xf numFmtId="0" fontId="64" fillId="25" borderId="0"/>
    <xf numFmtId="0" fontId="64" fillId="25" borderId="0"/>
    <xf numFmtId="0" fontId="64" fillId="27" borderId="0"/>
    <xf numFmtId="0" fontId="64" fillId="27" borderId="0"/>
    <xf numFmtId="0" fontId="64" fillId="27" borderId="0"/>
    <xf numFmtId="0" fontId="62" fillId="22" borderId="0"/>
    <xf numFmtId="0" fontId="62" fillId="13" borderId="0"/>
    <xf numFmtId="0" fontId="62" fillId="22" borderId="0"/>
    <xf numFmtId="0" fontId="62" fillId="22" borderId="0"/>
    <xf numFmtId="0" fontId="62" fillId="22" borderId="0"/>
    <xf numFmtId="0" fontId="62" fillId="19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22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2" fillId="19" borderId="0"/>
    <xf numFmtId="0" fontId="64" fillId="21" borderId="0"/>
    <xf numFmtId="0" fontId="62" fillId="18" borderId="0"/>
    <xf numFmtId="0" fontId="62" fillId="19" borderId="0"/>
    <xf numFmtId="0" fontId="62" fillId="19" borderId="0"/>
    <xf numFmtId="0" fontId="62" fillId="19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9" borderId="0"/>
    <xf numFmtId="0" fontId="62" fillId="18" borderId="0"/>
    <xf numFmtId="0" fontId="62" fillId="18" borderId="0"/>
    <xf numFmtId="0" fontId="62" fillId="18" borderId="0"/>
    <xf numFmtId="0" fontId="62" fillId="19" borderId="0"/>
    <xf numFmtId="0" fontId="62" fillId="19" borderId="0"/>
    <xf numFmtId="0" fontId="62" fillId="19" borderId="0"/>
    <xf numFmtId="0" fontId="64" fillId="21" borderId="0"/>
    <xf numFmtId="0" fontId="62" fillId="19" borderId="0"/>
    <xf numFmtId="0" fontId="62" fillId="19" borderId="0"/>
    <xf numFmtId="0" fontId="62" fillId="19" borderId="0"/>
    <xf numFmtId="0" fontId="64" fillId="21" borderId="0"/>
    <xf numFmtId="0" fontId="64" fillId="21" borderId="0"/>
    <xf numFmtId="0" fontId="62" fillId="17" borderId="0"/>
    <xf numFmtId="0" fontId="64" fillId="21" borderId="0"/>
    <xf numFmtId="0" fontId="64" fillId="21" borderId="0"/>
    <xf numFmtId="0" fontId="64" fillId="26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6" borderId="0"/>
    <xf numFmtId="0" fontId="62" fillId="17" borderId="0"/>
    <xf numFmtId="0" fontId="62" fillId="17" borderId="0"/>
    <xf numFmtId="0" fontId="62" fillId="17" borderId="0"/>
    <xf numFmtId="0" fontId="64" fillId="26" borderId="0"/>
    <xf numFmtId="0" fontId="64" fillId="26" borderId="0"/>
    <xf numFmtId="0" fontId="64" fillId="26" borderId="0"/>
    <xf numFmtId="0" fontId="62" fillId="16" borderId="0"/>
    <xf numFmtId="0" fontId="64" fillId="26" borderId="0"/>
    <xf numFmtId="0" fontId="62" fillId="16" borderId="0"/>
    <xf numFmtId="0" fontId="35" fillId="83" borderId="58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6" borderId="0"/>
    <xf numFmtId="0" fontId="64" fillId="27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5" borderId="0"/>
    <xf numFmtId="0" fontId="64" fillId="20" borderId="0"/>
    <xf numFmtId="0" fontId="64" fillId="20" borderId="0"/>
    <xf numFmtId="0" fontId="62" fillId="21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4" fillId="20" borderId="0"/>
    <xf numFmtId="0" fontId="62" fillId="15" borderId="0"/>
    <xf numFmtId="0" fontId="62" fillId="15" borderId="0"/>
    <xf numFmtId="0" fontId="62" fillId="15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0" borderId="0"/>
    <xf numFmtId="0" fontId="62" fillId="21" borderId="0"/>
    <xf numFmtId="0" fontId="62" fillId="14" borderId="0"/>
    <xf numFmtId="0" fontId="62" fillId="21" borderId="0"/>
    <xf numFmtId="0" fontId="62" fillId="21" borderId="0"/>
    <xf numFmtId="0" fontId="64" fillId="20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4" fillId="20" borderId="0"/>
    <xf numFmtId="0" fontId="62" fillId="14" borderId="0"/>
    <xf numFmtId="0" fontId="62" fillId="14" borderId="0"/>
    <xf numFmtId="0" fontId="62" fillId="14" borderId="0"/>
    <xf numFmtId="0" fontId="64" fillId="20" borderId="0"/>
    <xf numFmtId="0" fontId="64" fillId="20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2" fillId="20" borderId="0"/>
    <xf numFmtId="0" fontId="64" fillId="27" borderId="0"/>
    <xf numFmtId="0" fontId="62" fillId="13" borderId="0"/>
    <xf numFmtId="0" fontId="62" fillId="20" borderId="0"/>
    <xf numFmtId="0" fontId="62" fillId="20" borderId="0"/>
    <xf numFmtId="0" fontId="62" fillId="20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20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2" fillId="22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22" borderId="0"/>
    <xf numFmtId="0" fontId="62" fillId="19" borderId="0"/>
    <xf numFmtId="0" fontId="62" fillId="19" borderId="0"/>
    <xf numFmtId="0" fontId="62" fillId="19" borderId="0"/>
    <xf numFmtId="0" fontId="62" fillId="22" borderId="0"/>
    <xf numFmtId="0" fontId="62" fillId="22" borderId="0"/>
    <xf numFmtId="0" fontId="64" fillId="27" borderId="0"/>
    <xf numFmtId="0" fontId="62" fillId="22" borderId="0"/>
    <xf numFmtId="0" fontId="62" fillId="22" borderId="0"/>
    <xf numFmtId="0" fontId="62" fillId="22" borderId="0"/>
    <xf numFmtId="0" fontId="64" fillId="26" borderId="0"/>
    <xf numFmtId="0" fontId="64" fillId="26" borderId="0"/>
    <xf numFmtId="0" fontId="64" fillId="26" borderId="0"/>
    <xf numFmtId="0" fontId="62" fillId="18" borderId="0"/>
    <xf numFmtId="0" fontId="64" fillId="26" borderId="0"/>
    <xf numFmtId="0" fontId="64" fillId="26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1" borderId="0"/>
    <xf numFmtId="0" fontId="62" fillId="18" borderId="0"/>
    <xf numFmtId="0" fontId="62" fillId="18" borderId="0"/>
    <xf numFmtId="0" fontId="62" fillId="18" borderId="0"/>
    <xf numFmtId="0" fontId="64" fillId="21" borderId="0"/>
    <xf numFmtId="0" fontId="64" fillId="21" borderId="0"/>
    <xf numFmtId="0" fontId="64" fillId="21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7" borderId="0"/>
    <xf numFmtId="0" fontId="62" fillId="19" borderId="0"/>
    <xf numFmtId="0" fontId="62" fillId="19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9" borderId="0"/>
    <xf numFmtId="0" fontId="62" fillId="17" borderId="0"/>
    <xf numFmtId="0" fontId="62" fillId="17" borderId="0"/>
    <xf numFmtId="0" fontId="62" fillId="17" borderId="0"/>
    <xf numFmtId="0" fontId="64" fillId="21" borderId="0"/>
    <xf numFmtId="0" fontId="62" fillId="19" borderId="0"/>
    <xf numFmtId="0" fontId="62" fillId="19" borderId="0"/>
    <xf numFmtId="0" fontId="62" fillId="19" borderId="0"/>
    <xf numFmtId="0" fontId="64" fillId="21" borderId="0"/>
    <xf numFmtId="0" fontId="64" fillId="21" borderId="0"/>
    <xf numFmtId="0" fontId="35" fillId="83" borderId="58"/>
    <xf numFmtId="0" fontId="64" fillId="21" borderId="0"/>
    <xf numFmtId="0" fontId="64" fillId="21" borderId="0"/>
    <xf numFmtId="0" fontId="64" fillId="21" borderId="0"/>
    <xf numFmtId="0" fontId="62" fillId="16" borderId="0"/>
    <xf numFmtId="0" fontId="64" fillId="21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4" fillId="2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5" borderId="0"/>
    <xf numFmtId="0" fontId="62" fillId="16" borderId="0"/>
    <xf numFmtId="0" fontId="64" fillId="26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6" borderId="0"/>
    <xf numFmtId="0" fontId="62" fillId="15" borderId="0"/>
    <xf numFmtId="0" fontId="62" fillId="15" borderId="0"/>
    <xf numFmtId="0" fontId="62" fillId="15" borderId="0"/>
    <xf numFmtId="0" fontId="62" fillId="1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0" borderId="0"/>
    <xf numFmtId="0" fontId="62" fillId="14" borderId="0"/>
    <xf numFmtId="0" fontId="64" fillId="20" borderId="0"/>
    <xf numFmtId="0" fontId="62" fillId="21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21" borderId="0"/>
    <xf numFmtId="0" fontId="62" fillId="14" borderId="0"/>
    <xf numFmtId="0" fontId="62" fillId="14" borderId="0"/>
    <xf numFmtId="0" fontId="62" fillId="14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0" borderId="0"/>
    <xf numFmtId="0" fontId="62" fillId="21" borderId="0"/>
    <xf numFmtId="0" fontId="62" fillId="13" borderId="0"/>
    <xf numFmtId="0" fontId="62" fillId="21" borderId="0"/>
    <xf numFmtId="0" fontId="62" fillId="21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4" fillId="20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2" fillId="20" borderId="0"/>
    <xf numFmtId="0" fontId="62" fillId="20" borderId="0"/>
    <xf numFmtId="0" fontId="62" fillId="20" borderId="0"/>
    <xf numFmtId="0" fontId="64" fillId="27" borderId="0"/>
    <xf numFmtId="0" fontId="62" fillId="20" borderId="0"/>
    <xf numFmtId="0" fontId="62" fillId="20" borderId="0"/>
    <xf numFmtId="0" fontId="62" fillId="20" borderId="0"/>
    <xf numFmtId="0" fontId="64" fillId="27" borderId="0"/>
    <xf numFmtId="0" fontId="64" fillId="25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9" borderId="0"/>
    <xf numFmtId="0" fontId="64" fillId="24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4" borderId="0"/>
    <xf numFmtId="0" fontId="62" fillId="19" borderId="0"/>
    <xf numFmtId="0" fontId="62" fillId="19" borderId="0"/>
    <xf numFmtId="0" fontId="62" fillId="19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2" fillId="18" borderId="0"/>
    <xf numFmtId="0" fontId="64" fillId="25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5" borderId="0"/>
    <xf numFmtId="0" fontId="62" fillId="18" borderId="0"/>
    <xf numFmtId="0" fontId="62" fillId="18" borderId="0"/>
    <xf numFmtId="0" fontId="62" fillId="18" borderId="0"/>
    <xf numFmtId="0" fontId="64" fillId="25" borderId="0"/>
    <xf numFmtId="0" fontId="64" fillId="2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7" borderId="0"/>
    <xf numFmtId="0" fontId="62" fillId="22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22" borderId="0"/>
    <xf numFmtId="0" fontId="62" fillId="17" borderId="0"/>
    <xf numFmtId="0" fontId="62" fillId="17" borderId="0"/>
    <xf numFmtId="0" fontId="62" fillId="17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4" fillId="25" borderId="0"/>
    <xf numFmtId="0" fontId="64" fillId="25" borderId="0"/>
    <xf numFmtId="0" fontId="35" fillId="83" borderId="58"/>
    <xf numFmtId="0" fontId="64" fillId="25" borderId="0"/>
    <xf numFmtId="0" fontId="64" fillId="27" borderId="0"/>
    <xf numFmtId="0" fontId="64" fillId="27" borderId="0"/>
    <xf numFmtId="0" fontId="62" fillId="16" borderId="0"/>
    <xf numFmtId="0" fontId="64" fillId="27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7" borderId="0"/>
    <xf numFmtId="0" fontId="62" fillId="16" borderId="0"/>
    <xf numFmtId="0" fontId="62" fillId="16" borderId="0"/>
    <xf numFmtId="0" fontId="62" fillId="16" borderId="0"/>
    <xf numFmtId="0" fontId="64" fillId="26" borderId="0"/>
    <xf numFmtId="0" fontId="64" fillId="2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5" borderId="0"/>
    <xf numFmtId="0" fontId="62" fillId="19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9" borderId="0"/>
    <xf numFmtId="0" fontId="62" fillId="15" borderId="0"/>
    <xf numFmtId="0" fontId="62" fillId="15" borderId="0"/>
    <xf numFmtId="0" fontId="62" fillId="15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6" borderId="0"/>
    <xf numFmtId="0" fontId="64" fillId="26" borderId="0"/>
    <xf numFmtId="0" fontId="64" fillId="26" borderId="0"/>
    <xf numFmtId="0" fontId="64" fillId="21" borderId="0"/>
    <xf numFmtId="0" fontId="64" fillId="21" borderId="0"/>
    <xf numFmtId="0" fontId="62" fillId="14" borderId="0"/>
    <xf numFmtId="0" fontId="64" fillId="21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4" fillId="21" borderId="0"/>
    <xf numFmtId="0" fontId="62" fillId="14" borderId="0"/>
    <xf numFmtId="0" fontId="62" fillId="14" borderId="0"/>
    <xf numFmtId="0" fontId="62" fillId="14" borderId="0"/>
    <xf numFmtId="0" fontId="64" fillId="21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3" borderId="0"/>
    <xf numFmtId="0" fontId="62" fillId="16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5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4" borderId="0"/>
    <xf numFmtId="0" fontId="62" fillId="19" borderId="0"/>
    <xf numFmtId="0" fontId="62" fillId="19" borderId="0"/>
    <xf numFmtId="0" fontId="62" fillId="19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4" borderId="0"/>
    <xf numFmtId="0" fontId="62" fillId="18" borderId="0"/>
    <xf numFmtId="0" fontId="62" fillId="18" borderId="0"/>
    <xf numFmtId="0" fontId="62" fillId="18" borderId="0"/>
    <xf numFmtId="0" fontId="64" fillId="24" borderId="0"/>
    <xf numFmtId="0" fontId="64" fillId="24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5" borderId="0"/>
    <xf numFmtId="0" fontId="62" fillId="17" borderId="0"/>
    <xf numFmtId="0" fontId="62" fillId="17" borderId="0"/>
    <xf numFmtId="0" fontId="62" fillId="17" borderId="0"/>
    <xf numFmtId="0" fontId="64" fillId="2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6" borderId="0"/>
    <xf numFmtId="0" fontId="35" fillId="83" borderId="58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2" borderId="0"/>
    <xf numFmtId="0" fontId="62" fillId="16" borderId="0"/>
    <xf numFmtId="0" fontId="62" fillId="16" borderId="0"/>
    <xf numFmtId="0" fontId="62" fillId="16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4" fillId="25" borderId="0"/>
    <xf numFmtId="0" fontId="64" fillId="25" borderId="0"/>
    <xf numFmtId="0" fontId="64" fillId="25" borderId="0"/>
    <xf numFmtId="0" fontId="64" fillId="27" borderId="0"/>
    <xf numFmtId="0" fontId="64" fillId="27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4" fillId="27" borderId="0"/>
    <xf numFmtId="0" fontId="62" fillId="15" borderId="0"/>
    <xf numFmtId="0" fontId="62" fillId="15" borderId="0"/>
    <xf numFmtId="0" fontId="62" fillId="15" borderId="0"/>
    <xf numFmtId="0" fontId="64" fillId="27" borderId="0"/>
    <xf numFmtId="0" fontId="64" fillId="26" borderId="0"/>
    <xf numFmtId="0" fontId="64" fillId="2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9" borderId="0"/>
    <xf numFmtId="0" fontId="62" fillId="14" borderId="0"/>
    <xf numFmtId="0" fontId="62" fillId="14" borderId="0"/>
    <xf numFmtId="0" fontId="62" fillId="14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6" borderId="0"/>
    <xf numFmtId="0" fontId="64" fillId="26" borderId="0"/>
    <xf numFmtId="0" fontId="64" fillId="26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4" fillId="21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6" borderId="0"/>
    <xf numFmtId="0" fontId="64" fillId="2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7" borderId="0"/>
    <xf numFmtId="0" fontId="64" fillId="25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35" fillId="83" borderId="58"/>
    <xf numFmtId="0" fontId="64" fillId="25" borderId="0"/>
    <xf numFmtId="0" fontId="64" fillId="25" borderId="0"/>
    <xf numFmtId="0" fontId="64" fillId="25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2" fillId="22" borderId="0"/>
    <xf numFmtId="0" fontId="62" fillId="22" borderId="0"/>
    <xf numFmtId="0" fontId="62" fillId="2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22" borderId="0"/>
    <xf numFmtId="0" fontId="64" fillId="25" borderId="0"/>
    <xf numFmtId="0" fontId="64" fillId="25" borderId="0"/>
    <xf numFmtId="0" fontId="64" fillId="25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6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43" fontId="35" fillId="0" borderId="0" applyFont="0" applyFill="0" applyBorder="0" applyAlignment="0" applyProtection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6" borderId="0"/>
    <xf numFmtId="0" fontId="64" fillId="2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4" fillId="27" borderId="0"/>
    <xf numFmtId="0" fontId="64" fillId="27" borderId="0"/>
    <xf numFmtId="0" fontId="64" fillId="27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5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35" fillId="83" borderId="58"/>
    <xf numFmtId="0" fontId="64" fillId="25" borderId="0"/>
    <xf numFmtId="0" fontId="64" fillId="25" borderId="0"/>
    <xf numFmtId="0" fontId="64" fillId="25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2" fillId="22" borderId="0"/>
    <xf numFmtId="0" fontId="62" fillId="22" borderId="0"/>
    <xf numFmtId="0" fontId="62" fillId="2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22" borderId="0"/>
    <xf numFmtId="0" fontId="64" fillId="25" borderId="0"/>
    <xf numFmtId="0" fontId="64" fillId="25" borderId="0"/>
    <xf numFmtId="0" fontId="64" fillId="25" borderId="0"/>
    <xf numFmtId="0" fontId="64" fillId="26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43" fontId="35" fillId="0" borderId="0" applyFont="0" applyFill="0" applyBorder="0" applyAlignment="0" applyProtection="0"/>
    <xf numFmtId="0" fontId="64" fillId="2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6" borderId="0"/>
    <xf numFmtId="0" fontId="64" fillId="26" borderId="0"/>
    <xf numFmtId="0" fontId="64" fillId="2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6" borderId="0"/>
    <xf numFmtId="0" fontId="64" fillId="2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7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4" fillId="27" borderId="0"/>
    <xf numFmtId="0" fontId="64" fillId="27" borderId="0"/>
    <xf numFmtId="0" fontId="64" fillId="27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5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35" fillId="83" borderId="58"/>
    <xf numFmtId="0" fontId="64" fillId="25" borderId="0"/>
    <xf numFmtId="0" fontId="64" fillId="25" borderId="0"/>
    <xf numFmtId="0" fontId="64" fillId="25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2" fillId="22" borderId="0"/>
    <xf numFmtId="0" fontId="62" fillId="22" borderId="0"/>
    <xf numFmtId="0" fontId="62" fillId="2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22" borderId="0"/>
    <xf numFmtId="0" fontId="64" fillId="25" borderId="0"/>
    <xf numFmtId="0" fontId="64" fillId="25" borderId="0"/>
    <xf numFmtId="0" fontId="64" fillId="25" borderId="0"/>
    <xf numFmtId="0" fontId="64" fillId="26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43" fontId="35" fillId="0" borderId="0" applyFont="0" applyFill="0" applyBorder="0" applyAlignment="0" applyProtection="0"/>
    <xf numFmtId="0" fontId="64" fillId="2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6" borderId="0"/>
    <xf numFmtId="0" fontId="64" fillId="26" borderId="0"/>
    <xf numFmtId="0" fontId="64" fillId="2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6" borderId="0"/>
    <xf numFmtId="0" fontId="64" fillId="2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5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35" fillId="83" borderId="58"/>
    <xf numFmtId="0" fontId="64" fillId="25" borderId="0"/>
    <xf numFmtId="0" fontId="64" fillId="25" borderId="0"/>
    <xf numFmtId="0" fontId="64" fillId="25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2" fillId="22" borderId="0"/>
    <xf numFmtId="0" fontId="62" fillId="22" borderId="0"/>
    <xf numFmtId="0" fontId="62" fillId="2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22" borderId="0"/>
    <xf numFmtId="0" fontId="64" fillId="25" borderId="0"/>
    <xf numFmtId="0" fontId="64" fillId="25" borderId="0"/>
    <xf numFmtId="0" fontId="64" fillId="25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43" fontId="35" fillId="0" borderId="0" applyFont="0" applyFill="0" applyBorder="0" applyAlignment="0" applyProtection="0"/>
    <xf numFmtId="0" fontId="64" fillId="2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6" borderId="0"/>
    <xf numFmtId="0" fontId="64" fillId="26" borderId="0"/>
    <xf numFmtId="0" fontId="64" fillId="2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6" borderId="0"/>
    <xf numFmtId="0" fontId="64" fillId="2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5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35" fillId="83" borderId="58"/>
    <xf numFmtId="0" fontId="64" fillId="25" borderId="0"/>
    <xf numFmtId="0" fontId="64" fillId="25" borderId="0"/>
    <xf numFmtId="0" fontId="64" fillId="25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2" fillId="22" borderId="0"/>
    <xf numFmtId="0" fontId="62" fillId="22" borderId="0"/>
    <xf numFmtId="0" fontId="62" fillId="2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22" borderId="0"/>
    <xf numFmtId="0" fontId="64" fillId="25" borderId="0"/>
    <xf numFmtId="0" fontId="64" fillId="25" borderId="0"/>
    <xf numFmtId="0" fontId="64" fillId="25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43" fontId="35" fillId="0" borderId="0" applyFont="0" applyFill="0" applyBorder="0" applyAlignment="0" applyProtection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35" fillId="83" borderId="58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2" borderId="0"/>
    <xf numFmtId="0" fontId="62" fillId="22" borderId="0"/>
    <xf numFmtId="0" fontId="62" fillId="2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22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43" fontId="35" fillId="0" borderId="0" applyFont="0" applyFill="0" applyBorder="0" applyAlignment="0" applyProtection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4" fillId="20" borderId="0"/>
    <xf numFmtId="0" fontId="64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4" fillId="20" borderId="0"/>
    <xf numFmtId="0" fontId="64" fillId="20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35" fillId="83" borderId="58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2" borderId="0"/>
    <xf numFmtId="0" fontId="62" fillId="22" borderId="0"/>
    <xf numFmtId="0" fontId="62" fillId="22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22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43" fontId="35" fillId="0" borderId="0" applyFont="0" applyFill="0" applyBorder="0" applyAlignment="0" applyProtection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35" fillId="83" borderId="58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43" fontId="35" fillId="0" borderId="0" applyFont="0" applyFill="0" applyBorder="0" applyAlignment="0" applyProtection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35" fillId="83" borderId="58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43" fontId="35" fillId="0" borderId="0" applyFont="0" applyFill="0" applyBorder="0" applyAlignment="0" applyProtection="0"/>
    <xf numFmtId="0" fontId="35" fillId="83" borderId="58"/>
    <xf numFmtId="43" fontId="35" fillId="0" borderId="0" applyFont="0" applyFill="0" applyBorder="0" applyAlignment="0" applyProtection="0"/>
    <xf numFmtId="0" fontId="244" fillId="0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62" fillId="80" borderId="54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63" fillId="81" borderId="55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64" fillId="81" borderId="54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50" fillId="0" borderId="46"/>
    <xf numFmtId="0" fontId="250" fillId="0" borderId="46"/>
    <xf numFmtId="0" fontId="250" fillId="0" borderId="46"/>
    <xf numFmtId="0" fontId="250" fillId="0" borderId="46"/>
    <xf numFmtId="0" fontId="250" fillId="0" borderId="46"/>
    <xf numFmtId="0" fontId="251" fillId="0" borderId="47"/>
    <xf numFmtId="0" fontId="251" fillId="0" borderId="47"/>
    <xf numFmtId="0" fontId="251" fillId="0" borderId="47"/>
    <xf numFmtId="0" fontId="251" fillId="0" borderId="47"/>
    <xf numFmtId="0" fontId="251" fillId="0" borderId="47"/>
    <xf numFmtId="0" fontId="252" fillId="0" borderId="31"/>
    <xf numFmtId="0" fontId="252" fillId="0" borderId="31"/>
    <xf numFmtId="0" fontId="252" fillId="0" borderId="31"/>
    <xf numFmtId="0" fontId="252" fillId="0" borderId="31"/>
    <xf numFmtId="0" fontId="252" fillId="0" borderId="31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3" fillId="0" borderId="49"/>
    <xf numFmtId="0" fontId="253" fillId="0" borderId="49"/>
    <xf numFmtId="0" fontId="253" fillId="0" borderId="49"/>
    <xf numFmtId="0" fontId="253" fillId="0" borderId="49"/>
    <xf numFmtId="0" fontId="253" fillId="0" borderId="49"/>
    <xf numFmtId="0" fontId="254" fillId="82" borderId="57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54" fillId="82" borderId="57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65" fillId="79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44" fillId="0" borderId="0"/>
    <xf numFmtId="0" fontId="244" fillId="0" borderId="0"/>
    <xf numFmtId="0" fontId="64" fillId="2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64" fillId="21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5" fillId="13" borderId="0"/>
    <xf numFmtId="0" fontId="245" fillId="16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66" fillId="78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67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44" fillId="83" borderId="58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68" fillId="0" borderId="56"/>
    <xf numFmtId="0" fontId="259" fillId="0" borderId="32"/>
    <xf numFmtId="0" fontId="259" fillId="0" borderId="32"/>
    <xf numFmtId="0" fontId="259" fillId="0" borderId="32"/>
    <xf numFmtId="0" fontId="259" fillId="0" borderId="32"/>
    <xf numFmtId="0" fontId="269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70" fillId="77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4" fillId="25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64" fillId="25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64" fillId="25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4" fillId="25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64" fillId="2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4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4" fillId="26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64" fillId="26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64" fillId="26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64" fillId="27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64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64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64" fillId="27" borderId="0"/>
    <xf numFmtId="0" fontId="64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7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7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5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6" fillId="25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6" fillId="25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22" borderId="0"/>
    <xf numFmtId="0" fontId="244" fillId="83" borderId="58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6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7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62" fillId="16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2" fillId="16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5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4" fillId="83" borderId="58"/>
    <xf numFmtId="0" fontId="246" fillId="2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6" fillId="25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6" fillId="25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22" borderId="0"/>
    <xf numFmtId="0" fontId="246" fillId="27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7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5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4" fillId="83" borderId="58"/>
    <xf numFmtId="0" fontId="246" fillId="2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6" fillId="25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6" fillId="25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22" borderId="0"/>
    <xf numFmtId="0" fontId="62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62" fillId="16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62" fillId="21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62" fillId="21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2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2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62" fillId="21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2" fillId="20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62" fillId="20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62" fillId="20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4" fillId="83" borderId="58"/>
    <xf numFmtId="0" fontId="62" fillId="20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62" fillId="20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22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4" fillId="83" borderId="58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62" fillId="1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22" borderId="0"/>
    <xf numFmtId="0" fontId="244" fillId="83" borderId="58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72" fillId="82" borderId="57"/>
    <xf numFmtId="0" fontId="64" fillId="20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35" fillId="83" borderId="58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35" fillId="83" borderId="58"/>
    <xf numFmtId="0" fontId="245" fillId="1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6" fillId="26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6" fillId="26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0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0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20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0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20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20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0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5" fillId="20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20" borderId="0"/>
    <xf numFmtId="0" fontId="245" fillId="20" borderId="0"/>
    <xf numFmtId="0" fontId="246" fillId="28" borderId="0"/>
    <xf numFmtId="0" fontId="246" fillId="20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0" borderId="0"/>
    <xf numFmtId="0" fontId="246" fillId="28" borderId="0"/>
    <xf numFmtId="0" fontId="246" fillId="20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8" borderId="0"/>
    <xf numFmtId="0" fontId="246" fillId="20" borderId="0"/>
    <xf numFmtId="0" fontId="246" fillId="20" borderId="0"/>
    <xf numFmtId="0" fontId="246" fillId="29" borderId="0"/>
    <xf numFmtId="0" fontId="246" fillId="20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0" borderId="0"/>
    <xf numFmtId="0" fontId="246" fillId="29" borderId="0"/>
    <xf numFmtId="0" fontId="246" fillId="20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9" borderId="0"/>
    <xf numFmtId="0" fontId="246" fillId="20" borderId="0"/>
    <xf numFmtId="0" fontId="245" fillId="19" borderId="0"/>
    <xf numFmtId="0" fontId="246" fillId="30" borderId="0"/>
    <xf numFmtId="0" fontId="245" fillId="19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5" fillId="19" borderId="0"/>
    <xf numFmtId="0" fontId="246" fillId="30" borderId="0"/>
    <xf numFmtId="0" fontId="245" fillId="19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6" fillId="30" borderId="0"/>
    <xf numFmtId="0" fontId="245" fillId="19" borderId="0"/>
    <xf numFmtId="0" fontId="245" fillId="19" borderId="0"/>
    <xf numFmtId="0" fontId="246" fillId="25" borderId="0"/>
    <xf numFmtId="0" fontId="245" fillId="19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19" borderId="0"/>
    <xf numFmtId="0" fontId="246" fillId="25" borderId="0"/>
    <xf numFmtId="0" fontId="245" fillId="19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19" borderId="0"/>
    <xf numFmtId="0" fontId="245" fillId="19" borderId="0"/>
    <xf numFmtId="0" fontId="246" fillId="26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5" fillId="19" borderId="0"/>
    <xf numFmtId="0" fontId="246" fillId="26" borderId="0"/>
    <xf numFmtId="0" fontId="246" fillId="20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0" borderId="0"/>
    <xf numFmtId="0" fontId="246" fillId="27" borderId="0"/>
    <xf numFmtId="0" fontId="246" fillId="31" borderId="0"/>
    <xf numFmtId="0" fontId="246" fillId="27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27" borderId="0"/>
    <xf numFmtId="0" fontId="246" fillId="31" borderId="0"/>
    <xf numFmtId="0" fontId="246" fillId="27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31" borderId="0"/>
    <xf numFmtId="0" fontId="246" fillId="27" borderId="0"/>
    <xf numFmtId="0" fontId="246" fillId="27" borderId="0"/>
    <xf numFmtId="0" fontId="247" fillId="18" borderId="25"/>
    <xf numFmtId="0" fontId="246" fillId="27" borderId="0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45" fillId="18" borderId="0"/>
    <xf numFmtId="0" fontId="247" fillId="18" borderId="25"/>
    <xf numFmtId="0" fontId="245" fillId="18" borderId="0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47" fillId="18" borderId="25"/>
    <xf numFmtId="0" fontId="245" fillId="18" borderId="0"/>
    <xf numFmtId="0" fontId="245" fillId="18" borderId="0"/>
    <xf numFmtId="0" fontId="248" fillId="23" borderId="35"/>
    <xf numFmtId="0" fontId="245" fillId="18" borderId="0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45" fillId="18" borderId="0"/>
    <xf numFmtId="0" fontId="248" fillId="23" borderId="35"/>
    <xf numFmtId="0" fontId="245" fillId="18" borderId="0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48" fillId="23" borderId="35"/>
    <xf numFmtId="0" fontId="245" fillId="18" borderId="0"/>
    <xf numFmtId="0" fontId="245" fillId="18" borderId="0"/>
    <xf numFmtId="0" fontId="249" fillId="23" borderId="25"/>
    <xf numFmtId="0" fontId="245" fillId="18" borderId="0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45" fillId="18" borderId="0"/>
    <xf numFmtId="0" fontId="249" fillId="23" borderId="25"/>
    <xf numFmtId="0" fontId="245" fillId="18" borderId="0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49" fillId="23" borderId="25"/>
    <xf numFmtId="0" fontId="245" fillId="18" borderId="0"/>
    <xf numFmtId="0" fontId="246" fillId="27" borderId="0"/>
    <xf numFmtId="0" fontId="250" fillId="0" borderId="46"/>
    <xf numFmtId="0" fontId="246" fillId="25" borderId="0"/>
    <xf numFmtId="0" fontId="250" fillId="0" borderId="46"/>
    <xf numFmtId="0" fontId="250" fillId="0" borderId="46"/>
    <xf numFmtId="0" fontId="250" fillId="0" borderId="46"/>
    <xf numFmtId="0" fontId="250" fillId="0" borderId="46"/>
    <xf numFmtId="0" fontId="250" fillId="0" borderId="46"/>
    <xf numFmtId="0" fontId="250" fillId="0" borderId="46"/>
    <xf numFmtId="0" fontId="250" fillId="0" borderId="46"/>
    <xf numFmtId="0" fontId="246" fillId="24" borderId="0"/>
    <xf numFmtId="0" fontId="250" fillId="0" borderId="46"/>
    <xf numFmtId="0" fontId="246" fillId="24" borderId="0"/>
    <xf numFmtId="0" fontId="250" fillId="0" borderId="46"/>
    <xf numFmtId="0" fontId="250" fillId="0" borderId="46"/>
    <xf numFmtId="0" fontId="250" fillId="0" borderId="46"/>
    <xf numFmtId="0" fontId="250" fillId="0" borderId="46"/>
    <xf numFmtId="0" fontId="250" fillId="0" borderId="46"/>
    <xf numFmtId="0" fontId="250" fillId="0" borderId="46"/>
    <xf numFmtId="0" fontId="250" fillId="0" borderId="46"/>
    <xf numFmtId="0" fontId="246" fillId="24" borderId="0"/>
    <xf numFmtId="0" fontId="246" fillId="24" borderId="0"/>
    <xf numFmtId="0" fontId="251" fillId="0" borderId="47"/>
    <xf numFmtId="0" fontId="246" fillId="24" borderId="0"/>
    <xf numFmtId="0" fontId="251" fillId="0" borderId="47"/>
    <xf numFmtId="0" fontId="251" fillId="0" borderId="47"/>
    <xf numFmtId="0" fontId="251" fillId="0" borderId="47"/>
    <xf numFmtId="0" fontId="251" fillId="0" borderId="47"/>
    <xf numFmtId="0" fontId="251" fillId="0" borderId="47"/>
    <xf numFmtId="0" fontId="251" fillId="0" borderId="47"/>
    <xf numFmtId="0" fontId="251" fillId="0" borderId="47"/>
    <xf numFmtId="0" fontId="246" fillId="24" borderId="0"/>
    <xf numFmtId="0" fontId="251" fillId="0" borderId="47"/>
    <xf numFmtId="0" fontId="246" fillId="24" borderId="0"/>
    <xf numFmtId="0" fontId="251" fillId="0" borderId="47"/>
    <xf numFmtId="0" fontId="251" fillId="0" borderId="47"/>
    <xf numFmtId="0" fontId="251" fillId="0" borderId="47"/>
    <xf numFmtId="0" fontId="251" fillId="0" borderId="47"/>
    <xf numFmtId="0" fontId="251" fillId="0" borderId="47"/>
    <xf numFmtId="0" fontId="251" fillId="0" borderId="47"/>
    <xf numFmtId="0" fontId="251" fillId="0" borderId="47"/>
    <xf numFmtId="0" fontId="245" fillId="17" borderId="0"/>
    <xf numFmtId="0" fontId="245" fillId="17" borderId="0"/>
    <xf numFmtId="0" fontId="252" fillId="0" borderId="31"/>
    <xf numFmtId="0" fontId="245" fillId="17" borderId="0"/>
    <xf numFmtId="0" fontId="252" fillId="0" borderId="31"/>
    <xf numFmtId="0" fontId="252" fillId="0" borderId="31"/>
    <xf numFmtId="0" fontId="252" fillId="0" borderId="31"/>
    <xf numFmtId="0" fontId="252" fillId="0" borderId="31"/>
    <xf numFmtId="0" fontId="252" fillId="0" borderId="31"/>
    <xf numFmtId="0" fontId="252" fillId="0" borderId="31"/>
    <xf numFmtId="0" fontId="252" fillId="0" borderId="31"/>
    <xf numFmtId="0" fontId="245" fillId="17" borderId="0"/>
    <xf numFmtId="0" fontId="252" fillId="0" borderId="31"/>
    <xf numFmtId="0" fontId="245" fillId="17" borderId="0"/>
    <xf numFmtId="0" fontId="252" fillId="0" borderId="31"/>
    <xf numFmtId="0" fontId="252" fillId="0" borderId="31"/>
    <xf numFmtId="0" fontId="252" fillId="0" borderId="31"/>
    <xf numFmtId="0" fontId="252" fillId="0" borderId="31"/>
    <xf numFmtId="0" fontId="252" fillId="0" borderId="31"/>
    <xf numFmtId="0" fontId="252" fillId="0" borderId="31"/>
    <xf numFmtId="0" fontId="252" fillId="0" borderId="31"/>
    <xf numFmtId="0" fontId="245" fillId="17" borderId="0"/>
    <xf numFmtId="0" fontId="245" fillId="17" borderId="0"/>
    <xf numFmtId="0" fontId="252" fillId="0" borderId="0"/>
    <xf numFmtId="0" fontId="245" fillId="17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45" fillId="17" borderId="0"/>
    <xf numFmtId="0" fontId="252" fillId="0" borderId="0"/>
    <xf numFmtId="0" fontId="245" fillId="17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52" fillId="0" borderId="0"/>
    <xf numFmtId="0" fontId="245" fillId="17" borderId="0"/>
    <xf numFmtId="0" fontId="245" fillId="17" borderId="0"/>
    <xf numFmtId="0" fontId="253" fillId="0" borderId="49"/>
    <xf numFmtId="0" fontId="245" fillId="17" borderId="0"/>
    <xf numFmtId="0" fontId="253" fillId="0" borderId="49"/>
    <xf numFmtId="0" fontId="253" fillId="0" borderId="49"/>
    <xf numFmtId="0" fontId="253" fillId="0" borderId="49"/>
    <xf numFmtId="0" fontId="253" fillId="0" borderId="49"/>
    <xf numFmtId="0" fontId="253" fillId="0" borderId="49"/>
    <xf numFmtId="0" fontId="253" fillId="0" borderId="49"/>
    <xf numFmtId="0" fontId="253" fillId="0" borderId="49"/>
    <xf numFmtId="0" fontId="246" fillId="24" borderId="0"/>
    <xf numFmtId="0" fontId="253" fillId="0" borderId="49"/>
    <xf numFmtId="0" fontId="246" fillId="24" borderId="0"/>
    <xf numFmtId="0" fontId="253" fillId="0" borderId="49"/>
    <xf numFmtId="0" fontId="253" fillId="0" borderId="49"/>
    <xf numFmtId="0" fontId="253" fillId="0" borderId="49"/>
    <xf numFmtId="0" fontId="253" fillId="0" borderId="49"/>
    <xf numFmtId="0" fontId="253" fillId="0" borderId="49"/>
    <xf numFmtId="0" fontId="253" fillId="0" borderId="49"/>
    <xf numFmtId="0" fontId="253" fillId="0" borderId="49"/>
    <xf numFmtId="0" fontId="246" fillId="24" borderId="0"/>
    <xf numFmtId="0" fontId="246" fillId="24" borderId="0"/>
    <xf numFmtId="0" fontId="254" fillId="33" borderId="28"/>
    <xf numFmtId="0" fontId="246" fillId="24" borderId="0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46" fillId="24" borderId="0"/>
    <xf numFmtId="0" fontId="254" fillId="33" borderId="28"/>
    <xf numFmtId="0" fontId="246" fillId="25" borderId="0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54" fillId="33" borderId="28"/>
    <xf numFmtId="0" fontId="246" fillId="25" borderId="0"/>
    <xf numFmtId="0" fontId="246" fillId="25" borderId="0"/>
    <xf numFmtId="0" fontId="255" fillId="0" borderId="0"/>
    <xf numFmtId="0" fontId="245" fillId="16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45" fillId="16" borderId="0"/>
    <xf numFmtId="0" fontId="255" fillId="0" borderId="0"/>
    <xf numFmtId="0" fontId="245" fillId="16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45" fillId="16" borderId="0"/>
    <xf numFmtId="0" fontId="245" fillId="16" borderId="0"/>
    <xf numFmtId="0" fontId="256" fillId="40" borderId="0"/>
    <xf numFmtId="0" fontId="245" fillId="16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45" fillId="16" borderId="0"/>
    <xf numFmtId="0" fontId="256" fillId="40" borderId="0"/>
    <xf numFmtId="0" fontId="245" fillId="16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56" fillId="40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5" fillId="22" borderId="0"/>
    <xf numFmtId="0" fontId="245" fillId="22" borderId="0"/>
    <xf numFmtId="0" fontId="245" fillId="22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5" fillId="22" borderId="0"/>
    <xf numFmtId="0" fontId="245" fillId="22" borderId="0"/>
    <xf numFmtId="0" fontId="245" fillId="22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5" fillId="14" borderId="0"/>
    <xf numFmtId="0" fontId="245" fillId="14" borderId="0"/>
    <xf numFmtId="0" fontId="245" fillId="14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4" fillId="0" borderId="0"/>
    <xf numFmtId="0" fontId="245" fillId="14" borderId="0"/>
    <xf numFmtId="0" fontId="245" fillId="14" borderId="0"/>
    <xf numFmtId="0" fontId="245" fillId="14" borderId="0"/>
    <xf numFmtId="0" fontId="244" fillId="0" borderId="0"/>
    <xf numFmtId="0" fontId="244" fillId="0" borderId="0"/>
    <xf numFmtId="0" fontId="244" fillId="0" borderId="0"/>
    <xf numFmtId="0" fontId="245" fillId="14" borderId="0"/>
    <xf numFmtId="0" fontId="245" fillId="14" borderId="0"/>
    <xf numFmtId="0" fontId="245" fillId="14" borderId="0"/>
    <xf numFmtId="0" fontId="257" fillId="14" borderId="0"/>
    <xf numFmtId="0" fontId="245" fillId="22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46" fillId="25" borderId="0"/>
    <xf numFmtId="0" fontId="257" fillId="14" borderId="0"/>
    <xf numFmtId="0" fontId="246" fillId="25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57" fillId="14" borderId="0"/>
    <xf numFmtId="0" fontId="246" fillId="25" borderId="0"/>
    <xf numFmtId="0" fontId="246" fillId="27" borderId="0"/>
    <xf numFmtId="0" fontId="258" fillId="0" borderId="0"/>
    <xf numFmtId="0" fontId="246" fillId="27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46" fillId="27" borderId="0"/>
    <xf numFmtId="0" fontId="258" fillId="0" borderId="0"/>
    <xf numFmtId="0" fontId="246" fillId="27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58" fillId="0" borderId="0"/>
    <xf numFmtId="0" fontId="244" fillId="83" borderId="58"/>
    <xf numFmtId="0" fontId="246" fillId="26" borderId="0"/>
    <xf numFmtId="0" fontId="244" fillId="41" borderId="34"/>
    <xf numFmtId="0" fontId="245" fillId="13" borderId="0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45" fillId="13" borderId="0"/>
    <xf numFmtId="0" fontId="244" fillId="41" borderId="34"/>
    <xf numFmtId="0" fontId="245" fillId="13" borderId="0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44" fillId="41" borderId="34"/>
    <xf numFmtId="0" fontId="245" fillId="13" borderId="0"/>
    <xf numFmtId="0" fontId="245" fillId="13" borderId="0"/>
    <xf numFmtId="0" fontId="259" fillId="0" borderId="32"/>
    <xf numFmtId="0" fontId="245" fillId="13" borderId="0"/>
    <xf numFmtId="0" fontId="259" fillId="0" borderId="32"/>
    <xf numFmtId="0" fontId="259" fillId="0" borderId="32"/>
    <xf numFmtId="0" fontId="259" fillId="0" borderId="32"/>
    <xf numFmtId="0" fontId="259" fillId="0" borderId="32"/>
    <xf numFmtId="0" fontId="259" fillId="0" borderId="32"/>
    <xf numFmtId="0" fontId="259" fillId="0" borderId="32"/>
    <xf numFmtId="0" fontId="259" fillId="0" borderId="32"/>
    <xf numFmtId="0" fontId="245" fillId="13" borderId="0"/>
    <xf numFmtId="0" fontId="259" fillId="0" borderId="32"/>
    <xf numFmtId="0" fontId="245" fillId="13" borderId="0"/>
    <xf numFmtId="0" fontId="259" fillId="0" borderId="32"/>
    <xf numFmtId="0" fontId="259" fillId="0" borderId="32"/>
    <xf numFmtId="0" fontId="259" fillId="0" borderId="32"/>
    <xf numFmtId="0" fontId="259" fillId="0" borderId="32"/>
    <xf numFmtId="0" fontId="259" fillId="0" borderId="32"/>
    <xf numFmtId="0" fontId="259" fillId="0" borderId="32"/>
    <xf numFmtId="0" fontId="259" fillId="0" borderId="32"/>
    <xf numFmtId="0" fontId="245" fillId="13" borderId="0"/>
    <xf numFmtId="0" fontId="245" fillId="13" borderId="0"/>
    <xf numFmtId="0" fontId="260" fillId="0" borderId="0"/>
    <xf numFmtId="0" fontId="245" fillId="13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45" fillId="13" borderId="0"/>
    <xf numFmtId="0" fontId="260" fillId="0" borderId="0"/>
    <xf numFmtId="0" fontId="245" fillId="13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60" fillId="0" borderId="0"/>
    <xf numFmtId="0" fontId="245" fillId="16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61" fillId="15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64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64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6" fillId="27" borderId="0"/>
    <xf numFmtId="0" fontId="246" fillId="27" borderId="0"/>
    <xf numFmtId="0" fontId="246" fillId="27" borderId="0"/>
    <xf numFmtId="0" fontId="64" fillId="27" borderId="0"/>
    <xf numFmtId="0" fontId="64" fillId="27" borderId="0"/>
    <xf numFmtId="0" fontId="64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64" fillId="27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246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64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64" fillId="27" borderId="0"/>
    <xf numFmtId="0" fontId="64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64" fillId="26" borderId="0"/>
    <xf numFmtId="0" fontId="64" fillId="26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6" fillId="26" borderId="0"/>
    <xf numFmtId="0" fontId="246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6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64" fillId="27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64" fillId="27" borderId="0"/>
    <xf numFmtId="0" fontId="64" fillId="27" borderId="0"/>
    <xf numFmtId="0" fontId="64" fillId="27" borderId="0"/>
    <xf numFmtId="0" fontId="64" fillId="27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246" fillId="25" borderId="0"/>
    <xf numFmtId="0" fontId="246" fillId="2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246" fillId="25" borderId="0"/>
    <xf numFmtId="0" fontId="246" fillId="25" borderId="0"/>
    <xf numFmtId="0" fontId="246" fillId="25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64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4" fillId="26" borderId="0"/>
    <xf numFmtId="0" fontId="64" fillId="26" borderId="0"/>
    <xf numFmtId="0" fontId="64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64" fillId="26" borderId="0"/>
    <xf numFmtId="0" fontId="64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64" fillId="25" borderId="0"/>
    <xf numFmtId="0" fontId="64" fillId="25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64" fillId="25" borderId="0"/>
    <xf numFmtId="0" fontId="64" fillId="25" borderId="0"/>
    <xf numFmtId="0" fontId="64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64" fillId="25" borderId="0"/>
    <xf numFmtId="0" fontId="64" fillId="25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64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4" fillId="26" borderId="0"/>
    <xf numFmtId="0" fontId="64" fillId="26" borderId="0"/>
    <xf numFmtId="0" fontId="64" fillId="2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64" fillId="26" borderId="0"/>
    <xf numFmtId="0" fontId="64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64" fillId="26" borderId="0"/>
    <xf numFmtId="0" fontId="246" fillId="20" borderId="0"/>
    <xf numFmtId="0" fontId="246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0" borderId="0"/>
    <xf numFmtId="0" fontId="246" fillId="20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4" fillId="83" borderId="58"/>
    <xf numFmtId="0" fontId="64" fillId="25" borderId="0"/>
    <xf numFmtId="0" fontId="64" fillId="25" borderId="0"/>
    <xf numFmtId="0" fontId="64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245" fillId="22" borderId="0"/>
    <xf numFmtId="0" fontId="245" fillId="22" borderId="0"/>
    <xf numFmtId="0" fontId="245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22" borderId="0"/>
    <xf numFmtId="0" fontId="64" fillId="25" borderId="0"/>
    <xf numFmtId="0" fontId="64" fillId="25" borderId="0"/>
    <xf numFmtId="0" fontId="64" fillId="25" borderId="0"/>
    <xf numFmtId="0" fontId="64" fillId="25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64" fillId="20" borderId="0"/>
    <xf numFmtId="0" fontId="64" fillId="20" borderId="0"/>
    <xf numFmtId="0" fontId="64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4" fillId="20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244" fillId="83" borderId="58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64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64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64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64" fillId="20" borderId="0"/>
    <xf numFmtId="0" fontId="64" fillId="20" borderId="0"/>
    <xf numFmtId="0" fontId="64" fillId="20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64" fillId="24" borderId="0"/>
    <xf numFmtId="0" fontId="244" fillId="83" borderId="58"/>
    <xf numFmtId="0" fontId="64" fillId="24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62" fillId="22" borderId="0"/>
    <xf numFmtId="0" fontId="62" fillId="22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62" fillId="22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62" fillId="22" borderId="0"/>
    <xf numFmtId="0" fontId="62" fillId="22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62" fillId="1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244" fillId="83" borderId="58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6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1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20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9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8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62" fillId="17" borderId="0"/>
    <xf numFmtId="0" fontId="35" fillId="83" borderId="58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6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5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4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62" fillId="13" borderId="0"/>
    <xf numFmtId="0" fontId="35" fillId="83" borderId="58"/>
    <xf numFmtId="0" fontId="245" fillId="22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6" fillId="25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6" fillId="2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6" fillId="25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5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6" fillId="25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6" fillId="2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6" fillId="2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6" fillId="26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6" fillId="26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7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7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7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7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6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5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4" fillId="83" borderId="58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22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1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0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6" fillId="24" borderId="0"/>
    <xf numFmtId="0" fontId="245" fillId="22" borderId="0"/>
    <xf numFmtId="0" fontId="245" fillId="22" borderId="0"/>
    <xf numFmtId="0" fontId="245" fillId="22" borderId="0"/>
    <xf numFmtId="0" fontId="245" fillId="22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1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20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9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8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7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5" fillId="16" borderId="0"/>
    <xf numFmtId="0" fontId="244" fillId="83" borderId="58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5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4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5" fillId="13" borderId="0"/>
    <xf numFmtId="0" fontId="244" fillId="83" borderId="58"/>
  </cellStyleXfs>
  <cellXfs count="604">
    <xf numFmtId="0" fontId="0" fillId="0" borderId="0" xfId="0"/>
    <xf numFmtId="0" fontId="2" fillId="2" borderId="0" xfId="0" applyFont="1" applyFill="1"/>
    <xf numFmtId="0" fontId="4" fillId="2" borderId="2" xfId="0" applyFont="1" applyFill="1" applyBorder="1" applyAlignment="1">
      <alignment horizontal="center"/>
    </xf>
    <xf numFmtId="0" fontId="6" fillId="2" borderId="0" xfId="0" applyFont="1" applyFill="1"/>
    <xf numFmtId="4" fontId="6" fillId="2" borderId="3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 wrapText="1"/>
    </xf>
    <xf numFmtId="4" fontId="6" fillId="2" borderId="2" xfId="0" applyNumberFormat="1" applyFont="1" applyFill="1" applyBorder="1"/>
    <xf numFmtId="0" fontId="8" fillId="0" borderId="2" xfId="2" applyFont="1" applyFill="1" applyBorder="1" applyAlignment="1">
      <alignment wrapText="1"/>
    </xf>
    <xf numFmtId="4" fontId="2" fillId="0" borderId="2" xfId="0" applyNumberFormat="1" applyFont="1" applyFill="1" applyBorder="1"/>
    <xf numFmtId="0" fontId="2" fillId="0" borderId="0" xfId="0" applyFont="1"/>
    <xf numFmtId="0" fontId="2" fillId="0" borderId="2" xfId="2" applyFont="1" applyFill="1" applyBorder="1" applyAlignment="1">
      <alignment wrapText="1"/>
    </xf>
    <xf numFmtId="4" fontId="11" fillId="0" borderId="2" xfId="0" applyNumberFormat="1" applyFont="1" applyFill="1" applyBorder="1"/>
    <xf numFmtId="0" fontId="2" fillId="0" borderId="0" xfId="0" applyFont="1" applyFill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left"/>
    </xf>
    <xf numFmtId="4" fontId="2" fillId="0" borderId="0" xfId="0" applyNumberFormat="1" applyFont="1" applyFill="1"/>
    <xf numFmtId="0" fontId="4" fillId="0" borderId="0" xfId="0" applyFont="1" applyFill="1"/>
    <xf numFmtId="0" fontId="2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 wrapText="1"/>
    </xf>
    <xf numFmtId="4" fontId="4" fillId="5" borderId="2" xfId="0" applyNumberFormat="1" applyFont="1" applyFill="1" applyBorder="1"/>
    <xf numFmtId="49" fontId="8" fillId="5" borderId="2" xfId="2" applyNumberFormat="1" applyFont="1" applyFill="1" applyBorder="1" applyAlignment="1">
      <alignment wrapText="1"/>
    </xf>
    <xf numFmtId="0" fontId="8" fillId="0" borderId="2" xfId="2" applyFont="1" applyFill="1" applyBorder="1" applyAlignment="1">
      <alignment horizontal="center" wrapText="1"/>
    </xf>
    <xf numFmtId="4" fontId="13" fillId="5" borderId="2" xfId="0" applyNumberFormat="1" applyFont="1" applyFill="1" applyBorder="1"/>
    <xf numFmtId="4" fontId="4" fillId="0" borderId="2" xfId="0" applyNumberFormat="1" applyFont="1" applyFill="1" applyBorder="1"/>
    <xf numFmtId="169" fontId="18" fillId="0" borderId="0" xfId="1" applyFont="1" applyFill="1"/>
    <xf numFmtId="0" fontId="18" fillId="0" borderId="0" xfId="0" applyFont="1" applyFill="1"/>
    <xf numFmtId="0" fontId="22" fillId="3" borderId="2" xfId="2" applyFont="1" applyFill="1" applyBorder="1" applyAlignment="1">
      <alignment horizontal="center" wrapText="1"/>
    </xf>
    <xf numFmtId="0" fontId="23" fillId="4" borderId="0" xfId="0" applyFont="1" applyFill="1"/>
    <xf numFmtId="0" fontId="15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5" borderId="0" xfId="0" applyFont="1" applyFill="1"/>
    <xf numFmtId="0" fontId="24" fillId="0" borderId="0" xfId="0" applyFont="1" applyFill="1" applyAlignment="1">
      <alignment horizontal="center"/>
    </xf>
    <xf numFmtId="0" fontId="23" fillId="6" borderId="0" xfId="0" applyFont="1" applyFill="1"/>
    <xf numFmtId="0" fontId="23" fillId="5" borderId="0" xfId="0" applyFont="1" applyFill="1" applyAlignment="1">
      <alignment horizontal="right"/>
    </xf>
    <xf numFmtId="4" fontId="18" fillId="0" borderId="0" xfId="0" applyNumberFormat="1" applyFont="1" applyFill="1"/>
    <xf numFmtId="0" fontId="23" fillId="0" borderId="0" xfId="0" applyFont="1" applyFill="1" applyAlignment="1">
      <alignment horizontal="right"/>
    </xf>
    <xf numFmtId="169" fontId="23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wrapText="1"/>
    </xf>
    <xf numFmtId="4" fontId="23" fillId="0" borderId="0" xfId="0" applyNumberFormat="1" applyFont="1" applyFill="1" applyAlignment="1">
      <alignment horizontal="right"/>
    </xf>
    <xf numFmtId="0" fontId="29" fillId="4" borderId="0" xfId="0" applyFont="1" applyFill="1"/>
    <xf numFmtId="169" fontId="18" fillId="0" borderId="0" xfId="0" applyNumberFormat="1" applyFont="1" applyFill="1"/>
    <xf numFmtId="169" fontId="23" fillId="0" borderId="0" xfId="0" applyNumberFormat="1" applyFont="1" applyFill="1"/>
    <xf numFmtId="0" fontId="23" fillId="0" borderId="0" xfId="0" applyFont="1" applyFill="1" applyBorder="1"/>
    <xf numFmtId="4" fontId="10" fillId="5" borderId="2" xfId="0" applyNumberFormat="1" applyFont="1" applyFill="1" applyBorder="1"/>
    <xf numFmtId="0" fontId="24" fillId="0" borderId="0" xfId="0" applyFont="1" applyFill="1" applyBorder="1" applyAlignment="1">
      <alignment wrapText="1"/>
    </xf>
    <xf numFmtId="0" fontId="23" fillId="0" borderId="11" xfId="0" applyFont="1" applyFill="1" applyBorder="1"/>
    <xf numFmtId="4" fontId="23" fillId="0" borderId="0" xfId="0" applyNumberFormat="1" applyFont="1" applyFill="1"/>
    <xf numFmtId="169" fontId="23" fillId="0" borderId="0" xfId="1" applyFont="1" applyFill="1"/>
    <xf numFmtId="169" fontId="2" fillId="0" borderId="2" xfId="1" applyFont="1" applyFill="1" applyBorder="1" applyAlignment="1">
      <alignment horizontal="right"/>
    </xf>
    <xf numFmtId="0" fontId="33" fillId="0" borderId="0" xfId="0" applyFont="1" applyFill="1"/>
    <xf numFmtId="0" fontId="33" fillId="5" borderId="0" xfId="0" applyFont="1" applyFill="1"/>
    <xf numFmtId="0" fontId="2" fillId="0" borderId="2" xfId="2" applyNumberFormat="1" applyFont="1" applyFill="1" applyBorder="1" applyAlignment="1">
      <alignment horizontal="center" wrapText="1"/>
    </xf>
    <xf numFmtId="0" fontId="6" fillId="7" borderId="2" xfId="2" applyFont="1" applyFill="1" applyBorder="1" applyAlignment="1">
      <alignment wrapText="1"/>
    </xf>
    <xf numFmtId="49" fontId="6" fillId="7" borderId="2" xfId="2" applyNumberFormat="1" applyFont="1" applyFill="1" applyBorder="1" applyAlignment="1">
      <alignment wrapText="1"/>
    </xf>
    <xf numFmtId="0" fontId="6" fillId="7" borderId="2" xfId="2" applyFont="1" applyFill="1" applyBorder="1" applyAlignment="1">
      <alignment horizontal="left" wrapText="1"/>
    </xf>
    <xf numFmtId="0" fontId="6" fillId="7" borderId="2" xfId="0" applyFont="1" applyFill="1" applyBorder="1"/>
    <xf numFmtId="4" fontId="6" fillId="7" borderId="2" xfId="0" applyNumberFormat="1" applyFont="1" applyFill="1" applyBorder="1"/>
    <xf numFmtId="0" fontId="6" fillId="7" borderId="0" xfId="0" applyFont="1" applyFill="1"/>
    <xf numFmtId="49" fontId="24" fillId="0" borderId="0" xfId="0" applyNumberFormat="1" applyFont="1" applyFill="1" applyAlignment="1">
      <alignment horizontal="center"/>
    </xf>
    <xf numFmtId="4" fontId="18" fillId="0" borderId="2" xfId="1" applyNumberFormat="1" applyFont="1" applyFill="1" applyBorder="1"/>
    <xf numFmtId="4" fontId="2" fillId="0" borderId="2" xfId="1" applyNumberFormat="1" applyFont="1" applyFill="1" applyBorder="1" applyAlignment="1">
      <alignment horizontal="right"/>
    </xf>
    <xf numFmtId="170" fontId="6" fillId="2" borderId="2" xfId="0" applyNumberFormat="1" applyFont="1" applyFill="1" applyBorder="1"/>
    <xf numFmtId="4" fontId="3" fillId="0" borderId="2" xfId="0" applyNumberFormat="1" applyFont="1" applyFill="1" applyBorder="1"/>
    <xf numFmtId="49" fontId="25" fillId="7" borderId="2" xfId="2" applyNumberFormat="1" applyFont="1" applyFill="1" applyBorder="1" applyAlignment="1">
      <alignment wrapText="1"/>
    </xf>
    <xf numFmtId="49" fontId="34" fillId="0" borderId="0" xfId="0" applyNumberFormat="1" applyFont="1" applyFill="1" applyAlignment="1">
      <alignment wrapText="1"/>
    </xf>
    <xf numFmtId="4" fontId="2" fillId="0" borderId="9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169" fontId="2" fillId="0" borderId="0" xfId="1" applyFont="1" applyFill="1"/>
    <xf numFmtId="169" fontId="2" fillId="0" borderId="0" xfId="1" applyFont="1"/>
    <xf numFmtId="0" fontId="2" fillId="0" borderId="0" xfId="0" applyFont="1" applyBorder="1"/>
    <xf numFmtId="0" fontId="8" fillId="3" borderId="2" xfId="2" applyFont="1" applyFill="1" applyBorder="1" applyAlignment="1">
      <alignment horizontal="left" wrapText="1"/>
    </xf>
    <xf numFmtId="0" fontId="2" fillId="3" borderId="2" xfId="2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wrapText="1"/>
    </xf>
    <xf numFmtId="0" fontId="37" fillId="3" borderId="2" xfId="2" applyFont="1" applyFill="1" applyBorder="1" applyAlignment="1">
      <alignment horizontal="left" wrapText="1"/>
    </xf>
    <xf numFmtId="0" fontId="38" fillId="0" borderId="0" xfId="0" applyFont="1"/>
    <xf numFmtId="0" fontId="25" fillId="0" borderId="2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/>
    </xf>
    <xf numFmtId="4" fontId="34" fillId="3" borderId="2" xfId="0" applyNumberFormat="1" applyFont="1" applyFill="1" applyBorder="1"/>
    <xf numFmtId="0" fontId="34" fillId="0" borderId="0" xfId="0" applyFont="1"/>
    <xf numFmtId="49" fontId="12" fillId="3" borderId="2" xfId="2" applyNumberFormat="1" applyFont="1" applyFill="1" applyBorder="1" applyAlignment="1">
      <alignment wrapText="1"/>
    </xf>
    <xf numFmtId="0" fontId="12" fillId="3" borderId="2" xfId="2" applyFont="1" applyFill="1" applyBorder="1" applyAlignment="1">
      <alignment horizontal="left" wrapText="1"/>
    </xf>
    <xf numFmtId="0" fontId="34" fillId="3" borderId="2" xfId="0" applyFont="1" applyFill="1" applyBorder="1"/>
    <xf numFmtId="49" fontId="20" fillId="3" borderId="2" xfId="2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right"/>
    </xf>
    <xf numFmtId="0" fontId="24" fillId="0" borderId="0" xfId="0" applyFont="1" applyFill="1" applyBorder="1"/>
    <xf numFmtId="169" fontId="23" fillId="0" borderId="0" xfId="1" applyFont="1" applyFill="1" applyBorder="1" applyAlignment="1">
      <alignment horizontal="center"/>
    </xf>
    <xf numFmtId="0" fontId="21" fillId="0" borderId="0" xfId="0" applyFont="1" applyFill="1" applyBorder="1"/>
    <xf numFmtId="0" fontId="18" fillId="0" borderId="0" xfId="0" applyFont="1" applyFill="1" applyBorder="1"/>
    <xf numFmtId="4" fontId="6" fillId="5" borderId="2" xfId="0" applyNumberFormat="1" applyFont="1" applyFill="1" applyBorder="1"/>
    <xf numFmtId="0" fontId="23" fillId="0" borderId="0" xfId="0" applyFont="1" applyFill="1" applyAlignment="1">
      <alignment horizontal="center" vertical="center"/>
    </xf>
    <xf numFmtId="169" fontId="24" fillId="0" borderId="0" xfId="1" applyFont="1" applyFill="1" applyAlignment="1">
      <alignment horizontal="center" vertical="center" wrapText="1"/>
    </xf>
    <xf numFmtId="4" fontId="5" fillId="0" borderId="0" xfId="0" applyNumberFormat="1" applyFont="1" applyFill="1"/>
    <xf numFmtId="0" fontId="5" fillId="0" borderId="2" xfId="2" applyFont="1" applyFill="1" applyBorder="1" applyAlignment="1">
      <alignment wrapText="1"/>
    </xf>
    <xf numFmtId="49" fontId="5" fillId="5" borderId="2" xfId="2" applyNumberFormat="1" applyFont="1" applyFill="1" applyBorder="1" applyAlignment="1">
      <alignment wrapText="1"/>
    </xf>
    <xf numFmtId="4" fontId="5" fillId="0" borderId="2" xfId="1" applyNumberFormat="1" applyFont="1" applyFill="1" applyBorder="1" applyAlignment="1">
      <alignment horizontal="right"/>
    </xf>
    <xf numFmtId="4" fontId="5" fillId="0" borderId="2" xfId="0" applyNumberFormat="1" applyFont="1" applyFill="1" applyBorder="1"/>
    <xf numFmtId="0" fontId="204" fillId="0" borderId="0" xfId="0" applyFont="1" applyFill="1"/>
    <xf numFmtId="0" fontId="15" fillId="0" borderId="0" xfId="0" applyFont="1" applyFill="1" applyAlignment="1">
      <alignment horizontal="left"/>
    </xf>
    <xf numFmtId="49" fontId="36" fillId="3" borderId="2" xfId="2" applyNumberFormat="1" applyFont="1" applyFill="1" applyBorder="1" applyAlignment="1">
      <alignment horizontal="center" wrapText="1"/>
    </xf>
    <xf numFmtId="4" fontId="2" fillId="0" borderId="2" xfId="1" applyNumberFormat="1" applyFont="1" applyFill="1" applyBorder="1"/>
    <xf numFmtId="1" fontId="2" fillId="0" borderId="2" xfId="2" applyNumberFormat="1" applyFont="1" applyFill="1" applyBorder="1" applyAlignment="1">
      <alignment horizontal="center" wrapText="1"/>
    </xf>
    <xf numFmtId="43" fontId="23" fillId="0" borderId="0" xfId="0" applyNumberFormat="1" applyFont="1" applyFill="1"/>
    <xf numFmtId="4" fontId="19" fillId="4" borderId="2" xfId="0" applyNumberFormat="1" applyFont="1" applyFill="1" applyBorder="1" applyAlignment="1">
      <alignment horizontal="center" vertical="center" wrapText="1"/>
    </xf>
    <xf numFmtId="169" fontId="2" fillId="4" borderId="10" xfId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4" fontId="2" fillId="4" borderId="10" xfId="0" applyNumberFormat="1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9" fontId="6" fillId="4" borderId="2" xfId="1" applyFont="1" applyFill="1" applyBorder="1" applyAlignment="1">
      <alignment horizontal="center"/>
    </xf>
    <xf numFmtId="4" fontId="6" fillId="4" borderId="2" xfId="1" applyNumberFormat="1" applyFont="1" applyFill="1" applyBorder="1" applyAlignment="1">
      <alignment horizontal="center"/>
    </xf>
    <xf numFmtId="4" fontId="6" fillId="4" borderId="2" xfId="0" applyNumberFormat="1" applyFont="1" applyFill="1" applyBorder="1" applyAlignment="1">
      <alignment horizontal="center"/>
    </xf>
    <xf numFmtId="43" fontId="204" fillId="0" borderId="0" xfId="0" applyNumberFormat="1" applyFont="1" applyFill="1"/>
    <xf numFmtId="43" fontId="15" fillId="0" borderId="0" xfId="0" applyNumberFormat="1" applyFont="1" applyFill="1"/>
    <xf numFmtId="0" fontId="5" fillId="0" borderId="2" xfId="2" applyFont="1" applyFill="1" applyBorder="1" applyAlignment="1">
      <alignment horizontal="center" wrapText="1"/>
    </xf>
    <xf numFmtId="0" fontId="36" fillId="3" borderId="2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vertical="center" wrapText="1"/>
    </xf>
    <xf numFmtId="49" fontId="5" fillId="5" borderId="2" xfId="2" applyNumberFormat="1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vertical="center"/>
    </xf>
    <xf numFmtId="171" fontId="5" fillId="0" borderId="0" xfId="1" applyNumberFormat="1" applyFont="1" applyFill="1" applyBorder="1" applyAlignment="1">
      <alignment horizontal="right" vertical="center"/>
    </xf>
    <xf numFmtId="4" fontId="206" fillId="5" borderId="2" xfId="0" applyNumberFormat="1" applyFont="1" applyFill="1" applyBorder="1" applyAlignment="1">
      <alignment vertical="center"/>
    </xf>
    <xf numFmtId="0" fontId="204" fillId="0" borderId="0" xfId="0" applyFont="1" applyFill="1" applyAlignment="1">
      <alignment vertical="center"/>
    </xf>
    <xf numFmtId="4" fontId="5" fillId="0" borderId="0" xfId="1" applyNumberFormat="1" applyFont="1" applyFill="1" applyBorder="1" applyAlignment="1">
      <alignment horizontal="right"/>
    </xf>
    <xf numFmtId="4" fontId="206" fillId="5" borderId="2" xfId="0" applyNumberFormat="1" applyFont="1" applyFill="1" applyBorder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12" fillId="3" borderId="3" xfId="2" applyFont="1" applyFill="1" applyBorder="1" applyAlignment="1">
      <alignment horizontal="left" wrapText="1"/>
    </xf>
    <xf numFmtId="0" fontId="8" fillId="3" borderId="9" xfId="2" applyFont="1" applyFill="1" applyBorder="1" applyAlignment="1">
      <alignment horizontal="left" wrapText="1"/>
    </xf>
    <xf numFmtId="0" fontId="8" fillId="3" borderId="15" xfId="2" applyFont="1" applyFill="1" applyBorder="1" applyAlignment="1">
      <alignment horizontal="left" wrapText="1"/>
    </xf>
    <xf numFmtId="4" fontId="34" fillId="3" borderId="1" xfId="0" applyNumberFormat="1" applyFont="1" applyFill="1" applyBorder="1"/>
    <xf numFmtId="0" fontId="34" fillId="3" borderId="1" xfId="0" applyFont="1" applyFill="1" applyBorder="1"/>
    <xf numFmtId="0" fontId="207" fillId="71" borderId="9" xfId="0" applyFont="1" applyFill="1" applyBorder="1" applyAlignment="1">
      <alignment horizontal="left" wrapText="1"/>
    </xf>
    <xf numFmtId="4" fontId="9" fillId="71" borderId="9" xfId="0" applyNumberFormat="1" applyFont="1" applyFill="1" applyBorder="1"/>
    <xf numFmtId="0" fontId="208" fillId="71" borderId="15" xfId="0" applyFont="1" applyFill="1" applyBorder="1" applyAlignment="1">
      <alignment horizontal="left" wrapText="1"/>
    </xf>
    <xf numFmtId="0" fontId="208" fillId="71" borderId="9" xfId="0" applyFont="1" applyFill="1" applyBorder="1" applyAlignment="1">
      <alignment horizontal="left" wrapText="1"/>
    </xf>
    <xf numFmtId="4" fontId="40" fillId="71" borderId="9" xfId="0" applyNumberFormat="1" applyFont="1" applyFill="1" applyBorder="1"/>
    <xf numFmtId="0" fontId="2" fillId="71" borderId="9" xfId="0" applyFont="1" applyFill="1" applyBorder="1" applyAlignment="1">
      <alignment horizontal="left" wrapText="1"/>
    </xf>
    <xf numFmtId="0" fontId="34" fillId="71" borderId="9" xfId="0" applyFont="1" applyFill="1" applyBorder="1"/>
    <xf numFmtId="49" fontId="209" fillId="71" borderId="9" xfId="0" applyNumberFormat="1" applyFont="1" applyFill="1" applyBorder="1" applyAlignment="1">
      <alignment wrapText="1"/>
    </xf>
    <xf numFmtId="0" fontId="209" fillId="71" borderId="9" xfId="0" applyFont="1" applyFill="1" applyBorder="1" applyAlignment="1">
      <alignment horizontal="left" wrapText="1"/>
    </xf>
    <xf numFmtId="4" fontId="34" fillId="71" borderId="9" xfId="0" applyNumberFormat="1" applyFont="1" applyFill="1" applyBorder="1"/>
    <xf numFmtId="1" fontId="207" fillId="71" borderId="9" xfId="0" applyNumberFormat="1" applyFont="1" applyFill="1" applyBorder="1" applyAlignment="1">
      <alignment horizontal="left" wrapText="1"/>
    </xf>
    <xf numFmtId="0" fontId="207" fillId="71" borderId="15" xfId="0" applyFont="1" applyFill="1" applyBorder="1" applyAlignment="1">
      <alignment horizontal="left" wrapText="1"/>
    </xf>
    <xf numFmtId="0" fontId="39" fillId="71" borderId="9" xfId="0" applyFont="1" applyFill="1" applyBorder="1"/>
    <xf numFmtId="0" fontId="39" fillId="71" borderId="15" xfId="0" applyFont="1" applyFill="1" applyBorder="1"/>
    <xf numFmtId="4" fontId="34" fillId="71" borderId="4" xfId="0" applyNumberFormat="1" applyFont="1" applyFill="1" applyBorder="1"/>
    <xf numFmtId="0" fontId="34" fillId="71" borderId="2" xfId="0" applyFont="1" applyFill="1" applyBorder="1"/>
    <xf numFmtId="213" fontId="34" fillId="0" borderId="9" xfId="0" applyNumberFormat="1" applyFont="1" applyBorder="1"/>
    <xf numFmtId="213" fontId="3" fillId="0" borderId="2" xfId="0" applyNumberFormat="1" applyFont="1" applyBorder="1"/>
    <xf numFmtId="218" fontId="6" fillId="7" borderId="2" xfId="1" applyNumberFormat="1" applyFont="1" applyFill="1" applyBorder="1"/>
    <xf numFmtId="169" fontId="2" fillId="2" borderId="8" xfId="1" applyFont="1" applyFill="1" applyBorder="1" applyAlignment="1">
      <alignment horizontal="center"/>
    </xf>
    <xf numFmtId="169" fontId="2" fillId="2" borderId="2" xfId="1" applyFont="1" applyFill="1" applyBorder="1" applyAlignment="1">
      <alignment horizontal="center"/>
    </xf>
    <xf numFmtId="169" fontId="4" fillId="2" borderId="2" xfId="1" applyFont="1" applyFill="1" applyBorder="1" applyAlignment="1">
      <alignment horizontal="center"/>
    </xf>
    <xf numFmtId="169" fontId="4" fillId="2" borderId="3" xfId="1" applyFont="1" applyFill="1" applyBorder="1" applyAlignment="1">
      <alignment horizontal="center" wrapText="1"/>
    </xf>
    <xf numFmtId="169" fontId="6" fillId="2" borderId="2" xfId="1" applyFont="1" applyFill="1" applyBorder="1"/>
    <xf numFmtId="169" fontId="6" fillId="2" borderId="2" xfId="1" applyFont="1" applyFill="1" applyBorder="1" applyAlignment="1">
      <alignment horizontal="center"/>
    </xf>
    <xf numFmtId="169" fontId="6" fillId="2" borderId="0" xfId="1" applyFont="1" applyFill="1"/>
    <xf numFmtId="169" fontId="6" fillId="2" borderId="9" xfId="1" applyFont="1" applyFill="1" applyBorder="1"/>
    <xf numFmtId="169" fontId="4" fillId="2" borderId="2" xfId="1" applyFont="1" applyFill="1" applyBorder="1"/>
    <xf numFmtId="169" fontId="6" fillId="2" borderId="3" xfId="1" applyFont="1" applyFill="1" applyBorder="1"/>
    <xf numFmtId="169" fontId="4" fillId="0" borderId="0" xfId="1" applyFont="1" applyFill="1"/>
    <xf numFmtId="169" fontId="5" fillId="0" borderId="0" xfId="1" applyFont="1" applyFill="1"/>
    <xf numFmtId="169" fontId="5" fillId="0" borderId="0" xfId="1" applyFont="1"/>
    <xf numFmtId="49" fontId="210" fillId="71" borderId="9" xfId="0" applyNumberFormat="1" applyFont="1" applyFill="1" applyBorder="1" applyAlignment="1">
      <alignment wrapText="1"/>
    </xf>
    <xf numFmtId="213" fontId="3" fillId="0" borderId="9" xfId="0" applyNumberFormat="1" applyFont="1" applyBorder="1"/>
    <xf numFmtId="49" fontId="209" fillId="71" borderId="15" xfId="0" applyNumberFormat="1" applyFont="1" applyFill="1" applyBorder="1" applyAlignment="1">
      <alignment wrapText="1"/>
    </xf>
    <xf numFmtId="0" fontId="209" fillId="71" borderId="9" xfId="0" applyFont="1" applyFill="1" applyBorder="1" applyAlignment="1">
      <alignment wrapText="1"/>
    </xf>
    <xf numFmtId="0" fontId="209" fillId="71" borderId="15" xfId="0" applyFont="1" applyFill="1" applyBorder="1" applyAlignment="1">
      <alignment wrapText="1"/>
    </xf>
    <xf numFmtId="4" fontId="209" fillId="71" borderId="15" xfId="0" applyNumberFormat="1" applyFont="1" applyFill="1" applyBorder="1" applyAlignment="1">
      <alignment horizontal="right" wrapText="1"/>
    </xf>
    <xf numFmtId="4" fontId="34" fillId="71" borderId="15" xfId="0" applyNumberFormat="1" applyFont="1" applyFill="1" applyBorder="1"/>
    <xf numFmtId="4" fontId="40" fillId="71" borderId="15" xfId="0" applyNumberFormat="1" applyFont="1" applyFill="1" applyBorder="1"/>
    <xf numFmtId="4" fontId="209" fillId="71" borderId="9" xfId="0" applyNumberFormat="1" applyFont="1" applyFill="1" applyBorder="1" applyAlignment="1">
      <alignment horizontal="right" wrapText="1"/>
    </xf>
    <xf numFmtId="0" fontId="210" fillId="71" borderId="9" xfId="0" applyFont="1" applyFill="1" applyBorder="1" applyAlignment="1">
      <alignment wrapText="1"/>
    </xf>
    <xf numFmtId="49" fontId="3" fillId="71" borderId="9" xfId="0" applyNumberFormat="1" applyFont="1" applyFill="1" applyBorder="1" applyAlignment="1">
      <alignment wrapText="1"/>
    </xf>
    <xf numFmtId="0" fontId="3" fillId="71" borderId="9" xfId="0" applyFont="1" applyFill="1" applyBorder="1"/>
    <xf numFmtId="49" fontId="211" fillId="3" borderId="2" xfId="2" applyNumberFormat="1" applyFont="1" applyFill="1" applyBorder="1" applyAlignment="1">
      <alignment wrapText="1"/>
    </xf>
    <xf numFmtId="49" fontId="210" fillId="71" borderId="15" xfId="0" applyNumberFormat="1" applyFont="1" applyFill="1" applyBorder="1" applyAlignment="1">
      <alignment wrapText="1"/>
    </xf>
    <xf numFmtId="49" fontId="210" fillId="71" borderId="4" xfId="0" applyNumberFormat="1" applyFont="1" applyFill="1" applyBorder="1" applyAlignment="1">
      <alignment wrapText="1"/>
    </xf>
    <xf numFmtId="49" fontId="211" fillId="3" borderId="0" xfId="2" applyNumberFormat="1" applyFont="1" applyFill="1" applyBorder="1" applyAlignment="1">
      <alignment wrapText="1"/>
    </xf>
    <xf numFmtId="0" fontId="209" fillId="0" borderId="2" xfId="0" applyFont="1" applyBorder="1" applyAlignment="1">
      <alignment horizontal="right" wrapText="1"/>
    </xf>
    <xf numFmtId="0" fontId="210" fillId="0" borderId="2" xfId="0" applyFont="1" applyBorder="1" applyAlignment="1">
      <alignment horizontal="center" wrapText="1"/>
    </xf>
    <xf numFmtId="0" fontId="208" fillId="0" borderId="10" xfId="0" applyFont="1" applyBorder="1" applyAlignment="1">
      <alignment horizontal="center" wrapText="1"/>
    </xf>
    <xf numFmtId="0" fontId="209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07" fillId="0" borderId="2" xfId="0" applyFont="1" applyBorder="1" applyAlignment="1">
      <alignment horizontal="center" wrapText="1"/>
    </xf>
    <xf numFmtId="0" fontId="208" fillId="0" borderId="2" xfId="0" applyFont="1" applyBorder="1" applyAlignment="1">
      <alignment horizontal="center" wrapText="1"/>
    </xf>
    <xf numFmtId="0" fontId="211" fillId="0" borderId="2" xfId="2" applyFont="1" applyFill="1" applyBorder="1" applyAlignment="1">
      <alignment horizontal="center" wrapText="1"/>
    </xf>
    <xf numFmtId="0" fontId="12" fillId="0" borderId="2" xfId="2" applyFont="1" applyFill="1" applyBorder="1" applyAlignment="1">
      <alignment horizontal="center" wrapText="1"/>
    </xf>
    <xf numFmtId="0" fontId="212" fillId="0" borderId="2" xfId="2" applyFont="1" applyFill="1" applyBorder="1" applyAlignment="1">
      <alignment horizontal="center" wrapText="1"/>
    </xf>
    <xf numFmtId="0" fontId="37" fillId="0" borderId="2" xfId="2" applyFont="1" applyFill="1" applyBorder="1" applyAlignment="1">
      <alignment horizontal="center" wrapText="1"/>
    </xf>
    <xf numFmtId="0" fontId="210" fillId="0" borderId="10" xfId="0" applyFont="1" applyBorder="1" applyAlignment="1">
      <alignment horizontal="center" wrapText="1"/>
    </xf>
    <xf numFmtId="0" fontId="207" fillId="0" borderId="10" xfId="0" applyFont="1" applyBorder="1" applyAlignment="1">
      <alignment horizontal="center" wrapText="1"/>
    </xf>
    <xf numFmtId="0" fontId="39" fillId="0" borderId="2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208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34" fillId="0" borderId="0" xfId="0" applyFont="1" applyAlignment="1">
      <alignment horizontal="center"/>
    </xf>
    <xf numFmtId="49" fontId="211" fillId="0" borderId="2" xfId="2" applyNumberFormat="1" applyFont="1" applyFill="1" applyBorder="1" applyAlignment="1">
      <alignment horizontal="center" wrapText="1"/>
    </xf>
    <xf numFmtId="0" fontId="34" fillId="71" borderId="15" xfId="0" applyFont="1" applyFill="1" applyBorder="1"/>
    <xf numFmtId="49" fontId="209" fillId="71" borderId="9" xfId="0" applyNumberFormat="1" applyFont="1" applyFill="1" applyBorder="1" applyAlignment="1">
      <alignment vertical="center" wrapText="1"/>
    </xf>
    <xf numFmtId="49" fontId="3" fillId="3" borderId="2" xfId="2" applyNumberFormat="1" applyFont="1" applyFill="1" applyBorder="1" applyAlignment="1">
      <alignment wrapText="1"/>
    </xf>
    <xf numFmtId="0" fontId="211" fillId="0" borderId="0" xfId="2" applyFont="1" applyFill="1" applyBorder="1" applyAlignment="1">
      <alignment horizontal="center" wrapText="1"/>
    </xf>
    <xf numFmtId="2" fontId="34" fillId="71" borderId="9" xfId="0" applyNumberFormat="1" applyFont="1" applyFill="1" applyBorder="1"/>
    <xf numFmtId="4" fontId="40" fillId="3" borderId="2" xfId="0" applyNumberFormat="1" applyFont="1" applyFill="1" applyBorder="1"/>
    <xf numFmtId="4" fontId="34" fillId="3" borderId="9" xfId="0" applyNumberFormat="1" applyFont="1" applyFill="1" applyBorder="1"/>
    <xf numFmtId="0" fontId="34" fillId="3" borderId="9" xfId="0" applyFont="1" applyFill="1" applyBorder="1"/>
    <xf numFmtId="4" fontId="34" fillId="71" borderId="9" xfId="0" applyNumberFormat="1" applyFont="1" applyFill="1" applyBorder="1" applyAlignment="1">
      <alignment horizontal="right" wrapText="1"/>
    </xf>
    <xf numFmtId="4" fontId="34" fillId="3" borderId="2" xfId="0" applyNumberFormat="1" applyFont="1" applyFill="1" applyBorder="1" applyAlignment="1"/>
    <xf numFmtId="4" fontId="12" fillId="3" borderId="2" xfId="2" applyNumberFormat="1" applyFont="1" applyFill="1" applyBorder="1" applyAlignment="1">
      <alignment horizontal="right" wrapText="1"/>
    </xf>
    <xf numFmtId="49" fontId="215" fillId="71" borderId="9" xfId="0" applyNumberFormat="1" applyFont="1" applyFill="1" applyBorder="1" applyAlignment="1">
      <alignment wrapText="1"/>
    </xf>
    <xf numFmtId="49" fontId="215" fillId="71" borderId="15" xfId="0" applyNumberFormat="1" applyFont="1" applyFill="1" applyBorder="1" applyAlignment="1">
      <alignment wrapText="1"/>
    </xf>
    <xf numFmtId="0" fontId="215" fillId="71" borderId="9" xfId="0" applyFont="1" applyFill="1" applyBorder="1" applyAlignment="1">
      <alignment wrapText="1"/>
    </xf>
    <xf numFmtId="0" fontId="215" fillId="71" borderId="15" xfId="0" applyFont="1" applyFill="1" applyBorder="1" applyAlignment="1">
      <alignment wrapText="1"/>
    </xf>
    <xf numFmtId="49" fontId="39" fillId="71" borderId="9" xfId="0" applyNumberFormat="1" applyFont="1" applyFill="1" applyBorder="1" applyAlignment="1">
      <alignment wrapText="1"/>
    </xf>
    <xf numFmtId="49" fontId="216" fillId="3" borderId="2" xfId="2" applyNumberFormat="1" applyFont="1" applyFill="1" applyBorder="1" applyAlignment="1">
      <alignment wrapText="1"/>
    </xf>
    <xf numFmtId="49" fontId="215" fillId="71" borderId="2" xfId="0" applyNumberFormat="1" applyFont="1" applyFill="1" applyBorder="1" applyAlignment="1">
      <alignment wrapText="1"/>
    </xf>
    <xf numFmtId="49" fontId="216" fillId="3" borderId="9" xfId="2" applyNumberFormat="1" applyFont="1" applyFill="1" applyBorder="1" applyAlignment="1">
      <alignment wrapText="1"/>
    </xf>
    <xf numFmtId="49" fontId="215" fillId="71" borderId="9" xfId="0" applyNumberFormat="1" applyFont="1" applyFill="1" applyBorder="1" applyAlignment="1">
      <alignment vertical="center" wrapText="1"/>
    </xf>
    <xf numFmtId="49" fontId="216" fillId="3" borderId="15" xfId="2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4" fontId="213" fillId="0" borderId="9" xfId="0" applyNumberFormat="1" applyFont="1" applyBorder="1"/>
    <xf numFmtId="4" fontId="214" fillId="0" borderId="9" xfId="0" applyNumberFormat="1" applyFont="1" applyBorder="1"/>
    <xf numFmtId="4" fontId="214" fillId="0" borderId="15" xfId="0" applyNumberFormat="1" applyFont="1" applyBorder="1"/>
    <xf numFmtId="4" fontId="214" fillId="0" borderId="2" xfId="0" applyNumberFormat="1" applyFont="1" applyBorder="1"/>
    <xf numFmtId="4" fontId="214" fillId="0" borderId="0" xfId="0" applyNumberFormat="1" applyFont="1" applyBorder="1"/>
    <xf numFmtId="4" fontId="213" fillId="0" borderId="2" xfId="0" applyNumberFormat="1" applyFont="1" applyBorder="1"/>
    <xf numFmtId="4" fontId="214" fillId="0" borderId="1" xfId="0" applyNumberFormat="1" applyFont="1" applyBorder="1"/>
    <xf numFmtId="4" fontId="213" fillId="0" borderId="15" xfId="0" applyNumberFormat="1" applyFont="1" applyBorder="1"/>
    <xf numFmtId="4" fontId="214" fillId="0" borderId="0" xfId="0" applyNumberFormat="1" applyFont="1"/>
    <xf numFmtId="4" fontId="213" fillId="0" borderId="10" xfId="0" applyNumberFormat="1" applyFont="1" applyBorder="1"/>
    <xf numFmtId="4" fontId="213" fillId="0" borderId="0" xfId="0" applyNumberFormat="1" applyFont="1" applyBorder="1"/>
    <xf numFmtId="4" fontId="3" fillId="72" borderId="9" xfId="0" applyNumberFormat="1" applyFont="1" applyFill="1" applyBorder="1"/>
    <xf numFmtId="4" fontId="13" fillId="72" borderId="9" xfId="0" applyNumberFormat="1" applyFont="1" applyFill="1" applyBorder="1"/>
    <xf numFmtId="49" fontId="12" fillId="3" borderId="9" xfId="2" applyNumberFormat="1" applyFont="1" applyFill="1" applyBorder="1" applyAlignment="1">
      <alignment wrapText="1"/>
    </xf>
    <xf numFmtId="0" fontId="37" fillId="3" borderId="9" xfId="2" applyFont="1" applyFill="1" applyBorder="1" applyAlignment="1">
      <alignment horizontal="left" wrapText="1"/>
    </xf>
    <xf numFmtId="0" fontId="6" fillId="0" borderId="0" xfId="0" applyFont="1" applyFill="1"/>
    <xf numFmtId="0" fontId="38" fillId="0" borderId="0" xfId="0" applyFont="1" applyFill="1"/>
    <xf numFmtId="0" fontId="34" fillId="0" borderId="0" xfId="0" applyFont="1" applyFill="1"/>
    <xf numFmtId="170" fontId="2" fillId="0" borderId="0" xfId="0" applyNumberFormat="1" applyFont="1" applyFill="1"/>
    <xf numFmtId="0" fontId="39" fillId="0" borderId="0" xfId="0" applyFont="1" applyFill="1"/>
    <xf numFmtId="0" fontId="13" fillId="0" borderId="0" xfId="0" applyFont="1" applyFill="1"/>
    <xf numFmtId="0" fontId="29" fillId="0" borderId="0" xfId="0" applyFont="1" applyFill="1"/>
    <xf numFmtId="4" fontId="214" fillId="0" borderId="9" xfId="0" applyNumberFormat="1" applyFont="1" applyFill="1" applyBorder="1"/>
    <xf numFmtId="4" fontId="213" fillId="0" borderId="2" xfId="0" applyNumberFormat="1" applyFont="1" applyFill="1" applyBorder="1"/>
    <xf numFmtId="213" fontId="3" fillId="0" borderId="9" xfId="0" applyNumberFormat="1" applyFont="1" applyFill="1" applyBorder="1"/>
    <xf numFmtId="213" fontId="34" fillId="0" borderId="9" xfId="0" applyNumberFormat="1" applyFont="1" applyFill="1" applyBorder="1"/>
    <xf numFmtId="213" fontId="34" fillId="0" borderId="15" xfId="0" applyNumberFormat="1" applyFont="1" applyFill="1" applyBorder="1"/>
    <xf numFmtId="213" fontId="3" fillId="0" borderId="2" xfId="0" applyNumberFormat="1" applyFont="1" applyFill="1" applyBorder="1"/>
    <xf numFmtId="213" fontId="34" fillId="0" borderId="2" xfId="0" applyNumberFormat="1" applyFont="1" applyFill="1" applyBorder="1"/>
    <xf numFmtId="213" fontId="34" fillId="0" borderId="1" xfId="0" applyNumberFormat="1" applyFont="1" applyFill="1" applyBorder="1"/>
    <xf numFmtId="213" fontId="3" fillId="0" borderId="15" xfId="0" applyNumberFormat="1" applyFont="1" applyFill="1" applyBorder="1"/>
    <xf numFmtId="213" fontId="3" fillId="0" borderId="10" xfId="0" applyNumberFormat="1" applyFont="1" applyFill="1" applyBorder="1"/>
    <xf numFmtId="213" fontId="3" fillId="0" borderId="0" xfId="0" applyNumberFormat="1" applyFont="1" applyFill="1" applyBorder="1"/>
    <xf numFmtId="4" fontId="213" fillId="71" borderId="9" xfId="0" applyNumberFormat="1" applyFont="1" applyFill="1" applyBorder="1"/>
    <xf numFmtId="4" fontId="214" fillId="71" borderId="9" xfId="0" applyNumberFormat="1" applyFont="1" applyFill="1" applyBorder="1"/>
    <xf numFmtId="4" fontId="14" fillId="71" borderId="9" xfId="0" applyNumberFormat="1" applyFont="1" applyFill="1" applyBorder="1"/>
    <xf numFmtId="4" fontId="3" fillId="0" borderId="9" xfId="0" applyNumberFormat="1" applyFont="1" applyBorder="1"/>
    <xf numFmtId="4" fontId="34" fillId="0" borderId="9" xfId="0" applyNumberFormat="1" applyFont="1" applyBorder="1"/>
    <xf numFmtId="4" fontId="34" fillId="0" borderId="15" xfId="0" applyNumberFormat="1" applyFont="1" applyBorder="1"/>
    <xf numFmtId="4" fontId="3" fillId="0" borderId="2" xfId="0" applyNumberFormat="1" applyFont="1" applyBorder="1"/>
    <xf numFmtId="4" fontId="34" fillId="0" borderId="2" xfId="0" applyNumberFormat="1" applyFont="1" applyBorder="1"/>
    <xf numFmtId="4" fontId="34" fillId="0" borderId="1" xfId="0" applyNumberFormat="1" applyFont="1" applyBorder="1"/>
    <xf numFmtId="4" fontId="3" fillId="0" borderId="15" xfId="0" applyNumberFormat="1" applyFont="1" applyBorder="1"/>
    <xf numFmtId="4" fontId="34" fillId="0" borderId="0" xfId="0" applyNumberFormat="1" applyFont="1"/>
    <xf numFmtId="4" fontId="3" fillId="0" borderId="10" xfId="0" applyNumberFormat="1" applyFont="1" applyBorder="1"/>
    <xf numFmtId="170" fontId="3" fillId="0" borderId="9" xfId="0" applyNumberFormat="1" applyFont="1" applyBorder="1"/>
    <xf numFmtId="170" fontId="34" fillId="0" borderId="9" xfId="0" applyNumberFormat="1" applyFont="1" applyBorder="1"/>
    <xf numFmtId="170" fontId="34" fillId="0" borderId="15" xfId="0" applyNumberFormat="1" applyFont="1" applyBorder="1"/>
    <xf numFmtId="170" fontId="3" fillId="0" borderId="2" xfId="0" applyNumberFormat="1" applyFont="1" applyBorder="1"/>
    <xf numFmtId="170" fontId="34" fillId="0" borderId="2" xfId="0" applyNumberFormat="1" applyFont="1" applyBorder="1"/>
    <xf numFmtId="170" fontId="34" fillId="0" borderId="0" xfId="0" applyNumberFormat="1" applyFont="1" applyBorder="1"/>
    <xf numFmtId="170" fontId="34" fillId="0" borderId="1" xfId="0" applyNumberFormat="1" applyFont="1" applyBorder="1"/>
    <xf numFmtId="170" fontId="3" fillId="0" borderId="15" xfId="0" applyNumberFormat="1" applyFont="1" applyBorder="1"/>
    <xf numFmtId="170" fontId="3" fillId="0" borderId="10" xfId="0" applyNumberFormat="1" applyFont="1" applyBorder="1"/>
    <xf numFmtId="170" fontId="3" fillId="0" borderId="0" xfId="0" applyNumberFormat="1" applyFont="1" applyBorder="1"/>
    <xf numFmtId="170" fontId="3" fillId="72" borderId="9" xfId="0" applyNumberFormat="1" applyFont="1" applyFill="1" applyBorder="1"/>
    <xf numFmtId="170" fontId="34" fillId="72" borderId="9" xfId="0" applyNumberFormat="1" applyFont="1" applyFill="1" applyBorder="1"/>
    <xf numFmtId="170" fontId="14" fillId="71" borderId="9" xfId="0" applyNumberFormat="1" applyFont="1" applyFill="1" applyBorder="1"/>
    <xf numFmtId="170" fontId="3" fillId="2" borderId="4" xfId="0" applyNumberFormat="1" applyFont="1" applyFill="1" applyBorder="1" applyAlignment="1"/>
    <xf numFmtId="170" fontId="4" fillId="2" borderId="2" xfId="0" applyNumberFormat="1" applyFont="1" applyFill="1" applyBorder="1" applyAlignment="1">
      <alignment horizontal="center"/>
    </xf>
    <xf numFmtId="170" fontId="40" fillId="71" borderId="9" xfId="0" applyNumberFormat="1" applyFont="1" applyFill="1" applyBorder="1"/>
    <xf numFmtId="170" fontId="2" fillId="0" borderId="0" xfId="0" applyNumberFormat="1" applyFont="1"/>
    <xf numFmtId="170" fontId="3" fillId="0" borderId="9" xfId="0" applyNumberFormat="1" applyFont="1" applyFill="1" applyBorder="1"/>
    <xf numFmtId="170" fontId="34" fillId="0" borderId="9" xfId="0" applyNumberFormat="1" applyFont="1" applyFill="1" applyBorder="1"/>
    <xf numFmtId="170" fontId="34" fillId="0" borderId="15" xfId="0" applyNumberFormat="1" applyFont="1" applyFill="1" applyBorder="1"/>
    <xf numFmtId="170" fontId="2" fillId="0" borderId="2" xfId="0" applyNumberFormat="1" applyFont="1" applyFill="1" applyBorder="1"/>
    <xf numFmtId="170" fontId="3" fillId="0" borderId="2" xfId="0" applyNumberFormat="1" applyFont="1" applyFill="1" applyBorder="1"/>
    <xf numFmtId="170" fontId="34" fillId="0" borderId="2" xfId="0" applyNumberFormat="1" applyFont="1" applyFill="1" applyBorder="1"/>
    <xf numFmtId="170" fontId="34" fillId="0" borderId="1" xfId="0" applyNumberFormat="1" applyFont="1" applyFill="1" applyBorder="1"/>
    <xf numFmtId="170" fontId="3" fillId="0" borderId="15" xfId="0" applyNumberFormat="1" applyFont="1" applyFill="1" applyBorder="1"/>
    <xf numFmtId="170" fontId="3" fillId="0" borderId="10" xfId="0" applyNumberFormat="1" applyFont="1" applyFill="1" applyBorder="1"/>
    <xf numFmtId="170" fontId="3" fillId="0" borderId="0" xfId="0" applyNumberFormat="1" applyFont="1" applyFill="1" applyBorder="1"/>
    <xf numFmtId="49" fontId="211" fillId="3" borderId="9" xfId="2" applyNumberFormat="1" applyFont="1" applyFill="1" applyBorder="1" applyAlignment="1">
      <alignment wrapText="1"/>
    </xf>
    <xf numFmtId="4" fontId="3" fillId="0" borderId="9" xfId="0" applyNumberFormat="1" applyFont="1" applyFill="1" applyBorder="1"/>
    <xf numFmtId="170" fontId="34" fillId="0" borderId="0" xfId="0" applyNumberFormat="1" applyFont="1" applyFill="1"/>
    <xf numFmtId="0" fontId="32" fillId="0" borderId="2" xfId="2" applyFont="1" applyFill="1" applyBorder="1" applyAlignment="1">
      <alignment wrapText="1"/>
    </xf>
    <xf numFmtId="0" fontId="20" fillId="3" borderId="2" xfId="2" applyFont="1" applyFill="1" applyBorder="1" applyAlignment="1">
      <alignment horizontal="center" wrapText="1"/>
    </xf>
    <xf numFmtId="2" fontId="34" fillId="3" borderId="2" xfId="0" applyNumberFormat="1" applyFont="1" applyFill="1" applyBorder="1"/>
    <xf numFmtId="2" fontId="34" fillId="71" borderId="15" xfId="0" applyNumberFormat="1" applyFont="1" applyFill="1" applyBorder="1"/>
    <xf numFmtId="4" fontId="214" fillId="0" borderId="10" xfId="0" applyNumberFormat="1" applyFont="1" applyBorder="1"/>
    <xf numFmtId="4" fontId="40" fillId="3" borderId="9" xfId="0" applyNumberFormat="1" applyFont="1" applyFill="1" applyBorder="1"/>
    <xf numFmtId="4" fontId="223" fillId="3" borderId="2" xfId="2" applyNumberFormat="1" applyFont="1" applyFill="1" applyBorder="1" applyAlignment="1">
      <alignment horizontal="right" wrapText="1"/>
    </xf>
    <xf numFmtId="4" fontId="223" fillId="3" borderId="2" xfId="0" applyNumberFormat="1" applyFont="1" applyFill="1" applyBorder="1"/>
    <xf numFmtId="0" fontId="3" fillId="73" borderId="0" xfId="0" applyFont="1" applyFill="1"/>
    <xf numFmtId="4" fontId="2" fillId="73" borderId="0" xfId="0" applyNumberFormat="1" applyFont="1" applyFill="1"/>
    <xf numFmtId="0" fontId="2" fillId="0" borderId="53" xfId="0" applyFont="1" applyBorder="1"/>
    <xf numFmtId="49" fontId="2" fillId="0" borderId="53" xfId="0" applyNumberFormat="1" applyFont="1" applyFill="1" applyBorder="1" applyAlignment="1">
      <alignment wrapText="1"/>
    </xf>
    <xf numFmtId="49" fontId="34" fillId="0" borderId="53" xfId="0" applyNumberFormat="1" applyFont="1" applyFill="1" applyBorder="1" applyAlignment="1">
      <alignment wrapText="1"/>
    </xf>
    <xf numFmtId="0" fontId="2" fillId="0" borderId="53" xfId="0" applyFont="1" applyBorder="1" applyAlignment="1">
      <alignment horizontal="left"/>
    </xf>
    <xf numFmtId="4" fontId="2" fillId="0" borderId="53" xfId="0" applyNumberFormat="1" applyFont="1" applyFill="1" applyBorder="1"/>
    <xf numFmtId="4" fontId="2" fillId="73" borderId="2" xfId="0" applyNumberFormat="1" applyFont="1" applyFill="1" applyBorder="1"/>
    <xf numFmtId="4" fontId="2" fillId="73" borderId="20" xfId="0" applyNumberFormat="1" applyFont="1" applyFill="1" applyBorder="1"/>
    <xf numFmtId="0" fontId="2" fillId="73" borderId="1" xfId="0" applyFont="1" applyFill="1" applyBorder="1" applyAlignment="1">
      <alignment horizontal="left"/>
    </xf>
    <xf numFmtId="49" fontId="34" fillId="73" borderId="1" xfId="0" applyNumberFormat="1" applyFont="1" applyFill="1" applyBorder="1" applyAlignment="1">
      <alignment wrapText="1"/>
    </xf>
    <xf numFmtId="49" fontId="2" fillId="73" borderId="2" xfId="0" applyNumberFormat="1" applyFont="1" applyFill="1" applyBorder="1" applyAlignment="1">
      <alignment wrapText="1"/>
    </xf>
    <xf numFmtId="4" fontId="224" fillId="0" borderId="9" xfId="0" applyNumberFormat="1" applyFont="1" applyBorder="1"/>
    <xf numFmtId="4" fontId="32" fillId="73" borderId="2" xfId="0" applyNumberFormat="1" applyFont="1" applyFill="1" applyBorder="1" applyAlignment="1">
      <alignment horizontal="center" vertical="center" wrapText="1"/>
    </xf>
    <xf numFmtId="4" fontId="6" fillId="73" borderId="2" xfId="0" applyNumberFormat="1" applyFont="1" applyFill="1" applyBorder="1" applyAlignment="1">
      <alignment horizontal="center"/>
    </xf>
    <xf numFmtId="170" fontId="6" fillId="74" borderId="2" xfId="0" applyNumberFormat="1" applyFont="1" applyFill="1" applyBorder="1" applyAlignment="1">
      <alignment horizontal="center"/>
    </xf>
    <xf numFmtId="213" fontId="34" fillId="0" borderId="0" xfId="0" applyNumberFormat="1" applyFont="1" applyFill="1"/>
    <xf numFmtId="4" fontId="6" fillId="74" borderId="2" xfId="0" applyNumberFormat="1" applyFont="1" applyFill="1" applyBorder="1" applyAlignment="1">
      <alignment horizontal="center"/>
    </xf>
    <xf numFmtId="170" fontId="2" fillId="0" borderId="0" xfId="0" applyNumberFormat="1" applyFont="1" applyBorder="1"/>
    <xf numFmtId="0" fontId="225" fillId="0" borderId="0" xfId="0" applyFont="1" applyFill="1"/>
    <xf numFmtId="0" fontId="18" fillId="0" borderId="14" xfId="0" applyFont="1" applyFill="1" applyBorder="1"/>
    <xf numFmtId="0" fontId="5" fillId="0" borderId="2" xfId="2" applyNumberFormat="1" applyFont="1" applyFill="1" applyBorder="1" applyAlignment="1">
      <alignment horizontal="center" wrapText="1"/>
    </xf>
    <xf numFmtId="4" fontId="213" fillId="0" borderId="9" xfId="0" applyNumberFormat="1" applyFont="1" applyFill="1" applyBorder="1"/>
    <xf numFmtId="170" fontId="34" fillId="0" borderId="0" xfId="0" applyNumberFormat="1" applyFont="1" applyFill="1" applyBorder="1"/>
    <xf numFmtId="170" fontId="19" fillId="0" borderId="9" xfId="0" applyNumberFormat="1" applyFont="1" applyFill="1" applyBorder="1"/>
    <xf numFmtId="0" fontId="25" fillId="0" borderId="19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5" fillId="0" borderId="2" xfId="2" applyFont="1" applyFill="1" applyBorder="1" applyAlignment="1">
      <alignment horizontal="left" wrapText="1"/>
    </xf>
    <xf numFmtId="49" fontId="5" fillId="5" borderId="2" xfId="2" applyNumberFormat="1" applyFont="1" applyFill="1" applyBorder="1" applyAlignment="1">
      <alignment horizontal="left" wrapText="1"/>
    </xf>
    <xf numFmtId="49" fontId="12" fillId="3" borderId="2" xfId="2" applyNumberFormat="1" applyFont="1" applyFill="1" applyBorder="1" applyAlignment="1">
      <alignment horizontal="right" wrapText="1"/>
    </xf>
    <xf numFmtId="170" fontId="4" fillId="0" borderId="0" xfId="0" applyNumberFormat="1" applyFont="1" applyFill="1"/>
    <xf numFmtId="4" fontId="15" fillId="0" borderId="0" xfId="0" applyNumberFormat="1" applyFont="1" applyFill="1"/>
    <xf numFmtId="4" fontId="34" fillId="3" borderId="9" xfId="0" applyNumberFormat="1" applyFont="1" applyFill="1" applyBorder="1" applyAlignment="1"/>
    <xf numFmtId="49" fontId="12" fillId="3" borderId="15" xfId="2" applyNumberFormat="1" applyFont="1" applyFill="1" applyBorder="1" applyAlignment="1">
      <alignment wrapText="1"/>
    </xf>
    <xf numFmtId="0" fontId="37" fillId="0" borderId="10" xfId="2" applyFont="1" applyFill="1" applyBorder="1" applyAlignment="1">
      <alignment horizontal="center" wrapText="1"/>
    </xf>
    <xf numFmtId="0" fontId="37" fillId="3" borderId="15" xfId="2" applyFont="1" applyFill="1" applyBorder="1" applyAlignment="1">
      <alignment horizontal="left" wrapText="1"/>
    </xf>
    <xf numFmtId="213" fontId="34" fillId="0" borderId="10" xfId="0" applyNumberFormat="1" applyFont="1" applyFill="1" applyBorder="1"/>
    <xf numFmtId="170" fontId="34" fillId="0" borderId="10" xfId="0" applyNumberFormat="1" applyFont="1" applyBorder="1"/>
    <xf numFmtId="170" fontId="34" fillId="0" borderId="10" xfId="0" applyNumberFormat="1" applyFont="1" applyFill="1" applyBorder="1"/>
    <xf numFmtId="4" fontId="34" fillId="0" borderId="10" xfId="0" applyNumberFormat="1" applyFont="1" applyBorder="1"/>
    <xf numFmtId="219" fontId="4" fillId="0" borderId="0" xfId="0" applyNumberFormat="1" applyFont="1" applyFill="1"/>
    <xf numFmtId="2" fontId="223" fillId="71" borderId="9" xfId="0" applyNumberFormat="1" applyFont="1" applyFill="1" applyBorder="1"/>
    <xf numFmtId="0" fontId="223" fillId="71" borderId="9" xfId="0" applyFont="1" applyFill="1" applyBorder="1"/>
    <xf numFmtId="4" fontId="223" fillId="71" borderId="9" xfId="0" applyNumberFormat="1" applyFont="1" applyFill="1" applyBorder="1"/>
    <xf numFmtId="4" fontId="34" fillId="71" borderId="15" xfId="0" applyNumberFormat="1" applyFont="1" applyFill="1" applyBorder="1" applyAlignment="1">
      <alignment horizontal="right" wrapText="1"/>
    </xf>
    <xf numFmtId="0" fontId="35" fillId="0" borderId="0" xfId="3" applyNumberFormat="1" applyFont="1" applyFill="1" applyBorder="1" applyProtection="1"/>
    <xf numFmtId="0" fontId="229" fillId="0" borderId="0" xfId="3" applyNumberFormat="1" applyFont="1" applyFill="1" applyBorder="1" applyProtection="1"/>
    <xf numFmtId="0" fontId="35" fillId="0" borderId="0" xfId="3" applyNumberFormat="1" applyFont="1" applyFill="1" applyBorder="1" applyAlignment="1" applyProtection="1">
      <alignment horizontal="center" vertical="center" wrapText="1"/>
    </xf>
    <xf numFmtId="0" fontId="229" fillId="0" borderId="0" xfId="3" applyNumberFormat="1" applyFont="1" applyFill="1" applyBorder="1" applyAlignment="1" applyProtection="1">
      <alignment horizontal="center" vertical="center" wrapText="1"/>
    </xf>
    <xf numFmtId="0" fontId="35" fillId="0" borderId="0" xfId="3845" applyNumberFormat="1" applyFont="1" applyFill="1" applyBorder="1" applyProtection="1"/>
    <xf numFmtId="0" fontId="229" fillId="0" borderId="0" xfId="3845" applyNumberFormat="1" applyFont="1" applyFill="1" applyBorder="1" applyProtection="1"/>
    <xf numFmtId="0" fontId="229" fillId="0" borderId="0" xfId="3" applyNumberFormat="1" applyFont="1" applyFill="1" applyBorder="1" applyAlignment="1" applyProtection="1">
      <alignment horizontal="center"/>
    </xf>
    <xf numFmtId="0" fontId="35" fillId="0" borderId="0" xfId="3" applyNumberFormat="1" applyFont="1" applyFill="1" applyBorder="1" applyAlignment="1" applyProtection="1">
      <alignment horizontal="center"/>
    </xf>
    <xf numFmtId="4" fontId="19" fillId="5" borderId="2" xfId="1" applyNumberFormat="1" applyFont="1" applyFill="1" applyBorder="1" applyAlignment="1"/>
    <xf numFmtId="4" fontId="19" fillId="5" borderId="2" xfId="0" applyNumberFormat="1" applyFont="1" applyFill="1" applyBorder="1" applyAlignment="1"/>
    <xf numFmtId="4" fontId="19" fillId="5" borderId="2" xfId="2" applyNumberFormat="1" applyFont="1" applyFill="1" applyBorder="1" applyAlignment="1">
      <alignment wrapText="1"/>
    </xf>
    <xf numFmtId="4" fontId="19" fillId="5" borderId="0" xfId="0" applyNumberFormat="1" applyFont="1" applyFill="1" applyBorder="1" applyAlignment="1"/>
    <xf numFmtId="4" fontId="19" fillId="5" borderId="9" xfId="1" applyNumberFormat="1" applyFont="1" applyFill="1" applyBorder="1" applyAlignment="1"/>
    <xf numFmtId="4" fontId="19" fillId="5" borderId="0" xfId="1" applyNumberFormat="1" applyFont="1" applyFill="1" applyBorder="1" applyAlignment="1">
      <alignment horizontal="right"/>
    </xf>
    <xf numFmtId="4" fontId="19" fillId="5" borderId="2" xfId="1" applyNumberFormat="1" applyFont="1" applyFill="1" applyBorder="1" applyAlignment="1">
      <alignment vertical="center"/>
    </xf>
    <xf numFmtId="4" fontId="19" fillId="76" borderId="0" xfId="0" applyNumberFormat="1" applyFont="1" applyFill="1" applyBorder="1" applyAlignment="1"/>
    <xf numFmtId="0" fontId="217" fillId="0" borderId="9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/>
    </xf>
    <xf numFmtId="0" fontId="23" fillId="0" borderId="69" xfId="0" applyFont="1" applyFill="1" applyBorder="1" applyAlignment="1">
      <alignment horizontal="center"/>
    </xf>
    <xf numFmtId="0" fontId="23" fillId="0" borderId="36" xfId="0" applyFont="1" applyFill="1" applyBorder="1"/>
    <xf numFmtId="49" fontId="24" fillId="0" borderId="36" xfId="0" applyNumberFormat="1" applyFont="1" applyFill="1" applyBorder="1" applyAlignment="1">
      <alignment horizontal="center"/>
    </xf>
    <xf numFmtId="0" fontId="24" fillId="0" borderId="36" xfId="0" applyFont="1" applyFill="1" applyBorder="1" applyAlignment="1">
      <alignment horizontal="center"/>
    </xf>
    <xf numFmtId="4" fontId="6" fillId="4" borderId="70" xfId="1" applyNumberFormat="1" applyFont="1" applyFill="1" applyBorder="1" applyAlignment="1">
      <alignment horizontal="center"/>
    </xf>
    <xf numFmtId="0" fontId="23" fillId="4" borderId="65" xfId="0" applyFont="1" applyFill="1" applyBorder="1"/>
    <xf numFmtId="0" fontId="23" fillId="4" borderId="65" xfId="0" applyFont="1" applyFill="1" applyBorder="1" applyAlignment="1">
      <alignment horizontal="right"/>
    </xf>
    <xf numFmtId="169" fontId="18" fillId="4" borderId="65" xfId="1" applyFont="1" applyFill="1" applyBorder="1"/>
    <xf numFmtId="0" fontId="18" fillId="4" borderId="65" xfId="0" applyFont="1" applyFill="1" applyBorder="1"/>
    <xf numFmtId="4" fontId="18" fillId="4" borderId="65" xfId="0" applyNumberFormat="1" applyFont="1" applyFill="1" applyBorder="1"/>
    <xf numFmtId="0" fontId="15" fillId="4" borderId="65" xfId="0" applyFont="1" applyFill="1" applyBorder="1"/>
    <xf numFmtId="0" fontId="33" fillId="4" borderId="65" xfId="0" applyFont="1" applyFill="1" applyBorder="1"/>
    <xf numFmtId="0" fontId="23" fillId="4" borderId="63" xfId="0" applyFont="1" applyFill="1" applyBorder="1"/>
    <xf numFmtId="4" fontId="2" fillId="84" borderId="59" xfId="0" applyNumberFormat="1" applyFont="1" applyFill="1" applyBorder="1"/>
    <xf numFmtId="4" fontId="4" fillId="4" borderId="70" xfId="1" applyNumberFormat="1" applyFont="1" applyFill="1" applyBorder="1" applyAlignment="1">
      <alignment horizontal="center"/>
    </xf>
    <xf numFmtId="0" fontId="220" fillId="0" borderId="9" xfId="0" applyFont="1" applyFill="1" applyBorder="1" applyAlignment="1">
      <alignment wrapText="1"/>
    </xf>
    <xf numFmtId="0" fontId="219" fillId="0" borderId="9" xfId="0" applyFont="1" applyFill="1" applyBorder="1" applyAlignment="1">
      <alignment wrapText="1"/>
    </xf>
    <xf numFmtId="0" fontId="221" fillId="0" borderId="9" xfId="0" applyFont="1" applyFill="1" applyBorder="1" applyAlignment="1">
      <alignment horizontal="left" wrapText="1"/>
    </xf>
    <xf numFmtId="0" fontId="219" fillId="0" borderId="9" xfId="0" applyFont="1" applyFill="1" applyBorder="1" applyAlignment="1">
      <alignment vertical="center" wrapText="1"/>
    </xf>
    <xf numFmtId="0" fontId="222" fillId="0" borderId="9" xfId="0" applyFont="1" applyFill="1" applyBorder="1" applyAlignment="1">
      <alignment wrapText="1"/>
    </xf>
    <xf numFmtId="49" fontId="219" fillId="0" borderId="9" xfId="0" applyNumberFormat="1" applyFont="1" applyFill="1" applyBorder="1" applyAlignment="1">
      <alignment wrapText="1"/>
    </xf>
    <xf numFmtId="14" fontId="219" fillId="0" borderId="9" xfId="0" applyNumberFormat="1" applyFont="1" applyFill="1" applyBorder="1" applyAlignment="1">
      <alignment wrapText="1"/>
    </xf>
    <xf numFmtId="0" fontId="32" fillId="0" borderId="9" xfId="0" applyFont="1" applyFill="1" applyBorder="1" applyAlignment="1">
      <alignment wrapText="1"/>
    </xf>
    <xf numFmtId="0" fontId="28" fillId="4" borderId="9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/>
    </xf>
    <xf numFmtId="4" fontId="5" fillId="75" borderId="59" xfId="0" applyNumberFormat="1" applyFont="1" applyFill="1" applyBorder="1"/>
    <xf numFmtId="0" fontId="4" fillId="4" borderId="13" xfId="0" applyFont="1" applyFill="1" applyBorder="1" applyAlignment="1">
      <alignment horizontal="center"/>
    </xf>
    <xf numFmtId="0" fontId="26" fillId="4" borderId="70" xfId="2" applyFont="1" applyFill="1" applyBorder="1" applyAlignment="1">
      <alignment wrapText="1"/>
    </xf>
    <xf numFmtId="49" fontId="26" fillId="4" borderId="70" xfId="2" applyNumberFormat="1" applyFont="1" applyFill="1" applyBorder="1" applyAlignment="1">
      <alignment wrapText="1"/>
    </xf>
    <xf numFmtId="0" fontId="26" fillId="4" borderId="70" xfId="2" applyFont="1" applyFill="1" applyBorder="1" applyAlignment="1">
      <alignment horizontal="center" wrapText="1"/>
    </xf>
    <xf numFmtId="49" fontId="27" fillId="4" borderId="70" xfId="2" applyNumberFormat="1" applyFont="1" applyFill="1" applyBorder="1" applyAlignment="1">
      <alignment horizontal="center" wrapText="1"/>
    </xf>
    <xf numFmtId="0" fontId="27" fillId="4" borderId="70" xfId="2" applyFont="1" applyFill="1" applyBorder="1" applyAlignment="1">
      <alignment horizontal="center" wrapText="1"/>
    </xf>
    <xf numFmtId="4" fontId="6" fillId="4" borderId="70" xfId="0" applyNumberFormat="1" applyFont="1" applyFill="1" applyBorder="1" applyAlignment="1"/>
    <xf numFmtId="169" fontId="4" fillId="4" borderId="70" xfId="1" applyFont="1" applyFill="1" applyBorder="1"/>
    <xf numFmtId="4" fontId="30" fillId="4" borderId="66" xfId="0" applyNumberFormat="1" applyFont="1" applyFill="1" applyBorder="1" applyAlignment="1">
      <alignment horizontal="center" wrapText="1"/>
    </xf>
    <xf numFmtId="0" fontId="23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0" fontId="3" fillId="4" borderId="78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4" fontId="6" fillId="73" borderId="59" xfId="0" applyNumberFormat="1" applyFont="1" applyFill="1" applyBorder="1" applyAlignment="1">
      <alignment horizontal="center"/>
    </xf>
    <xf numFmtId="4" fontId="6" fillId="4" borderId="52" xfId="0" applyNumberFormat="1" applyFont="1" applyFill="1" applyBorder="1" applyAlignment="1">
      <alignment horizontal="center" vertical="center" wrapText="1"/>
    </xf>
    <xf numFmtId="4" fontId="32" fillId="4" borderId="70" xfId="0" applyNumberFormat="1" applyFont="1" applyFill="1" applyBorder="1" applyAlignment="1">
      <alignment horizontal="center" vertical="center" wrapText="1"/>
    </xf>
    <xf numFmtId="4" fontId="6" fillId="4" borderId="70" xfId="0" applyNumberFormat="1" applyFont="1" applyFill="1" applyBorder="1" applyAlignment="1">
      <alignment horizontal="center"/>
    </xf>
    <xf numFmtId="169" fontId="6" fillId="4" borderId="70" xfId="1" applyFont="1" applyFill="1" applyBorder="1" applyAlignment="1">
      <alignment horizontal="center"/>
    </xf>
    <xf numFmtId="4" fontId="6" fillId="4" borderId="71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textRotation="90"/>
    </xf>
    <xf numFmtId="0" fontId="20" fillId="0" borderId="17" xfId="0" applyFont="1" applyFill="1" applyBorder="1" applyAlignment="1">
      <alignment horizontal="center" vertical="center" textRotation="90"/>
    </xf>
    <xf numFmtId="4" fontId="5" fillId="0" borderId="17" xfId="0" applyNumberFormat="1" applyFont="1" applyFill="1" applyBorder="1" applyAlignment="1">
      <alignment horizontal="right" vertical="center" wrapText="1"/>
    </xf>
    <xf numFmtId="169" fontId="6" fillId="0" borderId="17" xfId="1" applyFont="1" applyFill="1" applyBorder="1"/>
    <xf numFmtId="4" fontId="6" fillId="0" borderId="17" xfId="0" applyNumberFormat="1" applyFont="1" applyFill="1" applyBorder="1"/>
    <xf numFmtId="4" fontId="4" fillId="0" borderId="17" xfId="0" applyNumberFormat="1" applyFont="1" applyFill="1" applyBorder="1"/>
    <xf numFmtId="4" fontId="6" fillId="0" borderId="17" xfId="0" applyNumberFormat="1" applyFont="1" applyFill="1" applyBorder="1" applyAlignment="1"/>
    <xf numFmtId="4" fontId="5" fillId="4" borderId="76" xfId="0" applyNumberFormat="1" applyFont="1" applyFill="1" applyBorder="1" applyAlignment="1">
      <alignment horizontal="right" vertical="center" wrapText="1"/>
    </xf>
    <xf numFmtId="169" fontId="6" fillId="4" borderId="76" xfId="1" applyFont="1" applyFill="1" applyBorder="1"/>
    <xf numFmtId="4" fontId="6" fillId="4" borderId="76" xfId="0" applyNumberFormat="1" applyFont="1" applyFill="1" applyBorder="1"/>
    <xf numFmtId="4" fontId="4" fillId="4" borderId="76" xfId="0" applyNumberFormat="1" applyFont="1" applyFill="1" applyBorder="1"/>
    <xf numFmtId="4" fontId="6" fillId="4" borderId="77" xfId="0" applyNumberFormat="1" applyFont="1" applyFill="1" applyBorder="1" applyAlignment="1"/>
    <xf numFmtId="0" fontId="6" fillId="4" borderId="68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vertical="center" wrapText="1"/>
    </xf>
    <xf numFmtId="0" fontId="6" fillId="4" borderId="52" xfId="0" applyFont="1" applyFill="1" applyBorder="1" applyAlignment="1">
      <alignment vertical="center" wrapText="1"/>
    </xf>
    <xf numFmtId="4" fontId="218" fillId="5" borderId="2" xfId="0" applyNumberFormat="1" applyFont="1" applyFill="1" applyBorder="1"/>
    <xf numFmtId="4" fontId="32" fillId="0" borderId="2" xfId="0" applyNumberFormat="1" applyFont="1" applyFill="1" applyBorder="1"/>
    <xf numFmtId="4" fontId="32" fillId="75" borderId="59" xfId="0" applyNumberFormat="1" applyFont="1" applyFill="1" applyBorder="1"/>
    <xf numFmtId="0" fontId="32" fillId="0" borderId="2" xfId="0" applyFont="1" applyFill="1" applyBorder="1"/>
    <xf numFmtId="4" fontId="219" fillId="5" borderId="2" xfId="0" applyNumberFormat="1" applyFont="1" applyFill="1" applyBorder="1"/>
    <xf numFmtId="0" fontId="33" fillId="4" borderId="6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5" fillId="0" borderId="70" xfId="2" applyFont="1" applyFill="1" applyBorder="1" applyAlignment="1">
      <alignment wrapText="1"/>
    </xf>
    <xf numFmtId="49" fontId="5" fillId="5" borderId="70" xfId="2" applyNumberFormat="1" applyFont="1" applyFill="1" applyBorder="1" applyAlignment="1">
      <alignment wrapText="1"/>
    </xf>
    <xf numFmtId="0" fontId="2" fillId="0" borderId="70" xfId="2" applyFont="1" applyFill="1" applyBorder="1" applyAlignment="1">
      <alignment horizontal="center" wrapText="1"/>
    </xf>
    <xf numFmtId="49" fontId="20" fillId="3" borderId="70" xfId="2" applyNumberFormat="1" applyFont="1" applyFill="1" applyBorder="1" applyAlignment="1">
      <alignment horizontal="center" wrapText="1"/>
    </xf>
    <xf numFmtId="0" fontId="22" fillId="3" borderId="70" xfId="2" applyFont="1" applyFill="1" applyBorder="1" applyAlignment="1">
      <alignment horizontal="center" wrapText="1"/>
    </xf>
    <xf numFmtId="4" fontId="19" fillId="5" borderId="70" xfId="1" applyNumberFormat="1" applyFont="1" applyFill="1" applyBorder="1" applyAlignment="1"/>
    <xf numFmtId="4" fontId="2" fillId="0" borderId="70" xfId="1" applyNumberFormat="1" applyFont="1" applyFill="1" applyBorder="1" applyAlignment="1">
      <alignment horizontal="right"/>
    </xf>
    <xf numFmtId="4" fontId="2" fillId="0" borderId="70" xfId="0" applyNumberFormat="1" applyFont="1" applyFill="1" applyBorder="1"/>
    <xf numFmtId="4" fontId="4" fillId="5" borderId="70" xfId="0" applyNumberFormat="1" applyFont="1" applyFill="1" applyBorder="1"/>
    <xf numFmtId="4" fontId="10" fillId="5" borderId="70" xfId="0" applyNumberFormat="1" applyFont="1" applyFill="1" applyBorder="1"/>
    <xf numFmtId="4" fontId="5" fillId="75" borderId="71" xfId="0" applyNumberFormat="1" applyFont="1" applyFill="1" applyBorder="1"/>
    <xf numFmtId="0" fontId="2" fillId="0" borderId="2" xfId="2" applyFont="1" applyFill="1" applyBorder="1" applyAlignment="1">
      <alignment horizontal="center" vertical="center" wrapText="1"/>
    </xf>
    <xf numFmtId="49" fontId="20" fillId="3" borderId="2" xfId="2" applyNumberFormat="1" applyFont="1" applyFill="1" applyBorder="1" applyAlignment="1">
      <alignment horizontal="center" vertical="center" wrapText="1"/>
    </xf>
    <xf numFmtId="0" fontId="22" fillId="3" borderId="2" xfId="2" applyFont="1" applyFill="1" applyBorder="1" applyAlignment="1">
      <alignment horizontal="center" vertical="center" wrapText="1"/>
    </xf>
    <xf numFmtId="4" fontId="19" fillId="5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center" vertical="center"/>
    </xf>
    <xf numFmtId="4" fontId="2" fillId="75" borderId="59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3" fontId="23" fillId="0" borderId="0" xfId="0" applyNumberFormat="1" applyFont="1" applyFill="1" applyAlignment="1">
      <alignment horizontal="center" vertical="center"/>
    </xf>
    <xf numFmtId="43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20" fillId="0" borderId="9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217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4" fontId="19" fillId="5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4" fontId="18" fillId="0" borderId="2" xfId="1" applyNumberFormat="1" applyFont="1" applyFill="1" applyBorder="1" applyAlignment="1">
      <alignment horizontal="center" vertical="center"/>
    </xf>
    <xf numFmtId="4" fontId="19" fillId="5" borderId="10" xfId="1" applyNumberFormat="1" applyFont="1" applyFill="1" applyBorder="1" applyAlignment="1">
      <alignment horizontal="center" vertical="center"/>
    </xf>
    <xf numFmtId="4" fontId="2" fillId="0" borderId="15" xfId="1" applyNumberFormat="1" applyFont="1" applyFill="1" applyBorder="1" applyAlignment="1">
      <alignment horizontal="center" vertical="center"/>
    </xf>
    <xf numFmtId="0" fontId="218" fillId="0" borderId="9" xfId="0" applyFont="1" applyFill="1" applyBorder="1" applyAlignment="1">
      <alignment horizontal="center" vertical="center" wrapText="1"/>
    </xf>
    <xf numFmtId="4" fontId="19" fillId="5" borderId="2" xfId="0" applyNumberFormat="1" applyFont="1" applyFill="1" applyBorder="1" applyAlignment="1">
      <alignment horizontal="center" vertical="center"/>
    </xf>
    <xf numFmtId="0" fontId="221" fillId="0" borderId="9" xfId="0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 vertical="center"/>
    </xf>
    <xf numFmtId="4" fontId="19" fillId="5" borderId="2" xfId="2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" fontId="19" fillId="5" borderId="0" xfId="0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>
      <alignment horizontal="center" vertical="center"/>
    </xf>
    <xf numFmtId="4" fontId="2" fillId="0" borderId="9" xfId="1" applyNumberFormat="1" applyFont="1" applyFill="1" applyBorder="1" applyAlignment="1">
      <alignment horizontal="center" vertical="center"/>
    </xf>
    <xf numFmtId="4" fontId="19" fillId="5" borderId="0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169" fontId="2" fillId="0" borderId="2" xfId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9" fontId="2" fillId="5" borderId="2" xfId="2" applyNumberFormat="1" applyFont="1" applyFill="1" applyBorder="1" applyAlignment="1">
      <alignment horizontal="left" vertical="center" wrapText="1"/>
    </xf>
    <xf numFmtId="49" fontId="8" fillId="5" borderId="2" xfId="2" applyNumberFormat="1" applyFont="1" applyFill="1" applyBorder="1" applyAlignment="1">
      <alignment horizontal="left" vertical="center" wrapText="1"/>
    </xf>
    <xf numFmtId="0" fontId="33" fillId="4" borderId="6" xfId="0" applyFont="1" applyFill="1" applyBorder="1" applyAlignment="1"/>
    <xf numFmtId="4" fontId="5" fillId="75" borderId="59" xfId="0" applyNumberFormat="1" applyFont="1" applyFill="1" applyBorder="1" applyAlignment="1">
      <alignment horizontal="center"/>
    </xf>
    <xf numFmtId="4" fontId="5" fillId="84" borderId="59" xfId="0" applyNumberFormat="1" applyFont="1" applyFill="1" applyBorder="1"/>
    <xf numFmtId="169" fontId="3" fillId="0" borderId="0" xfId="0" applyNumberFormat="1" applyFont="1" applyFill="1" applyBorder="1" applyAlignment="1">
      <alignment horizontal="center"/>
    </xf>
    <xf numFmtId="0" fontId="217" fillId="0" borderId="9" xfId="0" applyFont="1" applyFill="1" applyBorder="1" applyAlignment="1">
      <alignment horizontal="left" vertical="center" wrapText="1"/>
    </xf>
    <xf numFmtId="49" fontId="233" fillId="0" borderId="2" xfId="3" applyNumberFormat="1" applyFont="1" applyFill="1" applyBorder="1" applyAlignment="1" applyProtection="1">
      <alignment horizontal="left" vertical="center" wrapText="1"/>
    </xf>
    <xf numFmtId="171" fontId="233" fillId="0" borderId="2" xfId="3" applyNumberFormat="1" applyFont="1" applyFill="1" applyBorder="1" applyAlignment="1" applyProtection="1">
      <alignment horizontal="center" vertical="center" wrapText="1"/>
    </xf>
    <xf numFmtId="209" fontId="233" fillId="0" borderId="2" xfId="3" applyNumberFormat="1" applyFont="1" applyFill="1" applyBorder="1" applyAlignment="1" applyProtection="1">
      <alignment horizontal="center" vertical="center" wrapText="1"/>
    </xf>
    <xf numFmtId="0" fontId="233" fillId="0" borderId="2" xfId="8981" applyNumberFormat="1" applyFont="1" applyFill="1" applyBorder="1" applyAlignment="1" applyProtection="1">
      <alignment horizontal="left" vertical="center" wrapText="1"/>
    </xf>
    <xf numFmtId="49" fontId="233" fillId="0" borderId="2" xfId="8981" applyNumberFormat="1" applyFont="1" applyFill="1" applyBorder="1" applyAlignment="1" applyProtection="1">
      <alignment horizontal="left" vertical="center" wrapText="1"/>
    </xf>
    <xf numFmtId="0" fontId="233" fillId="0" borderId="2" xfId="3" applyNumberFormat="1" applyFont="1" applyFill="1" applyBorder="1" applyAlignment="1" applyProtection="1">
      <alignment horizontal="center" vertical="center"/>
    </xf>
    <xf numFmtId="49" fontId="233" fillId="0" borderId="2" xfId="3" applyNumberFormat="1" applyFont="1" applyFill="1" applyBorder="1" applyAlignment="1" applyProtection="1">
      <alignment vertical="center" wrapText="1"/>
    </xf>
    <xf numFmtId="49" fontId="233" fillId="0" borderId="2" xfId="8981" applyNumberFormat="1" applyFont="1" applyFill="1" applyBorder="1" applyAlignment="1" applyProtection="1">
      <alignment vertical="center" wrapText="1"/>
    </xf>
    <xf numFmtId="49" fontId="233" fillId="0" borderId="2" xfId="3" applyNumberFormat="1" applyFont="1" applyFill="1" applyBorder="1" applyAlignment="1" applyProtection="1">
      <alignment horizontal="center" vertical="center" wrapText="1"/>
    </xf>
    <xf numFmtId="0" fontId="229" fillId="0" borderId="2" xfId="3" applyNumberFormat="1" applyFont="1" applyFill="1" applyBorder="1" applyAlignment="1" applyProtection="1">
      <alignment horizontal="center" vertical="center" wrapText="1"/>
    </xf>
    <xf numFmtId="0" fontId="229" fillId="0" borderId="0" xfId="3845" applyNumberFormat="1" applyFont="1" applyFill="1" applyBorder="1" applyAlignment="1" applyProtection="1">
      <alignment horizontal="center"/>
    </xf>
    <xf numFmtId="0" fontId="233" fillId="0" borderId="2" xfId="8981" applyNumberFormat="1" applyFont="1" applyFill="1" applyBorder="1" applyAlignment="1" applyProtection="1">
      <alignment horizontal="center" vertical="center" wrapText="1"/>
    </xf>
    <xf numFmtId="171" fontId="233" fillId="0" borderId="2" xfId="1" applyNumberFormat="1" applyFont="1" applyFill="1" applyBorder="1" applyAlignment="1" applyProtection="1">
      <alignment horizontal="center" vertical="center" wrapText="1"/>
    </xf>
    <xf numFmtId="171" fontId="35" fillId="0" borderId="2" xfId="3" applyNumberFormat="1" applyFont="1" applyFill="1" applyBorder="1" applyAlignment="1" applyProtection="1">
      <alignment horizontal="center" vertical="center" wrapText="1"/>
    </xf>
    <xf numFmtId="171" fontId="233" fillId="0" borderId="2" xfId="3" applyNumberFormat="1" applyFont="1" applyFill="1" applyBorder="1" applyProtection="1"/>
    <xf numFmtId="171" fontId="35" fillId="0" borderId="2" xfId="3" applyNumberFormat="1" applyFont="1" applyFill="1" applyBorder="1" applyProtection="1"/>
    <xf numFmtId="0" fontId="274" fillId="0" borderId="0" xfId="3" applyNumberFormat="1" applyFont="1" applyFill="1" applyBorder="1" applyAlignment="1" applyProtection="1">
      <alignment horizontal="center" vertical="center" wrapText="1"/>
    </xf>
    <xf numFmtId="0" fontId="274" fillId="0" borderId="0" xfId="3" applyNumberFormat="1" applyFont="1" applyFill="1" applyBorder="1" applyProtection="1"/>
    <xf numFmtId="4" fontId="276" fillId="0" borderId="2" xfId="0" applyNumberFormat="1" applyFont="1" applyFill="1" applyBorder="1" applyAlignment="1">
      <alignment horizontal="center" vertical="center" wrapText="1"/>
    </xf>
    <xf numFmtId="171" fontId="35" fillId="0" borderId="0" xfId="3" applyNumberFormat="1" applyFont="1" applyFill="1" applyBorder="1" applyProtection="1"/>
    <xf numFmtId="0" fontId="33" fillId="4" borderId="7" xfId="0" applyFont="1" applyFill="1" applyBorder="1" applyAlignment="1">
      <alignment horizontal="center"/>
    </xf>
    <xf numFmtId="0" fontId="33" fillId="4" borderId="74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33" fillId="4" borderId="67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20" fillId="4" borderId="61" xfId="0" applyFont="1" applyFill="1" applyBorder="1" applyAlignment="1">
      <alignment horizontal="center" vertical="center" textRotation="90"/>
    </xf>
    <xf numFmtId="0" fontId="20" fillId="4" borderId="2" xfId="0" applyFont="1" applyFill="1" applyBorder="1" applyAlignment="1">
      <alignment horizontal="center" vertical="center" textRotation="90"/>
    </xf>
    <xf numFmtId="0" fontId="20" fillId="4" borderId="70" xfId="0" applyFont="1" applyFill="1" applyBorder="1" applyAlignment="1">
      <alignment horizontal="center" vertical="center" textRotation="90"/>
    </xf>
    <xf numFmtId="49" fontId="20" fillId="4" borderId="62" xfId="0" applyNumberFormat="1" applyFont="1" applyFill="1" applyBorder="1" applyAlignment="1">
      <alignment horizontal="center" vertical="center" textRotation="90" wrapText="1"/>
    </xf>
    <xf numFmtId="49" fontId="20" fillId="4" borderId="17" xfId="0" applyNumberFormat="1" applyFont="1" applyFill="1" applyBorder="1" applyAlignment="1">
      <alignment horizontal="center" vertical="center" textRotation="90" wrapText="1"/>
    </xf>
    <xf numFmtId="49" fontId="20" fillId="4" borderId="72" xfId="0" applyNumberFormat="1" applyFont="1" applyFill="1" applyBorder="1" applyAlignment="1">
      <alignment horizontal="center" vertical="center" textRotation="90" wrapText="1"/>
    </xf>
    <xf numFmtId="0" fontId="2" fillId="4" borderId="6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0" xfId="0" applyFont="1" applyFill="1" applyBorder="1" applyAlignment="1">
      <alignment horizontal="center" vertical="center"/>
    </xf>
    <xf numFmtId="49" fontId="2" fillId="4" borderId="61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4" borderId="70" xfId="0" applyNumberFormat="1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73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1" fillId="4" borderId="62" xfId="0" applyFont="1" applyFill="1" applyBorder="1" applyAlignment="1">
      <alignment horizontal="center" wrapText="1"/>
    </xf>
    <xf numFmtId="0" fontId="31" fillId="4" borderId="10" xfId="0" applyFont="1" applyFill="1" applyBorder="1" applyAlignment="1">
      <alignment horizont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4" fontId="275" fillId="0" borderId="3" xfId="0" applyNumberFormat="1" applyFont="1" applyFill="1" applyBorder="1" applyAlignment="1">
      <alignment horizontal="center" vertical="center" wrapText="1"/>
    </xf>
    <xf numFmtId="4" fontId="275" fillId="0" borderId="9" xfId="0" applyNumberFormat="1" applyFont="1" applyFill="1" applyBorder="1" applyAlignment="1">
      <alignment horizontal="center" vertical="center" wrapText="1"/>
    </xf>
    <xf numFmtId="169" fontId="3" fillId="2" borderId="6" xfId="1" applyFont="1" applyFill="1" applyBorder="1" applyAlignment="1">
      <alignment horizontal="center"/>
    </xf>
    <xf numFmtId="169" fontId="3" fillId="2" borderId="7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49" fontId="34" fillId="2" borderId="17" xfId="0" applyNumberFormat="1" applyFont="1" applyFill="1" applyBorder="1" applyAlignment="1">
      <alignment horizontal="center" vertical="center" wrapText="1"/>
    </xf>
    <xf numFmtId="49" fontId="34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0" fontId="271" fillId="0" borderId="0" xfId="3486" applyFont="1" applyFill="1" applyAlignment="1">
      <alignment horizontal="center" vertical="center" wrapText="1"/>
    </xf>
    <xf numFmtId="0" fontId="232" fillId="0" borderId="0" xfId="3486" applyFont="1" applyFill="1" applyAlignment="1">
      <alignment horizontal="center" vertical="center" wrapText="1"/>
    </xf>
    <xf numFmtId="0" fontId="233" fillId="0" borderId="2" xfId="4522" applyNumberFormat="1" applyFont="1" applyFill="1" applyBorder="1" applyAlignment="1" applyProtection="1">
      <alignment horizontal="center" vertical="center" wrapText="1"/>
    </xf>
    <xf numFmtId="0" fontId="233" fillId="0" borderId="2" xfId="4522" applyNumberFormat="1" applyFont="1" applyFill="1" applyBorder="1" applyAlignment="1" applyProtection="1">
      <alignment vertical="center" wrapText="1"/>
    </xf>
    <xf numFmtId="0" fontId="233" fillId="0" borderId="2" xfId="4523" applyNumberFormat="1" applyFont="1" applyFill="1" applyBorder="1" applyAlignment="1" applyProtection="1">
      <alignment horizontal="center" vertical="center" wrapText="1"/>
    </xf>
    <xf numFmtId="171" fontId="233" fillId="0" borderId="2" xfId="3" applyNumberFormat="1" applyFont="1" applyFill="1" applyBorder="1" applyAlignment="1" applyProtection="1">
      <alignment horizontal="center" vertical="center" wrapText="1"/>
    </xf>
    <xf numFmtId="0" fontId="233" fillId="0" borderId="2" xfId="3" applyNumberFormat="1" applyFont="1" applyFill="1" applyBorder="1" applyAlignment="1" applyProtection="1">
      <alignment horizontal="center" vertical="center" wrapText="1"/>
    </xf>
    <xf numFmtId="0" fontId="233" fillId="0" borderId="2" xfId="3" applyNumberFormat="1" applyFont="1" applyFill="1" applyBorder="1" applyAlignment="1" applyProtection="1">
      <alignment horizontal="center" vertical="center" wrapText="1"/>
    </xf>
    <xf numFmtId="0" fontId="233" fillId="0" borderId="2" xfId="4522" applyNumberFormat="1" applyFont="1" applyFill="1" applyBorder="1" applyAlignment="1" applyProtection="1">
      <alignment horizontal="center" vertical="center" wrapText="1"/>
    </xf>
    <xf numFmtId="0" fontId="230" fillId="0" borderId="2" xfId="4522" applyNumberFormat="1" applyFont="1" applyFill="1" applyBorder="1" applyAlignment="1" applyProtection="1">
      <alignment horizontal="center" vertical="center" wrapText="1"/>
    </xf>
    <xf numFmtId="0" fontId="230" fillId="0" borderId="2" xfId="4522" applyNumberFormat="1" applyFont="1" applyFill="1" applyBorder="1" applyAlignment="1" applyProtection="1">
      <alignment vertical="center" wrapText="1"/>
    </xf>
    <xf numFmtId="171" fontId="231" fillId="0" borderId="2" xfId="3" applyNumberFormat="1" applyFont="1" applyFill="1" applyBorder="1" applyAlignment="1" applyProtection="1">
      <alignment horizontal="center" vertical="center" wrapText="1"/>
    </xf>
    <xf numFmtId="0" fontId="231" fillId="0" borderId="2" xfId="4522" applyNumberFormat="1" applyFont="1" applyFill="1" applyBorder="1" applyAlignment="1" applyProtection="1">
      <alignment horizontal="center" vertical="center" wrapText="1"/>
    </xf>
    <xf numFmtId="0" fontId="233" fillId="0" borderId="2" xfId="3" applyNumberFormat="1" applyFont="1" applyFill="1" applyBorder="1" applyProtection="1"/>
    <xf numFmtId="49" fontId="233" fillId="0" borderId="2" xfId="3" applyNumberFormat="1" applyFont="1" applyFill="1" applyBorder="1" applyAlignment="1" applyProtection="1">
      <alignment horizontal="center" vertical="center" wrapText="1"/>
    </xf>
    <xf numFmtId="0" fontId="233" fillId="0" borderId="20" xfId="3" applyNumberFormat="1" applyFont="1" applyFill="1" applyBorder="1" applyAlignment="1" applyProtection="1">
      <alignment horizontal="center" vertical="center" wrapText="1"/>
    </xf>
    <xf numFmtId="0" fontId="233" fillId="0" borderId="14" xfId="3" applyNumberFormat="1" applyFont="1" applyFill="1" applyBorder="1" applyAlignment="1" applyProtection="1">
      <alignment horizontal="center" vertical="center" wrapText="1"/>
    </xf>
    <xf numFmtId="0" fontId="233" fillId="0" borderId="16" xfId="3" applyNumberFormat="1" applyFont="1" applyFill="1" applyBorder="1" applyAlignment="1" applyProtection="1">
      <alignment horizontal="center" vertical="center" wrapText="1"/>
    </xf>
    <xf numFmtId="171" fontId="275" fillId="0" borderId="2" xfId="3" applyNumberFormat="1" applyFont="1" applyFill="1" applyBorder="1" applyAlignment="1" applyProtection="1">
      <alignment horizontal="center" vertical="center" wrapText="1"/>
    </xf>
    <xf numFmtId="0" fontId="233" fillId="0" borderId="11" xfId="3" applyNumberFormat="1" applyFont="1" applyFill="1" applyBorder="1" applyAlignment="1" applyProtection="1">
      <alignment horizontal="center" vertical="center" wrapText="1"/>
    </xf>
    <xf numFmtId="0" fontId="233" fillId="0" borderId="0" xfId="3" applyNumberFormat="1" applyFont="1" applyFill="1" applyBorder="1" applyAlignment="1" applyProtection="1">
      <alignment horizontal="center" vertical="center" wrapText="1"/>
    </xf>
    <xf numFmtId="0" fontId="233" fillId="0" borderId="19" xfId="3" applyNumberFormat="1" applyFont="1" applyFill="1" applyBorder="1" applyAlignment="1" applyProtection="1">
      <alignment horizontal="center" vertical="center" wrapText="1"/>
    </xf>
    <xf numFmtId="171" fontId="273" fillId="0" borderId="2" xfId="3" applyNumberFormat="1" applyFont="1" applyFill="1" applyBorder="1" applyAlignment="1" applyProtection="1">
      <alignment horizontal="left" vertical="center" wrapText="1"/>
    </xf>
    <xf numFmtId="171" fontId="273" fillId="0" borderId="2" xfId="3" applyNumberFormat="1" applyFont="1" applyFill="1" applyBorder="1" applyAlignment="1" applyProtection="1">
      <alignment horizontal="center" vertical="center" wrapText="1"/>
    </xf>
    <xf numFmtId="209" fontId="273" fillId="0" borderId="2" xfId="3" applyNumberFormat="1" applyFont="1" applyFill="1" applyBorder="1" applyAlignment="1" applyProtection="1">
      <alignment horizontal="center" vertical="center" wrapText="1"/>
    </xf>
    <xf numFmtId="0" fontId="233" fillId="0" borderId="12" xfId="3" applyNumberFormat="1" applyFont="1" applyFill="1" applyBorder="1" applyAlignment="1" applyProtection="1">
      <alignment horizontal="center" vertical="center" wrapText="1"/>
    </xf>
    <xf numFmtId="0" fontId="233" fillId="0" borderId="53" xfId="3" applyNumberFormat="1" applyFont="1" applyFill="1" applyBorder="1" applyAlignment="1" applyProtection="1">
      <alignment horizontal="center" vertical="center" wrapText="1"/>
    </xf>
    <xf numFmtId="0" fontId="233" fillId="0" borderId="15" xfId="3" applyNumberFormat="1" applyFont="1" applyFill="1" applyBorder="1" applyAlignment="1" applyProtection="1">
      <alignment horizontal="center" vertical="center" wrapText="1"/>
    </xf>
  </cellXfs>
  <cellStyles count="15749">
    <cellStyle name=" 1" xfId="9"/>
    <cellStyle name=" 1 2" xfId="10"/>
    <cellStyle name=" 1_Stage1" xfId="11"/>
    <cellStyle name="_x000a_bidires=100_x000d_" xfId="12"/>
    <cellStyle name="%" xfId="13"/>
    <cellStyle name="%_Inputs" xfId="14"/>
    <cellStyle name="%_Inputs (const)" xfId="15"/>
    <cellStyle name="%_Inputs (const)_Расче тарифа на тэ 2014 Мезенский АрхоблЭнерго" xfId="16"/>
    <cellStyle name="%_Inputs (const)_Тариф тепло Мезень для АТЦ" xfId="17"/>
    <cellStyle name="%_Inputs (const)_тарифы по ТЭ на 2014 год Соловки исправ." xfId="18"/>
    <cellStyle name="%_Inputs Co" xfId="19"/>
    <cellStyle name="%_Inputs Co_Расче тарифа на тэ 2014 Мезенский АрхоблЭнерго" xfId="20"/>
    <cellStyle name="%_Inputs Co_Тариф тепло Мезень для АТЦ" xfId="21"/>
    <cellStyle name="%_Inputs Co_тарифы по ТЭ на 2014 год Соловки исправ." xfId="22"/>
    <cellStyle name="?" xfId="23"/>
    <cellStyle name="?…?ж?Ш?и [0.00]" xfId="24"/>
    <cellStyle name="?W??_‘O’с?р??" xfId="25"/>
    <cellStyle name="_~6450243" xfId="26"/>
    <cellStyle name="_~6450243 2" xfId="27"/>
    <cellStyle name="_CashFlow_2007_проект_02_02_final" xfId="28"/>
    <cellStyle name="_CPI foodimp" xfId="29"/>
    <cellStyle name="_FFF" xfId="30"/>
    <cellStyle name="_FFF_New Form10_2" xfId="31"/>
    <cellStyle name="_FFF_Nsi" xfId="32"/>
    <cellStyle name="_FFF_Nsi_1" xfId="33"/>
    <cellStyle name="_FFF_Nsi_139" xfId="34"/>
    <cellStyle name="_FFF_Nsi_140" xfId="35"/>
    <cellStyle name="_FFF_Nsi_140(Зах)" xfId="36"/>
    <cellStyle name="_FFF_Nsi_140_mod" xfId="37"/>
    <cellStyle name="_FFF_Summary" xfId="38"/>
    <cellStyle name="_FFF_Tax_form_1кв_3" xfId="39"/>
    <cellStyle name="_FFF_БКЭ" xfId="40"/>
    <cellStyle name="_Final_Book_010301" xfId="41"/>
    <cellStyle name="_Final_Book_010301_New Form10_2" xfId="42"/>
    <cellStyle name="_Final_Book_010301_Nsi" xfId="43"/>
    <cellStyle name="_Final_Book_010301_Nsi_1" xfId="44"/>
    <cellStyle name="_Final_Book_010301_Nsi_139" xfId="45"/>
    <cellStyle name="_Final_Book_010301_Nsi_140" xfId="46"/>
    <cellStyle name="_Final_Book_010301_Nsi_140(Зах)" xfId="47"/>
    <cellStyle name="_Final_Book_010301_Nsi_140_mod" xfId="48"/>
    <cellStyle name="_Final_Book_010301_Summary" xfId="49"/>
    <cellStyle name="_Final_Book_010301_Tax_form_1кв_3" xfId="50"/>
    <cellStyle name="_Final_Book_010301_БКЭ" xfId="51"/>
    <cellStyle name="_macro 2012 var 1" xfId="52"/>
    <cellStyle name="_Model_RAB Мой" xfId="53"/>
    <cellStyle name="_Model_RAB Мой 2" xfId="54"/>
    <cellStyle name="_Model_RAB Мой 2_OREP.KU.2011.MONTHLY.02(v0.1)" xfId="55"/>
    <cellStyle name="_Model_RAB Мой 2_OREP.KU.2011.MONTHLY.02(v0.4)" xfId="56"/>
    <cellStyle name="_Model_RAB Мой 2_OREP.KU.2011.MONTHLY.11(v1.4)" xfId="57"/>
    <cellStyle name="_Model_RAB Мой 2_UPDATE.OREP.KU.2011.MONTHLY.02.TO.1.2" xfId="58"/>
    <cellStyle name="_Model_RAB Мой_46EE.2011(v1.0)" xfId="59"/>
    <cellStyle name="_Model_RAB Мой_46EE.2011(v1.0)_46TE.2011(v1.0)" xfId="60"/>
    <cellStyle name="_Model_RAB Мой_46EE.2011(v1.0)_INDEX.STATION.2012(v1.0)_" xfId="61"/>
    <cellStyle name="_Model_RAB Мой_46EE.2011(v1.0)_INDEX.STATION.2012(v2.0)" xfId="62"/>
    <cellStyle name="_Model_RAB Мой_46EE.2011(v1.0)_INDEX.STATION.2012(v2.1)" xfId="63"/>
    <cellStyle name="_Model_RAB Мой_46EE.2011(v1.0)_TEPLO.PREDEL.2012.M(v1.1)_test" xfId="64"/>
    <cellStyle name="_Model_RAB Мой_46EE.2011(v1.2)" xfId="65"/>
    <cellStyle name="_Model_RAB Мой_46EP.2011(v2.0)" xfId="66"/>
    <cellStyle name="_Model_RAB Мой_46EP.2012(v0.1)" xfId="67"/>
    <cellStyle name="_Model_RAB Мой_46TE.2011(v1.0)" xfId="68"/>
    <cellStyle name="_Model_RAB Мой_4DNS.UPDATE.EXAMPLE" xfId="69"/>
    <cellStyle name="_Model_RAB Мой_ARMRAZR" xfId="70"/>
    <cellStyle name="_Model_RAB Мой_BALANCE.WARM.2010.FACT(v1.0)" xfId="71"/>
    <cellStyle name="_Model_RAB Мой_BALANCE.WARM.2010.PLAN" xfId="72"/>
    <cellStyle name="_Model_RAB Мой_BALANCE.WARM.2011YEAR(v0.7)" xfId="73"/>
    <cellStyle name="_Model_RAB Мой_BALANCE.WARM.2011YEAR.NEW.UPDATE.SCHEME" xfId="74"/>
    <cellStyle name="_Model_RAB Мой_CALC.NORMATIV.KU(v0.2)" xfId="75"/>
    <cellStyle name="_Model_RAB Мой_EE.2REK.P2011.4.78(v0.3)" xfId="76"/>
    <cellStyle name="_Model_RAB Мой_FORM3.1.2013(v0.2)" xfId="77"/>
    <cellStyle name="_Model_RAB Мой_FORM3.2013(v1.0)" xfId="78"/>
    <cellStyle name="_Model_RAB Мой_FORM3.REG(v1.0)" xfId="79"/>
    <cellStyle name="_Model_RAB Мой_FORM910.2012(v1.1)" xfId="80"/>
    <cellStyle name="_Model_RAB Мой_INDEX.STATION.2012(v2.1)" xfId="81"/>
    <cellStyle name="_Model_RAB Мой_INDEX.STATION.2013(v1.0)_патч до 1.1" xfId="82"/>
    <cellStyle name="_Model_RAB Мой_INVEST.EE.PLAN.4.78(v0.1)" xfId="83"/>
    <cellStyle name="_Model_RAB Мой_INVEST.EE.PLAN.4.78(v0.3)" xfId="84"/>
    <cellStyle name="_Model_RAB Мой_INVEST.EE.PLAN.4.78(v1.0)" xfId="85"/>
    <cellStyle name="_Model_RAB Мой_INVEST.EE.PLAN.4.78(v1.0)_PASSPORT.TEPLO.PROIZV(v2.0)" xfId="86"/>
    <cellStyle name="_Model_RAB Мой_INVEST.EE.PLAN.4.78(v1.0)_PASSPORT.TEPLO.PROIZV(v2.0)_INDEX.STATION.2013(v1.0)_патч до 1.1" xfId="87"/>
    <cellStyle name="_Model_RAB Мой_INVEST.EE.PLAN.4.78(v1.0)_PASSPORT.TEPLO.PROIZV(v2.0)_TEPLO.PREDEL.2013(v2.0)" xfId="88"/>
    <cellStyle name="_Model_RAB Мой_INVEST.PLAN.4.78(v0.1)" xfId="89"/>
    <cellStyle name="_Model_RAB Мой_INVEST.WARM.PLAN.4.78(v0.1)" xfId="90"/>
    <cellStyle name="_Model_RAB Мой_INVEST_WARM_PLAN" xfId="91"/>
    <cellStyle name="_Model_RAB Мой_NADB.JNVLP.APTEKA.2012(v1.0)_21_02_12" xfId="92"/>
    <cellStyle name="_Model_RAB Мой_NADB.JNVLS.APTEKA.2011(v1.3.3)" xfId="93"/>
    <cellStyle name="_Model_RAB Мой_NADB.JNVLS.APTEKA.2011(v1.3.3)_46TE.2011(v1.0)" xfId="94"/>
    <cellStyle name="_Model_RAB Мой_NADB.JNVLS.APTEKA.2011(v1.3.3)_INDEX.STATION.2012(v1.0)_" xfId="95"/>
    <cellStyle name="_Model_RAB Мой_NADB.JNVLS.APTEKA.2011(v1.3.3)_INDEX.STATION.2012(v2.0)" xfId="96"/>
    <cellStyle name="_Model_RAB Мой_NADB.JNVLS.APTEKA.2011(v1.3.3)_INDEX.STATION.2012(v2.1)" xfId="97"/>
    <cellStyle name="_Model_RAB Мой_NADB.JNVLS.APTEKA.2011(v1.3.3)_TEPLO.PREDEL.2012.M(v1.1)_test" xfId="98"/>
    <cellStyle name="_Model_RAB Мой_NADB.JNVLS.APTEKA.2011(v1.3.4)" xfId="99"/>
    <cellStyle name="_Model_RAB Мой_NADB.JNVLS.APTEKA.2011(v1.3.4)_46TE.2011(v1.0)" xfId="100"/>
    <cellStyle name="_Model_RAB Мой_NADB.JNVLS.APTEKA.2011(v1.3.4)_INDEX.STATION.2012(v1.0)_" xfId="101"/>
    <cellStyle name="_Model_RAB Мой_NADB.JNVLS.APTEKA.2011(v1.3.4)_INDEX.STATION.2012(v2.0)" xfId="102"/>
    <cellStyle name="_Model_RAB Мой_NADB.JNVLS.APTEKA.2011(v1.3.4)_INDEX.STATION.2012(v2.1)" xfId="103"/>
    <cellStyle name="_Model_RAB Мой_NADB.JNVLS.APTEKA.2011(v1.3.4)_TEPLO.PREDEL.2012.M(v1.1)_test" xfId="104"/>
    <cellStyle name="_Model_RAB Мой_PASSPORT.TEPLO.PROIZV(v2.1)" xfId="105"/>
    <cellStyle name="_Model_RAB Мой_PASSPORT.TEPLO.SETI(v0.7)" xfId="106"/>
    <cellStyle name="_Model_RAB Мой_PASSPORT.TEPLO.SETI(v1.0)" xfId="107"/>
    <cellStyle name="_Model_RAB Мой_PR.PROG.WARM.NOTCOMBI.2012.2.16_v1.4(04.04.11) " xfId="108"/>
    <cellStyle name="_Model_RAB Мой_PREDEL.JKH.UTV.2011(v1.0.1)" xfId="109"/>
    <cellStyle name="_Model_RAB Мой_PREDEL.JKH.UTV.2011(v1.0.1)_46TE.2011(v1.0)" xfId="110"/>
    <cellStyle name="_Model_RAB Мой_PREDEL.JKH.UTV.2011(v1.0.1)_INDEX.STATION.2012(v1.0)_" xfId="111"/>
    <cellStyle name="_Model_RAB Мой_PREDEL.JKH.UTV.2011(v1.0.1)_INDEX.STATION.2012(v2.0)" xfId="112"/>
    <cellStyle name="_Model_RAB Мой_PREDEL.JKH.UTV.2011(v1.0.1)_INDEX.STATION.2012(v2.1)" xfId="113"/>
    <cellStyle name="_Model_RAB Мой_PREDEL.JKH.UTV.2011(v1.0.1)_TEPLO.PREDEL.2012.M(v1.1)_test" xfId="114"/>
    <cellStyle name="_Model_RAB Мой_PREDEL.JKH.UTV.2011(v1.1)" xfId="115"/>
    <cellStyle name="_Model_RAB Мой_REP.BLR.2012(v1.0)" xfId="116"/>
    <cellStyle name="_Model_RAB Мой_TEPLO.PREDEL.2012.M(v1.1)" xfId="117"/>
    <cellStyle name="_Model_RAB Мой_TEPLO.PREDEL.2013(v2.0)" xfId="118"/>
    <cellStyle name="_Model_RAB Мой_TEST.TEMPLATE" xfId="119"/>
    <cellStyle name="_Model_RAB Мой_UPDATE.46EE.2011.TO.1.1" xfId="120"/>
    <cellStyle name="_Model_RAB Мой_UPDATE.46TE.2011.TO.1.1" xfId="121"/>
    <cellStyle name="_Model_RAB Мой_UPDATE.46TE.2011.TO.1.2" xfId="122"/>
    <cellStyle name="_Model_RAB Мой_UPDATE.BALANCE.WARM.2011YEAR.TO.1.1" xfId="123"/>
    <cellStyle name="_Model_RAB Мой_UPDATE.BALANCE.WARM.2011YEAR.TO.1.1_46TE.2011(v1.0)" xfId="124"/>
    <cellStyle name="_Model_RAB Мой_UPDATE.BALANCE.WARM.2011YEAR.TO.1.1_INDEX.STATION.2012(v1.0)_" xfId="125"/>
    <cellStyle name="_Model_RAB Мой_UPDATE.BALANCE.WARM.2011YEAR.TO.1.1_INDEX.STATION.2012(v2.0)" xfId="126"/>
    <cellStyle name="_Model_RAB Мой_UPDATE.BALANCE.WARM.2011YEAR.TO.1.1_INDEX.STATION.2012(v2.1)" xfId="127"/>
    <cellStyle name="_Model_RAB Мой_UPDATE.BALANCE.WARM.2011YEAR.TO.1.1_OREP.KU.2011.MONTHLY.02(v1.1)" xfId="128"/>
    <cellStyle name="_Model_RAB Мой_UPDATE.BALANCE.WARM.2011YEAR.TO.1.1_TEPLO.PREDEL.2012.M(v1.1)_test" xfId="129"/>
    <cellStyle name="_Model_RAB Мой_UPDATE.NADB.JNVLS.APTEKA.2011.TO.1.3.4" xfId="130"/>
    <cellStyle name="_Model_RAB Мой_Книга2_PR.PROG.WARM.NOTCOMBI.2012.2.16_v1.4(04.04.11) " xfId="131"/>
    <cellStyle name="_Model_RAB Мой_Тариф 2013 Архангельск для агентства" xfId="132"/>
    <cellStyle name="_Model_RAB Мой_Тариф 2014 уч. Шипицыно газ" xfId="133"/>
    <cellStyle name="_Model_RAB_MRSK_svod" xfId="134"/>
    <cellStyle name="_Model_RAB_MRSK_svod 2" xfId="135"/>
    <cellStyle name="_Model_RAB_MRSK_svod 2_OREP.KU.2011.MONTHLY.02(v0.1)" xfId="136"/>
    <cellStyle name="_Model_RAB_MRSK_svod 2_OREP.KU.2011.MONTHLY.02(v0.4)" xfId="137"/>
    <cellStyle name="_Model_RAB_MRSK_svod 2_OREP.KU.2011.MONTHLY.11(v1.4)" xfId="138"/>
    <cellStyle name="_Model_RAB_MRSK_svod 2_UPDATE.OREP.KU.2011.MONTHLY.02.TO.1.2" xfId="139"/>
    <cellStyle name="_Model_RAB_MRSK_svod_46EE.2011(v1.0)" xfId="140"/>
    <cellStyle name="_Model_RAB_MRSK_svod_46EE.2011(v1.0)_46TE.2011(v1.0)" xfId="141"/>
    <cellStyle name="_Model_RAB_MRSK_svod_46EE.2011(v1.0)_INDEX.STATION.2012(v1.0)_" xfId="142"/>
    <cellStyle name="_Model_RAB_MRSK_svod_46EE.2011(v1.0)_INDEX.STATION.2012(v2.0)" xfId="143"/>
    <cellStyle name="_Model_RAB_MRSK_svod_46EE.2011(v1.0)_INDEX.STATION.2012(v2.1)" xfId="144"/>
    <cellStyle name="_Model_RAB_MRSK_svod_46EE.2011(v1.0)_TEPLO.PREDEL.2012.M(v1.1)_test" xfId="145"/>
    <cellStyle name="_Model_RAB_MRSK_svod_46EE.2011(v1.2)" xfId="146"/>
    <cellStyle name="_Model_RAB_MRSK_svod_46EP.2011(v2.0)" xfId="147"/>
    <cellStyle name="_Model_RAB_MRSK_svod_46EP.2012(v0.1)" xfId="148"/>
    <cellStyle name="_Model_RAB_MRSK_svod_46TE.2011(v1.0)" xfId="149"/>
    <cellStyle name="_Model_RAB_MRSK_svod_4DNS.UPDATE.EXAMPLE" xfId="150"/>
    <cellStyle name="_Model_RAB_MRSK_svod_ARMRAZR" xfId="151"/>
    <cellStyle name="_Model_RAB_MRSK_svod_BALANCE.WARM.2010.FACT(v1.0)" xfId="152"/>
    <cellStyle name="_Model_RAB_MRSK_svod_BALANCE.WARM.2010.PLAN" xfId="153"/>
    <cellStyle name="_Model_RAB_MRSK_svod_BALANCE.WARM.2011YEAR(v0.7)" xfId="154"/>
    <cellStyle name="_Model_RAB_MRSK_svod_BALANCE.WARM.2011YEAR.NEW.UPDATE.SCHEME" xfId="155"/>
    <cellStyle name="_Model_RAB_MRSK_svod_CALC.NORMATIV.KU(v0.2)" xfId="156"/>
    <cellStyle name="_Model_RAB_MRSK_svod_EE.2REK.P2011.4.78(v0.3)" xfId="157"/>
    <cellStyle name="_Model_RAB_MRSK_svod_FORM3.1.2013(v0.2)" xfId="158"/>
    <cellStyle name="_Model_RAB_MRSK_svod_FORM3.2013(v1.0)" xfId="159"/>
    <cellStyle name="_Model_RAB_MRSK_svod_FORM3.REG(v1.0)" xfId="160"/>
    <cellStyle name="_Model_RAB_MRSK_svod_FORM910.2012(v1.1)" xfId="161"/>
    <cellStyle name="_Model_RAB_MRSK_svod_INDEX.STATION.2012(v2.1)" xfId="162"/>
    <cellStyle name="_Model_RAB_MRSK_svod_INDEX.STATION.2013(v1.0)_патч до 1.1" xfId="163"/>
    <cellStyle name="_Model_RAB_MRSK_svod_INVEST.EE.PLAN.4.78(v0.1)" xfId="164"/>
    <cellStyle name="_Model_RAB_MRSK_svod_INVEST.EE.PLAN.4.78(v0.3)" xfId="165"/>
    <cellStyle name="_Model_RAB_MRSK_svod_INVEST.EE.PLAN.4.78(v1.0)" xfId="166"/>
    <cellStyle name="_Model_RAB_MRSK_svod_INVEST.EE.PLAN.4.78(v1.0)_PASSPORT.TEPLO.PROIZV(v2.0)" xfId="167"/>
    <cellStyle name="_Model_RAB_MRSK_svod_INVEST.EE.PLAN.4.78(v1.0)_PASSPORT.TEPLO.PROIZV(v2.0)_INDEX.STATION.2013(v1.0)_патч до 1.1" xfId="168"/>
    <cellStyle name="_Model_RAB_MRSK_svod_INVEST.EE.PLAN.4.78(v1.0)_PASSPORT.TEPLO.PROIZV(v2.0)_TEPLO.PREDEL.2013(v2.0)" xfId="169"/>
    <cellStyle name="_Model_RAB_MRSK_svod_INVEST.PLAN.4.78(v0.1)" xfId="170"/>
    <cellStyle name="_Model_RAB_MRSK_svod_INVEST.WARM.PLAN.4.78(v0.1)" xfId="171"/>
    <cellStyle name="_Model_RAB_MRSK_svod_INVEST_WARM_PLAN" xfId="172"/>
    <cellStyle name="_Model_RAB_MRSK_svod_NADB.JNVLP.APTEKA.2012(v1.0)_21_02_12" xfId="173"/>
    <cellStyle name="_Model_RAB_MRSK_svod_NADB.JNVLS.APTEKA.2011(v1.3.3)" xfId="174"/>
    <cellStyle name="_Model_RAB_MRSK_svod_NADB.JNVLS.APTEKA.2011(v1.3.3)_46TE.2011(v1.0)" xfId="175"/>
    <cellStyle name="_Model_RAB_MRSK_svod_NADB.JNVLS.APTEKA.2011(v1.3.3)_INDEX.STATION.2012(v1.0)_" xfId="176"/>
    <cellStyle name="_Model_RAB_MRSK_svod_NADB.JNVLS.APTEKA.2011(v1.3.3)_INDEX.STATION.2012(v2.0)" xfId="177"/>
    <cellStyle name="_Model_RAB_MRSK_svod_NADB.JNVLS.APTEKA.2011(v1.3.3)_INDEX.STATION.2012(v2.1)" xfId="178"/>
    <cellStyle name="_Model_RAB_MRSK_svod_NADB.JNVLS.APTEKA.2011(v1.3.3)_TEPLO.PREDEL.2012.M(v1.1)_test" xfId="179"/>
    <cellStyle name="_Model_RAB_MRSK_svod_NADB.JNVLS.APTEKA.2011(v1.3.4)" xfId="180"/>
    <cellStyle name="_Model_RAB_MRSK_svod_NADB.JNVLS.APTEKA.2011(v1.3.4)_46TE.2011(v1.0)" xfId="181"/>
    <cellStyle name="_Model_RAB_MRSK_svod_NADB.JNVLS.APTEKA.2011(v1.3.4)_INDEX.STATION.2012(v1.0)_" xfId="182"/>
    <cellStyle name="_Model_RAB_MRSK_svod_NADB.JNVLS.APTEKA.2011(v1.3.4)_INDEX.STATION.2012(v2.0)" xfId="183"/>
    <cellStyle name="_Model_RAB_MRSK_svod_NADB.JNVLS.APTEKA.2011(v1.3.4)_INDEX.STATION.2012(v2.1)" xfId="184"/>
    <cellStyle name="_Model_RAB_MRSK_svod_NADB.JNVLS.APTEKA.2011(v1.3.4)_TEPLO.PREDEL.2012.M(v1.1)_test" xfId="185"/>
    <cellStyle name="_Model_RAB_MRSK_svod_PASSPORT.TEPLO.PROIZV(v2.1)" xfId="186"/>
    <cellStyle name="_Model_RAB_MRSK_svod_PASSPORT.TEPLO.SETI(v0.7)" xfId="187"/>
    <cellStyle name="_Model_RAB_MRSK_svod_PASSPORT.TEPLO.SETI(v1.0)" xfId="188"/>
    <cellStyle name="_Model_RAB_MRSK_svod_PR.PROG.WARM.NOTCOMBI.2012.2.16_v1.4(04.04.11) " xfId="189"/>
    <cellStyle name="_Model_RAB_MRSK_svod_PREDEL.JKH.UTV.2011(v1.0.1)" xfId="190"/>
    <cellStyle name="_Model_RAB_MRSK_svod_PREDEL.JKH.UTV.2011(v1.0.1)_46TE.2011(v1.0)" xfId="191"/>
    <cellStyle name="_Model_RAB_MRSK_svod_PREDEL.JKH.UTV.2011(v1.0.1)_INDEX.STATION.2012(v1.0)_" xfId="192"/>
    <cellStyle name="_Model_RAB_MRSK_svod_PREDEL.JKH.UTV.2011(v1.0.1)_INDEX.STATION.2012(v2.0)" xfId="193"/>
    <cellStyle name="_Model_RAB_MRSK_svod_PREDEL.JKH.UTV.2011(v1.0.1)_INDEX.STATION.2012(v2.1)" xfId="194"/>
    <cellStyle name="_Model_RAB_MRSK_svod_PREDEL.JKH.UTV.2011(v1.0.1)_TEPLO.PREDEL.2012.M(v1.1)_test" xfId="195"/>
    <cellStyle name="_Model_RAB_MRSK_svod_PREDEL.JKH.UTV.2011(v1.1)" xfId="196"/>
    <cellStyle name="_Model_RAB_MRSK_svod_REP.BLR.2012(v1.0)" xfId="197"/>
    <cellStyle name="_Model_RAB_MRSK_svod_TEPLO.PREDEL.2012.M(v1.1)" xfId="198"/>
    <cellStyle name="_Model_RAB_MRSK_svod_TEPLO.PREDEL.2013(v2.0)" xfId="199"/>
    <cellStyle name="_Model_RAB_MRSK_svod_TEST.TEMPLATE" xfId="200"/>
    <cellStyle name="_Model_RAB_MRSK_svod_UPDATE.46EE.2011.TO.1.1" xfId="201"/>
    <cellStyle name="_Model_RAB_MRSK_svod_UPDATE.46TE.2011.TO.1.1" xfId="202"/>
    <cellStyle name="_Model_RAB_MRSK_svod_UPDATE.46TE.2011.TO.1.2" xfId="203"/>
    <cellStyle name="_Model_RAB_MRSK_svod_UPDATE.BALANCE.WARM.2011YEAR.TO.1.1" xfId="204"/>
    <cellStyle name="_Model_RAB_MRSK_svod_UPDATE.BALANCE.WARM.2011YEAR.TO.1.1_46TE.2011(v1.0)" xfId="205"/>
    <cellStyle name="_Model_RAB_MRSK_svod_UPDATE.BALANCE.WARM.2011YEAR.TO.1.1_INDEX.STATION.2012(v1.0)_" xfId="206"/>
    <cellStyle name="_Model_RAB_MRSK_svod_UPDATE.BALANCE.WARM.2011YEAR.TO.1.1_INDEX.STATION.2012(v2.0)" xfId="207"/>
    <cellStyle name="_Model_RAB_MRSK_svod_UPDATE.BALANCE.WARM.2011YEAR.TO.1.1_INDEX.STATION.2012(v2.1)" xfId="208"/>
    <cellStyle name="_Model_RAB_MRSK_svod_UPDATE.BALANCE.WARM.2011YEAR.TO.1.1_OREP.KU.2011.MONTHLY.02(v1.1)" xfId="209"/>
    <cellStyle name="_Model_RAB_MRSK_svod_UPDATE.BALANCE.WARM.2011YEAR.TO.1.1_TEPLO.PREDEL.2012.M(v1.1)_test" xfId="210"/>
    <cellStyle name="_Model_RAB_MRSK_svod_UPDATE.NADB.JNVLS.APTEKA.2011.TO.1.3.4" xfId="211"/>
    <cellStyle name="_Model_RAB_MRSK_svod_Книга2_PR.PROG.WARM.NOTCOMBI.2012.2.16_v1.4(04.04.11) " xfId="212"/>
    <cellStyle name="_Model_RAB_MRSK_svod_Тариф 2013 Архангельск для агентства" xfId="213"/>
    <cellStyle name="_Model_RAB_MRSK_svod_Тариф 2014 уч. Шипицыно газ" xfId="214"/>
    <cellStyle name="_New_Sofi" xfId="215"/>
    <cellStyle name="_New_Sofi_FFF" xfId="216"/>
    <cellStyle name="_New_Sofi_New Form10_2" xfId="217"/>
    <cellStyle name="_New_Sofi_Nsi" xfId="218"/>
    <cellStyle name="_New_Sofi_Nsi_1" xfId="219"/>
    <cellStyle name="_New_Sofi_Nsi_139" xfId="220"/>
    <cellStyle name="_New_Sofi_Nsi_140" xfId="221"/>
    <cellStyle name="_New_Sofi_Nsi_140(Зах)" xfId="222"/>
    <cellStyle name="_New_Sofi_Nsi_140_mod" xfId="223"/>
    <cellStyle name="_New_Sofi_Summary" xfId="224"/>
    <cellStyle name="_New_Sofi_Tax_form_1кв_3" xfId="225"/>
    <cellStyle name="_New_Sofi_БКЭ" xfId="226"/>
    <cellStyle name="_Nsi" xfId="227"/>
    <cellStyle name="_Plug" xfId="228"/>
    <cellStyle name="_Plug_4DNS.UPDATE.EXAMPLE" xfId="229"/>
    <cellStyle name="_Plug_4DNS.UPDATE.EXAMPLE_INDEX.STATION.2013(v1.0)_патч до 1.1" xfId="230"/>
    <cellStyle name="_Plug_4DNS.UPDATE.EXAMPLE_TEPLO.PREDEL.2013(v2.1)_FST" xfId="231"/>
    <cellStyle name="_Plug_4DNS.UPDATE.EXAMPLE_TEPLO.PREDEL.2013.FST_update1" xfId="232"/>
    <cellStyle name="_SeriesAttributes" xfId="233"/>
    <cellStyle name="_TSET.NET.2010.варианты расчета_min_max_ГК_03.09.09 RAB" xfId="234"/>
    <cellStyle name="_TSET.NET.2010.варианты расчета_min_max_ГК_03.09.09 RAB_Расче тарифа на тэ 2014 Мезенский АрхоблЭнерго" xfId="235"/>
    <cellStyle name="_TSET.NET.2010.варианты расчета_min_max_ГК_03.09.09 RAB_тарифы по ТЭ на 2014 год Соловки исправ." xfId="236"/>
    <cellStyle name="_v-2013-2030- 2b17.01.11Нах-cpiнов. курс inn 1-2-Е1xls" xfId="237"/>
    <cellStyle name="_Аморт,налоги,охрана,молоко" xfId="238"/>
    <cellStyle name="_БДР (ЦФО) 05-11-08" xfId="239"/>
    <cellStyle name="_БДР 2008 факт 1 кв. + проект на год 10.04.08" xfId="240"/>
    <cellStyle name="_БДР 2009" xfId="241"/>
    <cellStyle name="_БДР 3 квартал" xfId="242"/>
    <cellStyle name="_Бухгалтерия (налоги, амортизация, прочие)" xfId="243"/>
    <cellStyle name="_Бюджет2006_ПОКАЗАТЕЛИ СВОДНЫЕ" xfId="244"/>
    <cellStyle name="_Вводы 2008-2012 Колэнерго" xfId="245"/>
    <cellStyle name="_Вводы 2008-2012 Колэнерго_Расче тарифа на тэ 2014 Мезенский АрхоблЭнерго" xfId="246"/>
    <cellStyle name="_Вводы 2008-2012 Колэнерго_тарифы по ТЭ на 2014 год Соловки исправ." xfId="247"/>
    <cellStyle name="_ВО ОП ТЭС-ОТ- 2007" xfId="248"/>
    <cellStyle name="_ВО ОП ТЭС-ОТ- 2007_Новая инструкция1_фст" xfId="249"/>
    <cellStyle name="_ВФ ОАО ТЭС-ОТ- 2009" xfId="250"/>
    <cellStyle name="_ВФ ОАО ТЭС-ОТ- 2009_Новая инструкция1_фст" xfId="251"/>
    <cellStyle name="_выручка по присоединениям2" xfId="252"/>
    <cellStyle name="_выручка по присоединениям2_Новая инструкция1_фст" xfId="253"/>
    <cellStyle name="_выручка по присоединениям2_Расче тарифа на тэ 2014 Мезенский АрхоблЭнерго" xfId="254"/>
    <cellStyle name="_выручка по присоединениям2_Тариф тепло Мезень для АТЦ" xfId="255"/>
    <cellStyle name="_выручка по присоединениям2_тарифы по ТЭ на 2014 год Соловки исправ." xfId="256"/>
    <cellStyle name="_ГКПЗ 2009" xfId="257"/>
    <cellStyle name="_Договор аренды ЯЭ с разбивкой" xfId="258"/>
    <cellStyle name="_Договор аренды ЯЭ с разбивкой_Новая инструкция1_фст" xfId="259"/>
    <cellStyle name="_Защита ФЗП" xfId="260"/>
    <cellStyle name="_инвест" xfId="261"/>
    <cellStyle name="_инвест_Расче тарифа на тэ 2014 Мезенский АрхоблЭнерго" xfId="262"/>
    <cellStyle name="_инвест_тарифы по ТЭ на 2014 год Соловки исправ." xfId="263"/>
    <cellStyle name="_ИП 17032006" xfId="264"/>
    <cellStyle name="_ИП 17032006_Расче тарифа на тэ 2014 Мезенский АрхоблЭнерго" xfId="265"/>
    <cellStyle name="_ИП 17032006_тарифы по ТЭ на 2014 год Соловки исправ." xfId="266"/>
    <cellStyle name="_ИП СО 2006-2010 отпр 22 01 07" xfId="267"/>
    <cellStyle name="_ИП СО 2006-2010 отпр 22 01 07_Расче тарифа на тэ 2014 Мезенский АрхоблЭнерго" xfId="268"/>
    <cellStyle name="_ИП СО 2006-2010 отпр 22 01 07_тарифы по ТЭ на 2014 год Соловки исправ." xfId="269"/>
    <cellStyle name="_Исходные данные для модели" xfId="270"/>
    <cellStyle name="_Исходные данные для модели_Новая инструкция1_фст" xfId="271"/>
    <cellStyle name="_Исходные данные для модели_Расче тарифа на тэ 2014 Мезенский АрхоблЭнерго" xfId="272"/>
    <cellStyle name="_Исходные данные для модели_Тариф тепло Мезень для АТЦ" xfId="273"/>
    <cellStyle name="_Исходные данные для модели_тарифы по ТЭ на 2014 год Соловки исправ." xfId="274"/>
    <cellStyle name="_Книга1" xfId="275"/>
    <cellStyle name="_Книга3" xfId="276"/>
    <cellStyle name="_Книга3_New Form10_2" xfId="277"/>
    <cellStyle name="_Книга3_Nsi" xfId="278"/>
    <cellStyle name="_Книга3_Nsi_1" xfId="279"/>
    <cellStyle name="_Книга3_Nsi_139" xfId="280"/>
    <cellStyle name="_Книга3_Nsi_140" xfId="281"/>
    <cellStyle name="_Книга3_Nsi_140(Зах)" xfId="282"/>
    <cellStyle name="_Книга3_Nsi_140_mod" xfId="283"/>
    <cellStyle name="_Книга3_Summary" xfId="284"/>
    <cellStyle name="_Книга3_Tax_form_1кв_3" xfId="285"/>
    <cellStyle name="_Книга3_БКЭ" xfId="286"/>
    <cellStyle name="_Книга7" xfId="287"/>
    <cellStyle name="_Книга7_New Form10_2" xfId="288"/>
    <cellStyle name="_Книга7_Nsi" xfId="289"/>
    <cellStyle name="_Книга7_Nsi_1" xfId="290"/>
    <cellStyle name="_Книга7_Nsi_139" xfId="291"/>
    <cellStyle name="_Книга7_Nsi_140" xfId="292"/>
    <cellStyle name="_Книга7_Nsi_140(Зах)" xfId="293"/>
    <cellStyle name="_Книга7_Nsi_140_mod" xfId="294"/>
    <cellStyle name="_Книга7_Summary" xfId="295"/>
    <cellStyle name="_Книга7_Tax_form_1кв_3" xfId="296"/>
    <cellStyle name="_Книга7_БКЭ" xfId="297"/>
    <cellStyle name="_Консолидация-2008-проект-new" xfId="298"/>
    <cellStyle name="_Копия Затраты под АЭР ремонт+содерж на март" xfId="299"/>
    <cellStyle name="_Копия Прил 2(Показатели ИП)" xfId="300"/>
    <cellStyle name="_Копия Прил 2(Показатели ИП)_Расче тарифа на тэ 2014 Мезенский АрхоблЭнерго" xfId="301"/>
    <cellStyle name="_Копия Прил 2(Показатели ИП)_тарифы по ТЭ на 2014 год Соловки исправ." xfId="302"/>
    <cellStyle name="_мин_макс_24.09.2009_ГК" xfId="303"/>
    <cellStyle name="_мин_макс_24.09.2009_ГК_Расче тарифа на тэ 2014 Мезенский АрхоблЭнерго" xfId="304"/>
    <cellStyle name="_мин_макс_24.09.2009_ГК_тарифы по ТЭ на 2014 год Соловки исправ." xfId="305"/>
    <cellStyle name="_Модель - 2(23)" xfId="306"/>
    <cellStyle name="_МОДЕЛЬ_1 (2)" xfId="307"/>
    <cellStyle name="_МОДЕЛЬ_1 (2) 2" xfId="308"/>
    <cellStyle name="_МОДЕЛЬ_1 (2) 2_OREP.KU.2011.MONTHLY.02(v0.1)" xfId="309"/>
    <cellStyle name="_МОДЕЛЬ_1 (2) 2_OREP.KU.2011.MONTHLY.02(v0.4)" xfId="310"/>
    <cellStyle name="_МОДЕЛЬ_1 (2) 2_OREP.KU.2011.MONTHLY.11(v1.4)" xfId="311"/>
    <cellStyle name="_МОДЕЛЬ_1 (2) 2_UPDATE.OREP.KU.2011.MONTHLY.02.TO.1.2" xfId="312"/>
    <cellStyle name="_МОДЕЛЬ_1 (2) Псков max затраты ПЭ сценарные Холдинга ( конечн.19,8)" xfId="313"/>
    <cellStyle name="_МОДЕЛЬ_1 (2)_46EE.2011(v1.0)" xfId="314"/>
    <cellStyle name="_МОДЕЛЬ_1 (2)_46EE.2011(v1.0)_46TE.2011(v1.0)" xfId="315"/>
    <cellStyle name="_МОДЕЛЬ_1 (2)_46EE.2011(v1.0)_INDEX.STATION.2012(v1.0)_" xfId="316"/>
    <cellStyle name="_МОДЕЛЬ_1 (2)_46EE.2011(v1.0)_INDEX.STATION.2012(v2.0)" xfId="317"/>
    <cellStyle name="_МОДЕЛЬ_1 (2)_46EE.2011(v1.0)_INDEX.STATION.2012(v2.1)" xfId="318"/>
    <cellStyle name="_МОДЕЛЬ_1 (2)_46EE.2011(v1.0)_TEPLO.PREDEL.2012.M(v1.1)_test" xfId="319"/>
    <cellStyle name="_МОДЕЛЬ_1 (2)_46EE.2011(v1.2)" xfId="320"/>
    <cellStyle name="_МОДЕЛЬ_1 (2)_46EP.2011(v2.0)" xfId="321"/>
    <cellStyle name="_МОДЕЛЬ_1 (2)_46EP.2012(v0.1)" xfId="322"/>
    <cellStyle name="_МОДЕЛЬ_1 (2)_46TE.2011(v1.0)" xfId="323"/>
    <cellStyle name="_МОДЕЛЬ_1 (2)_4DNS.UPDATE.EXAMPLE" xfId="324"/>
    <cellStyle name="_МОДЕЛЬ_1 (2)_ARMRAZR" xfId="325"/>
    <cellStyle name="_МОДЕЛЬ_1 (2)_BALANCE.WARM.2010.FACT(v1.0)" xfId="326"/>
    <cellStyle name="_МОДЕЛЬ_1 (2)_BALANCE.WARM.2010.PLAN" xfId="327"/>
    <cellStyle name="_МОДЕЛЬ_1 (2)_BALANCE.WARM.2011YEAR(v0.7)" xfId="328"/>
    <cellStyle name="_МОДЕЛЬ_1 (2)_BALANCE.WARM.2011YEAR.NEW.UPDATE.SCHEME" xfId="329"/>
    <cellStyle name="_МОДЕЛЬ_1 (2)_CALC.NORMATIV.KU(v0.2)" xfId="330"/>
    <cellStyle name="_МОДЕЛЬ_1 (2)_EE.2REK.P2011.4.78(v0.3)" xfId="331"/>
    <cellStyle name="_МОДЕЛЬ_1 (2)_FORM3.1.2013(v0.2)" xfId="332"/>
    <cellStyle name="_МОДЕЛЬ_1 (2)_FORM3.2013(v1.0)" xfId="333"/>
    <cellStyle name="_МОДЕЛЬ_1 (2)_FORM3.REG(v1.0)" xfId="334"/>
    <cellStyle name="_МОДЕЛЬ_1 (2)_FORM910.2012(v1.1)" xfId="335"/>
    <cellStyle name="_МОДЕЛЬ_1 (2)_INDEX.STATION.2012(v2.1)" xfId="336"/>
    <cellStyle name="_МОДЕЛЬ_1 (2)_INDEX.STATION.2013(v1.0)_патч до 1.1" xfId="337"/>
    <cellStyle name="_МОДЕЛЬ_1 (2)_INVEST.EE.PLAN.4.78(v0.1)" xfId="338"/>
    <cellStyle name="_МОДЕЛЬ_1 (2)_INVEST.EE.PLAN.4.78(v0.3)" xfId="339"/>
    <cellStyle name="_МОДЕЛЬ_1 (2)_INVEST.EE.PLAN.4.78(v1.0)" xfId="340"/>
    <cellStyle name="_МОДЕЛЬ_1 (2)_INVEST.EE.PLAN.4.78(v1.0)_PASSPORT.TEPLO.PROIZV(v2.0)" xfId="341"/>
    <cellStyle name="_МОДЕЛЬ_1 (2)_INVEST.EE.PLAN.4.78(v1.0)_PASSPORT.TEPLO.PROIZV(v2.0)_INDEX.STATION.2013(v1.0)_патч до 1.1" xfId="342"/>
    <cellStyle name="_МОДЕЛЬ_1 (2)_INVEST.EE.PLAN.4.78(v1.0)_PASSPORT.TEPLO.PROIZV(v2.0)_TEPLO.PREDEL.2013(v2.0)" xfId="343"/>
    <cellStyle name="_МОДЕЛЬ_1 (2)_INVEST.PLAN.4.78(v0.1)" xfId="344"/>
    <cellStyle name="_МОДЕЛЬ_1 (2)_INVEST.WARM.PLAN.4.78(v0.1)" xfId="345"/>
    <cellStyle name="_МОДЕЛЬ_1 (2)_INVEST_WARM_PLAN" xfId="346"/>
    <cellStyle name="_МОДЕЛЬ_1 (2)_NADB.JNVLP.APTEKA.2012(v1.0)_21_02_12" xfId="347"/>
    <cellStyle name="_МОДЕЛЬ_1 (2)_NADB.JNVLS.APTEKA.2011(v1.3.3)" xfId="348"/>
    <cellStyle name="_МОДЕЛЬ_1 (2)_NADB.JNVLS.APTEKA.2011(v1.3.3)_46TE.2011(v1.0)" xfId="349"/>
    <cellStyle name="_МОДЕЛЬ_1 (2)_NADB.JNVLS.APTEKA.2011(v1.3.3)_INDEX.STATION.2012(v1.0)_" xfId="350"/>
    <cellStyle name="_МОДЕЛЬ_1 (2)_NADB.JNVLS.APTEKA.2011(v1.3.3)_INDEX.STATION.2012(v2.0)" xfId="351"/>
    <cellStyle name="_МОДЕЛЬ_1 (2)_NADB.JNVLS.APTEKA.2011(v1.3.3)_INDEX.STATION.2012(v2.1)" xfId="352"/>
    <cellStyle name="_МОДЕЛЬ_1 (2)_NADB.JNVLS.APTEKA.2011(v1.3.3)_TEPLO.PREDEL.2012.M(v1.1)_test" xfId="353"/>
    <cellStyle name="_МОДЕЛЬ_1 (2)_NADB.JNVLS.APTEKA.2011(v1.3.4)" xfId="354"/>
    <cellStyle name="_МОДЕЛЬ_1 (2)_NADB.JNVLS.APTEKA.2011(v1.3.4)_46TE.2011(v1.0)" xfId="355"/>
    <cellStyle name="_МОДЕЛЬ_1 (2)_NADB.JNVLS.APTEKA.2011(v1.3.4)_INDEX.STATION.2012(v1.0)_" xfId="356"/>
    <cellStyle name="_МОДЕЛЬ_1 (2)_NADB.JNVLS.APTEKA.2011(v1.3.4)_INDEX.STATION.2012(v2.0)" xfId="357"/>
    <cellStyle name="_МОДЕЛЬ_1 (2)_NADB.JNVLS.APTEKA.2011(v1.3.4)_INDEX.STATION.2012(v2.1)" xfId="358"/>
    <cellStyle name="_МОДЕЛЬ_1 (2)_NADB.JNVLS.APTEKA.2011(v1.3.4)_TEPLO.PREDEL.2012.M(v1.1)_test" xfId="359"/>
    <cellStyle name="_МОДЕЛЬ_1 (2)_PASSPORT.TEPLO.PROIZV(v2.1)" xfId="360"/>
    <cellStyle name="_МОДЕЛЬ_1 (2)_PASSPORT.TEPLO.SETI(v0.7)" xfId="361"/>
    <cellStyle name="_МОДЕЛЬ_1 (2)_PASSPORT.TEPLO.SETI(v1.0)" xfId="362"/>
    <cellStyle name="_МОДЕЛЬ_1 (2)_PR.PROG.WARM.NOTCOMBI.2012.2.16_v1.4(04.04.11) " xfId="363"/>
    <cellStyle name="_МОДЕЛЬ_1 (2)_PREDEL.JKH.UTV.2011(v1.0.1)" xfId="364"/>
    <cellStyle name="_МОДЕЛЬ_1 (2)_PREDEL.JKH.UTV.2011(v1.0.1)_46TE.2011(v1.0)" xfId="365"/>
    <cellStyle name="_МОДЕЛЬ_1 (2)_PREDEL.JKH.UTV.2011(v1.0.1)_INDEX.STATION.2012(v1.0)_" xfId="366"/>
    <cellStyle name="_МОДЕЛЬ_1 (2)_PREDEL.JKH.UTV.2011(v1.0.1)_INDEX.STATION.2012(v2.0)" xfId="367"/>
    <cellStyle name="_МОДЕЛЬ_1 (2)_PREDEL.JKH.UTV.2011(v1.0.1)_INDEX.STATION.2012(v2.1)" xfId="368"/>
    <cellStyle name="_МОДЕЛЬ_1 (2)_PREDEL.JKH.UTV.2011(v1.0.1)_TEPLO.PREDEL.2012.M(v1.1)_test" xfId="369"/>
    <cellStyle name="_МОДЕЛЬ_1 (2)_PREDEL.JKH.UTV.2011(v1.1)" xfId="370"/>
    <cellStyle name="_МОДЕЛЬ_1 (2)_REP.BLR.2012(v1.0)" xfId="371"/>
    <cellStyle name="_МОДЕЛЬ_1 (2)_TEPLO.PREDEL.2012.M(v1.1)" xfId="372"/>
    <cellStyle name="_МОДЕЛЬ_1 (2)_TEPLO.PREDEL.2013(v2.0)" xfId="373"/>
    <cellStyle name="_МОДЕЛЬ_1 (2)_TEST.TEMPLATE" xfId="374"/>
    <cellStyle name="_МОДЕЛЬ_1 (2)_UPDATE.46EE.2011.TO.1.1" xfId="375"/>
    <cellStyle name="_МОДЕЛЬ_1 (2)_UPDATE.46TE.2011.TO.1.1" xfId="376"/>
    <cellStyle name="_МОДЕЛЬ_1 (2)_UPDATE.46TE.2011.TO.1.2" xfId="377"/>
    <cellStyle name="_МОДЕЛЬ_1 (2)_UPDATE.BALANCE.WARM.2011YEAR.TO.1.1" xfId="378"/>
    <cellStyle name="_МОДЕЛЬ_1 (2)_UPDATE.BALANCE.WARM.2011YEAR.TO.1.1_46TE.2011(v1.0)" xfId="379"/>
    <cellStyle name="_МОДЕЛЬ_1 (2)_UPDATE.BALANCE.WARM.2011YEAR.TO.1.1_INDEX.STATION.2012(v1.0)_" xfId="380"/>
    <cellStyle name="_МОДЕЛЬ_1 (2)_UPDATE.BALANCE.WARM.2011YEAR.TO.1.1_INDEX.STATION.2012(v2.0)" xfId="381"/>
    <cellStyle name="_МОДЕЛЬ_1 (2)_UPDATE.BALANCE.WARM.2011YEAR.TO.1.1_INDEX.STATION.2012(v2.1)" xfId="382"/>
    <cellStyle name="_МОДЕЛЬ_1 (2)_UPDATE.BALANCE.WARM.2011YEAR.TO.1.1_OREP.KU.2011.MONTHLY.02(v1.1)" xfId="383"/>
    <cellStyle name="_МОДЕЛЬ_1 (2)_UPDATE.BALANCE.WARM.2011YEAR.TO.1.1_TEPLO.PREDEL.2012.M(v1.1)_test" xfId="384"/>
    <cellStyle name="_МОДЕЛЬ_1 (2)_UPDATE.NADB.JNVLS.APTEKA.2011.TO.1.3.4" xfId="385"/>
    <cellStyle name="_МОДЕЛЬ_1 (2)_Книга2_PR.PROG.WARM.NOTCOMBI.2012.2.16_v1.4(04.04.11) " xfId="386"/>
    <cellStyle name="_МОДЕЛЬ_1 (2)_Тариф 2013 Архангельск для агентства" xfId="387"/>
    <cellStyle name="_МОДЕЛЬ_1 (2)_Тариф 2014 уч. Шипицыно газ" xfId="388"/>
    <cellStyle name="_НВВ 2009 постатейно свод по филиалам_09_02_09" xfId="389"/>
    <cellStyle name="_НВВ 2009 постатейно свод по филиалам_09_02_09_Новая инструкция1_фст" xfId="390"/>
    <cellStyle name="_НВВ 2009 постатейно свод по филиалам_09_02_09_Расче тарифа на тэ 2014 Мезенский АрхоблЭнерго" xfId="391"/>
    <cellStyle name="_НВВ 2009 постатейно свод по филиалам_09_02_09_Тариф тепло Мезень для АТЦ" xfId="392"/>
    <cellStyle name="_НВВ 2009 постатейно свод по филиалам_09_02_09_тарифы по ТЭ на 2014 год Соловки исправ." xfId="393"/>
    <cellStyle name="_НВВ 2009 постатейно свод по филиалам_для Валентина" xfId="394"/>
    <cellStyle name="_НВВ 2009 постатейно свод по филиалам_для Валентина_Новая инструкция1_фст" xfId="395"/>
    <cellStyle name="_НВВ 2009 постатейно свод по филиалам_для Валентина_Расче тарифа на тэ 2014 Мезенский АрхоблЭнерго" xfId="396"/>
    <cellStyle name="_НВВ 2009 постатейно свод по филиалам_для Валентина_Тариф тепло Мезень для АТЦ" xfId="397"/>
    <cellStyle name="_НВВ 2009 постатейно свод по филиалам_для Валентина_тарифы по ТЭ на 2014 год Соловки исправ." xfId="398"/>
    <cellStyle name="_Омск" xfId="399"/>
    <cellStyle name="_Омск_Новая инструкция1_фст" xfId="400"/>
    <cellStyle name="_Омск_Расче тарифа на тэ 2014 Мезенский АрхоблЭнерго" xfId="401"/>
    <cellStyle name="_Омск_Тариф тепло Мезень для АТЦ" xfId="402"/>
    <cellStyle name="_Омск_тарифы по ТЭ на 2014 год Соловки исправ." xfId="403"/>
    <cellStyle name="_ОТ ИД 2009" xfId="404"/>
    <cellStyle name="_ОТ ИД 2009_Новая инструкция1_фст" xfId="405"/>
    <cellStyle name="_ПЛАН 2006  АРМ " xfId="406"/>
    <cellStyle name="_ПЛАН 2008 АРМ " xfId="407"/>
    <cellStyle name="_ПЛАН 2011 под 130 млн итог на подпись" xfId="408"/>
    <cellStyle name="_ПЛАН 2011 тарифы 250 млн блочный" xfId="409"/>
    <cellStyle name="_План по ремонту ХЦ 2007" xfId="410"/>
    <cellStyle name="_пр 5 тариф RAB" xfId="411"/>
    <cellStyle name="_пр 5 тариф RAB 2" xfId="412"/>
    <cellStyle name="_пр 5 тариф RAB 2_OREP.KU.2011.MONTHLY.02(v0.1)" xfId="413"/>
    <cellStyle name="_пр 5 тариф RAB 2_OREP.KU.2011.MONTHLY.02(v0.4)" xfId="414"/>
    <cellStyle name="_пр 5 тариф RAB 2_OREP.KU.2011.MONTHLY.11(v1.4)" xfId="415"/>
    <cellStyle name="_пр 5 тариф RAB 2_UPDATE.OREP.KU.2011.MONTHLY.02.TO.1.2" xfId="416"/>
    <cellStyle name="_пр 5 тариф RAB_46EE.2011(v1.0)" xfId="417"/>
    <cellStyle name="_пр 5 тариф RAB_46EE.2011(v1.0)_46TE.2011(v1.0)" xfId="418"/>
    <cellStyle name="_пр 5 тариф RAB_46EE.2011(v1.0)_INDEX.STATION.2012(v1.0)_" xfId="419"/>
    <cellStyle name="_пр 5 тариф RAB_46EE.2011(v1.0)_INDEX.STATION.2012(v2.0)" xfId="420"/>
    <cellStyle name="_пр 5 тариф RAB_46EE.2011(v1.0)_INDEX.STATION.2012(v2.1)" xfId="421"/>
    <cellStyle name="_пр 5 тариф RAB_46EE.2011(v1.0)_TEPLO.PREDEL.2012.M(v1.1)_test" xfId="422"/>
    <cellStyle name="_пр 5 тариф RAB_46EE.2011(v1.2)" xfId="423"/>
    <cellStyle name="_пр 5 тариф RAB_46EP.2011(v2.0)" xfId="424"/>
    <cellStyle name="_пр 5 тариф RAB_46EP.2012(v0.1)" xfId="425"/>
    <cellStyle name="_пр 5 тариф RAB_46TE.2011(v1.0)" xfId="426"/>
    <cellStyle name="_пр 5 тариф RAB_4DNS.UPDATE.EXAMPLE" xfId="427"/>
    <cellStyle name="_пр 5 тариф RAB_ARMRAZR" xfId="428"/>
    <cellStyle name="_пр 5 тариф RAB_BALANCE.WARM.2010.FACT(v1.0)" xfId="429"/>
    <cellStyle name="_пр 5 тариф RAB_BALANCE.WARM.2010.PLAN" xfId="430"/>
    <cellStyle name="_пр 5 тариф RAB_BALANCE.WARM.2011YEAR(v0.7)" xfId="431"/>
    <cellStyle name="_пр 5 тариф RAB_BALANCE.WARM.2011YEAR.NEW.UPDATE.SCHEME" xfId="432"/>
    <cellStyle name="_пр 5 тариф RAB_CALC.NORMATIV.KU(v0.2)" xfId="433"/>
    <cellStyle name="_пр 5 тариф RAB_EE.2REK.P2011.4.78(v0.3)" xfId="434"/>
    <cellStyle name="_пр 5 тариф RAB_FORM3.1.2013(v0.2)" xfId="435"/>
    <cellStyle name="_пр 5 тариф RAB_FORM3.2013(v1.0)" xfId="436"/>
    <cellStyle name="_пр 5 тариф RAB_FORM3.REG(v1.0)" xfId="437"/>
    <cellStyle name="_пр 5 тариф RAB_FORM910.2012(v1.1)" xfId="438"/>
    <cellStyle name="_пр 5 тариф RAB_INDEX.STATION.2012(v2.1)" xfId="439"/>
    <cellStyle name="_пр 5 тариф RAB_INDEX.STATION.2013(v1.0)_патч до 1.1" xfId="440"/>
    <cellStyle name="_пр 5 тариф RAB_INVEST.EE.PLAN.4.78(v0.1)" xfId="441"/>
    <cellStyle name="_пр 5 тариф RAB_INVEST.EE.PLAN.4.78(v0.3)" xfId="442"/>
    <cellStyle name="_пр 5 тариф RAB_INVEST.EE.PLAN.4.78(v1.0)" xfId="443"/>
    <cellStyle name="_пр 5 тариф RAB_INVEST.EE.PLAN.4.78(v1.0)_PASSPORT.TEPLO.PROIZV(v2.0)" xfId="444"/>
    <cellStyle name="_пр 5 тариф RAB_INVEST.EE.PLAN.4.78(v1.0)_PASSPORT.TEPLO.PROIZV(v2.0)_INDEX.STATION.2013(v1.0)_патч до 1.1" xfId="445"/>
    <cellStyle name="_пр 5 тариф RAB_INVEST.EE.PLAN.4.78(v1.0)_PASSPORT.TEPLO.PROIZV(v2.0)_TEPLO.PREDEL.2013(v2.0)" xfId="446"/>
    <cellStyle name="_пр 5 тариф RAB_INVEST.PLAN.4.78(v0.1)" xfId="447"/>
    <cellStyle name="_пр 5 тариф RAB_INVEST.WARM.PLAN.4.78(v0.1)" xfId="448"/>
    <cellStyle name="_пр 5 тариф RAB_INVEST_WARM_PLAN" xfId="449"/>
    <cellStyle name="_пр 5 тариф RAB_NADB.JNVLP.APTEKA.2012(v1.0)_21_02_12" xfId="450"/>
    <cellStyle name="_пр 5 тариф RAB_NADB.JNVLS.APTEKA.2011(v1.3.3)" xfId="451"/>
    <cellStyle name="_пр 5 тариф RAB_NADB.JNVLS.APTEKA.2011(v1.3.3)_46TE.2011(v1.0)" xfId="452"/>
    <cellStyle name="_пр 5 тариф RAB_NADB.JNVLS.APTEKA.2011(v1.3.3)_INDEX.STATION.2012(v1.0)_" xfId="453"/>
    <cellStyle name="_пр 5 тариф RAB_NADB.JNVLS.APTEKA.2011(v1.3.3)_INDEX.STATION.2012(v2.0)" xfId="454"/>
    <cellStyle name="_пр 5 тариф RAB_NADB.JNVLS.APTEKA.2011(v1.3.3)_INDEX.STATION.2012(v2.1)" xfId="455"/>
    <cellStyle name="_пр 5 тариф RAB_NADB.JNVLS.APTEKA.2011(v1.3.3)_TEPLO.PREDEL.2012.M(v1.1)_test" xfId="456"/>
    <cellStyle name="_пр 5 тариф RAB_NADB.JNVLS.APTEKA.2011(v1.3.4)" xfId="457"/>
    <cellStyle name="_пр 5 тариф RAB_NADB.JNVLS.APTEKA.2011(v1.3.4)_46TE.2011(v1.0)" xfId="458"/>
    <cellStyle name="_пр 5 тариф RAB_NADB.JNVLS.APTEKA.2011(v1.3.4)_INDEX.STATION.2012(v1.0)_" xfId="459"/>
    <cellStyle name="_пр 5 тариф RAB_NADB.JNVLS.APTEKA.2011(v1.3.4)_INDEX.STATION.2012(v2.0)" xfId="460"/>
    <cellStyle name="_пр 5 тариф RAB_NADB.JNVLS.APTEKA.2011(v1.3.4)_INDEX.STATION.2012(v2.1)" xfId="461"/>
    <cellStyle name="_пр 5 тариф RAB_NADB.JNVLS.APTEKA.2011(v1.3.4)_TEPLO.PREDEL.2012.M(v1.1)_test" xfId="462"/>
    <cellStyle name="_пр 5 тариф RAB_PASSPORT.TEPLO.PROIZV(v2.1)" xfId="463"/>
    <cellStyle name="_пр 5 тариф RAB_PASSPORT.TEPLO.SETI(v0.7)" xfId="464"/>
    <cellStyle name="_пр 5 тариф RAB_PASSPORT.TEPLO.SETI(v1.0)" xfId="465"/>
    <cellStyle name="_пр 5 тариф RAB_PR.PROG.WARM.NOTCOMBI.2012.2.16_v1.4(04.04.11) " xfId="466"/>
    <cellStyle name="_пр 5 тариф RAB_PREDEL.JKH.UTV.2011(v1.0.1)" xfId="467"/>
    <cellStyle name="_пр 5 тариф RAB_PREDEL.JKH.UTV.2011(v1.0.1)_46TE.2011(v1.0)" xfId="468"/>
    <cellStyle name="_пр 5 тариф RAB_PREDEL.JKH.UTV.2011(v1.0.1)_INDEX.STATION.2012(v1.0)_" xfId="469"/>
    <cellStyle name="_пр 5 тариф RAB_PREDEL.JKH.UTV.2011(v1.0.1)_INDEX.STATION.2012(v2.0)" xfId="470"/>
    <cellStyle name="_пр 5 тариф RAB_PREDEL.JKH.UTV.2011(v1.0.1)_INDEX.STATION.2012(v2.1)" xfId="471"/>
    <cellStyle name="_пр 5 тариф RAB_PREDEL.JKH.UTV.2011(v1.0.1)_TEPLO.PREDEL.2012.M(v1.1)_test" xfId="472"/>
    <cellStyle name="_пр 5 тариф RAB_PREDEL.JKH.UTV.2011(v1.1)" xfId="473"/>
    <cellStyle name="_пр 5 тариф RAB_REP.BLR.2012(v1.0)" xfId="474"/>
    <cellStyle name="_пр 5 тариф RAB_TEPLO.PREDEL.2012.M(v1.1)" xfId="475"/>
    <cellStyle name="_пр 5 тариф RAB_TEPLO.PREDEL.2013(v2.0)" xfId="476"/>
    <cellStyle name="_пр 5 тариф RAB_TEST.TEMPLATE" xfId="477"/>
    <cellStyle name="_пр 5 тариф RAB_UPDATE.46EE.2011.TO.1.1" xfId="478"/>
    <cellStyle name="_пр 5 тариф RAB_UPDATE.46TE.2011.TO.1.1" xfId="479"/>
    <cellStyle name="_пр 5 тариф RAB_UPDATE.46TE.2011.TO.1.2" xfId="480"/>
    <cellStyle name="_пр 5 тариф RAB_UPDATE.BALANCE.WARM.2011YEAR.TO.1.1" xfId="481"/>
    <cellStyle name="_пр 5 тариф RAB_UPDATE.BALANCE.WARM.2011YEAR.TO.1.1_46TE.2011(v1.0)" xfId="482"/>
    <cellStyle name="_пр 5 тариф RAB_UPDATE.BALANCE.WARM.2011YEAR.TO.1.1_INDEX.STATION.2012(v1.0)_" xfId="483"/>
    <cellStyle name="_пр 5 тариф RAB_UPDATE.BALANCE.WARM.2011YEAR.TO.1.1_INDEX.STATION.2012(v2.0)" xfId="484"/>
    <cellStyle name="_пр 5 тариф RAB_UPDATE.BALANCE.WARM.2011YEAR.TO.1.1_INDEX.STATION.2012(v2.1)" xfId="485"/>
    <cellStyle name="_пр 5 тариф RAB_UPDATE.BALANCE.WARM.2011YEAR.TO.1.1_OREP.KU.2011.MONTHLY.02(v1.1)" xfId="486"/>
    <cellStyle name="_пр 5 тариф RAB_UPDATE.BALANCE.WARM.2011YEAR.TO.1.1_TEPLO.PREDEL.2012.M(v1.1)_test" xfId="487"/>
    <cellStyle name="_пр 5 тариф RAB_UPDATE.NADB.JNVLS.APTEKA.2011.TO.1.3.4" xfId="488"/>
    <cellStyle name="_пр 5 тариф RAB_Книга2_PR.PROG.WARM.NOTCOMBI.2012.2.16_v1.4(04.04.11) " xfId="489"/>
    <cellStyle name="_пр 5 тариф RAB_Тариф 2013 Архангельск для агентства" xfId="490"/>
    <cellStyle name="_пр 5 тариф RAB_Тариф 2014 уч. Шипицыно газ" xfId="491"/>
    <cellStyle name="_пр 6 финпроекция" xfId="492"/>
    <cellStyle name="_пр 6 финпроекция_Расче тарифа на тэ 2014 Мезенский АрхоблЭнерго" xfId="493"/>
    <cellStyle name="_пр 6 финпроекция_тарифы по ТЭ на 2014 год Соловки исправ." xfId="494"/>
    <cellStyle name="_Предожение _ДБП_2009 г ( согласованные БП)  (2)" xfId="495"/>
    <cellStyle name="_Предожение _ДБП_2009 г ( согласованные БП)  (2)_Новая инструкция1_фст" xfId="496"/>
    <cellStyle name="_Предожение _ДБП_2009 г ( согласованные БП)  (2)_Расче тарифа на тэ 2014 Мезенский АрхоблЭнерго" xfId="497"/>
    <cellStyle name="_Предожение _ДБП_2009 г ( согласованные БП)  (2)_Тариф тепло Мезень для АТЦ" xfId="498"/>
    <cellStyle name="_Предожение _ДБП_2009 г ( согласованные БП)  (2)_тарифы по ТЭ на 2014 год Соловки исправ." xfId="499"/>
    <cellStyle name="_Прил1-1 (МГИ) (Дубинину) 22 01 07" xfId="500"/>
    <cellStyle name="_Прил1-1 (МГИ) (Дубинину) 22 01 07_Расче тарифа на тэ 2014 Мезенский АрхоблЭнерго" xfId="501"/>
    <cellStyle name="_Прил1-1 (МГИ) (Дубинину) 22 01 07_тарифы по ТЭ на 2014 год Соловки исправ." xfId="502"/>
    <cellStyle name="_Приложение 2 0806 факт" xfId="503"/>
    <cellStyle name="_Приложение МТС-3-КС" xfId="504"/>
    <cellStyle name="_Приложение МТС-3-КС_Новая инструкция1_фст" xfId="505"/>
    <cellStyle name="_Приложение МТС-3-КС_Расче тарифа на тэ 2014 Мезенский АрхоблЭнерго" xfId="506"/>
    <cellStyle name="_Приложение МТС-3-КС_Тариф тепло Мезень для АТЦ" xfId="507"/>
    <cellStyle name="_Приложение МТС-3-КС_тарифы по ТЭ на 2014 год Соловки исправ." xfId="508"/>
    <cellStyle name="_Приложение-МТС--2-1" xfId="509"/>
    <cellStyle name="_Приложение-МТС--2-1_Новая инструкция1_фст" xfId="510"/>
    <cellStyle name="_Приложение-МТС--2-1_Расче тарифа на тэ 2014 Мезенский АрхоблЭнерго" xfId="511"/>
    <cellStyle name="_Приложение-МТС--2-1_Тариф тепло Мезень для АТЦ" xfId="512"/>
    <cellStyle name="_Приложение-МТС--2-1_тарифы по ТЭ на 2014 год Соловки исправ." xfId="513"/>
    <cellStyle name="_Программа СО 7-09 для СД от 29 марта" xfId="514"/>
    <cellStyle name="_Программа СО 7-09 для СД от 29 марта_Расче тарифа на тэ 2014 Мезенский АрхоблЭнерго" xfId="515"/>
    <cellStyle name="_Программа СО 7-09 для СД от 29 марта_тарифы по ТЭ на 2014 год Соловки исправ." xfId="516"/>
    <cellStyle name="_Расчет RAB_22072008" xfId="517"/>
    <cellStyle name="_Расчет RAB_22072008 2" xfId="518"/>
    <cellStyle name="_Расчет RAB_22072008 2_OREP.KU.2011.MONTHLY.02(v0.1)" xfId="519"/>
    <cellStyle name="_Расчет RAB_22072008 2_OREP.KU.2011.MONTHLY.02(v0.4)" xfId="520"/>
    <cellStyle name="_Расчет RAB_22072008 2_OREP.KU.2011.MONTHLY.11(v1.4)" xfId="521"/>
    <cellStyle name="_Расчет RAB_22072008 2_UPDATE.OREP.KU.2011.MONTHLY.02.TO.1.2" xfId="522"/>
    <cellStyle name="_Расчет RAB_22072008_46EE.2011(v1.0)" xfId="523"/>
    <cellStyle name="_Расчет RAB_22072008_46EE.2011(v1.0)_46TE.2011(v1.0)" xfId="524"/>
    <cellStyle name="_Расчет RAB_22072008_46EE.2011(v1.0)_INDEX.STATION.2012(v1.0)_" xfId="525"/>
    <cellStyle name="_Расчет RAB_22072008_46EE.2011(v1.0)_INDEX.STATION.2012(v2.0)" xfId="526"/>
    <cellStyle name="_Расчет RAB_22072008_46EE.2011(v1.0)_INDEX.STATION.2012(v2.1)" xfId="527"/>
    <cellStyle name="_Расчет RAB_22072008_46EE.2011(v1.0)_TEPLO.PREDEL.2012.M(v1.1)_test" xfId="528"/>
    <cellStyle name="_Расчет RAB_22072008_46EE.2011(v1.2)" xfId="529"/>
    <cellStyle name="_Расчет RAB_22072008_46EP.2011(v2.0)" xfId="530"/>
    <cellStyle name="_Расчет RAB_22072008_46EP.2012(v0.1)" xfId="531"/>
    <cellStyle name="_Расчет RAB_22072008_46TE.2011(v1.0)" xfId="532"/>
    <cellStyle name="_Расчет RAB_22072008_4DNS.UPDATE.EXAMPLE" xfId="533"/>
    <cellStyle name="_Расчет RAB_22072008_ARMRAZR" xfId="534"/>
    <cellStyle name="_Расчет RAB_22072008_BALANCE.WARM.2010.FACT(v1.0)" xfId="535"/>
    <cellStyle name="_Расчет RAB_22072008_BALANCE.WARM.2010.PLAN" xfId="536"/>
    <cellStyle name="_Расчет RAB_22072008_BALANCE.WARM.2011YEAR(v0.7)" xfId="537"/>
    <cellStyle name="_Расчет RAB_22072008_BALANCE.WARM.2011YEAR.NEW.UPDATE.SCHEME" xfId="538"/>
    <cellStyle name="_Расчет RAB_22072008_CALC.NORMATIV.KU(v0.2)" xfId="539"/>
    <cellStyle name="_Расчет RAB_22072008_EE.2REK.P2011.4.78(v0.3)" xfId="540"/>
    <cellStyle name="_Расчет RAB_22072008_FORM3.1.2013(v0.2)" xfId="541"/>
    <cellStyle name="_Расчет RAB_22072008_FORM3.2013(v1.0)" xfId="542"/>
    <cellStyle name="_Расчет RAB_22072008_FORM3.REG(v1.0)" xfId="543"/>
    <cellStyle name="_Расчет RAB_22072008_FORM910.2012(v1.1)" xfId="544"/>
    <cellStyle name="_Расчет RAB_22072008_INDEX.STATION.2012(v2.1)" xfId="545"/>
    <cellStyle name="_Расчет RAB_22072008_INDEX.STATION.2013(v1.0)_патч до 1.1" xfId="546"/>
    <cellStyle name="_Расчет RAB_22072008_INVEST.EE.PLAN.4.78(v0.1)" xfId="547"/>
    <cellStyle name="_Расчет RAB_22072008_INVEST.EE.PLAN.4.78(v0.3)" xfId="548"/>
    <cellStyle name="_Расчет RAB_22072008_INVEST.EE.PLAN.4.78(v1.0)" xfId="549"/>
    <cellStyle name="_Расчет RAB_22072008_INVEST.EE.PLAN.4.78(v1.0)_PASSPORT.TEPLO.PROIZV(v2.0)" xfId="550"/>
    <cellStyle name="_Расчет RAB_22072008_INVEST.EE.PLAN.4.78(v1.0)_PASSPORT.TEPLO.PROIZV(v2.0)_INDEX.STATION.2013(v1.0)_патч до 1.1" xfId="551"/>
    <cellStyle name="_Расчет RAB_22072008_INVEST.EE.PLAN.4.78(v1.0)_PASSPORT.TEPLO.PROIZV(v2.0)_TEPLO.PREDEL.2013(v2.0)" xfId="552"/>
    <cellStyle name="_Расчет RAB_22072008_INVEST.PLAN.4.78(v0.1)" xfId="553"/>
    <cellStyle name="_Расчет RAB_22072008_INVEST.WARM.PLAN.4.78(v0.1)" xfId="554"/>
    <cellStyle name="_Расчет RAB_22072008_INVEST_WARM_PLAN" xfId="555"/>
    <cellStyle name="_Расчет RAB_22072008_NADB.JNVLP.APTEKA.2012(v1.0)_21_02_12" xfId="556"/>
    <cellStyle name="_Расчет RAB_22072008_NADB.JNVLS.APTEKA.2011(v1.3.3)" xfId="557"/>
    <cellStyle name="_Расчет RAB_22072008_NADB.JNVLS.APTEKA.2011(v1.3.3)_46TE.2011(v1.0)" xfId="558"/>
    <cellStyle name="_Расчет RAB_22072008_NADB.JNVLS.APTEKA.2011(v1.3.3)_INDEX.STATION.2012(v1.0)_" xfId="559"/>
    <cellStyle name="_Расчет RAB_22072008_NADB.JNVLS.APTEKA.2011(v1.3.3)_INDEX.STATION.2012(v2.0)" xfId="560"/>
    <cellStyle name="_Расчет RAB_22072008_NADB.JNVLS.APTEKA.2011(v1.3.3)_INDEX.STATION.2012(v2.1)" xfId="561"/>
    <cellStyle name="_Расчет RAB_22072008_NADB.JNVLS.APTEKA.2011(v1.3.3)_TEPLO.PREDEL.2012.M(v1.1)_test" xfId="562"/>
    <cellStyle name="_Расчет RAB_22072008_NADB.JNVLS.APTEKA.2011(v1.3.4)" xfId="563"/>
    <cellStyle name="_Расчет RAB_22072008_NADB.JNVLS.APTEKA.2011(v1.3.4)_46TE.2011(v1.0)" xfId="564"/>
    <cellStyle name="_Расчет RAB_22072008_NADB.JNVLS.APTEKA.2011(v1.3.4)_INDEX.STATION.2012(v1.0)_" xfId="565"/>
    <cellStyle name="_Расчет RAB_22072008_NADB.JNVLS.APTEKA.2011(v1.3.4)_INDEX.STATION.2012(v2.0)" xfId="566"/>
    <cellStyle name="_Расчет RAB_22072008_NADB.JNVLS.APTEKA.2011(v1.3.4)_INDEX.STATION.2012(v2.1)" xfId="567"/>
    <cellStyle name="_Расчет RAB_22072008_NADB.JNVLS.APTEKA.2011(v1.3.4)_TEPLO.PREDEL.2012.M(v1.1)_test" xfId="568"/>
    <cellStyle name="_Расчет RAB_22072008_PASSPORT.TEPLO.PROIZV(v2.1)" xfId="569"/>
    <cellStyle name="_Расчет RAB_22072008_PASSPORT.TEPLO.SETI(v0.7)" xfId="570"/>
    <cellStyle name="_Расчет RAB_22072008_PASSPORT.TEPLO.SETI(v1.0)" xfId="571"/>
    <cellStyle name="_Расчет RAB_22072008_PR.PROG.WARM.NOTCOMBI.2012.2.16_v1.4(04.04.11) " xfId="572"/>
    <cellStyle name="_Расчет RAB_22072008_PREDEL.JKH.UTV.2011(v1.0.1)" xfId="573"/>
    <cellStyle name="_Расчет RAB_22072008_PREDEL.JKH.UTV.2011(v1.0.1)_46TE.2011(v1.0)" xfId="574"/>
    <cellStyle name="_Расчет RAB_22072008_PREDEL.JKH.UTV.2011(v1.0.1)_INDEX.STATION.2012(v1.0)_" xfId="575"/>
    <cellStyle name="_Расчет RAB_22072008_PREDEL.JKH.UTV.2011(v1.0.1)_INDEX.STATION.2012(v2.0)" xfId="576"/>
    <cellStyle name="_Расчет RAB_22072008_PREDEL.JKH.UTV.2011(v1.0.1)_INDEX.STATION.2012(v2.1)" xfId="577"/>
    <cellStyle name="_Расчет RAB_22072008_PREDEL.JKH.UTV.2011(v1.0.1)_TEPLO.PREDEL.2012.M(v1.1)_test" xfId="578"/>
    <cellStyle name="_Расчет RAB_22072008_PREDEL.JKH.UTV.2011(v1.1)" xfId="579"/>
    <cellStyle name="_Расчет RAB_22072008_REP.BLR.2012(v1.0)" xfId="580"/>
    <cellStyle name="_Расчет RAB_22072008_TEPLO.PREDEL.2012.M(v1.1)" xfId="581"/>
    <cellStyle name="_Расчет RAB_22072008_TEPLO.PREDEL.2013(v2.0)" xfId="582"/>
    <cellStyle name="_Расчет RAB_22072008_TEST.TEMPLATE" xfId="583"/>
    <cellStyle name="_Расчет RAB_22072008_UPDATE.46EE.2011.TO.1.1" xfId="584"/>
    <cellStyle name="_Расчет RAB_22072008_UPDATE.46TE.2011.TO.1.1" xfId="585"/>
    <cellStyle name="_Расчет RAB_22072008_UPDATE.46TE.2011.TO.1.2" xfId="586"/>
    <cellStyle name="_Расчет RAB_22072008_UPDATE.BALANCE.WARM.2011YEAR.TO.1.1" xfId="587"/>
    <cellStyle name="_Расчет RAB_22072008_UPDATE.BALANCE.WARM.2011YEAR.TO.1.1_46TE.2011(v1.0)" xfId="588"/>
    <cellStyle name="_Расчет RAB_22072008_UPDATE.BALANCE.WARM.2011YEAR.TO.1.1_INDEX.STATION.2012(v1.0)_" xfId="589"/>
    <cellStyle name="_Расчет RAB_22072008_UPDATE.BALANCE.WARM.2011YEAR.TO.1.1_INDEX.STATION.2012(v2.0)" xfId="590"/>
    <cellStyle name="_Расчет RAB_22072008_UPDATE.BALANCE.WARM.2011YEAR.TO.1.1_INDEX.STATION.2012(v2.1)" xfId="591"/>
    <cellStyle name="_Расчет RAB_22072008_UPDATE.BALANCE.WARM.2011YEAR.TO.1.1_OREP.KU.2011.MONTHLY.02(v1.1)" xfId="592"/>
    <cellStyle name="_Расчет RAB_22072008_UPDATE.BALANCE.WARM.2011YEAR.TO.1.1_TEPLO.PREDEL.2012.M(v1.1)_test" xfId="593"/>
    <cellStyle name="_Расчет RAB_22072008_UPDATE.NADB.JNVLS.APTEKA.2011.TO.1.3.4" xfId="594"/>
    <cellStyle name="_Расчет RAB_22072008_Книга2_PR.PROG.WARM.NOTCOMBI.2012.2.16_v1.4(04.04.11) " xfId="595"/>
    <cellStyle name="_Расчет RAB_22072008_Тариф 2013 Архангельск для агентства" xfId="596"/>
    <cellStyle name="_Расчет RAB_22072008_Тариф 2014 уч. Шипицыно газ" xfId="597"/>
    <cellStyle name="_Расчет RAB_Лен и МОЭСК_с 2010 года_14.04.2009_со сглаж_version 3.0_без ФСК" xfId="598"/>
    <cellStyle name="_Расчет RAB_Лен и МОЭСК_с 2010 года_14.04.2009_со сглаж_version 3.0_без ФСК 2" xfId="599"/>
    <cellStyle name="_Расчет RAB_Лен и МОЭСК_с 2010 года_14.04.2009_со сглаж_version 3.0_без ФСК 2_OREP.KU.2011.MONTHLY.02(v0.1)" xfId="600"/>
    <cellStyle name="_Расчет RAB_Лен и МОЭСК_с 2010 года_14.04.2009_со сглаж_version 3.0_без ФСК 2_OREP.KU.2011.MONTHLY.02(v0.4)" xfId="601"/>
    <cellStyle name="_Расчет RAB_Лен и МОЭСК_с 2010 года_14.04.2009_со сглаж_version 3.0_без ФСК 2_OREP.KU.2011.MONTHLY.11(v1.4)" xfId="602"/>
    <cellStyle name="_Расчет RAB_Лен и МОЭСК_с 2010 года_14.04.2009_со сглаж_version 3.0_без ФСК 2_UPDATE.OREP.KU.2011.MONTHLY.02.TO.1.2" xfId="603"/>
    <cellStyle name="_Расчет RAB_Лен и МОЭСК_с 2010 года_14.04.2009_со сглаж_version 3.0_без ФСК_46EE.2011(v1.0)" xfId="604"/>
    <cellStyle name="_Расчет RAB_Лен и МОЭСК_с 2010 года_14.04.2009_со сглаж_version 3.0_без ФСК_46EE.2011(v1.0)_46TE.2011(v1.0)" xfId="605"/>
    <cellStyle name="_Расчет RAB_Лен и МОЭСК_с 2010 года_14.04.2009_со сглаж_version 3.0_без ФСК_46EE.2011(v1.0)_INDEX.STATION.2012(v1.0)_" xfId="606"/>
    <cellStyle name="_Расчет RAB_Лен и МОЭСК_с 2010 года_14.04.2009_со сглаж_version 3.0_без ФСК_46EE.2011(v1.0)_INDEX.STATION.2012(v2.0)" xfId="607"/>
    <cellStyle name="_Расчет RAB_Лен и МОЭСК_с 2010 года_14.04.2009_со сглаж_version 3.0_без ФСК_46EE.2011(v1.0)_INDEX.STATION.2012(v2.1)" xfId="608"/>
    <cellStyle name="_Расчет RAB_Лен и МОЭСК_с 2010 года_14.04.2009_со сглаж_version 3.0_без ФСК_46EE.2011(v1.0)_TEPLO.PREDEL.2012.M(v1.1)_test" xfId="609"/>
    <cellStyle name="_Расчет RAB_Лен и МОЭСК_с 2010 года_14.04.2009_со сглаж_version 3.0_без ФСК_46EE.2011(v1.2)" xfId="610"/>
    <cellStyle name="_Расчет RAB_Лен и МОЭСК_с 2010 года_14.04.2009_со сглаж_version 3.0_без ФСК_46EP.2011(v2.0)" xfId="611"/>
    <cellStyle name="_Расчет RAB_Лен и МОЭСК_с 2010 года_14.04.2009_со сглаж_version 3.0_без ФСК_46EP.2012(v0.1)" xfId="612"/>
    <cellStyle name="_Расчет RAB_Лен и МОЭСК_с 2010 года_14.04.2009_со сглаж_version 3.0_без ФСК_46TE.2011(v1.0)" xfId="613"/>
    <cellStyle name="_Расчет RAB_Лен и МОЭСК_с 2010 года_14.04.2009_со сглаж_version 3.0_без ФСК_4DNS.UPDATE.EXAMPLE" xfId="614"/>
    <cellStyle name="_Расчет RAB_Лен и МОЭСК_с 2010 года_14.04.2009_со сглаж_version 3.0_без ФСК_ARMRAZR" xfId="615"/>
    <cellStyle name="_Расчет RAB_Лен и МОЭСК_с 2010 года_14.04.2009_со сглаж_version 3.0_без ФСК_BALANCE.WARM.2010.FACT(v1.0)" xfId="616"/>
    <cellStyle name="_Расчет RAB_Лен и МОЭСК_с 2010 года_14.04.2009_со сглаж_version 3.0_без ФСК_BALANCE.WARM.2010.PLAN" xfId="617"/>
    <cellStyle name="_Расчет RAB_Лен и МОЭСК_с 2010 года_14.04.2009_со сглаж_version 3.0_без ФСК_BALANCE.WARM.2011YEAR(v0.7)" xfId="618"/>
    <cellStyle name="_Расчет RAB_Лен и МОЭСК_с 2010 года_14.04.2009_со сглаж_version 3.0_без ФСК_BALANCE.WARM.2011YEAR.NEW.UPDATE.SCHEME" xfId="619"/>
    <cellStyle name="_Расчет RAB_Лен и МОЭСК_с 2010 года_14.04.2009_со сглаж_version 3.0_без ФСК_CALC.NORMATIV.KU(v0.2)" xfId="620"/>
    <cellStyle name="_Расчет RAB_Лен и МОЭСК_с 2010 года_14.04.2009_со сглаж_version 3.0_без ФСК_EE.2REK.P2011.4.78(v0.3)" xfId="621"/>
    <cellStyle name="_Расчет RAB_Лен и МОЭСК_с 2010 года_14.04.2009_со сглаж_version 3.0_без ФСК_FORM3.1.2013(v0.2)" xfId="622"/>
    <cellStyle name="_Расчет RAB_Лен и МОЭСК_с 2010 года_14.04.2009_со сглаж_version 3.0_без ФСК_FORM3.2013(v1.0)" xfId="623"/>
    <cellStyle name="_Расчет RAB_Лен и МОЭСК_с 2010 года_14.04.2009_со сглаж_version 3.0_без ФСК_FORM3.REG(v1.0)" xfId="624"/>
    <cellStyle name="_Расчет RAB_Лен и МОЭСК_с 2010 года_14.04.2009_со сглаж_version 3.0_без ФСК_FORM910.2012(v1.1)" xfId="625"/>
    <cellStyle name="_Расчет RAB_Лен и МОЭСК_с 2010 года_14.04.2009_со сглаж_version 3.0_без ФСК_INDEX.STATION.2012(v2.1)" xfId="626"/>
    <cellStyle name="_Расчет RAB_Лен и МОЭСК_с 2010 года_14.04.2009_со сглаж_version 3.0_без ФСК_INDEX.STATION.2013(v1.0)_патч до 1.1" xfId="627"/>
    <cellStyle name="_Расчет RAB_Лен и МОЭСК_с 2010 года_14.04.2009_со сглаж_version 3.0_без ФСК_INVEST.EE.PLAN.4.78(v0.1)" xfId="628"/>
    <cellStyle name="_Расчет RAB_Лен и МОЭСК_с 2010 года_14.04.2009_со сглаж_version 3.0_без ФСК_INVEST.EE.PLAN.4.78(v0.3)" xfId="629"/>
    <cellStyle name="_Расчет RAB_Лен и МОЭСК_с 2010 года_14.04.2009_со сглаж_version 3.0_без ФСК_INVEST.EE.PLAN.4.78(v1.0)" xfId="630"/>
    <cellStyle name="_Расчет RAB_Лен и МОЭСК_с 2010 года_14.04.2009_со сглаж_version 3.0_без ФСК_INVEST.EE.PLAN.4.78(v1.0)_PASSPORT.TEPLO.PROIZV(v2.0)" xfId="631"/>
    <cellStyle name="_Расчет RAB_Лен и МОЭСК_с 2010 года_14.04.2009_со сглаж_version 3.0_без ФСК_INVEST.EE.PLAN.4.78(v1.0)_PASSPORT.TEPLO.PROIZV(v2.0)_INDEX.STATION.2013(v1.0)_патч до 1.1" xfId="632"/>
    <cellStyle name="_Расчет RAB_Лен и МОЭСК_с 2010 года_14.04.2009_со сглаж_version 3.0_без ФСК_INVEST.EE.PLAN.4.78(v1.0)_PASSPORT.TEPLO.PROIZV(v2.0)_TEPLO.PREDEL.2013(v2.0)" xfId="633"/>
    <cellStyle name="_Расчет RAB_Лен и МОЭСК_с 2010 года_14.04.2009_со сглаж_version 3.0_без ФСК_INVEST.PLAN.4.78(v0.1)" xfId="634"/>
    <cellStyle name="_Расчет RAB_Лен и МОЭСК_с 2010 года_14.04.2009_со сглаж_version 3.0_без ФСК_INVEST.WARM.PLAN.4.78(v0.1)" xfId="635"/>
    <cellStyle name="_Расчет RAB_Лен и МОЭСК_с 2010 года_14.04.2009_со сглаж_version 3.0_без ФСК_INVEST_WARM_PLAN" xfId="636"/>
    <cellStyle name="_Расчет RAB_Лен и МОЭСК_с 2010 года_14.04.2009_со сглаж_version 3.0_без ФСК_NADB.JNVLP.APTEKA.2012(v1.0)_21_02_12" xfId="637"/>
    <cellStyle name="_Расчет RAB_Лен и МОЭСК_с 2010 года_14.04.2009_со сглаж_version 3.0_без ФСК_NADB.JNVLS.APTEKA.2011(v1.3.3)" xfId="638"/>
    <cellStyle name="_Расчет RAB_Лен и МОЭСК_с 2010 года_14.04.2009_со сглаж_version 3.0_без ФСК_NADB.JNVLS.APTEKA.2011(v1.3.3)_46TE.2011(v1.0)" xfId="639"/>
    <cellStyle name="_Расчет RAB_Лен и МОЭСК_с 2010 года_14.04.2009_со сглаж_version 3.0_без ФСК_NADB.JNVLS.APTEKA.2011(v1.3.3)_INDEX.STATION.2012(v1.0)_" xfId="640"/>
    <cellStyle name="_Расчет RAB_Лен и МОЭСК_с 2010 года_14.04.2009_со сглаж_version 3.0_без ФСК_NADB.JNVLS.APTEKA.2011(v1.3.3)_INDEX.STATION.2012(v2.0)" xfId="641"/>
    <cellStyle name="_Расчет RAB_Лен и МОЭСК_с 2010 года_14.04.2009_со сглаж_version 3.0_без ФСК_NADB.JNVLS.APTEKA.2011(v1.3.3)_INDEX.STATION.2012(v2.1)" xfId="642"/>
    <cellStyle name="_Расчет RAB_Лен и МОЭСК_с 2010 года_14.04.2009_со сглаж_version 3.0_без ФСК_NADB.JNVLS.APTEKA.2011(v1.3.3)_TEPLO.PREDEL.2012.M(v1.1)_test" xfId="643"/>
    <cellStyle name="_Расчет RAB_Лен и МОЭСК_с 2010 года_14.04.2009_со сглаж_version 3.0_без ФСК_NADB.JNVLS.APTEKA.2011(v1.3.4)" xfId="644"/>
    <cellStyle name="_Расчет RAB_Лен и МОЭСК_с 2010 года_14.04.2009_со сглаж_version 3.0_без ФСК_NADB.JNVLS.APTEKA.2011(v1.3.4)_46TE.2011(v1.0)" xfId="645"/>
    <cellStyle name="_Расчет RAB_Лен и МОЭСК_с 2010 года_14.04.2009_со сглаж_version 3.0_без ФСК_NADB.JNVLS.APTEKA.2011(v1.3.4)_INDEX.STATION.2012(v1.0)_" xfId="646"/>
    <cellStyle name="_Расчет RAB_Лен и МОЭСК_с 2010 года_14.04.2009_со сглаж_version 3.0_без ФСК_NADB.JNVLS.APTEKA.2011(v1.3.4)_INDEX.STATION.2012(v2.0)" xfId="647"/>
    <cellStyle name="_Расчет RAB_Лен и МОЭСК_с 2010 года_14.04.2009_со сглаж_version 3.0_без ФСК_NADB.JNVLS.APTEKA.2011(v1.3.4)_INDEX.STATION.2012(v2.1)" xfId="648"/>
    <cellStyle name="_Расчет RAB_Лен и МОЭСК_с 2010 года_14.04.2009_со сглаж_version 3.0_без ФСК_NADB.JNVLS.APTEKA.2011(v1.3.4)_TEPLO.PREDEL.2012.M(v1.1)_test" xfId="649"/>
    <cellStyle name="_Расчет RAB_Лен и МОЭСК_с 2010 года_14.04.2009_со сглаж_version 3.0_без ФСК_PASSPORT.TEPLO.PROIZV(v2.1)" xfId="650"/>
    <cellStyle name="_Расчет RAB_Лен и МОЭСК_с 2010 года_14.04.2009_со сглаж_version 3.0_без ФСК_PASSPORT.TEPLO.SETI(v0.7)" xfId="651"/>
    <cellStyle name="_Расчет RAB_Лен и МОЭСК_с 2010 года_14.04.2009_со сглаж_version 3.0_без ФСК_PASSPORT.TEPLO.SETI(v1.0)" xfId="652"/>
    <cellStyle name="_Расчет RAB_Лен и МОЭСК_с 2010 года_14.04.2009_со сглаж_version 3.0_без ФСК_PR.PROG.WARM.NOTCOMBI.2012.2.16_v1.4(04.04.11) " xfId="653"/>
    <cellStyle name="_Расчет RAB_Лен и МОЭСК_с 2010 года_14.04.2009_со сглаж_version 3.0_без ФСК_PREDEL.JKH.UTV.2011(v1.0.1)" xfId="654"/>
    <cellStyle name="_Расчет RAB_Лен и МОЭСК_с 2010 года_14.04.2009_со сглаж_version 3.0_без ФСК_PREDEL.JKH.UTV.2011(v1.0.1)_46TE.2011(v1.0)" xfId="655"/>
    <cellStyle name="_Расчет RAB_Лен и МОЭСК_с 2010 года_14.04.2009_со сглаж_version 3.0_без ФСК_PREDEL.JKH.UTV.2011(v1.0.1)_INDEX.STATION.2012(v1.0)_" xfId="656"/>
    <cellStyle name="_Расчет RAB_Лен и МОЭСК_с 2010 года_14.04.2009_со сглаж_version 3.0_без ФСК_PREDEL.JKH.UTV.2011(v1.0.1)_INDEX.STATION.2012(v2.0)" xfId="657"/>
    <cellStyle name="_Расчет RAB_Лен и МОЭСК_с 2010 года_14.04.2009_со сглаж_version 3.0_без ФСК_PREDEL.JKH.UTV.2011(v1.0.1)_INDEX.STATION.2012(v2.1)" xfId="658"/>
    <cellStyle name="_Расчет RAB_Лен и МОЭСК_с 2010 года_14.04.2009_со сглаж_version 3.0_без ФСК_PREDEL.JKH.UTV.2011(v1.0.1)_TEPLO.PREDEL.2012.M(v1.1)_test" xfId="659"/>
    <cellStyle name="_Расчет RAB_Лен и МОЭСК_с 2010 года_14.04.2009_со сглаж_version 3.0_без ФСК_PREDEL.JKH.UTV.2011(v1.1)" xfId="660"/>
    <cellStyle name="_Расчет RAB_Лен и МОЭСК_с 2010 года_14.04.2009_со сглаж_version 3.0_без ФСК_REP.BLR.2012(v1.0)" xfId="661"/>
    <cellStyle name="_Расчет RAB_Лен и МОЭСК_с 2010 года_14.04.2009_со сглаж_version 3.0_без ФСК_TEPLO.PREDEL.2012.M(v1.1)" xfId="662"/>
    <cellStyle name="_Расчет RAB_Лен и МОЭСК_с 2010 года_14.04.2009_со сглаж_version 3.0_без ФСК_TEPLO.PREDEL.2013(v2.0)" xfId="663"/>
    <cellStyle name="_Расчет RAB_Лен и МОЭСК_с 2010 года_14.04.2009_со сглаж_version 3.0_без ФСК_TEST.TEMPLATE" xfId="664"/>
    <cellStyle name="_Расчет RAB_Лен и МОЭСК_с 2010 года_14.04.2009_со сглаж_version 3.0_без ФСК_UPDATE.46EE.2011.TO.1.1" xfId="665"/>
    <cellStyle name="_Расчет RAB_Лен и МОЭСК_с 2010 года_14.04.2009_со сглаж_version 3.0_без ФСК_UPDATE.46TE.2011.TO.1.1" xfId="666"/>
    <cellStyle name="_Расчет RAB_Лен и МОЭСК_с 2010 года_14.04.2009_со сглаж_version 3.0_без ФСК_UPDATE.46TE.2011.TO.1.2" xfId="667"/>
    <cellStyle name="_Расчет RAB_Лен и МОЭСК_с 2010 года_14.04.2009_со сглаж_version 3.0_без ФСК_UPDATE.BALANCE.WARM.2011YEAR.TO.1.1" xfId="668"/>
    <cellStyle name="_Расчет RAB_Лен и МОЭСК_с 2010 года_14.04.2009_со сглаж_version 3.0_без ФСК_UPDATE.BALANCE.WARM.2011YEAR.TO.1.1_46TE.2011(v1.0)" xfId="669"/>
    <cellStyle name="_Расчет RAB_Лен и МОЭСК_с 2010 года_14.04.2009_со сглаж_version 3.0_без ФСК_UPDATE.BALANCE.WARM.2011YEAR.TO.1.1_INDEX.STATION.2012(v1.0)_" xfId="670"/>
    <cellStyle name="_Расчет RAB_Лен и МОЭСК_с 2010 года_14.04.2009_со сглаж_version 3.0_без ФСК_UPDATE.BALANCE.WARM.2011YEAR.TO.1.1_INDEX.STATION.2012(v2.0)" xfId="671"/>
    <cellStyle name="_Расчет RAB_Лен и МОЭСК_с 2010 года_14.04.2009_со сглаж_version 3.0_без ФСК_UPDATE.BALANCE.WARM.2011YEAR.TO.1.1_INDEX.STATION.2012(v2.1)" xfId="672"/>
    <cellStyle name="_Расчет RAB_Лен и МОЭСК_с 2010 года_14.04.2009_со сглаж_version 3.0_без ФСК_UPDATE.BALANCE.WARM.2011YEAR.TO.1.1_OREP.KU.2011.MONTHLY.02(v1.1)" xfId="673"/>
    <cellStyle name="_Расчет RAB_Лен и МОЭСК_с 2010 года_14.04.2009_со сглаж_version 3.0_без ФСК_UPDATE.BALANCE.WARM.2011YEAR.TO.1.1_TEPLO.PREDEL.2012.M(v1.1)_test" xfId="674"/>
    <cellStyle name="_Расчет RAB_Лен и МОЭСК_с 2010 года_14.04.2009_со сглаж_version 3.0_без ФСК_UPDATE.NADB.JNVLS.APTEKA.2011.TO.1.3.4" xfId="675"/>
    <cellStyle name="_Расчет RAB_Лен и МОЭСК_с 2010 года_14.04.2009_со сглаж_version 3.0_без ФСК_Книга2_PR.PROG.WARM.NOTCOMBI.2012.2.16_v1.4(04.04.11) " xfId="676"/>
    <cellStyle name="_Расчет RAB_Лен и МОЭСК_с 2010 года_14.04.2009_со сглаж_version 3.0_без ФСК_Тариф 2013 Архангельск для агентства" xfId="677"/>
    <cellStyle name="_Расчет RAB_Лен и МОЭСК_с 2010 года_14.04.2009_со сглаж_version 3.0_без ФСК_Тариф 2014 уч. Шипицыно газ" xfId="678"/>
    <cellStyle name="_Расчет кредита_RAB 2010-2014  max конечн.20,77" xfId="679"/>
    <cellStyle name="_Расчет кредита_RAB 2010-2014  max конечн.20,77_Расче тарифа на тэ 2014 Мезенский АрхоблЭнерго" xfId="680"/>
    <cellStyle name="_Расчет кредита_RAB 2010-2014  max конечн.20,77_тарифы по ТЭ на 2014 год Соловки исправ." xfId="681"/>
    <cellStyle name="_Расчет на 2008 год" xfId="682"/>
    <cellStyle name="_Расчет на 2009 год" xfId="683"/>
    <cellStyle name="_Расчет ТЕХПД на 2010 год" xfId="684"/>
    <cellStyle name="_Расшифровка по приоритетам_МРСК 2" xfId="685"/>
    <cellStyle name="_Расшифровка по приоритетам_МРСК 2_Расче тарифа на тэ 2014 Мезенский АрхоблЭнерго" xfId="686"/>
    <cellStyle name="_Расшифровка по приоритетам_МРСК 2_тарифы по ТЭ на 2014 год Соловки исправ." xfId="687"/>
    <cellStyle name="_Рем программа СТЭЦ-1тарифы 2010 год" xfId="688"/>
    <cellStyle name="_Сб-macro 2020" xfId="689"/>
    <cellStyle name="_Сб-macro 2020 2" xfId="690"/>
    <cellStyle name="_Свод по ИПР (2)" xfId="691"/>
    <cellStyle name="_Свод по ИПР (2)_Новая инструкция1_фст" xfId="692"/>
    <cellStyle name="_Свод по ИПР (2)_Расче тарифа на тэ 2014 Мезенский АрхоблЭнерго" xfId="693"/>
    <cellStyle name="_Свод по ИПР (2)_Тариф тепло Мезень для АТЦ" xfId="694"/>
    <cellStyle name="_Свод по ИПР (2)_тарифы по ТЭ на 2014 год Соловки исправ." xfId="695"/>
    <cellStyle name="_сводная таблица (2)" xfId="696"/>
    <cellStyle name="_сводная таблица (2)_Расче тарифа на тэ 2014 Мезенский АрхоблЭнерго" xfId="697"/>
    <cellStyle name="_сводная таблица (2)_тарифы по ТЭ на 2014 год Соловки исправ." xfId="698"/>
    <cellStyle name="_СО 2006-2010  Прил1-1 (Дубинину)" xfId="699"/>
    <cellStyle name="_СО 2006-2010  Прил1-1 (Дубинину)_Расче тарифа на тэ 2014 Мезенский АрхоблЭнерго" xfId="700"/>
    <cellStyle name="_СО 2006-2010  Прил1-1 (Дубинину)_тарифы по ТЭ на 2014 год Соловки исправ." xfId="701"/>
    <cellStyle name="_Справочник затрат_ЛХ_20.10.05" xfId="702"/>
    <cellStyle name="_Табл П2-5 (вар18-10-2006)" xfId="703"/>
    <cellStyle name="_Табл П2-5 (вар18-10-2006)_Расче тарифа на тэ 2014 Мезенский АрхоблЭнерго" xfId="704"/>
    <cellStyle name="_Табл П2-5 (вар18-10-2006)_тарифы по ТЭ на 2014 год Соловки исправ." xfId="705"/>
    <cellStyle name="_Табл. 9, ТФБ 2009" xfId="706"/>
    <cellStyle name="_таблицы для расчетов28-04-08_2006-2009_прибыль корр_по ИА" xfId="707"/>
    <cellStyle name="_таблицы для расчетов28-04-08_2006-2009_прибыль корр_по ИА_Новая инструкция1_фст" xfId="708"/>
    <cellStyle name="_таблицы для расчетов28-04-08_2006-2009_прибыль корр_по ИА_Расче тарифа на тэ 2014 Мезенский АрхоблЭнерго" xfId="709"/>
    <cellStyle name="_таблицы для расчетов28-04-08_2006-2009_прибыль корр_по ИА_Тариф тепло Мезень для АТЦ" xfId="710"/>
    <cellStyle name="_таблицы для расчетов28-04-08_2006-2009_прибыль корр_по ИА_тарифы по ТЭ на 2014 год Соловки исправ." xfId="711"/>
    <cellStyle name="_таблицы для расчетов28-04-08_2006-2009с ИА" xfId="712"/>
    <cellStyle name="_таблицы для расчетов28-04-08_2006-2009с ИА_Новая инструкция1_фст" xfId="713"/>
    <cellStyle name="_таблицы для расчетов28-04-08_2006-2009с ИА_Расче тарифа на тэ 2014 Мезенский АрхоблЭнерго" xfId="714"/>
    <cellStyle name="_таблицы для расчетов28-04-08_2006-2009с ИА_Тариф тепло Мезень для АТЦ" xfId="715"/>
    <cellStyle name="_таблицы для расчетов28-04-08_2006-2009с ИА_тарифы по ТЭ на 2014 год Соловки исправ." xfId="716"/>
    <cellStyle name="_Тарифы  СИЗ СП ОД Шапина" xfId="717"/>
    <cellStyle name="_УЕ  свод Псковэнерго" xfId="718"/>
    <cellStyle name="_УЕ  свод Псковэнерго_Расче тарифа на тэ 2014 Мезенский АрхоблЭнерго" xfId="719"/>
    <cellStyle name="_УЕ  свод Псковэнерго_тарифы по ТЭ на 2014 год Соловки исправ." xfId="720"/>
    <cellStyle name="_Условные единицы ПСКОВЭНЕРГО (RAB)" xfId="721"/>
    <cellStyle name="_Условные единицы ПСКОВЭНЕРГО (RAB)_Расче тарифа на тэ 2014 Мезенский АрхоблЭнерго" xfId="722"/>
    <cellStyle name="_Условные единицы ПСКОВЭНЕРГО (RAB)_тарифы по ТЭ на 2014 год Соловки исправ." xfId="723"/>
    <cellStyle name="_Услуги связи_2008_котельные" xfId="724"/>
    <cellStyle name="_Форма 6  РТК.xls(отчет по Адр пр. ЛО)" xfId="725"/>
    <cellStyle name="_Форма 6  РТК.xls(отчет по Адр пр. ЛО)_Новая инструкция1_фст" xfId="726"/>
    <cellStyle name="_Форма 6  РТК.xls(отчет по Адр пр. ЛО)_Расче тарифа на тэ 2014 Мезенский АрхоблЭнерго" xfId="727"/>
    <cellStyle name="_Форма 6  РТК.xls(отчет по Адр пр. ЛО)_Тариф тепло Мезень для АТЦ" xfId="728"/>
    <cellStyle name="_Форма 6  РТК.xls(отчет по Адр пр. ЛО)_тарифы по ТЭ на 2014 год Соловки исправ." xfId="729"/>
    <cellStyle name="_Форма программы ремонтов " xfId="730"/>
    <cellStyle name="_Форма программы ремонтов  2" xfId="731"/>
    <cellStyle name="_Формат разбивки по МРСК_РСК" xfId="732"/>
    <cellStyle name="_Формат разбивки по МРСК_РСК_Новая инструкция1_фст" xfId="733"/>
    <cellStyle name="_Формат разбивки по МРСК_РСК_Расче тарифа на тэ 2014 Мезенский АрхоблЭнерго" xfId="734"/>
    <cellStyle name="_Формат разбивки по МРСК_РСК_Тариф тепло Мезень для АТЦ" xfId="735"/>
    <cellStyle name="_Формат разбивки по МРСК_РСК_тарифы по ТЭ на 2014 год Соловки исправ." xfId="736"/>
    <cellStyle name="_Формат_для Согласования" xfId="737"/>
    <cellStyle name="_Формат_для Согласования_Новая инструкция1_фст" xfId="738"/>
    <cellStyle name="_Формат_для Согласования_Расче тарифа на тэ 2014 Мезенский АрхоблЭнерго" xfId="739"/>
    <cellStyle name="_Формат_для Согласования_Тариф тепло Мезень для АТЦ" xfId="740"/>
    <cellStyle name="_Формат_для Согласования_тарифы по ТЭ на 2014 год Соловки исправ." xfId="741"/>
    <cellStyle name="_ХХХ Прил 2 Формы бюджетных документов 2007" xfId="742"/>
    <cellStyle name="_экон.форм-т ВО 1 с разбивкой" xfId="743"/>
    <cellStyle name="_экон.форм-т ВО 1 с разбивкой_Новая инструкция1_фст" xfId="744"/>
    <cellStyle name="’К‰Э [0.00]" xfId="745"/>
    <cellStyle name="”€ќђќ‘ћ‚›‰" xfId="747"/>
    <cellStyle name="”€љ‘€ђћ‚ђќќ›‰" xfId="748"/>
    <cellStyle name="”ќђќ‘ћ‚›‰" xfId="749"/>
    <cellStyle name="”љ‘ђћ‚ђќќ›‰" xfId="750"/>
    <cellStyle name="„…ќ…†ќ›‰" xfId="751"/>
    <cellStyle name="€’ћѓћ‚›‰" xfId="754"/>
    <cellStyle name="‡ђѓћ‹ћ‚ћљ1" xfId="752"/>
    <cellStyle name="‡ђѓћ‹ћ‚ћљ2" xfId="753"/>
    <cellStyle name="’ћѓћ‚›‰" xfId="746"/>
    <cellStyle name="0,00;0;" xfId="755"/>
    <cellStyle name="0,00;0; 2" xfId="756"/>
    <cellStyle name="0,00;0; 3" xfId="757"/>
    <cellStyle name="0,00;0; 4" xfId="758"/>
    <cellStyle name="1Normal" xfId="759"/>
    <cellStyle name="20% - Accent1" xfId="760"/>
    <cellStyle name="20% - Accent1 2" xfId="761"/>
    <cellStyle name="20% - Accent1 2 2" xfId="762"/>
    <cellStyle name="20% - Accent1 3" xfId="763"/>
    <cellStyle name="20% - Accent1 3 2" xfId="764"/>
    <cellStyle name="20% - Accent1 4" xfId="765"/>
    <cellStyle name="20% - Accent1_46EE.2011(v1.0)" xfId="766"/>
    <cellStyle name="20% - Accent2" xfId="767"/>
    <cellStyle name="20% - Accent2 2" xfId="768"/>
    <cellStyle name="20% - Accent2 2 2" xfId="769"/>
    <cellStyle name="20% - Accent2 3" xfId="770"/>
    <cellStyle name="20% - Accent2 3 2" xfId="771"/>
    <cellStyle name="20% - Accent2 4" xfId="772"/>
    <cellStyle name="20% - Accent2_46EE.2011(v1.0)" xfId="773"/>
    <cellStyle name="20% - Accent3" xfId="774"/>
    <cellStyle name="20% - Accent3 2" xfId="775"/>
    <cellStyle name="20% - Accent3 2 2" xfId="776"/>
    <cellStyle name="20% - Accent3 3" xfId="777"/>
    <cellStyle name="20% - Accent3 3 2" xfId="778"/>
    <cellStyle name="20% - Accent3 4" xfId="779"/>
    <cellStyle name="20% - Accent3_46EE.2011(v1.0)" xfId="780"/>
    <cellStyle name="20% - Accent4" xfId="781"/>
    <cellStyle name="20% - Accent4 2" xfId="782"/>
    <cellStyle name="20% - Accent4 2 2" xfId="783"/>
    <cellStyle name="20% - Accent4 3" xfId="784"/>
    <cellStyle name="20% - Accent4 3 2" xfId="785"/>
    <cellStyle name="20% - Accent4 4" xfId="786"/>
    <cellStyle name="20% - Accent4_46EE.2011(v1.0)" xfId="787"/>
    <cellStyle name="20% - Accent5" xfId="788"/>
    <cellStyle name="20% - Accent5 2" xfId="789"/>
    <cellStyle name="20% - Accent5 2 2" xfId="790"/>
    <cellStyle name="20% - Accent5 3" xfId="791"/>
    <cellStyle name="20% - Accent5 3 2" xfId="792"/>
    <cellStyle name="20% - Accent5 4" xfId="793"/>
    <cellStyle name="20% - Accent5_46EE.2011(v1.0)" xfId="794"/>
    <cellStyle name="20% - Accent6" xfId="795"/>
    <cellStyle name="20% - Accent6 2" xfId="796"/>
    <cellStyle name="20% - Accent6 2 2" xfId="797"/>
    <cellStyle name="20% - Accent6 3" xfId="798"/>
    <cellStyle name="20% - Accent6 3 2" xfId="799"/>
    <cellStyle name="20% - Accent6 4" xfId="800"/>
    <cellStyle name="20% - Accent6_46EE.2011(v1.0)" xfId="801"/>
    <cellStyle name="20% — акцент1" xfId="802"/>
    <cellStyle name="20% - Акцент1 10" xfId="803"/>
    <cellStyle name="20% — акцент1 10" xfId="804"/>
    <cellStyle name="20% - Акцент1 10 2" xfId="805"/>
    <cellStyle name="20% - Акцент1 11" xfId="806"/>
    <cellStyle name="20% — акцент1 11" xfId="807"/>
    <cellStyle name="20% - Акцент1 11 2" xfId="808"/>
    <cellStyle name="20% — акцент1 12" xfId="809"/>
    <cellStyle name="20% — акцент1 13" xfId="810"/>
    <cellStyle name="20% — акцент1 14" xfId="811"/>
    <cellStyle name="20% — акцент1 15" xfId="812"/>
    <cellStyle name="20% — акцент1 16" xfId="813"/>
    <cellStyle name="20% — акцент1 17" xfId="814"/>
    <cellStyle name="20% — акцент1 18" xfId="815"/>
    <cellStyle name="20% — акцент1 19" xfId="816"/>
    <cellStyle name="20% - Акцент1 2" xfId="817"/>
    <cellStyle name="20% — акцент1 2" xfId="818"/>
    <cellStyle name="20% - Акцент1 2 10" xfId="819"/>
    <cellStyle name="20% — акцент1 2 10" xfId="7012"/>
    <cellStyle name="20% - Акцент1 2 10 10" xfId="8633"/>
    <cellStyle name="20% - Акцент1 2 10 11" xfId="8778"/>
    <cellStyle name="20% - Акцент1 2 10 12" xfId="9764"/>
    <cellStyle name="20% - Акцент1 2 10 13" xfId="10679"/>
    <cellStyle name="20% - Акцент1 2 10 14" xfId="11313"/>
    <cellStyle name="20% - Акцент1 2 10 15" xfId="11548"/>
    <cellStyle name="20% - Акцент1 2 10 16" xfId="11783"/>
    <cellStyle name="20% - Акцент1 2 10 17" xfId="12018"/>
    <cellStyle name="20% - Акцент1 2 10 18" xfId="12253"/>
    <cellStyle name="20% - Акцент1 2 10 19" xfId="12488"/>
    <cellStyle name="20% - Акцент1 2 10 2" xfId="4528"/>
    <cellStyle name="20% - Акцент1 2 10 20" xfId="12723"/>
    <cellStyle name="20% - Акцент1 2 10 21" xfId="12958"/>
    <cellStyle name="20% - Акцент1 2 10 22" xfId="13193"/>
    <cellStyle name="20% - Акцент1 2 10 23" xfId="13428"/>
    <cellStyle name="20% - Акцент1 2 10 24" xfId="13663"/>
    <cellStyle name="20% - Акцент1 2 10 25" xfId="13897"/>
    <cellStyle name="20% - Акцент1 2 10 26" xfId="14123"/>
    <cellStyle name="20% - Акцент1 2 10 27" xfId="14349"/>
    <cellStyle name="20% - Акцент1 2 10 28" xfId="14569"/>
    <cellStyle name="20% - Акцент1 2 10 29" xfId="14791"/>
    <cellStyle name="20% - Акцент1 2 10 3" xfId="7214"/>
    <cellStyle name="20% - Акцент1 2 10 30" xfId="14987"/>
    <cellStyle name="20% - Акцент1 2 10 31" xfId="15183"/>
    <cellStyle name="20% - Акцент1 2 10 32" xfId="15327"/>
    <cellStyle name="20% - Акцент1 2 10 33" xfId="15471"/>
    <cellStyle name="20% - Акцент1 2 10 4" xfId="7423"/>
    <cellStyle name="20% - Акцент1 2 10 5" xfId="7650"/>
    <cellStyle name="20% - Акцент1 2 10 6" xfId="7872"/>
    <cellStyle name="20% - Акцент1 2 10 7" xfId="8094"/>
    <cellStyle name="20% - Акцент1 2 10 8" xfId="8291"/>
    <cellStyle name="20% - Акцент1 2 10 9" xfId="8488"/>
    <cellStyle name="20% - Акцент1 2 11" xfId="4526"/>
    <cellStyle name="20% — акцент1 2 11" xfId="7215"/>
    <cellStyle name="20% - Акцент1 2 12" xfId="5355"/>
    <cellStyle name="20% — акцент1 2 12" xfId="7424"/>
    <cellStyle name="20% - Акцент1 2 13" xfId="6201"/>
    <cellStyle name="20% — акцент1 2 13" xfId="7651"/>
    <cellStyle name="20% - Акцент1 2 14" xfId="6292"/>
    <cellStyle name="20% — акцент1 2 14" xfId="7873"/>
    <cellStyle name="20% - Акцент1 2 15" xfId="6401"/>
    <cellStyle name="20% — акцент1 2 15" xfId="8095"/>
    <cellStyle name="20% - Акцент1 2 16" xfId="6528"/>
    <cellStyle name="20% — акцент1 2 16" xfId="8292"/>
    <cellStyle name="20% - Акцент1 2 17" xfId="6673"/>
    <cellStyle name="20% — акцент1 2 17" xfId="8489"/>
    <cellStyle name="20% - Акцент1 2 18" xfId="6836"/>
    <cellStyle name="20% — акцент1 2 18" xfId="8634"/>
    <cellStyle name="20% - Акцент1 2 19" xfId="7013"/>
    <cellStyle name="20% — акцент1 2 19" xfId="8779"/>
    <cellStyle name="20% - Акцент1 2 2" xfId="820"/>
    <cellStyle name="20% — акцент1 2 2" xfId="4527"/>
    <cellStyle name="20% - Акцент1 2 2 10" xfId="6833"/>
    <cellStyle name="20% - Акцент1 2 2 11" xfId="7010"/>
    <cellStyle name="20% - Акцент1 2 2 12" xfId="7213"/>
    <cellStyle name="20% - Акцент1 2 2 13" xfId="7422"/>
    <cellStyle name="20% - Акцент1 2 2 14" xfId="7649"/>
    <cellStyle name="20% - Акцент1 2 2 15" xfId="7871"/>
    <cellStyle name="20% - Акцент1 2 2 16" xfId="8093"/>
    <cellStyle name="20% - Акцент1 2 2 17" xfId="8290"/>
    <cellStyle name="20% - Акцент1 2 2 18" xfId="8487"/>
    <cellStyle name="20% - Акцент1 2 2 19" xfId="8632"/>
    <cellStyle name="20% - Акцент1 2 2 2" xfId="821"/>
    <cellStyle name="20% - Акцент1 2 2 20" xfId="8777"/>
    <cellStyle name="20% - Акцент1 2 2 21" xfId="8789"/>
    <cellStyle name="20% - Акцент1 2 2 22" xfId="8995"/>
    <cellStyle name="20% - Акцент1 2 2 23" xfId="9240"/>
    <cellStyle name="20% - Акцент1 2 2 24" xfId="9374"/>
    <cellStyle name="20% - Акцент1 2 2 25" xfId="9463"/>
    <cellStyle name="20% - Акцент1 2 2 26" xfId="9551"/>
    <cellStyle name="20% - Акцент1 2 2 27" xfId="9627"/>
    <cellStyle name="20% - Акцент1 2 2 28" xfId="9662"/>
    <cellStyle name="20% - Акцент1 2 2 29" xfId="9755"/>
    <cellStyle name="20% - Акцент1 2 2 3" xfId="4529"/>
    <cellStyle name="20% - Акцент1 2 2 30" xfId="9765"/>
    <cellStyle name="20% - Акцент1 2 2 31" xfId="10678"/>
    <cellStyle name="20% - Акцент1 2 2 32" xfId="11312"/>
    <cellStyle name="20% - Акцент1 2 2 33" xfId="11547"/>
    <cellStyle name="20% - Акцент1 2 2 34" xfId="11782"/>
    <cellStyle name="20% - Акцент1 2 2 35" xfId="12017"/>
    <cellStyle name="20% - Акцент1 2 2 36" xfId="12252"/>
    <cellStyle name="20% - Акцент1 2 2 37" xfId="12487"/>
    <cellStyle name="20% - Акцент1 2 2 38" xfId="12722"/>
    <cellStyle name="20% - Акцент1 2 2 39" xfId="12957"/>
    <cellStyle name="20% - Акцент1 2 2 4" xfId="5352"/>
    <cellStyle name="20% - Акцент1 2 2 40" xfId="13192"/>
    <cellStyle name="20% - Акцент1 2 2 41" xfId="13427"/>
    <cellStyle name="20% - Акцент1 2 2 42" xfId="13662"/>
    <cellStyle name="20% - Акцент1 2 2 43" xfId="13896"/>
    <cellStyle name="20% - Акцент1 2 2 44" xfId="14122"/>
    <cellStyle name="20% - Акцент1 2 2 45" xfId="14348"/>
    <cellStyle name="20% - Акцент1 2 2 46" xfId="14568"/>
    <cellStyle name="20% - Акцент1 2 2 47" xfId="14790"/>
    <cellStyle name="20% - Акцент1 2 2 48" xfId="14986"/>
    <cellStyle name="20% - Акцент1 2 2 49" xfId="15182"/>
    <cellStyle name="20% - Акцент1 2 2 5" xfId="6198"/>
    <cellStyle name="20% - Акцент1 2 2 50" xfId="15326"/>
    <cellStyle name="20% - Акцент1 2 2 51" xfId="15470"/>
    <cellStyle name="20% - Акцент1 2 2 52" xfId="15480"/>
    <cellStyle name="20% - Акцент1 2 2 53" xfId="15668"/>
    <cellStyle name="20% - Акцент1 2 2 54" xfId="15744"/>
    <cellStyle name="20% - Акцент1 2 2 6" xfId="6289"/>
    <cellStyle name="20% - Акцент1 2 2 7" xfId="6398"/>
    <cellStyle name="20% - Акцент1 2 2 8" xfId="6525"/>
    <cellStyle name="20% - Акцент1 2 2 9" xfId="6670"/>
    <cellStyle name="20% - Акцент1 2 20" xfId="7216"/>
    <cellStyle name="20% — акцент1 2 20" xfId="8788"/>
    <cellStyle name="20% - Акцент1 2 21" xfId="7425"/>
    <cellStyle name="20% — акцент1 2 21" xfId="8996"/>
    <cellStyle name="20% - Акцент1 2 22" xfId="7652"/>
    <cellStyle name="20% — акцент1 2 22" xfId="9241"/>
    <cellStyle name="20% - Акцент1 2 23" xfId="7874"/>
    <cellStyle name="20% — акцент1 2 23" xfId="9375"/>
    <cellStyle name="20% - Акцент1 2 24" xfId="8096"/>
    <cellStyle name="20% — акцент1 2 24" xfId="9464"/>
    <cellStyle name="20% - Акцент1 2 25" xfId="8293"/>
    <cellStyle name="20% — акцент1 2 25" xfId="9552"/>
    <cellStyle name="20% - Акцент1 2 26" xfId="8490"/>
    <cellStyle name="20% — акцент1 2 26" xfId="9628"/>
    <cellStyle name="20% - Акцент1 2 27" xfId="8635"/>
    <cellStyle name="20% — акцент1 2 27" xfId="9663"/>
    <cellStyle name="20% - Акцент1 2 28" xfId="8780"/>
    <cellStyle name="20% — акцент1 2 28" xfId="9756"/>
    <cellStyle name="20% - Акцент1 2 29" xfId="8787"/>
    <cellStyle name="20% — акцент1 2 29" xfId="9763"/>
    <cellStyle name="20% - Акцент1 2 3" xfId="822"/>
    <cellStyle name="20% — акцент1 2 3" xfId="5354"/>
    <cellStyle name="20% - Акцент1 2 3 10" xfId="7009"/>
    <cellStyle name="20% - Акцент1 2 3 11" xfId="7212"/>
    <cellStyle name="20% - Акцент1 2 3 12" xfId="7421"/>
    <cellStyle name="20% - Акцент1 2 3 13" xfId="7648"/>
    <cellStyle name="20% - Акцент1 2 3 14" xfId="7870"/>
    <cellStyle name="20% - Акцент1 2 3 15" xfId="8092"/>
    <cellStyle name="20% - Акцент1 2 3 16" xfId="8289"/>
    <cellStyle name="20% - Акцент1 2 3 17" xfId="8486"/>
    <cellStyle name="20% - Акцент1 2 3 18" xfId="8631"/>
    <cellStyle name="20% - Акцент1 2 3 19" xfId="8776"/>
    <cellStyle name="20% - Акцент1 2 3 2" xfId="823"/>
    <cellStyle name="20% - Акцент1 2 3 20" xfId="9766"/>
    <cellStyle name="20% - Акцент1 2 3 21" xfId="10670"/>
    <cellStyle name="20% - Акцент1 2 3 22" xfId="11311"/>
    <cellStyle name="20% - Акцент1 2 3 23" xfId="11546"/>
    <cellStyle name="20% - Акцент1 2 3 24" xfId="11781"/>
    <cellStyle name="20% - Акцент1 2 3 25" xfId="12016"/>
    <cellStyle name="20% - Акцент1 2 3 26" xfId="12251"/>
    <cellStyle name="20% - Акцент1 2 3 27" xfId="12486"/>
    <cellStyle name="20% - Акцент1 2 3 28" xfId="12721"/>
    <cellStyle name="20% - Акцент1 2 3 29" xfId="12956"/>
    <cellStyle name="20% - Акцент1 2 3 3" xfId="4530"/>
    <cellStyle name="20% - Акцент1 2 3 30" xfId="13191"/>
    <cellStyle name="20% - Акцент1 2 3 31" xfId="13426"/>
    <cellStyle name="20% - Акцент1 2 3 32" xfId="13661"/>
    <cellStyle name="20% - Акцент1 2 3 33" xfId="13895"/>
    <cellStyle name="20% - Акцент1 2 3 34" xfId="14121"/>
    <cellStyle name="20% - Акцент1 2 3 35" xfId="14347"/>
    <cellStyle name="20% - Акцент1 2 3 36" xfId="14567"/>
    <cellStyle name="20% - Акцент1 2 3 37" xfId="14789"/>
    <cellStyle name="20% - Акцент1 2 3 38" xfId="14985"/>
    <cellStyle name="20% - Акцент1 2 3 39" xfId="15181"/>
    <cellStyle name="20% - Акцент1 2 3 4" xfId="6197"/>
    <cellStyle name="20% - Акцент1 2 3 40" xfId="15325"/>
    <cellStyle name="20% - Акцент1 2 3 41" xfId="15469"/>
    <cellStyle name="20% - Акцент1 2 3 5" xfId="6288"/>
    <cellStyle name="20% - Акцент1 2 3 6" xfId="6397"/>
    <cellStyle name="20% - Акцент1 2 3 7" xfId="6524"/>
    <cellStyle name="20% - Акцент1 2 3 8" xfId="6669"/>
    <cellStyle name="20% - Акцент1 2 3 9" xfId="6832"/>
    <cellStyle name="20% - Акцент1 2 30" xfId="8997"/>
    <cellStyle name="20% — акцент1 2 30" xfId="10681"/>
    <cellStyle name="20% - Акцент1 2 31" xfId="9242"/>
    <cellStyle name="20% — акцент1 2 31" xfId="11314"/>
    <cellStyle name="20% - Акцент1 2 32" xfId="9376"/>
    <cellStyle name="20% — акцент1 2 32" xfId="11549"/>
    <cellStyle name="20% - Акцент1 2 33" xfId="9465"/>
    <cellStyle name="20% — акцент1 2 33" xfId="11784"/>
    <cellStyle name="20% - Акцент1 2 34" xfId="9553"/>
    <cellStyle name="20% — акцент1 2 34" xfId="12019"/>
    <cellStyle name="20% - Акцент1 2 35" xfId="9629"/>
    <cellStyle name="20% — акцент1 2 35" xfId="12254"/>
    <cellStyle name="20% - Акцент1 2 36" xfId="9664"/>
    <cellStyle name="20% — акцент1 2 36" xfId="12489"/>
    <cellStyle name="20% - Акцент1 2 37" xfId="9757"/>
    <cellStyle name="20% — акцент1 2 37" xfId="12724"/>
    <cellStyle name="20% - Акцент1 2 38" xfId="9762"/>
    <cellStyle name="20% — акцент1 2 38" xfId="12959"/>
    <cellStyle name="20% - Акцент1 2 39" xfId="10689"/>
    <cellStyle name="20% — акцент1 2 39" xfId="13194"/>
    <cellStyle name="20% - Акцент1 2 4" xfId="824"/>
    <cellStyle name="20% — акцент1 2 4" xfId="6200"/>
    <cellStyle name="20% - Акцент1 2 4 10" xfId="7420"/>
    <cellStyle name="20% - Акцент1 2 4 11" xfId="7647"/>
    <cellStyle name="20% - Акцент1 2 4 12" xfId="7869"/>
    <cellStyle name="20% - Акцент1 2 4 13" xfId="8091"/>
    <cellStyle name="20% - Акцент1 2 4 14" xfId="8288"/>
    <cellStyle name="20% - Акцент1 2 4 15" xfId="8485"/>
    <cellStyle name="20% - Акцент1 2 4 16" xfId="8630"/>
    <cellStyle name="20% - Акцент1 2 4 17" xfId="8775"/>
    <cellStyle name="20% - Акцент1 2 4 18" xfId="9767"/>
    <cellStyle name="20% - Акцент1 2 4 19" xfId="10668"/>
    <cellStyle name="20% - Акцент1 2 4 2" xfId="4531"/>
    <cellStyle name="20% - Акцент1 2 4 20" xfId="11310"/>
    <cellStyle name="20% - Акцент1 2 4 21" xfId="11545"/>
    <cellStyle name="20% - Акцент1 2 4 22" xfId="11780"/>
    <cellStyle name="20% - Акцент1 2 4 23" xfId="12015"/>
    <cellStyle name="20% - Акцент1 2 4 24" xfId="12250"/>
    <cellStyle name="20% - Акцент1 2 4 25" xfId="12485"/>
    <cellStyle name="20% - Акцент1 2 4 26" xfId="12720"/>
    <cellStyle name="20% - Акцент1 2 4 27" xfId="12955"/>
    <cellStyle name="20% - Акцент1 2 4 28" xfId="13190"/>
    <cellStyle name="20% - Акцент1 2 4 29" xfId="13425"/>
    <cellStyle name="20% - Акцент1 2 4 3" xfId="6287"/>
    <cellStyle name="20% - Акцент1 2 4 30" xfId="13660"/>
    <cellStyle name="20% - Акцент1 2 4 31" xfId="13894"/>
    <cellStyle name="20% - Акцент1 2 4 32" xfId="14120"/>
    <cellStyle name="20% - Акцент1 2 4 33" xfId="14346"/>
    <cellStyle name="20% - Акцент1 2 4 34" xfId="14566"/>
    <cellStyle name="20% - Акцент1 2 4 35" xfId="14788"/>
    <cellStyle name="20% - Акцент1 2 4 36" xfId="14984"/>
    <cellStyle name="20% - Акцент1 2 4 37" xfId="15180"/>
    <cellStyle name="20% - Акцент1 2 4 38" xfId="15324"/>
    <cellStyle name="20% - Акцент1 2 4 39" xfId="15468"/>
    <cellStyle name="20% - Акцент1 2 4 4" xfId="6396"/>
    <cellStyle name="20% - Акцент1 2 4 5" xfId="6523"/>
    <cellStyle name="20% - Акцент1 2 4 6" xfId="6668"/>
    <cellStyle name="20% - Акцент1 2 4 7" xfId="6831"/>
    <cellStyle name="20% - Акцент1 2 4 8" xfId="7008"/>
    <cellStyle name="20% - Акцент1 2 4 9" xfId="7211"/>
    <cellStyle name="20% - Акцент1 2 40" xfId="11315"/>
    <cellStyle name="20% — акцент1 2 40" xfId="13429"/>
    <cellStyle name="20% - Акцент1 2 41" xfId="11550"/>
    <cellStyle name="20% — акцент1 2 41" xfId="13664"/>
    <cellStyle name="20% - Акцент1 2 42" xfId="11785"/>
    <cellStyle name="20% — акцент1 2 42" xfId="13898"/>
    <cellStyle name="20% - Акцент1 2 43" xfId="12020"/>
    <cellStyle name="20% — акцент1 2 43" xfId="14124"/>
    <cellStyle name="20% - Акцент1 2 44" xfId="12255"/>
    <cellStyle name="20% — акцент1 2 44" xfId="14350"/>
    <cellStyle name="20% - Акцент1 2 45" xfId="12490"/>
    <cellStyle name="20% — акцент1 2 45" xfId="14570"/>
    <cellStyle name="20% - Акцент1 2 46" xfId="12725"/>
    <cellStyle name="20% — акцент1 2 46" xfId="14792"/>
    <cellStyle name="20% - Акцент1 2 47" xfId="12960"/>
    <cellStyle name="20% — акцент1 2 47" xfId="14988"/>
    <cellStyle name="20% - Акцент1 2 48" xfId="13195"/>
    <cellStyle name="20% — акцент1 2 48" xfId="15184"/>
    <cellStyle name="20% - Акцент1 2 49" xfId="13430"/>
    <cellStyle name="20% — акцент1 2 49" xfId="15328"/>
    <cellStyle name="20% - Акцент1 2 5" xfId="825"/>
    <cellStyle name="20% — акцент1 2 5" xfId="6291"/>
    <cellStyle name="20% - Акцент1 2 5 10" xfId="7646"/>
    <cellStyle name="20% - Акцент1 2 5 11" xfId="7868"/>
    <cellStyle name="20% - Акцент1 2 5 12" xfId="8090"/>
    <cellStyle name="20% - Акцент1 2 5 13" xfId="8287"/>
    <cellStyle name="20% - Акцент1 2 5 14" xfId="8484"/>
    <cellStyle name="20% - Акцент1 2 5 15" xfId="8629"/>
    <cellStyle name="20% - Акцент1 2 5 16" xfId="8774"/>
    <cellStyle name="20% - Акцент1 2 5 17" xfId="9768"/>
    <cellStyle name="20% - Акцент1 2 5 18" xfId="10660"/>
    <cellStyle name="20% - Акцент1 2 5 19" xfId="11309"/>
    <cellStyle name="20% - Акцент1 2 5 2" xfId="4532"/>
    <cellStyle name="20% - Акцент1 2 5 20" xfId="11544"/>
    <cellStyle name="20% - Акцент1 2 5 21" xfId="11779"/>
    <cellStyle name="20% - Акцент1 2 5 22" xfId="12014"/>
    <cellStyle name="20% - Акцент1 2 5 23" xfId="12249"/>
    <cellStyle name="20% - Акцент1 2 5 24" xfId="12484"/>
    <cellStyle name="20% - Акцент1 2 5 25" xfId="12719"/>
    <cellStyle name="20% - Акцент1 2 5 26" xfId="12954"/>
    <cellStyle name="20% - Акцент1 2 5 27" xfId="13189"/>
    <cellStyle name="20% - Акцент1 2 5 28" xfId="13424"/>
    <cellStyle name="20% - Акцент1 2 5 29" xfId="13659"/>
    <cellStyle name="20% - Акцент1 2 5 3" xfId="6395"/>
    <cellStyle name="20% - Акцент1 2 5 30" xfId="13893"/>
    <cellStyle name="20% - Акцент1 2 5 31" xfId="14119"/>
    <cellStyle name="20% - Акцент1 2 5 32" xfId="14345"/>
    <cellStyle name="20% - Акцент1 2 5 33" xfId="14565"/>
    <cellStyle name="20% - Акцент1 2 5 34" xfId="14787"/>
    <cellStyle name="20% - Акцент1 2 5 35" xfId="14983"/>
    <cellStyle name="20% - Акцент1 2 5 36" xfId="15179"/>
    <cellStyle name="20% - Акцент1 2 5 37" xfId="15323"/>
    <cellStyle name="20% - Акцент1 2 5 38" xfId="15467"/>
    <cellStyle name="20% - Акцент1 2 5 4" xfId="6522"/>
    <cellStyle name="20% - Акцент1 2 5 5" xfId="6667"/>
    <cellStyle name="20% - Акцент1 2 5 6" xfId="6830"/>
    <cellStyle name="20% - Акцент1 2 5 7" xfId="7007"/>
    <cellStyle name="20% - Акцент1 2 5 8" xfId="7210"/>
    <cellStyle name="20% - Акцент1 2 5 9" xfId="7419"/>
    <cellStyle name="20% - Акцент1 2 50" xfId="13665"/>
    <cellStyle name="20% — акцент1 2 50" xfId="15472"/>
    <cellStyle name="20% - Акцент1 2 51" xfId="13899"/>
    <cellStyle name="20% — акцент1 2 51" xfId="15479"/>
    <cellStyle name="20% - Акцент1 2 52" xfId="14125"/>
    <cellStyle name="20% — акцент1 2 52" xfId="15669"/>
    <cellStyle name="20% - Акцент1 2 53" xfId="14351"/>
    <cellStyle name="20% — акцент1 2 53" xfId="15745"/>
    <cellStyle name="20% - Акцент1 2 54" xfId="14571"/>
    <cellStyle name="20% - Акцент1 2 55" xfId="14793"/>
    <cellStyle name="20% - Акцент1 2 56" xfId="14989"/>
    <cellStyle name="20% - Акцент1 2 57" xfId="15185"/>
    <cellStyle name="20% - Акцент1 2 58" xfId="15329"/>
    <cellStyle name="20% - Акцент1 2 59" xfId="15473"/>
    <cellStyle name="20% - Акцент1 2 6" xfId="826"/>
    <cellStyle name="20% — акцент1 2 6" xfId="6400"/>
    <cellStyle name="20% - Акцент1 2 6 10" xfId="7867"/>
    <cellStyle name="20% - Акцент1 2 6 11" xfId="8089"/>
    <cellStyle name="20% - Акцент1 2 6 12" xfId="8286"/>
    <cellStyle name="20% - Акцент1 2 6 13" xfId="8483"/>
    <cellStyle name="20% - Акцент1 2 6 14" xfId="8628"/>
    <cellStyle name="20% - Акцент1 2 6 15" xfId="8773"/>
    <cellStyle name="20% - Акцент1 2 6 16" xfId="9769"/>
    <cellStyle name="20% - Акцент1 2 6 17" xfId="10658"/>
    <cellStyle name="20% - Акцент1 2 6 18" xfId="11308"/>
    <cellStyle name="20% - Акцент1 2 6 19" xfId="11543"/>
    <cellStyle name="20% - Акцент1 2 6 2" xfId="4533"/>
    <cellStyle name="20% - Акцент1 2 6 20" xfId="11778"/>
    <cellStyle name="20% - Акцент1 2 6 21" xfId="12013"/>
    <cellStyle name="20% - Акцент1 2 6 22" xfId="12248"/>
    <cellStyle name="20% - Акцент1 2 6 23" xfId="12483"/>
    <cellStyle name="20% - Акцент1 2 6 24" xfId="12718"/>
    <cellStyle name="20% - Акцент1 2 6 25" xfId="12953"/>
    <cellStyle name="20% - Акцент1 2 6 26" xfId="13188"/>
    <cellStyle name="20% - Акцент1 2 6 27" xfId="13423"/>
    <cellStyle name="20% - Акцент1 2 6 28" xfId="13658"/>
    <cellStyle name="20% - Акцент1 2 6 29" xfId="13892"/>
    <cellStyle name="20% - Акцент1 2 6 3" xfId="6521"/>
    <cellStyle name="20% - Акцент1 2 6 30" xfId="14118"/>
    <cellStyle name="20% - Акцент1 2 6 31" xfId="14344"/>
    <cellStyle name="20% - Акцент1 2 6 32" xfId="14564"/>
    <cellStyle name="20% - Акцент1 2 6 33" xfId="14786"/>
    <cellStyle name="20% - Акцент1 2 6 34" xfId="14982"/>
    <cellStyle name="20% - Акцент1 2 6 35" xfId="15178"/>
    <cellStyle name="20% - Акцент1 2 6 36" xfId="15322"/>
    <cellStyle name="20% - Акцент1 2 6 37" xfId="15466"/>
    <cellStyle name="20% - Акцент1 2 6 4" xfId="6666"/>
    <cellStyle name="20% - Акцент1 2 6 5" xfId="6829"/>
    <cellStyle name="20% - Акцент1 2 6 6" xfId="7006"/>
    <cellStyle name="20% - Акцент1 2 6 7" xfId="7209"/>
    <cellStyle name="20% - Акцент1 2 6 8" xfId="7418"/>
    <cellStyle name="20% - Акцент1 2 6 9" xfId="7645"/>
    <cellStyle name="20% - Акцент1 2 60" xfId="15478"/>
    <cellStyle name="20% - Акцент1 2 61" xfId="15670"/>
    <cellStyle name="20% - Акцент1 2 62" xfId="15746"/>
    <cellStyle name="20% - Акцент1 2 7" xfId="827"/>
    <cellStyle name="20% — акцент1 2 7" xfId="6527"/>
    <cellStyle name="20% - Акцент1 2 7 10" xfId="8088"/>
    <cellStyle name="20% - Акцент1 2 7 11" xfId="8285"/>
    <cellStyle name="20% - Акцент1 2 7 12" xfId="8482"/>
    <cellStyle name="20% - Акцент1 2 7 13" xfId="8627"/>
    <cellStyle name="20% - Акцент1 2 7 14" xfId="8772"/>
    <cellStyle name="20% - Акцент1 2 7 15" xfId="9770"/>
    <cellStyle name="20% - Акцент1 2 7 16" xfId="10657"/>
    <cellStyle name="20% - Акцент1 2 7 17" xfId="11307"/>
    <cellStyle name="20% - Акцент1 2 7 18" xfId="11542"/>
    <cellStyle name="20% - Акцент1 2 7 19" xfId="11777"/>
    <cellStyle name="20% - Акцент1 2 7 2" xfId="4534"/>
    <cellStyle name="20% - Акцент1 2 7 20" xfId="12012"/>
    <cellStyle name="20% - Акцент1 2 7 21" xfId="12247"/>
    <cellStyle name="20% - Акцент1 2 7 22" xfId="12482"/>
    <cellStyle name="20% - Акцент1 2 7 23" xfId="12717"/>
    <cellStyle name="20% - Акцент1 2 7 24" xfId="12952"/>
    <cellStyle name="20% - Акцент1 2 7 25" xfId="13187"/>
    <cellStyle name="20% - Акцент1 2 7 26" xfId="13422"/>
    <cellStyle name="20% - Акцент1 2 7 27" xfId="13657"/>
    <cellStyle name="20% - Акцент1 2 7 28" xfId="13891"/>
    <cellStyle name="20% - Акцент1 2 7 29" xfId="14117"/>
    <cellStyle name="20% - Акцент1 2 7 3" xfId="6665"/>
    <cellStyle name="20% - Акцент1 2 7 30" xfId="14343"/>
    <cellStyle name="20% - Акцент1 2 7 31" xfId="14563"/>
    <cellStyle name="20% - Акцент1 2 7 32" xfId="14785"/>
    <cellStyle name="20% - Акцент1 2 7 33" xfId="14981"/>
    <cellStyle name="20% - Акцент1 2 7 34" xfId="15177"/>
    <cellStyle name="20% - Акцент1 2 7 35" xfId="15321"/>
    <cellStyle name="20% - Акцент1 2 7 36" xfId="15465"/>
    <cellStyle name="20% - Акцент1 2 7 4" xfId="6828"/>
    <cellStyle name="20% - Акцент1 2 7 5" xfId="7005"/>
    <cellStyle name="20% - Акцент1 2 7 6" xfId="7208"/>
    <cellStyle name="20% - Акцент1 2 7 7" xfId="7417"/>
    <cellStyle name="20% - Акцент1 2 7 8" xfId="7644"/>
    <cellStyle name="20% - Акцент1 2 7 9" xfId="7866"/>
    <cellStyle name="20% - Акцент1 2 8" xfId="828"/>
    <cellStyle name="20% — акцент1 2 8" xfId="6672"/>
    <cellStyle name="20% - Акцент1 2 8 10" xfId="8284"/>
    <cellStyle name="20% - Акцент1 2 8 11" xfId="8481"/>
    <cellStyle name="20% - Акцент1 2 8 12" xfId="8626"/>
    <cellStyle name="20% - Акцент1 2 8 13" xfId="8771"/>
    <cellStyle name="20% - Акцент1 2 8 14" xfId="9771"/>
    <cellStyle name="20% - Акцент1 2 8 15" xfId="10649"/>
    <cellStyle name="20% - Акцент1 2 8 16" xfId="11306"/>
    <cellStyle name="20% - Акцент1 2 8 17" xfId="11541"/>
    <cellStyle name="20% - Акцент1 2 8 18" xfId="11776"/>
    <cellStyle name="20% - Акцент1 2 8 19" xfId="12011"/>
    <cellStyle name="20% - Акцент1 2 8 2" xfId="4535"/>
    <cellStyle name="20% - Акцент1 2 8 20" xfId="12246"/>
    <cellStyle name="20% - Акцент1 2 8 21" xfId="12481"/>
    <cellStyle name="20% - Акцент1 2 8 22" xfId="12716"/>
    <cellStyle name="20% - Акцент1 2 8 23" xfId="12951"/>
    <cellStyle name="20% - Акцент1 2 8 24" xfId="13186"/>
    <cellStyle name="20% - Акцент1 2 8 25" xfId="13421"/>
    <cellStyle name="20% - Акцент1 2 8 26" xfId="13656"/>
    <cellStyle name="20% - Акцент1 2 8 27" xfId="13890"/>
    <cellStyle name="20% - Акцент1 2 8 28" xfId="14116"/>
    <cellStyle name="20% - Акцент1 2 8 29" xfId="14342"/>
    <cellStyle name="20% - Акцент1 2 8 3" xfId="6827"/>
    <cellStyle name="20% - Акцент1 2 8 30" xfId="14562"/>
    <cellStyle name="20% - Акцент1 2 8 31" xfId="14784"/>
    <cellStyle name="20% - Акцент1 2 8 32" xfId="14980"/>
    <cellStyle name="20% - Акцент1 2 8 33" xfId="15176"/>
    <cellStyle name="20% - Акцент1 2 8 34" xfId="15320"/>
    <cellStyle name="20% - Акцент1 2 8 35" xfId="15464"/>
    <cellStyle name="20% - Акцент1 2 8 4" xfId="7004"/>
    <cellStyle name="20% - Акцент1 2 8 5" xfId="7207"/>
    <cellStyle name="20% - Акцент1 2 8 6" xfId="7416"/>
    <cellStyle name="20% - Акцент1 2 8 7" xfId="7643"/>
    <cellStyle name="20% - Акцент1 2 8 8" xfId="7865"/>
    <cellStyle name="20% - Акцент1 2 8 9" xfId="8087"/>
    <cellStyle name="20% - Акцент1 2 9" xfId="829"/>
    <cellStyle name="20% — акцент1 2 9" xfId="6835"/>
    <cellStyle name="20% - Акцент1 2 9 10" xfId="8480"/>
    <cellStyle name="20% - Акцент1 2 9 11" xfId="8625"/>
    <cellStyle name="20% - Акцент1 2 9 12" xfId="8770"/>
    <cellStyle name="20% - Акцент1 2 9 13" xfId="9772"/>
    <cellStyle name="20% - Акцент1 2 9 14" xfId="10647"/>
    <cellStyle name="20% - Акцент1 2 9 15" xfId="11305"/>
    <cellStyle name="20% - Акцент1 2 9 16" xfId="11540"/>
    <cellStyle name="20% - Акцент1 2 9 17" xfId="11775"/>
    <cellStyle name="20% - Акцент1 2 9 18" xfId="12010"/>
    <cellStyle name="20% - Акцент1 2 9 19" xfId="12245"/>
    <cellStyle name="20% - Акцент1 2 9 2" xfId="4536"/>
    <cellStyle name="20% - Акцент1 2 9 20" xfId="12480"/>
    <cellStyle name="20% - Акцент1 2 9 21" xfId="12715"/>
    <cellStyle name="20% - Акцент1 2 9 22" xfId="12950"/>
    <cellStyle name="20% - Акцент1 2 9 23" xfId="13185"/>
    <cellStyle name="20% - Акцент1 2 9 24" xfId="13420"/>
    <cellStyle name="20% - Акцент1 2 9 25" xfId="13655"/>
    <cellStyle name="20% - Акцент1 2 9 26" xfId="13889"/>
    <cellStyle name="20% - Акцент1 2 9 27" xfId="14115"/>
    <cellStyle name="20% - Акцент1 2 9 28" xfId="14341"/>
    <cellStyle name="20% - Акцент1 2 9 29" xfId="14561"/>
    <cellStyle name="20% - Акцент1 2 9 3" xfId="7003"/>
    <cellStyle name="20% - Акцент1 2 9 30" xfId="14783"/>
    <cellStyle name="20% - Акцент1 2 9 31" xfId="14979"/>
    <cellStyle name="20% - Акцент1 2 9 32" xfId="15175"/>
    <cellStyle name="20% - Акцент1 2 9 33" xfId="15319"/>
    <cellStyle name="20% - Акцент1 2 9 34" xfId="15463"/>
    <cellStyle name="20% - Акцент1 2 9 4" xfId="7206"/>
    <cellStyle name="20% - Акцент1 2 9 5" xfId="7415"/>
    <cellStyle name="20% - Акцент1 2 9 6" xfId="7642"/>
    <cellStyle name="20% - Акцент1 2 9 7" xfId="7864"/>
    <cellStyle name="20% - Акцент1 2 9 8" xfId="8086"/>
    <cellStyle name="20% - Акцент1 2 9 9" xfId="8283"/>
    <cellStyle name="20% - Акцент1 2_46EE.2011(v1.0)" xfId="830"/>
    <cellStyle name="20% — акцент1 20" xfId="831"/>
    <cellStyle name="20% — акцент1 21" xfId="832"/>
    <cellStyle name="20% — акцент1 22" xfId="4525"/>
    <cellStyle name="20% — акцент1 23" xfId="5356"/>
    <cellStyle name="20% — акцент1 24" xfId="6202"/>
    <cellStyle name="20% — акцент1 25" xfId="6293"/>
    <cellStyle name="20% — акцент1 26" xfId="6402"/>
    <cellStyle name="20% — акцент1 27" xfId="6529"/>
    <cellStyle name="20% — акцент1 28" xfId="6674"/>
    <cellStyle name="20% — акцент1 29" xfId="6837"/>
    <cellStyle name="20% - Акцент1 3" xfId="833"/>
    <cellStyle name="20% — акцент1 3" xfId="834"/>
    <cellStyle name="20% - Акцент1 3 10" xfId="835"/>
    <cellStyle name="20% - Акцент1 3 10 2" xfId="4538"/>
    <cellStyle name="20% - Акцент1 3 10 3" xfId="9774"/>
    <cellStyle name="20% - Акцент1 3 11" xfId="836"/>
    <cellStyle name="20% - Акцент1 3 12" xfId="4537"/>
    <cellStyle name="20% - Акцент1 3 13" xfId="5344"/>
    <cellStyle name="20% - Акцент1 3 14" xfId="6190"/>
    <cellStyle name="20% - Акцент1 3 15" xfId="6281"/>
    <cellStyle name="20% - Акцент1 3 16" xfId="6390"/>
    <cellStyle name="20% - Акцент1 3 17" xfId="6517"/>
    <cellStyle name="20% - Акцент1 3 18" xfId="6662"/>
    <cellStyle name="20% - Акцент1 3 19" xfId="6825"/>
    <cellStyle name="20% - Акцент1 3 2" xfId="837"/>
    <cellStyle name="20% - Акцент1 3 2 2" xfId="838"/>
    <cellStyle name="20% - Акцент1 3 2 3" xfId="4539"/>
    <cellStyle name="20% - Акцент1 3 2 4" xfId="8791"/>
    <cellStyle name="20% - Акцент1 3 20" xfId="7002"/>
    <cellStyle name="20% - Акцент1 3 21" xfId="7205"/>
    <cellStyle name="20% - Акцент1 3 22" xfId="7414"/>
    <cellStyle name="20% - Акцент1 3 23" xfId="7641"/>
    <cellStyle name="20% - Акцент1 3 24" xfId="7863"/>
    <cellStyle name="20% - Акцент1 3 25" xfId="8085"/>
    <cellStyle name="20% - Акцент1 3 26" xfId="8282"/>
    <cellStyle name="20% - Акцент1 3 27" xfId="8479"/>
    <cellStyle name="20% - Акцент1 3 28" xfId="8624"/>
    <cellStyle name="20% - Акцент1 3 29" xfId="8769"/>
    <cellStyle name="20% - Акцент1 3 3" xfId="839"/>
    <cellStyle name="20% - Акцент1 3 3 2" xfId="840"/>
    <cellStyle name="20% - Акцент1 3 3 3" xfId="4540"/>
    <cellStyle name="20% - Акцент1 3 3 4" xfId="9776"/>
    <cellStyle name="20% - Акцент1 3 30" xfId="8790"/>
    <cellStyle name="20% - Акцент1 3 31" xfId="8994"/>
    <cellStyle name="20% - Акцент1 3 32" xfId="9239"/>
    <cellStyle name="20% - Акцент1 3 33" xfId="9373"/>
    <cellStyle name="20% - Акцент1 3 34" xfId="9462"/>
    <cellStyle name="20% - Акцент1 3 35" xfId="9550"/>
    <cellStyle name="20% - Акцент1 3 36" xfId="9626"/>
    <cellStyle name="20% - Акцент1 3 37" xfId="9661"/>
    <cellStyle name="20% - Акцент1 3 38" xfId="9754"/>
    <cellStyle name="20% - Акцент1 3 39" xfId="9773"/>
    <cellStyle name="20% - Акцент1 3 4" xfId="841"/>
    <cellStyle name="20% - Акцент1 3 4 2" xfId="4541"/>
    <cellStyle name="20% - Акцент1 3 4 3" xfId="9777"/>
    <cellStyle name="20% - Акцент1 3 40" xfId="10639"/>
    <cellStyle name="20% - Акцент1 3 41" xfId="11304"/>
    <cellStyle name="20% - Акцент1 3 42" xfId="11539"/>
    <cellStyle name="20% - Акцент1 3 43" xfId="11774"/>
    <cellStyle name="20% - Акцент1 3 44" xfId="12009"/>
    <cellStyle name="20% - Акцент1 3 45" xfId="12244"/>
    <cellStyle name="20% - Акцент1 3 46" xfId="12479"/>
    <cellStyle name="20% - Акцент1 3 47" xfId="12714"/>
    <cellStyle name="20% - Акцент1 3 48" xfId="12949"/>
    <cellStyle name="20% - Акцент1 3 49" xfId="13184"/>
    <cellStyle name="20% - Акцент1 3 5" xfId="842"/>
    <cellStyle name="20% - Акцент1 3 5 2" xfId="4542"/>
    <cellStyle name="20% - Акцент1 3 5 3" xfId="9778"/>
    <cellStyle name="20% - Акцент1 3 50" xfId="13419"/>
    <cellStyle name="20% - Акцент1 3 51" xfId="13654"/>
    <cellStyle name="20% - Акцент1 3 52" xfId="13888"/>
    <cellStyle name="20% - Акцент1 3 53" xfId="14114"/>
    <cellStyle name="20% - Акцент1 3 54" xfId="14340"/>
    <cellStyle name="20% - Акцент1 3 55" xfId="14560"/>
    <cellStyle name="20% - Акцент1 3 56" xfId="14782"/>
    <cellStyle name="20% - Акцент1 3 57" xfId="14978"/>
    <cellStyle name="20% - Акцент1 3 58" xfId="15174"/>
    <cellStyle name="20% - Акцент1 3 59" xfId="15318"/>
    <cellStyle name="20% - Акцент1 3 6" xfId="843"/>
    <cellStyle name="20% - Акцент1 3 6 2" xfId="4543"/>
    <cellStyle name="20% - Акцент1 3 6 3" xfId="9779"/>
    <cellStyle name="20% - Акцент1 3 60" xfId="15462"/>
    <cellStyle name="20% - Акцент1 3 61" xfId="15481"/>
    <cellStyle name="20% - Акцент1 3 62" xfId="15667"/>
    <cellStyle name="20% - Акцент1 3 63" xfId="15743"/>
    <cellStyle name="20% - Акцент1 3 7" xfId="844"/>
    <cellStyle name="20% - Акцент1 3 7 2" xfId="4544"/>
    <cellStyle name="20% - Акцент1 3 7 3" xfId="9780"/>
    <cellStyle name="20% - Акцент1 3 8" xfId="845"/>
    <cellStyle name="20% - Акцент1 3 8 2" xfId="4545"/>
    <cellStyle name="20% - Акцент1 3 8 3" xfId="9781"/>
    <cellStyle name="20% - Акцент1 3 9" xfId="846"/>
    <cellStyle name="20% - Акцент1 3 9 2" xfId="4546"/>
    <cellStyle name="20% - Акцент1 3 9 3" xfId="9782"/>
    <cellStyle name="20% - Акцент1 3_46EE.2011(v1.0)" xfId="847"/>
    <cellStyle name="20% — акцент1 30" xfId="7014"/>
    <cellStyle name="20% — акцент1 31" xfId="7217"/>
    <cellStyle name="20% — акцент1 32" xfId="7426"/>
    <cellStyle name="20% — акцент1 33" xfId="7653"/>
    <cellStyle name="20% — акцент1 34" xfId="7875"/>
    <cellStyle name="20% — акцент1 35" xfId="8097"/>
    <cellStyle name="20% — акцент1 36" xfId="8294"/>
    <cellStyle name="20% — акцент1 37" xfId="8491"/>
    <cellStyle name="20% — акцент1 38" xfId="8636"/>
    <cellStyle name="20% — акцент1 39" xfId="8781"/>
    <cellStyle name="20% - Акцент1 4" xfId="848"/>
    <cellStyle name="20% — акцент1 4" xfId="849"/>
    <cellStyle name="20% - Акцент1 4 2" xfId="850"/>
    <cellStyle name="20% - Акцент1 4 2 2" xfId="851"/>
    <cellStyle name="20% - Акцент1 4 3" xfId="852"/>
    <cellStyle name="20% - Акцент1 4 3 2" xfId="853"/>
    <cellStyle name="20% - Акцент1 4_46EE.2011(v1.0)" xfId="854"/>
    <cellStyle name="20% — акцент1 40" xfId="8786"/>
    <cellStyle name="20% — акцент1 41" xfId="9010"/>
    <cellStyle name="20% — акцент1 42" xfId="9243"/>
    <cellStyle name="20% — акцент1 43" xfId="9377"/>
    <cellStyle name="20% — акцент1 44" xfId="9466"/>
    <cellStyle name="20% — акцент1 45" xfId="9554"/>
    <cellStyle name="20% — акцент1 46" xfId="9630"/>
    <cellStyle name="20% — акцент1 47" xfId="9665"/>
    <cellStyle name="20% — акцент1 48" xfId="9758"/>
    <cellStyle name="20% — акцент1 49" xfId="9761"/>
    <cellStyle name="20% - Акцент1 5" xfId="855"/>
    <cellStyle name="20% — акцент1 5" xfId="856"/>
    <cellStyle name="20% - Акцент1 5 2" xfId="857"/>
    <cellStyle name="20% - Акцент1 5 2 2" xfId="858"/>
    <cellStyle name="20% - Акцент1 5 3" xfId="859"/>
    <cellStyle name="20% - Акцент1 5 3 2" xfId="860"/>
    <cellStyle name="20% - Акцент1 5_46EE.2011(v1.0)" xfId="861"/>
    <cellStyle name="20% — акцент1 50" xfId="10691"/>
    <cellStyle name="20% — акцент1 51" xfId="11316"/>
    <cellStyle name="20% — акцент1 52" xfId="11551"/>
    <cellStyle name="20% — акцент1 53" xfId="11786"/>
    <cellStyle name="20% — акцент1 54" xfId="12021"/>
    <cellStyle name="20% — акцент1 55" xfId="12256"/>
    <cellStyle name="20% — акцент1 56" xfId="12491"/>
    <cellStyle name="20% — акцент1 57" xfId="12726"/>
    <cellStyle name="20% — акцент1 58" xfId="12961"/>
    <cellStyle name="20% — акцент1 59" xfId="13196"/>
    <cellStyle name="20% - Акцент1 6" xfId="862"/>
    <cellStyle name="20% — акцент1 6" xfId="863"/>
    <cellStyle name="20% - Акцент1 6 2" xfId="864"/>
    <cellStyle name="20% - Акцент1 6 2 2" xfId="865"/>
    <cellStyle name="20% - Акцент1 6 3" xfId="866"/>
    <cellStyle name="20% - Акцент1 6 3 2" xfId="867"/>
    <cellStyle name="20% - Акцент1 6_46EE.2011(v1.0)" xfId="868"/>
    <cellStyle name="20% — акцент1 60" xfId="13431"/>
    <cellStyle name="20% — акцент1 61" xfId="13666"/>
    <cellStyle name="20% — акцент1 62" xfId="13900"/>
    <cellStyle name="20% — акцент1 63" xfId="14126"/>
    <cellStyle name="20% — акцент1 64" xfId="14352"/>
    <cellStyle name="20% — акцент1 65" xfId="14572"/>
    <cellStyle name="20% — акцент1 66" xfId="14794"/>
    <cellStyle name="20% — акцент1 67" xfId="14990"/>
    <cellStyle name="20% — акцент1 68" xfId="15186"/>
    <cellStyle name="20% — акцент1 69" xfId="15330"/>
    <cellStyle name="20% - Акцент1 7" xfId="869"/>
    <cellStyle name="20% — акцент1 7" xfId="870"/>
    <cellStyle name="20% - Акцент1 7 2" xfId="871"/>
    <cellStyle name="20% - Акцент1 7 2 2" xfId="872"/>
    <cellStyle name="20% - Акцент1 7 3" xfId="873"/>
    <cellStyle name="20% - Акцент1 7 3 2" xfId="874"/>
    <cellStyle name="20% - Акцент1 7_46EE.2011(v1.0)" xfId="875"/>
    <cellStyle name="20% — акцент1 70" xfId="15474"/>
    <cellStyle name="20% — акцент1 71" xfId="15477"/>
    <cellStyle name="20% — акцент1 72" xfId="15671"/>
    <cellStyle name="20% — акцент1 73" xfId="15747"/>
    <cellStyle name="20% - Акцент1 8" xfId="876"/>
    <cellStyle name="20% — акцент1 8" xfId="877"/>
    <cellStyle name="20% - Акцент1 8 2" xfId="878"/>
    <cellStyle name="20% - Акцент1 8 2 2" xfId="879"/>
    <cellStyle name="20% - Акцент1 8 3" xfId="880"/>
    <cellStyle name="20% - Акцент1 8 3 2" xfId="881"/>
    <cellStyle name="20% - Акцент1 8 4" xfId="882"/>
    <cellStyle name="20% - Акцент1 8_46EE.2011(v1.0)" xfId="883"/>
    <cellStyle name="20% - Акцент1 9" xfId="884"/>
    <cellStyle name="20% — акцент1 9" xfId="885"/>
    <cellStyle name="20% - Акцент1 9 2" xfId="886"/>
    <cellStyle name="20% - Акцент1 9 2 2" xfId="887"/>
    <cellStyle name="20% - Акцент1 9 3" xfId="888"/>
    <cellStyle name="20% - Акцент1 9 3 2" xfId="889"/>
    <cellStyle name="20% - Акцент1 9 4" xfId="890"/>
    <cellStyle name="20% - Акцент1 9_46EE.2011(v1.0)" xfId="891"/>
    <cellStyle name="20% — акцент1_Расчет тарифа на тэ 2015 СЛФ" xfId="892"/>
    <cellStyle name="20% — акцент2" xfId="893"/>
    <cellStyle name="20% - Акцент2 10" xfId="894"/>
    <cellStyle name="20% — акцент2 10" xfId="895"/>
    <cellStyle name="20% - Акцент2 10 2" xfId="896"/>
    <cellStyle name="20% - Акцент2 11" xfId="897"/>
    <cellStyle name="20% — акцент2 11" xfId="898"/>
    <cellStyle name="20% - Акцент2 11 2" xfId="899"/>
    <cellStyle name="20% — акцент2 12" xfId="900"/>
    <cellStyle name="20% — акцент2 13" xfId="901"/>
    <cellStyle name="20% — акцент2 14" xfId="902"/>
    <cellStyle name="20% — акцент2 15" xfId="903"/>
    <cellStyle name="20% — акцент2 16" xfId="904"/>
    <cellStyle name="20% — акцент2 17" xfId="905"/>
    <cellStyle name="20% — акцент2 18" xfId="906"/>
    <cellStyle name="20% — акцент2 19" xfId="907"/>
    <cellStyle name="20% - Акцент2 2" xfId="908"/>
    <cellStyle name="20% — акцент2 2" xfId="909"/>
    <cellStyle name="20% - Акцент2 2 10" xfId="910"/>
    <cellStyle name="20% — акцент2 2 10" xfId="6990"/>
    <cellStyle name="20% - Акцент2 2 10 10" xfId="8620"/>
    <cellStyle name="20% - Акцент2 2 10 11" xfId="8765"/>
    <cellStyle name="20% - Акцент2 2 10 12" xfId="9786"/>
    <cellStyle name="20% - Акцент2 2 10 13" xfId="10589"/>
    <cellStyle name="20% - Акцент2 2 10 14" xfId="11291"/>
    <cellStyle name="20% - Акцент2 2 10 15" xfId="11526"/>
    <cellStyle name="20% - Акцент2 2 10 16" xfId="11761"/>
    <cellStyle name="20% - Акцент2 2 10 17" xfId="11996"/>
    <cellStyle name="20% - Акцент2 2 10 18" xfId="12231"/>
    <cellStyle name="20% - Акцент2 2 10 19" xfId="12466"/>
    <cellStyle name="20% - Акцент2 2 10 2" xfId="4550"/>
    <cellStyle name="20% - Акцент2 2 10 20" xfId="12701"/>
    <cellStyle name="20% - Акцент2 2 10 21" xfId="12936"/>
    <cellStyle name="20% - Акцент2 2 10 22" xfId="13171"/>
    <cellStyle name="20% - Акцент2 2 10 23" xfId="13406"/>
    <cellStyle name="20% - Акцент2 2 10 24" xfId="13641"/>
    <cellStyle name="20% - Акцент2 2 10 25" xfId="13875"/>
    <cellStyle name="20% - Акцент2 2 10 26" xfId="14104"/>
    <cellStyle name="20% - Акцент2 2 10 27" xfId="14332"/>
    <cellStyle name="20% - Акцент2 2 10 28" xfId="14553"/>
    <cellStyle name="20% - Акцент2 2 10 29" xfId="14773"/>
    <cellStyle name="20% - Акцент2 2 10 3" xfId="7192"/>
    <cellStyle name="20% - Акцент2 2 10 30" xfId="14974"/>
    <cellStyle name="20% - Акцент2 2 10 31" xfId="15168"/>
    <cellStyle name="20% - Акцент2 2 10 32" xfId="15314"/>
    <cellStyle name="20% - Акцент2 2 10 33" xfId="15458"/>
    <cellStyle name="20% - Акцент2 2 10 4" xfId="7405"/>
    <cellStyle name="20% - Акцент2 2 10 5" xfId="7632"/>
    <cellStyle name="20% - Акцент2 2 10 6" xfId="7855"/>
    <cellStyle name="20% - Акцент2 2 10 7" xfId="8077"/>
    <cellStyle name="20% - Акцент2 2 10 8" xfId="8277"/>
    <cellStyle name="20% - Акцент2 2 10 9" xfId="8474"/>
    <cellStyle name="20% - Акцент2 2 11" xfId="4548"/>
    <cellStyle name="20% — акцент2 2 11" xfId="7193"/>
    <cellStyle name="20% - Акцент2 2 12" xfId="5331"/>
    <cellStyle name="20% — акцент2 2 12" xfId="7406"/>
    <cellStyle name="20% - Акцент2 2 13" xfId="6179"/>
    <cellStyle name="20% — акцент2 2 13" xfId="7633"/>
    <cellStyle name="20% - Акцент2 2 14" xfId="6270"/>
    <cellStyle name="20% — акцент2 2 14" xfId="7856"/>
    <cellStyle name="20% - Акцент2 2 15" xfId="6379"/>
    <cellStyle name="20% — акцент2 2 15" xfId="8078"/>
    <cellStyle name="20% - Акцент2 2 16" xfId="6506"/>
    <cellStyle name="20% — акцент2 2 16" xfId="8278"/>
    <cellStyle name="20% - Акцент2 2 17" xfId="6651"/>
    <cellStyle name="20% — акцент2 2 17" xfId="8475"/>
    <cellStyle name="20% - Акцент2 2 18" xfId="6814"/>
    <cellStyle name="20% — акцент2 2 18" xfId="8621"/>
    <cellStyle name="20% - Акцент2 2 19" xfId="6991"/>
    <cellStyle name="20% — акцент2 2 19" xfId="8766"/>
    <cellStyle name="20% - Акцент2 2 2" xfId="911"/>
    <cellStyle name="20% — акцент2 2 2" xfId="4549"/>
    <cellStyle name="20% - Акцент2 2 2 10" xfId="6811"/>
    <cellStyle name="20% - Акцент2 2 2 11" xfId="6988"/>
    <cellStyle name="20% - Акцент2 2 2 12" xfId="7191"/>
    <cellStyle name="20% - Акцент2 2 2 13" xfId="7404"/>
    <cellStyle name="20% - Акцент2 2 2 14" xfId="7631"/>
    <cellStyle name="20% - Акцент2 2 2 15" xfId="7854"/>
    <cellStyle name="20% - Акцент2 2 2 16" xfId="8076"/>
    <cellStyle name="20% - Акцент2 2 2 17" xfId="8276"/>
    <cellStyle name="20% - Акцент2 2 2 18" xfId="8473"/>
    <cellStyle name="20% - Акцент2 2 2 19" xfId="8619"/>
    <cellStyle name="20% - Акцент2 2 2 2" xfId="912"/>
    <cellStyle name="20% - Акцент2 2 2 20" xfId="8764"/>
    <cellStyle name="20% - Акцент2 2 2 21" xfId="8795"/>
    <cellStyle name="20% - Акцент2 2 2 22" xfId="8989"/>
    <cellStyle name="20% - Акцент2 2 2 23" xfId="9234"/>
    <cellStyle name="20% - Акцент2 2 2 24" xfId="9368"/>
    <cellStyle name="20% - Акцент2 2 2 25" xfId="9457"/>
    <cellStyle name="20% - Акцент2 2 2 26" xfId="9546"/>
    <cellStyle name="20% - Акцент2 2 2 27" xfId="9622"/>
    <cellStyle name="20% - Акцент2 2 2 28" xfId="9657"/>
    <cellStyle name="20% - Акцент2 2 2 29" xfId="9750"/>
    <cellStyle name="20% - Акцент2 2 2 3" xfId="4551"/>
    <cellStyle name="20% - Акцент2 2 2 30" xfId="9787"/>
    <cellStyle name="20% - Акцент2 2 2 31" xfId="10588"/>
    <cellStyle name="20% - Акцент2 2 2 32" xfId="11290"/>
    <cellStyle name="20% - Акцент2 2 2 33" xfId="11525"/>
    <cellStyle name="20% - Акцент2 2 2 34" xfId="11760"/>
    <cellStyle name="20% - Акцент2 2 2 35" xfId="11995"/>
    <cellStyle name="20% - Акцент2 2 2 36" xfId="12230"/>
    <cellStyle name="20% - Акцент2 2 2 37" xfId="12465"/>
    <cellStyle name="20% - Акцент2 2 2 38" xfId="12700"/>
    <cellStyle name="20% - Акцент2 2 2 39" xfId="12935"/>
    <cellStyle name="20% - Акцент2 2 2 4" xfId="5328"/>
    <cellStyle name="20% - Акцент2 2 2 40" xfId="13170"/>
    <cellStyle name="20% - Акцент2 2 2 41" xfId="13405"/>
    <cellStyle name="20% - Акцент2 2 2 42" xfId="13640"/>
    <cellStyle name="20% - Акцент2 2 2 43" xfId="13874"/>
    <cellStyle name="20% - Акцент2 2 2 44" xfId="14103"/>
    <cellStyle name="20% - Акцент2 2 2 45" xfId="14331"/>
    <cellStyle name="20% - Акцент2 2 2 46" xfId="14552"/>
    <cellStyle name="20% - Акцент2 2 2 47" xfId="14772"/>
    <cellStyle name="20% - Акцент2 2 2 48" xfId="14973"/>
    <cellStyle name="20% - Акцент2 2 2 49" xfId="15167"/>
    <cellStyle name="20% - Акцент2 2 2 5" xfId="6176"/>
    <cellStyle name="20% - Акцент2 2 2 50" xfId="15313"/>
    <cellStyle name="20% - Акцент2 2 2 51" xfId="15457"/>
    <cellStyle name="20% - Акцент2 2 2 52" xfId="15486"/>
    <cellStyle name="20% - Акцент2 2 2 53" xfId="15663"/>
    <cellStyle name="20% - Акцент2 2 2 54" xfId="15739"/>
    <cellStyle name="20% - Акцент2 2 2 6" xfId="6267"/>
    <cellStyle name="20% - Акцент2 2 2 7" xfId="6376"/>
    <cellStyle name="20% - Акцент2 2 2 8" xfId="6503"/>
    <cellStyle name="20% - Акцент2 2 2 9" xfId="6648"/>
    <cellStyle name="20% - Акцент2 2 20" xfId="7194"/>
    <cellStyle name="20% — акцент2 2 20" xfId="8794"/>
    <cellStyle name="20% - Акцент2 2 21" xfId="7407"/>
    <cellStyle name="20% — акцент2 2 21" xfId="8990"/>
    <cellStyle name="20% - Акцент2 2 22" xfId="7634"/>
    <cellStyle name="20% — акцент2 2 22" xfId="9235"/>
    <cellStyle name="20% - Акцент2 2 23" xfId="7857"/>
    <cellStyle name="20% — акцент2 2 23" xfId="9369"/>
    <cellStyle name="20% - Акцент2 2 24" xfId="8079"/>
    <cellStyle name="20% — акцент2 2 24" xfId="9458"/>
    <cellStyle name="20% - Акцент2 2 25" xfId="8279"/>
    <cellStyle name="20% — акцент2 2 25" xfId="9547"/>
    <cellStyle name="20% - Акцент2 2 26" xfId="8476"/>
    <cellStyle name="20% — акцент2 2 26" xfId="9623"/>
    <cellStyle name="20% - Акцент2 2 27" xfId="8622"/>
    <cellStyle name="20% — акцент2 2 27" xfId="9658"/>
    <cellStyle name="20% - Акцент2 2 28" xfId="8767"/>
    <cellStyle name="20% — акцент2 2 28" xfId="9751"/>
    <cellStyle name="20% - Акцент2 2 29" xfId="8793"/>
    <cellStyle name="20% — акцент2 2 29" xfId="9785"/>
    <cellStyle name="20% - Акцент2 2 3" xfId="913"/>
    <cellStyle name="20% — акцент2 2 3" xfId="5330"/>
    <cellStyle name="20% - Акцент2 2 3 10" xfId="6987"/>
    <cellStyle name="20% - Акцент2 2 3 11" xfId="7190"/>
    <cellStyle name="20% - Акцент2 2 3 12" xfId="7403"/>
    <cellStyle name="20% - Акцент2 2 3 13" xfId="7630"/>
    <cellStyle name="20% - Акцент2 2 3 14" xfId="7853"/>
    <cellStyle name="20% - Акцент2 2 3 15" xfId="8075"/>
    <cellStyle name="20% - Акцент2 2 3 16" xfId="8275"/>
    <cellStyle name="20% - Акцент2 2 3 17" xfId="8472"/>
    <cellStyle name="20% - Акцент2 2 3 18" xfId="8618"/>
    <cellStyle name="20% - Акцент2 2 3 19" xfId="8763"/>
    <cellStyle name="20% - Акцент2 2 3 2" xfId="914"/>
    <cellStyle name="20% - Акцент2 2 3 20" xfId="9788"/>
    <cellStyle name="20% - Акцент2 2 3 21" xfId="10587"/>
    <cellStyle name="20% - Акцент2 2 3 22" xfId="11289"/>
    <cellStyle name="20% - Акцент2 2 3 23" xfId="11524"/>
    <cellStyle name="20% - Акцент2 2 3 24" xfId="11759"/>
    <cellStyle name="20% - Акцент2 2 3 25" xfId="11994"/>
    <cellStyle name="20% - Акцент2 2 3 26" xfId="12229"/>
    <cellStyle name="20% - Акцент2 2 3 27" xfId="12464"/>
    <cellStyle name="20% - Акцент2 2 3 28" xfId="12699"/>
    <cellStyle name="20% - Акцент2 2 3 29" xfId="12934"/>
    <cellStyle name="20% - Акцент2 2 3 3" xfId="4552"/>
    <cellStyle name="20% - Акцент2 2 3 30" xfId="13169"/>
    <cellStyle name="20% - Акцент2 2 3 31" xfId="13404"/>
    <cellStyle name="20% - Акцент2 2 3 32" xfId="13639"/>
    <cellStyle name="20% - Акцент2 2 3 33" xfId="13873"/>
    <cellStyle name="20% - Акцент2 2 3 34" xfId="14102"/>
    <cellStyle name="20% - Акцент2 2 3 35" xfId="14330"/>
    <cellStyle name="20% - Акцент2 2 3 36" xfId="14551"/>
    <cellStyle name="20% - Акцент2 2 3 37" xfId="14771"/>
    <cellStyle name="20% - Акцент2 2 3 38" xfId="14972"/>
    <cellStyle name="20% - Акцент2 2 3 39" xfId="15166"/>
    <cellStyle name="20% - Акцент2 2 3 4" xfId="6175"/>
    <cellStyle name="20% - Акцент2 2 3 40" xfId="15312"/>
    <cellStyle name="20% - Акцент2 2 3 41" xfId="15456"/>
    <cellStyle name="20% - Акцент2 2 3 5" xfId="6266"/>
    <cellStyle name="20% - Акцент2 2 3 6" xfId="6375"/>
    <cellStyle name="20% - Акцент2 2 3 7" xfId="6502"/>
    <cellStyle name="20% - Акцент2 2 3 8" xfId="6647"/>
    <cellStyle name="20% - Акцент2 2 3 9" xfId="6810"/>
    <cellStyle name="20% - Акцент2 2 30" xfId="8991"/>
    <cellStyle name="20% — акцент2 2 30" xfId="10593"/>
    <cellStyle name="20% - Акцент2 2 31" xfId="9236"/>
    <cellStyle name="20% — акцент2 2 31" xfId="11292"/>
    <cellStyle name="20% - Акцент2 2 32" xfId="9370"/>
    <cellStyle name="20% — акцент2 2 32" xfId="11527"/>
    <cellStyle name="20% - Акцент2 2 33" xfId="9459"/>
    <cellStyle name="20% — акцент2 2 33" xfId="11762"/>
    <cellStyle name="20% - Акцент2 2 34" xfId="9548"/>
    <cellStyle name="20% — акцент2 2 34" xfId="11997"/>
    <cellStyle name="20% - Акцент2 2 35" xfId="9624"/>
    <cellStyle name="20% — акцент2 2 35" xfId="12232"/>
    <cellStyle name="20% - Акцент2 2 36" xfId="9659"/>
    <cellStyle name="20% — акцент2 2 36" xfId="12467"/>
    <cellStyle name="20% - Акцент2 2 37" xfId="9752"/>
    <cellStyle name="20% — акцент2 2 37" xfId="12702"/>
    <cellStyle name="20% - Акцент2 2 38" xfId="9784"/>
    <cellStyle name="20% — акцент2 2 38" xfId="12937"/>
    <cellStyle name="20% - Акцент2 2 39" xfId="10594"/>
    <cellStyle name="20% — акцент2 2 39" xfId="13172"/>
    <cellStyle name="20% - Акцент2 2 4" xfId="915"/>
    <cellStyle name="20% — акцент2 2 4" xfId="6178"/>
    <cellStyle name="20% - Акцент2 2 4 10" xfId="7402"/>
    <cellStyle name="20% - Акцент2 2 4 11" xfId="7629"/>
    <cellStyle name="20% - Акцент2 2 4 12" xfId="7852"/>
    <cellStyle name="20% - Акцент2 2 4 13" xfId="8074"/>
    <cellStyle name="20% - Акцент2 2 4 14" xfId="8274"/>
    <cellStyle name="20% - Акцент2 2 4 15" xfId="8471"/>
    <cellStyle name="20% - Акцент2 2 4 16" xfId="8617"/>
    <cellStyle name="20% - Акцент2 2 4 17" xfId="8762"/>
    <cellStyle name="20% - Акцент2 2 4 18" xfId="9789"/>
    <cellStyle name="20% - Акцент2 2 4 19" xfId="10579"/>
    <cellStyle name="20% - Акцент2 2 4 2" xfId="4553"/>
    <cellStyle name="20% - Акцент2 2 4 20" xfId="11288"/>
    <cellStyle name="20% - Акцент2 2 4 21" xfId="11523"/>
    <cellStyle name="20% - Акцент2 2 4 22" xfId="11758"/>
    <cellStyle name="20% - Акцент2 2 4 23" xfId="11993"/>
    <cellStyle name="20% - Акцент2 2 4 24" xfId="12228"/>
    <cellStyle name="20% - Акцент2 2 4 25" xfId="12463"/>
    <cellStyle name="20% - Акцент2 2 4 26" xfId="12698"/>
    <cellStyle name="20% - Акцент2 2 4 27" xfId="12933"/>
    <cellStyle name="20% - Акцент2 2 4 28" xfId="13168"/>
    <cellStyle name="20% - Акцент2 2 4 29" xfId="13403"/>
    <cellStyle name="20% - Акцент2 2 4 3" xfId="6265"/>
    <cellStyle name="20% - Акцент2 2 4 30" xfId="13638"/>
    <cellStyle name="20% - Акцент2 2 4 31" xfId="13872"/>
    <cellStyle name="20% - Акцент2 2 4 32" xfId="14101"/>
    <cellStyle name="20% - Акцент2 2 4 33" xfId="14329"/>
    <cellStyle name="20% - Акцент2 2 4 34" xfId="14550"/>
    <cellStyle name="20% - Акцент2 2 4 35" xfId="14770"/>
    <cellStyle name="20% - Акцент2 2 4 36" xfId="14971"/>
    <cellStyle name="20% - Акцент2 2 4 37" xfId="15165"/>
    <cellStyle name="20% - Акцент2 2 4 38" xfId="15311"/>
    <cellStyle name="20% - Акцент2 2 4 39" xfId="15455"/>
    <cellStyle name="20% - Акцент2 2 4 4" xfId="6374"/>
    <cellStyle name="20% - Акцент2 2 4 5" xfId="6501"/>
    <cellStyle name="20% - Акцент2 2 4 6" xfId="6646"/>
    <cellStyle name="20% - Акцент2 2 4 7" xfId="6809"/>
    <cellStyle name="20% - Акцент2 2 4 8" xfId="6986"/>
    <cellStyle name="20% - Акцент2 2 4 9" xfId="7189"/>
    <cellStyle name="20% - Акцент2 2 40" xfId="11293"/>
    <cellStyle name="20% — акцент2 2 40" xfId="13407"/>
    <cellStyle name="20% - Акцент2 2 41" xfId="11528"/>
    <cellStyle name="20% — акцент2 2 41" xfId="13642"/>
    <cellStyle name="20% - Акцент2 2 42" xfId="11763"/>
    <cellStyle name="20% — акцент2 2 42" xfId="13876"/>
    <cellStyle name="20% - Акцент2 2 43" xfId="11998"/>
    <cellStyle name="20% — акцент2 2 43" xfId="14105"/>
    <cellStyle name="20% - Акцент2 2 44" xfId="12233"/>
    <cellStyle name="20% — акцент2 2 44" xfId="14333"/>
    <cellStyle name="20% - Акцент2 2 45" xfId="12468"/>
    <cellStyle name="20% — акцент2 2 45" xfId="14554"/>
    <cellStyle name="20% - Акцент2 2 46" xfId="12703"/>
    <cellStyle name="20% — акцент2 2 46" xfId="14774"/>
    <cellStyle name="20% - Акцент2 2 47" xfId="12938"/>
    <cellStyle name="20% — акцент2 2 47" xfId="14975"/>
    <cellStyle name="20% - Акцент2 2 48" xfId="13173"/>
    <cellStyle name="20% — акцент2 2 48" xfId="15169"/>
    <cellStyle name="20% - Акцент2 2 49" xfId="13408"/>
    <cellStyle name="20% — акцент2 2 49" xfId="15315"/>
    <cellStyle name="20% - Акцент2 2 5" xfId="916"/>
    <cellStyle name="20% — акцент2 2 5" xfId="6269"/>
    <cellStyle name="20% - Акцент2 2 5 10" xfId="7628"/>
    <cellStyle name="20% - Акцент2 2 5 11" xfId="7851"/>
    <cellStyle name="20% - Акцент2 2 5 12" xfId="8073"/>
    <cellStyle name="20% - Акцент2 2 5 13" xfId="8273"/>
    <cellStyle name="20% - Акцент2 2 5 14" xfId="8470"/>
    <cellStyle name="20% - Акцент2 2 5 15" xfId="8616"/>
    <cellStyle name="20% - Акцент2 2 5 16" xfId="8761"/>
    <cellStyle name="20% - Акцент2 2 5 17" xfId="9790"/>
    <cellStyle name="20% - Акцент2 2 5 18" xfId="10578"/>
    <cellStyle name="20% - Акцент2 2 5 19" xfId="11287"/>
    <cellStyle name="20% - Акцент2 2 5 2" xfId="4554"/>
    <cellStyle name="20% - Акцент2 2 5 20" xfId="11522"/>
    <cellStyle name="20% - Акцент2 2 5 21" xfId="11757"/>
    <cellStyle name="20% - Акцент2 2 5 22" xfId="11992"/>
    <cellStyle name="20% - Акцент2 2 5 23" xfId="12227"/>
    <cellStyle name="20% - Акцент2 2 5 24" xfId="12462"/>
    <cellStyle name="20% - Акцент2 2 5 25" xfId="12697"/>
    <cellStyle name="20% - Акцент2 2 5 26" xfId="12932"/>
    <cellStyle name="20% - Акцент2 2 5 27" xfId="13167"/>
    <cellStyle name="20% - Акцент2 2 5 28" xfId="13402"/>
    <cellStyle name="20% - Акцент2 2 5 29" xfId="13637"/>
    <cellStyle name="20% - Акцент2 2 5 3" xfId="6373"/>
    <cellStyle name="20% - Акцент2 2 5 30" xfId="13871"/>
    <cellStyle name="20% - Акцент2 2 5 31" xfId="14100"/>
    <cellStyle name="20% - Акцент2 2 5 32" xfId="14328"/>
    <cellStyle name="20% - Акцент2 2 5 33" xfId="14549"/>
    <cellStyle name="20% - Акцент2 2 5 34" xfId="14769"/>
    <cellStyle name="20% - Акцент2 2 5 35" xfId="14970"/>
    <cellStyle name="20% - Акцент2 2 5 36" xfId="15164"/>
    <cellStyle name="20% - Акцент2 2 5 37" xfId="15310"/>
    <cellStyle name="20% - Акцент2 2 5 38" xfId="15454"/>
    <cellStyle name="20% - Акцент2 2 5 4" xfId="6500"/>
    <cellStyle name="20% - Акцент2 2 5 5" xfId="6645"/>
    <cellStyle name="20% - Акцент2 2 5 6" xfId="6808"/>
    <cellStyle name="20% - Акцент2 2 5 7" xfId="6985"/>
    <cellStyle name="20% - Акцент2 2 5 8" xfId="7188"/>
    <cellStyle name="20% - Акцент2 2 5 9" xfId="7401"/>
    <cellStyle name="20% - Акцент2 2 50" xfId="13643"/>
    <cellStyle name="20% — акцент2 2 50" xfId="15459"/>
    <cellStyle name="20% - Акцент2 2 51" xfId="13877"/>
    <cellStyle name="20% — акцент2 2 51" xfId="15485"/>
    <cellStyle name="20% - Акцент2 2 52" xfId="14106"/>
    <cellStyle name="20% — акцент2 2 52" xfId="15664"/>
    <cellStyle name="20% - Акцент2 2 53" xfId="14334"/>
    <cellStyle name="20% — акцент2 2 53" xfId="15740"/>
    <cellStyle name="20% - Акцент2 2 54" xfId="14555"/>
    <cellStyle name="20% - Акцент2 2 55" xfId="14775"/>
    <cellStyle name="20% - Акцент2 2 56" xfId="14976"/>
    <cellStyle name="20% - Акцент2 2 57" xfId="15170"/>
    <cellStyle name="20% - Акцент2 2 58" xfId="15316"/>
    <cellStyle name="20% - Акцент2 2 59" xfId="15460"/>
    <cellStyle name="20% - Акцент2 2 6" xfId="917"/>
    <cellStyle name="20% — акцент2 2 6" xfId="6378"/>
    <cellStyle name="20% - Акцент2 2 6 10" xfId="7850"/>
    <cellStyle name="20% - Акцент2 2 6 11" xfId="8072"/>
    <cellStyle name="20% - Акцент2 2 6 12" xfId="8272"/>
    <cellStyle name="20% - Акцент2 2 6 13" xfId="8469"/>
    <cellStyle name="20% - Акцент2 2 6 14" xfId="8615"/>
    <cellStyle name="20% - Акцент2 2 6 15" xfId="8760"/>
    <cellStyle name="20% - Акцент2 2 6 16" xfId="9791"/>
    <cellStyle name="20% - Акцент2 2 6 17" xfId="10577"/>
    <cellStyle name="20% - Акцент2 2 6 18" xfId="11286"/>
    <cellStyle name="20% - Акцент2 2 6 19" xfId="11521"/>
    <cellStyle name="20% - Акцент2 2 6 2" xfId="4555"/>
    <cellStyle name="20% - Акцент2 2 6 20" xfId="11756"/>
    <cellStyle name="20% - Акцент2 2 6 21" xfId="11991"/>
    <cellStyle name="20% - Акцент2 2 6 22" xfId="12226"/>
    <cellStyle name="20% - Акцент2 2 6 23" xfId="12461"/>
    <cellStyle name="20% - Акцент2 2 6 24" xfId="12696"/>
    <cellStyle name="20% - Акцент2 2 6 25" xfId="12931"/>
    <cellStyle name="20% - Акцент2 2 6 26" xfId="13166"/>
    <cellStyle name="20% - Акцент2 2 6 27" xfId="13401"/>
    <cellStyle name="20% - Акцент2 2 6 28" xfId="13636"/>
    <cellStyle name="20% - Акцент2 2 6 29" xfId="13870"/>
    <cellStyle name="20% - Акцент2 2 6 3" xfId="6499"/>
    <cellStyle name="20% - Акцент2 2 6 30" xfId="14099"/>
    <cellStyle name="20% - Акцент2 2 6 31" xfId="14327"/>
    <cellStyle name="20% - Акцент2 2 6 32" xfId="14548"/>
    <cellStyle name="20% - Акцент2 2 6 33" xfId="14768"/>
    <cellStyle name="20% - Акцент2 2 6 34" xfId="14969"/>
    <cellStyle name="20% - Акцент2 2 6 35" xfId="15163"/>
    <cellStyle name="20% - Акцент2 2 6 36" xfId="15309"/>
    <cellStyle name="20% - Акцент2 2 6 37" xfId="15453"/>
    <cellStyle name="20% - Акцент2 2 6 4" xfId="6644"/>
    <cellStyle name="20% - Акцент2 2 6 5" xfId="6807"/>
    <cellStyle name="20% - Акцент2 2 6 6" xfId="6984"/>
    <cellStyle name="20% - Акцент2 2 6 7" xfId="7187"/>
    <cellStyle name="20% - Акцент2 2 6 8" xfId="7400"/>
    <cellStyle name="20% - Акцент2 2 6 9" xfId="7627"/>
    <cellStyle name="20% - Акцент2 2 60" xfId="15484"/>
    <cellStyle name="20% - Акцент2 2 61" xfId="15665"/>
    <cellStyle name="20% - Акцент2 2 62" xfId="15741"/>
    <cellStyle name="20% - Акцент2 2 7" xfId="918"/>
    <cellStyle name="20% — акцент2 2 7" xfId="6505"/>
    <cellStyle name="20% - Акцент2 2 7 10" xfId="8071"/>
    <cellStyle name="20% - Акцент2 2 7 11" xfId="8271"/>
    <cellStyle name="20% - Акцент2 2 7 12" xfId="8468"/>
    <cellStyle name="20% - Акцент2 2 7 13" xfId="8614"/>
    <cellStyle name="20% - Акцент2 2 7 14" xfId="8759"/>
    <cellStyle name="20% - Акцент2 2 7 15" xfId="9792"/>
    <cellStyle name="20% - Акцент2 2 7 16" xfId="10576"/>
    <cellStyle name="20% - Акцент2 2 7 17" xfId="11285"/>
    <cellStyle name="20% - Акцент2 2 7 18" xfId="11520"/>
    <cellStyle name="20% - Акцент2 2 7 19" xfId="11755"/>
    <cellStyle name="20% - Акцент2 2 7 2" xfId="4556"/>
    <cellStyle name="20% - Акцент2 2 7 20" xfId="11990"/>
    <cellStyle name="20% - Акцент2 2 7 21" xfId="12225"/>
    <cellStyle name="20% - Акцент2 2 7 22" xfId="12460"/>
    <cellStyle name="20% - Акцент2 2 7 23" xfId="12695"/>
    <cellStyle name="20% - Акцент2 2 7 24" xfId="12930"/>
    <cellStyle name="20% - Акцент2 2 7 25" xfId="13165"/>
    <cellStyle name="20% - Акцент2 2 7 26" xfId="13400"/>
    <cellStyle name="20% - Акцент2 2 7 27" xfId="13635"/>
    <cellStyle name="20% - Акцент2 2 7 28" xfId="13869"/>
    <cellStyle name="20% - Акцент2 2 7 29" xfId="14098"/>
    <cellStyle name="20% - Акцент2 2 7 3" xfId="6643"/>
    <cellStyle name="20% - Акцент2 2 7 30" xfId="14326"/>
    <cellStyle name="20% - Акцент2 2 7 31" xfId="14547"/>
    <cellStyle name="20% - Акцент2 2 7 32" xfId="14767"/>
    <cellStyle name="20% - Акцент2 2 7 33" xfId="14968"/>
    <cellStyle name="20% - Акцент2 2 7 34" xfId="15162"/>
    <cellStyle name="20% - Акцент2 2 7 35" xfId="15308"/>
    <cellStyle name="20% - Акцент2 2 7 36" xfId="15452"/>
    <cellStyle name="20% - Акцент2 2 7 4" xfId="6806"/>
    <cellStyle name="20% - Акцент2 2 7 5" xfId="6983"/>
    <cellStyle name="20% - Акцент2 2 7 6" xfId="7186"/>
    <cellStyle name="20% - Акцент2 2 7 7" xfId="7399"/>
    <cellStyle name="20% - Акцент2 2 7 8" xfId="7626"/>
    <cellStyle name="20% - Акцент2 2 7 9" xfId="7849"/>
    <cellStyle name="20% - Акцент2 2 8" xfId="919"/>
    <cellStyle name="20% — акцент2 2 8" xfId="6650"/>
    <cellStyle name="20% - Акцент2 2 8 10" xfId="8270"/>
    <cellStyle name="20% - Акцент2 2 8 11" xfId="8467"/>
    <cellStyle name="20% - Акцент2 2 8 12" xfId="8613"/>
    <cellStyle name="20% - Акцент2 2 8 13" xfId="8758"/>
    <cellStyle name="20% - Акцент2 2 8 14" xfId="9793"/>
    <cellStyle name="20% - Акцент2 2 8 15" xfId="10569"/>
    <cellStyle name="20% - Акцент2 2 8 16" xfId="11284"/>
    <cellStyle name="20% - Акцент2 2 8 17" xfId="11519"/>
    <cellStyle name="20% - Акцент2 2 8 18" xfId="11754"/>
    <cellStyle name="20% - Акцент2 2 8 19" xfId="11989"/>
    <cellStyle name="20% - Акцент2 2 8 2" xfId="4557"/>
    <cellStyle name="20% - Акцент2 2 8 20" xfId="12224"/>
    <cellStyle name="20% - Акцент2 2 8 21" xfId="12459"/>
    <cellStyle name="20% - Акцент2 2 8 22" xfId="12694"/>
    <cellStyle name="20% - Акцент2 2 8 23" xfId="12929"/>
    <cellStyle name="20% - Акцент2 2 8 24" xfId="13164"/>
    <cellStyle name="20% - Акцент2 2 8 25" xfId="13399"/>
    <cellStyle name="20% - Акцент2 2 8 26" xfId="13634"/>
    <cellStyle name="20% - Акцент2 2 8 27" xfId="13868"/>
    <cellStyle name="20% - Акцент2 2 8 28" xfId="14097"/>
    <cellStyle name="20% - Акцент2 2 8 29" xfId="14325"/>
    <cellStyle name="20% - Акцент2 2 8 3" xfId="6805"/>
    <cellStyle name="20% - Акцент2 2 8 30" xfId="14546"/>
    <cellStyle name="20% - Акцент2 2 8 31" xfId="14766"/>
    <cellStyle name="20% - Акцент2 2 8 32" xfId="14967"/>
    <cellStyle name="20% - Акцент2 2 8 33" xfId="15161"/>
    <cellStyle name="20% - Акцент2 2 8 34" xfId="15307"/>
    <cellStyle name="20% - Акцент2 2 8 35" xfId="15451"/>
    <cellStyle name="20% - Акцент2 2 8 4" xfId="6982"/>
    <cellStyle name="20% - Акцент2 2 8 5" xfId="7185"/>
    <cellStyle name="20% - Акцент2 2 8 6" xfId="7398"/>
    <cellStyle name="20% - Акцент2 2 8 7" xfId="7625"/>
    <cellStyle name="20% - Акцент2 2 8 8" xfId="7848"/>
    <cellStyle name="20% - Акцент2 2 8 9" xfId="8070"/>
    <cellStyle name="20% - Акцент2 2 9" xfId="920"/>
    <cellStyle name="20% — акцент2 2 9" xfId="6813"/>
    <cellStyle name="20% - Акцент2 2 9 10" xfId="8466"/>
    <cellStyle name="20% - Акцент2 2 9 11" xfId="8612"/>
    <cellStyle name="20% - Акцент2 2 9 12" xfId="8757"/>
    <cellStyle name="20% - Акцент2 2 9 13" xfId="9794"/>
    <cellStyle name="20% - Акцент2 2 9 14" xfId="10568"/>
    <cellStyle name="20% - Акцент2 2 9 15" xfId="11283"/>
    <cellStyle name="20% - Акцент2 2 9 16" xfId="11518"/>
    <cellStyle name="20% - Акцент2 2 9 17" xfId="11753"/>
    <cellStyle name="20% - Акцент2 2 9 18" xfId="11988"/>
    <cellStyle name="20% - Акцент2 2 9 19" xfId="12223"/>
    <cellStyle name="20% - Акцент2 2 9 2" xfId="4558"/>
    <cellStyle name="20% - Акцент2 2 9 20" xfId="12458"/>
    <cellStyle name="20% - Акцент2 2 9 21" xfId="12693"/>
    <cellStyle name="20% - Акцент2 2 9 22" xfId="12928"/>
    <cellStyle name="20% - Акцент2 2 9 23" xfId="13163"/>
    <cellStyle name="20% - Акцент2 2 9 24" xfId="13398"/>
    <cellStyle name="20% - Акцент2 2 9 25" xfId="13633"/>
    <cellStyle name="20% - Акцент2 2 9 26" xfId="13867"/>
    <cellStyle name="20% - Акцент2 2 9 27" xfId="14096"/>
    <cellStyle name="20% - Акцент2 2 9 28" xfId="14324"/>
    <cellStyle name="20% - Акцент2 2 9 29" xfId="14545"/>
    <cellStyle name="20% - Акцент2 2 9 3" xfId="6981"/>
    <cellStyle name="20% - Акцент2 2 9 30" xfId="14765"/>
    <cellStyle name="20% - Акцент2 2 9 31" xfId="14966"/>
    <cellStyle name="20% - Акцент2 2 9 32" xfId="15160"/>
    <cellStyle name="20% - Акцент2 2 9 33" xfId="15306"/>
    <cellStyle name="20% - Акцент2 2 9 34" xfId="15450"/>
    <cellStyle name="20% - Акцент2 2 9 4" xfId="7184"/>
    <cellStyle name="20% - Акцент2 2 9 5" xfId="7397"/>
    <cellStyle name="20% - Акцент2 2 9 6" xfId="7624"/>
    <cellStyle name="20% - Акцент2 2 9 7" xfId="7847"/>
    <cellStyle name="20% - Акцент2 2 9 8" xfId="8069"/>
    <cellStyle name="20% - Акцент2 2 9 9" xfId="8269"/>
    <cellStyle name="20% - Акцент2 2_46EE.2011(v1.0)" xfId="921"/>
    <cellStyle name="20% — акцент2 20" xfId="922"/>
    <cellStyle name="20% — акцент2 21" xfId="923"/>
    <cellStyle name="20% — акцент2 22" xfId="4547"/>
    <cellStyle name="20% — акцент2 23" xfId="5332"/>
    <cellStyle name="20% — акцент2 24" xfId="6180"/>
    <cellStyle name="20% — акцент2 25" xfId="6271"/>
    <cellStyle name="20% — акцент2 26" xfId="6380"/>
    <cellStyle name="20% — акцент2 27" xfId="6507"/>
    <cellStyle name="20% — акцент2 28" xfId="6652"/>
    <cellStyle name="20% — акцент2 29" xfId="6815"/>
    <cellStyle name="20% - Акцент2 3" xfId="924"/>
    <cellStyle name="20% — акцент2 3" xfId="925"/>
    <cellStyle name="20% - Акцент2 3 10" xfId="926"/>
    <cellStyle name="20% - Акцент2 3 10 2" xfId="4560"/>
    <cellStyle name="20% - Акцент2 3 10 3" xfId="9796"/>
    <cellStyle name="20% - Акцент2 3 11" xfId="927"/>
    <cellStyle name="20% - Акцент2 3 12" xfId="4559"/>
    <cellStyle name="20% - Акцент2 3 13" xfId="5320"/>
    <cellStyle name="20% - Акцент2 3 14" xfId="6168"/>
    <cellStyle name="20% - Акцент2 3 15" xfId="6259"/>
    <cellStyle name="20% - Акцент2 3 16" xfId="6368"/>
    <cellStyle name="20% - Акцент2 3 17" xfId="6495"/>
    <cellStyle name="20% - Акцент2 3 18" xfId="6640"/>
    <cellStyle name="20% - Акцент2 3 19" xfId="6803"/>
    <cellStyle name="20% - Акцент2 3 2" xfId="928"/>
    <cellStyle name="20% - Акцент2 3 2 2" xfId="929"/>
    <cellStyle name="20% - Акцент2 3 2 3" xfId="4561"/>
    <cellStyle name="20% - Акцент2 3 2 4" xfId="8797"/>
    <cellStyle name="20% - Акцент2 3 20" xfId="6980"/>
    <cellStyle name="20% - Акцент2 3 21" xfId="7183"/>
    <cellStyle name="20% - Акцент2 3 22" xfId="7396"/>
    <cellStyle name="20% - Акцент2 3 23" xfId="7623"/>
    <cellStyle name="20% - Акцент2 3 24" xfId="7846"/>
    <cellStyle name="20% - Акцент2 3 25" xfId="8068"/>
    <cellStyle name="20% - Акцент2 3 26" xfId="8268"/>
    <cellStyle name="20% - Акцент2 3 27" xfId="8465"/>
    <cellStyle name="20% - Акцент2 3 28" xfId="8611"/>
    <cellStyle name="20% - Акцент2 3 29" xfId="8756"/>
    <cellStyle name="20% - Акцент2 3 3" xfId="930"/>
    <cellStyle name="20% - Акцент2 3 3 2" xfId="931"/>
    <cellStyle name="20% - Акцент2 3 3 3" xfId="4562"/>
    <cellStyle name="20% - Акцент2 3 3 4" xfId="9798"/>
    <cellStyle name="20% - Акцент2 3 30" xfId="8796"/>
    <cellStyle name="20% - Акцент2 3 31" xfId="8988"/>
    <cellStyle name="20% - Акцент2 3 32" xfId="9233"/>
    <cellStyle name="20% - Акцент2 3 33" xfId="9367"/>
    <cellStyle name="20% - Акцент2 3 34" xfId="9456"/>
    <cellStyle name="20% - Акцент2 3 35" xfId="9545"/>
    <cellStyle name="20% - Акцент2 3 36" xfId="9621"/>
    <cellStyle name="20% - Акцент2 3 37" xfId="9656"/>
    <cellStyle name="20% - Акцент2 3 38" xfId="9749"/>
    <cellStyle name="20% - Акцент2 3 39" xfId="9795"/>
    <cellStyle name="20% - Акцент2 3 4" xfId="932"/>
    <cellStyle name="20% - Акцент2 3 4 2" xfId="4563"/>
    <cellStyle name="20% - Акцент2 3 4 3" xfId="9799"/>
    <cellStyle name="20% - Акцент2 3 40" xfId="10567"/>
    <cellStyle name="20% - Акцент2 3 41" xfId="11282"/>
    <cellStyle name="20% - Акцент2 3 42" xfId="11517"/>
    <cellStyle name="20% - Акцент2 3 43" xfId="11752"/>
    <cellStyle name="20% - Акцент2 3 44" xfId="11987"/>
    <cellStyle name="20% - Акцент2 3 45" xfId="12222"/>
    <cellStyle name="20% - Акцент2 3 46" xfId="12457"/>
    <cellStyle name="20% - Акцент2 3 47" xfId="12692"/>
    <cellStyle name="20% - Акцент2 3 48" xfId="12927"/>
    <cellStyle name="20% - Акцент2 3 49" xfId="13162"/>
    <cellStyle name="20% - Акцент2 3 5" xfId="933"/>
    <cellStyle name="20% - Акцент2 3 5 2" xfId="4564"/>
    <cellStyle name="20% - Акцент2 3 5 3" xfId="9800"/>
    <cellStyle name="20% - Акцент2 3 50" xfId="13397"/>
    <cellStyle name="20% - Акцент2 3 51" xfId="13632"/>
    <cellStyle name="20% - Акцент2 3 52" xfId="13866"/>
    <cellStyle name="20% - Акцент2 3 53" xfId="14095"/>
    <cellStyle name="20% - Акцент2 3 54" xfId="14323"/>
    <cellStyle name="20% - Акцент2 3 55" xfId="14544"/>
    <cellStyle name="20% - Акцент2 3 56" xfId="14764"/>
    <cellStyle name="20% - Акцент2 3 57" xfId="14965"/>
    <cellStyle name="20% - Акцент2 3 58" xfId="15159"/>
    <cellStyle name="20% - Акцент2 3 59" xfId="15305"/>
    <cellStyle name="20% - Акцент2 3 6" xfId="934"/>
    <cellStyle name="20% - Акцент2 3 6 2" xfId="4565"/>
    <cellStyle name="20% - Акцент2 3 6 3" xfId="9801"/>
    <cellStyle name="20% - Акцент2 3 60" xfId="15449"/>
    <cellStyle name="20% - Акцент2 3 61" xfId="15487"/>
    <cellStyle name="20% - Акцент2 3 62" xfId="15662"/>
    <cellStyle name="20% - Акцент2 3 63" xfId="15738"/>
    <cellStyle name="20% - Акцент2 3 7" xfId="935"/>
    <cellStyle name="20% - Акцент2 3 7 2" xfId="4566"/>
    <cellStyle name="20% - Акцент2 3 7 3" xfId="9802"/>
    <cellStyle name="20% - Акцент2 3 8" xfId="936"/>
    <cellStyle name="20% - Акцент2 3 8 2" xfId="4567"/>
    <cellStyle name="20% - Акцент2 3 8 3" xfId="9803"/>
    <cellStyle name="20% - Акцент2 3 9" xfId="937"/>
    <cellStyle name="20% - Акцент2 3 9 2" xfId="4568"/>
    <cellStyle name="20% - Акцент2 3 9 3" xfId="9804"/>
    <cellStyle name="20% - Акцент2 3_46EE.2011(v1.0)" xfId="938"/>
    <cellStyle name="20% — акцент2 30" xfId="6992"/>
    <cellStyle name="20% — акцент2 31" xfId="7195"/>
    <cellStyle name="20% — акцент2 32" xfId="7408"/>
    <cellStyle name="20% — акцент2 33" xfId="7635"/>
    <cellStyle name="20% — акцент2 34" xfId="7858"/>
    <cellStyle name="20% — акцент2 35" xfId="8080"/>
    <cellStyle name="20% — акцент2 36" xfId="8280"/>
    <cellStyle name="20% — акцент2 37" xfId="8477"/>
    <cellStyle name="20% — акцент2 38" xfId="8623"/>
    <cellStyle name="20% — акцент2 39" xfId="8768"/>
    <cellStyle name="20% - Акцент2 4" xfId="939"/>
    <cellStyle name="20% — акцент2 4" xfId="940"/>
    <cellStyle name="20% - Акцент2 4 2" xfId="941"/>
    <cellStyle name="20% - Акцент2 4 2 2" xfId="942"/>
    <cellStyle name="20% - Акцент2 4 3" xfId="943"/>
    <cellStyle name="20% - Акцент2 4 3 2" xfId="944"/>
    <cellStyle name="20% - Акцент2 4_46EE.2011(v1.0)" xfId="945"/>
    <cellStyle name="20% — акцент2 40" xfId="8792"/>
    <cellStyle name="20% — акцент2 41" xfId="8992"/>
    <cellStyle name="20% — акцент2 42" xfId="9237"/>
    <cellStyle name="20% — акцент2 43" xfId="9371"/>
    <cellStyle name="20% — акцент2 44" xfId="9460"/>
    <cellStyle name="20% — акцент2 45" xfId="9549"/>
    <cellStyle name="20% — акцент2 46" xfId="9625"/>
    <cellStyle name="20% — акцент2 47" xfId="9660"/>
    <cellStyle name="20% — акцент2 48" xfId="9753"/>
    <cellStyle name="20% — акцент2 49" xfId="9783"/>
    <cellStyle name="20% - Акцент2 5" xfId="946"/>
    <cellStyle name="20% — акцент2 5" xfId="947"/>
    <cellStyle name="20% - Акцент2 5 2" xfId="948"/>
    <cellStyle name="20% - Акцент2 5 2 2" xfId="949"/>
    <cellStyle name="20% - Акцент2 5 3" xfId="950"/>
    <cellStyle name="20% - Акцент2 5 3 2" xfId="951"/>
    <cellStyle name="20% - Акцент2 5_46EE.2011(v1.0)" xfId="952"/>
    <cellStyle name="20% — акцент2 50" xfId="10595"/>
    <cellStyle name="20% — акцент2 51" xfId="11294"/>
    <cellStyle name="20% — акцент2 52" xfId="11529"/>
    <cellStyle name="20% — акцент2 53" xfId="11764"/>
    <cellStyle name="20% — акцент2 54" xfId="11999"/>
    <cellStyle name="20% — акцент2 55" xfId="12234"/>
    <cellStyle name="20% — акцент2 56" xfId="12469"/>
    <cellStyle name="20% — акцент2 57" xfId="12704"/>
    <cellStyle name="20% — акцент2 58" xfId="12939"/>
    <cellStyle name="20% — акцент2 59" xfId="13174"/>
    <cellStyle name="20% - Акцент2 6" xfId="953"/>
    <cellStyle name="20% — акцент2 6" xfId="954"/>
    <cellStyle name="20% - Акцент2 6 2" xfId="955"/>
    <cellStyle name="20% - Акцент2 6 2 2" xfId="956"/>
    <cellStyle name="20% - Акцент2 6 3" xfId="957"/>
    <cellStyle name="20% - Акцент2 6 3 2" xfId="958"/>
    <cellStyle name="20% - Акцент2 6_46EE.2011(v1.0)" xfId="959"/>
    <cellStyle name="20% — акцент2 60" xfId="13409"/>
    <cellStyle name="20% — акцент2 61" xfId="13644"/>
    <cellStyle name="20% — акцент2 62" xfId="13878"/>
    <cellStyle name="20% — акцент2 63" xfId="14107"/>
    <cellStyle name="20% — акцент2 64" xfId="14335"/>
    <cellStyle name="20% — акцент2 65" xfId="14556"/>
    <cellStyle name="20% — акцент2 66" xfId="14776"/>
    <cellStyle name="20% — акцент2 67" xfId="14977"/>
    <cellStyle name="20% — акцент2 68" xfId="15171"/>
    <cellStyle name="20% — акцент2 69" xfId="15317"/>
    <cellStyle name="20% - Акцент2 7" xfId="960"/>
    <cellStyle name="20% — акцент2 7" xfId="961"/>
    <cellStyle name="20% - Акцент2 7 2" xfId="962"/>
    <cellStyle name="20% - Акцент2 7 2 2" xfId="963"/>
    <cellStyle name="20% - Акцент2 7 3" xfId="964"/>
    <cellStyle name="20% - Акцент2 7 3 2" xfId="965"/>
    <cellStyle name="20% - Акцент2 7_46EE.2011(v1.0)" xfId="966"/>
    <cellStyle name="20% — акцент2 70" xfId="15461"/>
    <cellStyle name="20% — акцент2 71" xfId="15483"/>
    <cellStyle name="20% — акцент2 72" xfId="15666"/>
    <cellStyle name="20% — акцент2 73" xfId="15742"/>
    <cellStyle name="20% - Акцент2 8" xfId="967"/>
    <cellStyle name="20% — акцент2 8" xfId="968"/>
    <cellStyle name="20% - Акцент2 8 2" xfId="969"/>
    <cellStyle name="20% - Акцент2 8 2 2" xfId="970"/>
    <cellStyle name="20% - Акцент2 8 3" xfId="971"/>
    <cellStyle name="20% - Акцент2 8 3 2" xfId="972"/>
    <cellStyle name="20% - Акцент2 8 4" xfId="973"/>
    <cellStyle name="20% - Акцент2 8_46EE.2011(v1.0)" xfId="974"/>
    <cellStyle name="20% - Акцент2 9" xfId="975"/>
    <cellStyle name="20% — акцент2 9" xfId="976"/>
    <cellStyle name="20% - Акцент2 9 2" xfId="977"/>
    <cellStyle name="20% - Акцент2 9 2 2" xfId="978"/>
    <cellStyle name="20% - Акцент2 9 3" xfId="979"/>
    <cellStyle name="20% - Акцент2 9 3 2" xfId="980"/>
    <cellStyle name="20% - Акцент2 9 4" xfId="981"/>
    <cellStyle name="20% - Акцент2 9_46EE.2011(v1.0)" xfId="982"/>
    <cellStyle name="20% — акцент2_Расчет тарифа на тэ 2015 СЛФ" xfId="983"/>
    <cellStyle name="20% — акцент3" xfId="984"/>
    <cellStyle name="20% - Акцент3 10" xfId="985"/>
    <cellStyle name="20% — акцент3 10" xfId="986"/>
    <cellStyle name="20% - Акцент3 10 2" xfId="987"/>
    <cellStyle name="20% - Акцент3 11" xfId="988"/>
    <cellStyle name="20% — акцент3 11" xfId="989"/>
    <cellStyle name="20% - Акцент3 11 2" xfId="990"/>
    <cellStyle name="20% — акцент3 12" xfId="991"/>
    <cellStyle name="20% — акцент3 13" xfId="992"/>
    <cellStyle name="20% — акцент3 14" xfId="993"/>
    <cellStyle name="20% — акцент3 15" xfId="994"/>
    <cellStyle name="20% — акцент3 16" xfId="995"/>
    <cellStyle name="20% — акцент3 17" xfId="996"/>
    <cellStyle name="20% — акцент3 18" xfId="997"/>
    <cellStyle name="20% — акцент3 19" xfId="998"/>
    <cellStyle name="20% - Акцент3 2" xfId="999"/>
    <cellStyle name="20% — акцент3 2" xfId="1000"/>
    <cellStyle name="20% - Акцент3 2 10" xfId="1001"/>
    <cellStyle name="20% — акцент3 2 10" xfId="6968"/>
    <cellStyle name="20% - Акцент3 2 10 10" xfId="8607"/>
    <cellStyle name="20% - Акцент3 2 10 11" xfId="8752"/>
    <cellStyle name="20% - Акцент3 2 10 12" xfId="9808"/>
    <cellStyle name="20% - Акцент3 2 10 13" xfId="10536"/>
    <cellStyle name="20% - Акцент3 2 10 14" xfId="11269"/>
    <cellStyle name="20% - Акцент3 2 10 15" xfId="11504"/>
    <cellStyle name="20% - Акцент3 2 10 16" xfId="11739"/>
    <cellStyle name="20% - Акцент3 2 10 17" xfId="11974"/>
    <cellStyle name="20% - Акцент3 2 10 18" xfId="12209"/>
    <cellStyle name="20% - Акцент3 2 10 19" xfId="12444"/>
    <cellStyle name="20% - Акцент3 2 10 2" xfId="4572"/>
    <cellStyle name="20% - Акцент3 2 10 20" xfId="12679"/>
    <cellStyle name="20% - Акцент3 2 10 21" xfId="12914"/>
    <cellStyle name="20% - Акцент3 2 10 22" xfId="13149"/>
    <cellStyle name="20% - Акцент3 2 10 23" xfId="13384"/>
    <cellStyle name="20% - Акцент3 2 10 24" xfId="13619"/>
    <cellStyle name="20% - Акцент3 2 10 25" xfId="13853"/>
    <cellStyle name="20% - Акцент3 2 10 26" xfId="14082"/>
    <cellStyle name="20% - Акцент3 2 10 27" xfId="14310"/>
    <cellStyle name="20% - Акцент3 2 10 28" xfId="14531"/>
    <cellStyle name="20% - Акцент3 2 10 29" xfId="14751"/>
    <cellStyle name="20% - Акцент3 2 10 3" xfId="7170"/>
    <cellStyle name="20% - Акцент3 2 10 30" xfId="14952"/>
    <cellStyle name="20% - Акцент3 2 10 31" xfId="15146"/>
    <cellStyle name="20% - Акцент3 2 10 32" xfId="15301"/>
    <cellStyle name="20% - Акцент3 2 10 33" xfId="15445"/>
    <cellStyle name="20% - Акцент3 2 10 4" xfId="7383"/>
    <cellStyle name="20% - Акцент3 2 10 5" xfId="7610"/>
    <cellStyle name="20% - Акцент3 2 10 6" xfId="7833"/>
    <cellStyle name="20% - Акцент3 2 10 7" xfId="8055"/>
    <cellStyle name="20% - Акцент3 2 10 8" xfId="8255"/>
    <cellStyle name="20% - Акцент3 2 10 9" xfId="8452"/>
    <cellStyle name="20% - Акцент3 2 11" xfId="4570"/>
    <cellStyle name="20% — акцент3 2 11" xfId="7171"/>
    <cellStyle name="20% - Акцент3 2 12" xfId="5309"/>
    <cellStyle name="20% — акцент3 2 12" xfId="7384"/>
    <cellStyle name="20% - Акцент3 2 13" xfId="6157"/>
    <cellStyle name="20% — акцент3 2 13" xfId="7611"/>
    <cellStyle name="20% - Акцент3 2 14" xfId="6248"/>
    <cellStyle name="20% — акцент3 2 14" xfId="7834"/>
    <cellStyle name="20% - Акцент3 2 15" xfId="6357"/>
    <cellStyle name="20% — акцент3 2 15" xfId="8056"/>
    <cellStyle name="20% - Акцент3 2 16" xfId="6484"/>
    <cellStyle name="20% — акцент3 2 16" xfId="8256"/>
    <cellStyle name="20% - Акцент3 2 17" xfId="6629"/>
    <cellStyle name="20% — акцент3 2 17" xfId="8453"/>
    <cellStyle name="20% - Акцент3 2 18" xfId="6792"/>
    <cellStyle name="20% — акцент3 2 18" xfId="8608"/>
    <cellStyle name="20% - Акцент3 2 19" xfId="6969"/>
    <cellStyle name="20% — акцент3 2 19" xfId="8753"/>
    <cellStyle name="20% - Акцент3 2 2" xfId="1002"/>
    <cellStyle name="20% — акцент3 2 2" xfId="4571"/>
    <cellStyle name="20% - Акцент3 2 2 10" xfId="6789"/>
    <cellStyle name="20% - Акцент3 2 2 11" xfId="6966"/>
    <cellStyle name="20% - Акцент3 2 2 12" xfId="7169"/>
    <cellStyle name="20% - Акцент3 2 2 13" xfId="7382"/>
    <cellStyle name="20% - Акцент3 2 2 14" xfId="7609"/>
    <cellStyle name="20% - Акцент3 2 2 15" xfId="7832"/>
    <cellStyle name="20% - Акцент3 2 2 16" xfId="8054"/>
    <cellStyle name="20% - Акцент3 2 2 17" xfId="8254"/>
    <cellStyle name="20% - Акцент3 2 2 18" xfId="8451"/>
    <cellStyle name="20% - Акцент3 2 2 19" xfId="8606"/>
    <cellStyle name="20% - Акцент3 2 2 2" xfId="1003"/>
    <cellStyle name="20% - Акцент3 2 2 20" xfId="8751"/>
    <cellStyle name="20% - Акцент3 2 2 21" xfId="8801"/>
    <cellStyle name="20% - Акцент3 2 2 22" xfId="8984"/>
    <cellStyle name="20% - Акцент3 2 2 23" xfId="9228"/>
    <cellStyle name="20% - Акцент3 2 2 24" xfId="9362"/>
    <cellStyle name="20% - Акцент3 2 2 25" xfId="9451"/>
    <cellStyle name="20% - Акцент3 2 2 26" xfId="9540"/>
    <cellStyle name="20% - Акцент3 2 2 27" xfId="9617"/>
    <cellStyle name="20% - Акцент3 2 2 28" xfId="9652"/>
    <cellStyle name="20% - Акцент3 2 2 29" xfId="9745"/>
    <cellStyle name="20% - Акцент3 2 2 3" xfId="4573"/>
    <cellStyle name="20% - Акцент3 2 2 30" xfId="9809"/>
    <cellStyle name="20% - Акцент3 2 2 31" xfId="10535"/>
    <cellStyle name="20% - Акцент3 2 2 32" xfId="11268"/>
    <cellStyle name="20% - Акцент3 2 2 33" xfId="11503"/>
    <cellStyle name="20% - Акцент3 2 2 34" xfId="11738"/>
    <cellStyle name="20% - Акцент3 2 2 35" xfId="11973"/>
    <cellStyle name="20% - Акцент3 2 2 36" xfId="12208"/>
    <cellStyle name="20% - Акцент3 2 2 37" xfId="12443"/>
    <cellStyle name="20% - Акцент3 2 2 38" xfId="12678"/>
    <cellStyle name="20% - Акцент3 2 2 39" xfId="12913"/>
    <cellStyle name="20% - Акцент3 2 2 4" xfId="5306"/>
    <cellStyle name="20% - Акцент3 2 2 40" xfId="13148"/>
    <cellStyle name="20% - Акцент3 2 2 41" xfId="13383"/>
    <cellStyle name="20% - Акцент3 2 2 42" xfId="13618"/>
    <cellStyle name="20% - Акцент3 2 2 43" xfId="13852"/>
    <cellStyle name="20% - Акцент3 2 2 44" xfId="14081"/>
    <cellStyle name="20% - Акцент3 2 2 45" xfId="14309"/>
    <cellStyle name="20% - Акцент3 2 2 46" xfId="14530"/>
    <cellStyle name="20% - Акцент3 2 2 47" xfId="14750"/>
    <cellStyle name="20% - Акцент3 2 2 48" xfId="14951"/>
    <cellStyle name="20% - Акцент3 2 2 49" xfId="15145"/>
    <cellStyle name="20% - Акцент3 2 2 5" xfId="6154"/>
    <cellStyle name="20% - Акцент3 2 2 50" xfId="15300"/>
    <cellStyle name="20% - Акцент3 2 2 51" xfId="15444"/>
    <cellStyle name="20% - Акцент3 2 2 52" xfId="15492"/>
    <cellStyle name="20% - Акцент3 2 2 53" xfId="15658"/>
    <cellStyle name="20% - Акцент3 2 2 54" xfId="15734"/>
    <cellStyle name="20% - Акцент3 2 2 6" xfId="6245"/>
    <cellStyle name="20% - Акцент3 2 2 7" xfId="6354"/>
    <cellStyle name="20% - Акцент3 2 2 8" xfId="6481"/>
    <cellStyle name="20% - Акцент3 2 2 9" xfId="6626"/>
    <cellStyle name="20% - Акцент3 2 20" xfId="7172"/>
    <cellStyle name="20% — акцент3 2 20" xfId="8800"/>
    <cellStyle name="20% - Акцент3 2 21" xfId="7385"/>
    <cellStyle name="20% — акцент3 2 21" xfId="8985"/>
    <cellStyle name="20% - Акцент3 2 22" xfId="7612"/>
    <cellStyle name="20% — акцент3 2 22" xfId="9229"/>
    <cellStyle name="20% - Акцент3 2 23" xfId="7835"/>
    <cellStyle name="20% — акцент3 2 23" xfId="9363"/>
    <cellStyle name="20% - Акцент3 2 24" xfId="8057"/>
    <cellStyle name="20% — акцент3 2 24" xfId="9452"/>
    <cellStyle name="20% - Акцент3 2 25" xfId="8257"/>
    <cellStyle name="20% — акцент3 2 25" xfId="9541"/>
    <cellStyle name="20% - Акцент3 2 26" xfId="8454"/>
    <cellStyle name="20% — акцент3 2 26" xfId="9618"/>
    <cellStyle name="20% - Акцент3 2 27" xfId="8609"/>
    <cellStyle name="20% — акцент3 2 27" xfId="9653"/>
    <cellStyle name="20% - Акцент3 2 28" xfId="8754"/>
    <cellStyle name="20% — акцент3 2 28" xfId="9746"/>
    <cellStyle name="20% - Акцент3 2 29" xfId="8799"/>
    <cellStyle name="20% — акцент3 2 29" xfId="9807"/>
    <cellStyle name="20% - Акцент3 2 3" xfId="1004"/>
    <cellStyle name="20% — акцент3 2 3" xfId="5308"/>
    <cellStyle name="20% - Акцент3 2 3 10" xfId="6965"/>
    <cellStyle name="20% - Акцент3 2 3 11" xfId="7168"/>
    <cellStyle name="20% - Акцент3 2 3 12" xfId="7381"/>
    <cellStyle name="20% - Акцент3 2 3 13" xfId="7608"/>
    <cellStyle name="20% - Акцент3 2 3 14" xfId="7831"/>
    <cellStyle name="20% - Акцент3 2 3 15" xfId="8053"/>
    <cellStyle name="20% - Акцент3 2 3 16" xfId="8253"/>
    <cellStyle name="20% - Акцент3 2 3 17" xfId="8450"/>
    <cellStyle name="20% - Акцент3 2 3 18" xfId="8605"/>
    <cellStyle name="20% - Акцент3 2 3 19" xfId="8750"/>
    <cellStyle name="20% - Акцент3 2 3 2" xfId="1005"/>
    <cellStyle name="20% - Акцент3 2 3 20" xfId="9810"/>
    <cellStyle name="20% - Акцент3 2 3 21" xfId="10534"/>
    <cellStyle name="20% - Акцент3 2 3 22" xfId="11267"/>
    <cellStyle name="20% - Акцент3 2 3 23" xfId="11502"/>
    <cellStyle name="20% - Акцент3 2 3 24" xfId="11737"/>
    <cellStyle name="20% - Акцент3 2 3 25" xfId="11972"/>
    <cellStyle name="20% - Акцент3 2 3 26" xfId="12207"/>
    <cellStyle name="20% - Акцент3 2 3 27" xfId="12442"/>
    <cellStyle name="20% - Акцент3 2 3 28" xfId="12677"/>
    <cellStyle name="20% - Акцент3 2 3 29" xfId="12912"/>
    <cellStyle name="20% - Акцент3 2 3 3" xfId="4574"/>
    <cellStyle name="20% - Акцент3 2 3 30" xfId="13147"/>
    <cellStyle name="20% - Акцент3 2 3 31" xfId="13382"/>
    <cellStyle name="20% - Акцент3 2 3 32" xfId="13617"/>
    <cellStyle name="20% - Акцент3 2 3 33" xfId="13851"/>
    <cellStyle name="20% - Акцент3 2 3 34" xfId="14080"/>
    <cellStyle name="20% - Акцент3 2 3 35" xfId="14308"/>
    <cellStyle name="20% - Акцент3 2 3 36" xfId="14529"/>
    <cellStyle name="20% - Акцент3 2 3 37" xfId="14749"/>
    <cellStyle name="20% - Акцент3 2 3 38" xfId="14950"/>
    <cellStyle name="20% - Акцент3 2 3 39" xfId="15144"/>
    <cellStyle name="20% - Акцент3 2 3 4" xfId="6153"/>
    <cellStyle name="20% - Акцент3 2 3 40" xfId="15299"/>
    <cellStyle name="20% - Акцент3 2 3 41" xfId="15443"/>
    <cellStyle name="20% - Акцент3 2 3 5" xfId="6244"/>
    <cellStyle name="20% - Акцент3 2 3 6" xfId="6353"/>
    <cellStyle name="20% - Акцент3 2 3 7" xfId="6480"/>
    <cellStyle name="20% - Акцент3 2 3 8" xfId="6625"/>
    <cellStyle name="20% - Акцент3 2 3 9" xfId="6788"/>
    <cellStyle name="20% - Акцент3 2 30" xfId="8986"/>
    <cellStyle name="20% — акцент3 2 30" xfId="10537"/>
    <cellStyle name="20% - Акцент3 2 31" xfId="9230"/>
    <cellStyle name="20% — акцент3 2 31" xfId="11270"/>
    <cellStyle name="20% - Акцент3 2 32" xfId="9364"/>
    <cellStyle name="20% — акцент3 2 32" xfId="11505"/>
    <cellStyle name="20% - Акцент3 2 33" xfId="9453"/>
    <cellStyle name="20% — акцент3 2 33" xfId="11740"/>
    <cellStyle name="20% - Акцент3 2 34" xfId="9542"/>
    <cellStyle name="20% — акцент3 2 34" xfId="11975"/>
    <cellStyle name="20% - Акцент3 2 35" xfId="9619"/>
    <cellStyle name="20% — акцент3 2 35" xfId="12210"/>
    <cellStyle name="20% - Акцент3 2 36" xfId="9654"/>
    <cellStyle name="20% — акцент3 2 36" xfId="12445"/>
    <cellStyle name="20% - Акцент3 2 37" xfId="9747"/>
    <cellStyle name="20% — акцент3 2 37" xfId="12680"/>
    <cellStyle name="20% - Акцент3 2 38" xfId="9806"/>
    <cellStyle name="20% — акцент3 2 38" xfId="12915"/>
    <cellStyle name="20% - Акцент3 2 39" xfId="10538"/>
    <cellStyle name="20% — акцент3 2 39" xfId="13150"/>
    <cellStyle name="20% - Акцент3 2 4" xfId="1006"/>
    <cellStyle name="20% — акцент3 2 4" xfId="6156"/>
    <cellStyle name="20% - Акцент3 2 4 10" xfId="7380"/>
    <cellStyle name="20% - Акцент3 2 4 11" xfId="7607"/>
    <cellStyle name="20% - Акцент3 2 4 12" xfId="7830"/>
    <cellStyle name="20% - Акцент3 2 4 13" xfId="8052"/>
    <cellStyle name="20% - Акцент3 2 4 14" xfId="8252"/>
    <cellStyle name="20% - Акцент3 2 4 15" xfId="8449"/>
    <cellStyle name="20% - Акцент3 2 4 16" xfId="8604"/>
    <cellStyle name="20% - Акцент3 2 4 17" xfId="8749"/>
    <cellStyle name="20% - Акцент3 2 4 18" xfId="9811"/>
    <cellStyle name="20% - Акцент3 2 4 19" xfId="10533"/>
    <cellStyle name="20% - Акцент3 2 4 2" xfId="4575"/>
    <cellStyle name="20% - Акцент3 2 4 20" xfId="11266"/>
    <cellStyle name="20% - Акцент3 2 4 21" xfId="11501"/>
    <cellStyle name="20% - Акцент3 2 4 22" xfId="11736"/>
    <cellStyle name="20% - Акцент3 2 4 23" xfId="11971"/>
    <cellStyle name="20% - Акцент3 2 4 24" xfId="12206"/>
    <cellStyle name="20% - Акцент3 2 4 25" xfId="12441"/>
    <cellStyle name="20% - Акцент3 2 4 26" xfId="12676"/>
    <cellStyle name="20% - Акцент3 2 4 27" xfId="12911"/>
    <cellStyle name="20% - Акцент3 2 4 28" xfId="13146"/>
    <cellStyle name="20% - Акцент3 2 4 29" xfId="13381"/>
    <cellStyle name="20% - Акцент3 2 4 3" xfId="6243"/>
    <cellStyle name="20% - Акцент3 2 4 30" xfId="13616"/>
    <cellStyle name="20% - Акцент3 2 4 31" xfId="13850"/>
    <cellStyle name="20% - Акцент3 2 4 32" xfId="14079"/>
    <cellStyle name="20% - Акцент3 2 4 33" xfId="14307"/>
    <cellStyle name="20% - Акцент3 2 4 34" xfId="14528"/>
    <cellStyle name="20% - Акцент3 2 4 35" xfId="14748"/>
    <cellStyle name="20% - Акцент3 2 4 36" xfId="14949"/>
    <cellStyle name="20% - Акцент3 2 4 37" xfId="15143"/>
    <cellStyle name="20% - Акцент3 2 4 38" xfId="15298"/>
    <cellStyle name="20% - Акцент3 2 4 39" xfId="15442"/>
    <cellStyle name="20% - Акцент3 2 4 4" xfId="6352"/>
    <cellStyle name="20% - Акцент3 2 4 5" xfId="6479"/>
    <cellStyle name="20% - Акцент3 2 4 6" xfId="6624"/>
    <cellStyle name="20% - Акцент3 2 4 7" xfId="6787"/>
    <cellStyle name="20% - Акцент3 2 4 8" xfId="6964"/>
    <cellStyle name="20% - Акцент3 2 4 9" xfId="7167"/>
    <cellStyle name="20% - Акцент3 2 40" xfId="11271"/>
    <cellStyle name="20% — акцент3 2 40" xfId="13385"/>
    <cellStyle name="20% - Акцент3 2 41" xfId="11506"/>
    <cellStyle name="20% — акцент3 2 41" xfId="13620"/>
    <cellStyle name="20% - Акцент3 2 42" xfId="11741"/>
    <cellStyle name="20% — акцент3 2 42" xfId="13854"/>
    <cellStyle name="20% - Акцент3 2 43" xfId="11976"/>
    <cellStyle name="20% — акцент3 2 43" xfId="14083"/>
    <cellStyle name="20% - Акцент3 2 44" xfId="12211"/>
    <cellStyle name="20% — акцент3 2 44" xfId="14311"/>
    <cellStyle name="20% - Акцент3 2 45" xfId="12446"/>
    <cellStyle name="20% — акцент3 2 45" xfId="14532"/>
    <cellStyle name="20% - Акцент3 2 46" xfId="12681"/>
    <cellStyle name="20% — акцент3 2 46" xfId="14752"/>
    <cellStyle name="20% - Акцент3 2 47" xfId="12916"/>
    <cellStyle name="20% — акцент3 2 47" xfId="14953"/>
    <cellStyle name="20% - Акцент3 2 48" xfId="13151"/>
    <cellStyle name="20% — акцент3 2 48" xfId="15147"/>
    <cellStyle name="20% - Акцент3 2 49" xfId="13386"/>
    <cellStyle name="20% — акцент3 2 49" xfId="15302"/>
    <cellStyle name="20% - Акцент3 2 5" xfId="1007"/>
    <cellStyle name="20% — акцент3 2 5" xfId="6247"/>
    <cellStyle name="20% - Акцент3 2 5 10" xfId="7606"/>
    <cellStyle name="20% - Акцент3 2 5 11" xfId="7829"/>
    <cellStyle name="20% - Акцент3 2 5 12" xfId="8051"/>
    <cellStyle name="20% - Акцент3 2 5 13" xfId="8251"/>
    <cellStyle name="20% - Акцент3 2 5 14" xfId="8448"/>
    <cellStyle name="20% - Акцент3 2 5 15" xfId="8603"/>
    <cellStyle name="20% - Акцент3 2 5 16" xfId="8748"/>
    <cellStyle name="20% - Акцент3 2 5 17" xfId="9812"/>
    <cellStyle name="20% - Акцент3 2 5 18" xfId="10532"/>
    <cellStyle name="20% - Акцент3 2 5 19" xfId="11265"/>
    <cellStyle name="20% - Акцент3 2 5 2" xfId="4576"/>
    <cellStyle name="20% - Акцент3 2 5 20" xfId="11500"/>
    <cellStyle name="20% - Акцент3 2 5 21" xfId="11735"/>
    <cellStyle name="20% - Акцент3 2 5 22" xfId="11970"/>
    <cellStyle name="20% - Акцент3 2 5 23" xfId="12205"/>
    <cellStyle name="20% - Акцент3 2 5 24" xfId="12440"/>
    <cellStyle name="20% - Акцент3 2 5 25" xfId="12675"/>
    <cellStyle name="20% - Акцент3 2 5 26" xfId="12910"/>
    <cellStyle name="20% - Акцент3 2 5 27" xfId="13145"/>
    <cellStyle name="20% - Акцент3 2 5 28" xfId="13380"/>
    <cellStyle name="20% - Акцент3 2 5 29" xfId="13615"/>
    <cellStyle name="20% - Акцент3 2 5 3" xfId="6351"/>
    <cellStyle name="20% - Акцент3 2 5 30" xfId="13849"/>
    <cellStyle name="20% - Акцент3 2 5 31" xfId="14078"/>
    <cellStyle name="20% - Акцент3 2 5 32" xfId="14306"/>
    <cellStyle name="20% - Акцент3 2 5 33" xfId="14527"/>
    <cellStyle name="20% - Акцент3 2 5 34" xfId="14747"/>
    <cellStyle name="20% - Акцент3 2 5 35" xfId="14948"/>
    <cellStyle name="20% - Акцент3 2 5 36" xfId="15142"/>
    <cellStyle name="20% - Акцент3 2 5 37" xfId="15297"/>
    <cellStyle name="20% - Акцент3 2 5 38" xfId="15441"/>
    <cellStyle name="20% - Акцент3 2 5 4" xfId="6478"/>
    <cellStyle name="20% - Акцент3 2 5 5" xfId="6623"/>
    <cellStyle name="20% - Акцент3 2 5 6" xfId="6786"/>
    <cellStyle name="20% - Акцент3 2 5 7" xfId="6963"/>
    <cellStyle name="20% - Акцент3 2 5 8" xfId="7166"/>
    <cellStyle name="20% - Акцент3 2 5 9" xfId="7379"/>
    <cellStyle name="20% - Акцент3 2 50" xfId="13621"/>
    <cellStyle name="20% — акцент3 2 50" xfId="15446"/>
    <cellStyle name="20% - Акцент3 2 51" xfId="13855"/>
    <cellStyle name="20% — акцент3 2 51" xfId="15491"/>
    <cellStyle name="20% - Акцент3 2 52" xfId="14084"/>
    <cellStyle name="20% — акцент3 2 52" xfId="15659"/>
    <cellStyle name="20% - Акцент3 2 53" xfId="14312"/>
    <cellStyle name="20% — акцент3 2 53" xfId="15735"/>
    <cellStyle name="20% - Акцент3 2 54" xfId="14533"/>
    <cellStyle name="20% - Акцент3 2 55" xfId="14753"/>
    <cellStyle name="20% - Акцент3 2 56" xfId="14954"/>
    <cellStyle name="20% - Акцент3 2 57" xfId="15148"/>
    <cellStyle name="20% - Акцент3 2 58" xfId="15303"/>
    <cellStyle name="20% - Акцент3 2 59" xfId="15447"/>
    <cellStyle name="20% - Акцент3 2 6" xfId="1008"/>
    <cellStyle name="20% — акцент3 2 6" xfId="6356"/>
    <cellStyle name="20% - Акцент3 2 6 10" xfId="7828"/>
    <cellStyle name="20% - Акцент3 2 6 11" xfId="8050"/>
    <cellStyle name="20% - Акцент3 2 6 12" xfId="8250"/>
    <cellStyle name="20% - Акцент3 2 6 13" xfId="8447"/>
    <cellStyle name="20% - Акцент3 2 6 14" xfId="8602"/>
    <cellStyle name="20% - Акцент3 2 6 15" xfId="8747"/>
    <cellStyle name="20% - Акцент3 2 6 16" xfId="9813"/>
    <cellStyle name="20% - Акцент3 2 6 17" xfId="10531"/>
    <cellStyle name="20% - Акцент3 2 6 18" xfId="11264"/>
    <cellStyle name="20% - Акцент3 2 6 19" xfId="11499"/>
    <cellStyle name="20% - Акцент3 2 6 2" xfId="4577"/>
    <cellStyle name="20% - Акцент3 2 6 20" xfId="11734"/>
    <cellStyle name="20% - Акцент3 2 6 21" xfId="11969"/>
    <cellStyle name="20% - Акцент3 2 6 22" xfId="12204"/>
    <cellStyle name="20% - Акцент3 2 6 23" xfId="12439"/>
    <cellStyle name="20% - Акцент3 2 6 24" xfId="12674"/>
    <cellStyle name="20% - Акцент3 2 6 25" xfId="12909"/>
    <cellStyle name="20% - Акцент3 2 6 26" xfId="13144"/>
    <cellStyle name="20% - Акцент3 2 6 27" xfId="13379"/>
    <cellStyle name="20% - Акцент3 2 6 28" xfId="13614"/>
    <cellStyle name="20% - Акцент3 2 6 29" xfId="13848"/>
    <cellStyle name="20% - Акцент3 2 6 3" xfId="6477"/>
    <cellStyle name="20% - Акцент3 2 6 30" xfId="14077"/>
    <cellStyle name="20% - Акцент3 2 6 31" xfId="14305"/>
    <cellStyle name="20% - Акцент3 2 6 32" xfId="14526"/>
    <cellStyle name="20% - Акцент3 2 6 33" xfId="14746"/>
    <cellStyle name="20% - Акцент3 2 6 34" xfId="14947"/>
    <cellStyle name="20% - Акцент3 2 6 35" xfId="15141"/>
    <cellStyle name="20% - Акцент3 2 6 36" xfId="15296"/>
    <cellStyle name="20% - Акцент3 2 6 37" xfId="15440"/>
    <cellStyle name="20% - Акцент3 2 6 4" xfId="6622"/>
    <cellStyle name="20% - Акцент3 2 6 5" xfId="6785"/>
    <cellStyle name="20% - Акцент3 2 6 6" xfId="6962"/>
    <cellStyle name="20% - Акцент3 2 6 7" xfId="7165"/>
    <cellStyle name="20% - Акцент3 2 6 8" xfId="7378"/>
    <cellStyle name="20% - Акцент3 2 6 9" xfId="7605"/>
    <cellStyle name="20% - Акцент3 2 60" xfId="15490"/>
    <cellStyle name="20% - Акцент3 2 61" xfId="15660"/>
    <cellStyle name="20% - Акцент3 2 62" xfId="15736"/>
    <cellStyle name="20% - Акцент3 2 7" xfId="1009"/>
    <cellStyle name="20% — акцент3 2 7" xfId="6483"/>
    <cellStyle name="20% - Акцент3 2 7 10" xfId="8049"/>
    <cellStyle name="20% - Акцент3 2 7 11" xfId="8249"/>
    <cellStyle name="20% - Акцент3 2 7 12" xfId="8446"/>
    <cellStyle name="20% - Акцент3 2 7 13" xfId="8601"/>
    <cellStyle name="20% - Акцент3 2 7 14" xfId="8746"/>
    <cellStyle name="20% - Акцент3 2 7 15" xfId="9814"/>
    <cellStyle name="20% - Акцент3 2 7 16" xfId="10530"/>
    <cellStyle name="20% - Акцент3 2 7 17" xfId="11263"/>
    <cellStyle name="20% - Акцент3 2 7 18" xfId="11498"/>
    <cellStyle name="20% - Акцент3 2 7 19" xfId="11733"/>
    <cellStyle name="20% - Акцент3 2 7 2" xfId="4578"/>
    <cellStyle name="20% - Акцент3 2 7 20" xfId="11968"/>
    <cellStyle name="20% - Акцент3 2 7 21" xfId="12203"/>
    <cellStyle name="20% - Акцент3 2 7 22" xfId="12438"/>
    <cellStyle name="20% - Акцент3 2 7 23" xfId="12673"/>
    <cellStyle name="20% - Акцент3 2 7 24" xfId="12908"/>
    <cellStyle name="20% - Акцент3 2 7 25" xfId="13143"/>
    <cellStyle name="20% - Акцент3 2 7 26" xfId="13378"/>
    <cellStyle name="20% - Акцент3 2 7 27" xfId="13613"/>
    <cellStyle name="20% - Акцент3 2 7 28" xfId="13847"/>
    <cellStyle name="20% - Акцент3 2 7 29" xfId="14076"/>
    <cellStyle name="20% - Акцент3 2 7 3" xfId="6621"/>
    <cellStyle name="20% - Акцент3 2 7 30" xfId="14304"/>
    <cellStyle name="20% - Акцент3 2 7 31" xfId="14525"/>
    <cellStyle name="20% - Акцент3 2 7 32" xfId="14745"/>
    <cellStyle name="20% - Акцент3 2 7 33" xfId="14946"/>
    <cellStyle name="20% - Акцент3 2 7 34" xfId="15140"/>
    <cellStyle name="20% - Акцент3 2 7 35" xfId="15295"/>
    <cellStyle name="20% - Акцент3 2 7 36" xfId="15439"/>
    <cellStyle name="20% - Акцент3 2 7 4" xfId="6784"/>
    <cellStyle name="20% - Акцент3 2 7 5" xfId="6961"/>
    <cellStyle name="20% - Акцент3 2 7 6" xfId="7164"/>
    <cellStyle name="20% - Акцент3 2 7 7" xfId="7377"/>
    <cellStyle name="20% - Акцент3 2 7 8" xfId="7604"/>
    <cellStyle name="20% - Акцент3 2 7 9" xfId="7827"/>
    <cellStyle name="20% - Акцент3 2 8" xfId="1010"/>
    <cellStyle name="20% — акцент3 2 8" xfId="6628"/>
    <cellStyle name="20% - Акцент3 2 8 10" xfId="8248"/>
    <cellStyle name="20% - Акцент3 2 8 11" xfId="8445"/>
    <cellStyle name="20% - Акцент3 2 8 12" xfId="8600"/>
    <cellStyle name="20% - Акцент3 2 8 13" xfId="8745"/>
    <cellStyle name="20% - Акцент3 2 8 14" xfId="9815"/>
    <cellStyle name="20% - Акцент3 2 8 15" xfId="10529"/>
    <cellStyle name="20% - Акцент3 2 8 16" xfId="11262"/>
    <cellStyle name="20% - Акцент3 2 8 17" xfId="11497"/>
    <cellStyle name="20% - Акцент3 2 8 18" xfId="11732"/>
    <cellStyle name="20% - Акцент3 2 8 19" xfId="11967"/>
    <cellStyle name="20% - Акцент3 2 8 2" xfId="4579"/>
    <cellStyle name="20% - Акцент3 2 8 20" xfId="12202"/>
    <cellStyle name="20% - Акцент3 2 8 21" xfId="12437"/>
    <cellStyle name="20% - Акцент3 2 8 22" xfId="12672"/>
    <cellStyle name="20% - Акцент3 2 8 23" xfId="12907"/>
    <cellStyle name="20% - Акцент3 2 8 24" xfId="13142"/>
    <cellStyle name="20% - Акцент3 2 8 25" xfId="13377"/>
    <cellStyle name="20% - Акцент3 2 8 26" xfId="13612"/>
    <cellStyle name="20% - Акцент3 2 8 27" xfId="13846"/>
    <cellStyle name="20% - Акцент3 2 8 28" xfId="14075"/>
    <cellStyle name="20% - Акцент3 2 8 29" xfId="14303"/>
    <cellStyle name="20% - Акцент3 2 8 3" xfId="6783"/>
    <cellStyle name="20% - Акцент3 2 8 30" xfId="14524"/>
    <cellStyle name="20% - Акцент3 2 8 31" xfId="14744"/>
    <cellStyle name="20% - Акцент3 2 8 32" xfId="14945"/>
    <cellStyle name="20% - Акцент3 2 8 33" xfId="15139"/>
    <cellStyle name="20% - Акцент3 2 8 34" xfId="15294"/>
    <cellStyle name="20% - Акцент3 2 8 35" xfId="15438"/>
    <cellStyle name="20% - Акцент3 2 8 4" xfId="6960"/>
    <cellStyle name="20% - Акцент3 2 8 5" xfId="7163"/>
    <cellStyle name="20% - Акцент3 2 8 6" xfId="7376"/>
    <cellStyle name="20% - Акцент3 2 8 7" xfId="7603"/>
    <cellStyle name="20% - Акцент3 2 8 8" xfId="7826"/>
    <cellStyle name="20% - Акцент3 2 8 9" xfId="8048"/>
    <cellStyle name="20% - Акцент3 2 9" xfId="1011"/>
    <cellStyle name="20% — акцент3 2 9" xfId="6791"/>
    <cellStyle name="20% - Акцент3 2 9 10" xfId="8444"/>
    <cellStyle name="20% - Акцент3 2 9 11" xfId="8599"/>
    <cellStyle name="20% - Акцент3 2 9 12" xfId="8744"/>
    <cellStyle name="20% - Акцент3 2 9 13" xfId="9816"/>
    <cellStyle name="20% - Акцент3 2 9 14" xfId="10528"/>
    <cellStyle name="20% - Акцент3 2 9 15" xfId="11261"/>
    <cellStyle name="20% - Акцент3 2 9 16" xfId="11496"/>
    <cellStyle name="20% - Акцент3 2 9 17" xfId="11731"/>
    <cellStyle name="20% - Акцент3 2 9 18" xfId="11966"/>
    <cellStyle name="20% - Акцент3 2 9 19" xfId="12201"/>
    <cellStyle name="20% - Акцент3 2 9 2" xfId="4580"/>
    <cellStyle name="20% - Акцент3 2 9 20" xfId="12436"/>
    <cellStyle name="20% - Акцент3 2 9 21" xfId="12671"/>
    <cellStyle name="20% - Акцент3 2 9 22" xfId="12906"/>
    <cellStyle name="20% - Акцент3 2 9 23" xfId="13141"/>
    <cellStyle name="20% - Акцент3 2 9 24" xfId="13376"/>
    <cellStyle name="20% - Акцент3 2 9 25" xfId="13611"/>
    <cellStyle name="20% - Акцент3 2 9 26" xfId="13845"/>
    <cellStyle name="20% - Акцент3 2 9 27" xfId="14074"/>
    <cellStyle name="20% - Акцент3 2 9 28" xfId="14302"/>
    <cellStyle name="20% - Акцент3 2 9 29" xfId="14523"/>
    <cellStyle name="20% - Акцент3 2 9 3" xfId="6959"/>
    <cellStyle name="20% - Акцент3 2 9 30" xfId="14743"/>
    <cellStyle name="20% - Акцент3 2 9 31" xfId="14944"/>
    <cellStyle name="20% - Акцент3 2 9 32" xfId="15138"/>
    <cellStyle name="20% - Акцент3 2 9 33" xfId="15293"/>
    <cellStyle name="20% - Акцент3 2 9 34" xfId="15437"/>
    <cellStyle name="20% - Акцент3 2 9 4" xfId="7162"/>
    <cellStyle name="20% - Акцент3 2 9 5" xfId="7375"/>
    <cellStyle name="20% - Акцент3 2 9 6" xfId="7602"/>
    <cellStyle name="20% - Акцент3 2 9 7" xfId="7825"/>
    <cellStyle name="20% - Акцент3 2 9 8" xfId="8047"/>
    <cellStyle name="20% - Акцент3 2 9 9" xfId="8247"/>
    <cellStyle name="20% - Акцент3 2_46EE.2011(v1.0)" xfId="1012"/>
    <cellStyle name="20% — акцент3 20" xfId="1013"/>
    <cellStyle name="20% — акцент3 21" xfId="1014"/>
    <cellStyle name="20% — акцент3 22" xfId="4569"/>
    <cellStyle name="20% — акцент3 23" xfId="5310"/>
    <cellStyle name="20% — акцент3 24" xfId="6158"/>
    <cellStyle name="20% — акцент3 25" xfId="6249"/>
    <cellStyle name="20% — акцент3 26" xfId="6358"/>
    <cellStyle name="20% — акцент3 27" xfId="6485"/>
    <cellStyle name="20% — акцент3 28" xfId="6630"/>
    <cellStyle name="20% — акцент3 29" xfId="6793"/>
    <cellStyle name="20% - Акцент3 3" xfId="1015"/>
    <cellStyle name="20% — акцент3 3" xfId="1016"/>
    <cellStyle name="20% - Акцент3 3 10" xfId="1017"/>
    <cellStyle name="20% - Акцент3 3 10 2" xfId="4582"/>
    <cellStyle name="20% - Акцент3 3 10 3" xfId="9818"/>
    <cellStyle name="20% - Акцент3 3 11" xfId="1018"/>
    <cellStyle name="20% - Акцент3 3 12" xfId="4581"/>
    <cellStyle name="20% - Акцент3 3 13" xfId="5485"/>
    <cellStyle name="20% - Акцент3 3 14" xfId="6146"/>
    <cellStyle name="20% - Акцент3 3 15" xfId="6237"/>
    <cellStyle name="20% - Акцент3 3 16" xfId="6346"/>
    <cellStyle name="20% - Акцент3 3 17" xfId="6473"/>
    <cellStyle name="20% - Акцент3 3 18" xfId="6618"/>
    <cellStyle name="20% - Акцент3 3 19" xfId="6781"/>
    <cellStyle name="20% - Акцент3 3 2" xfId="1019"/>
    <cellStyle name="20% - Акцент3 3 2 2" xfId="1020"/>
    <cellStyle name="20% - Акцент3 3 2 3" xfId="4583"/>
    <cellStyle name="20% - Акцент3 3 2 4" xfId="8803"/>
    <cellStyle name="20% - Акцент3 3 20" xfId="6958"/>
    <cellStyle name="20% - Акцент3 3 21" xfId="7161"/>
    <cellStyle name="20% - Акцент3 3 22" xfId="7374"/>
    <cellStyle name="20% - Акцент3 3 23" xfId="7601"/>
    <cellStyle name="20% - Акцент3 3 24" xfId="7824"/>
    <cellStyle name="20% - Акцент3 3 25" xfId="8046"/>
    <cellStyle name="20% - Акцент3 3 26" xfId="8246"/>
    <cellStyle name="20% - Акцент3 3 27" xfId="8443"/>
    <cellStyle name="20% - Акцент3 3 28" xfId="8598"/>
    <cellStyle name="20% - Акцент3 3 29" xfId="8743"/>
    <cellStyle name="20% - Акцент3 3 3" xfId="1021"/>
    <cellStyle name="20% - Акцент3 3 3 2" xfId="1022"/>
    <cellStyle name="20% - Акцент3 3 3 3" xfId="4584"/>
    <cellStyle name="20% - Акцент3 3 3 4" xfId="9820"/>
    <cellStyle name="20% - Акцент3 3 30" xfId="8802"/>
    <cellStyle name="20% - Акцент3 3 31" xfId="8983"/>
    <cellStyle name="20% - Акцент3 3 32" xfId="9227"/>
    <cellStyle name="20% - Акцент3 3 33" xfId="9361"/>
    <cellStyle name="20% - Акцент3 3 34" xfId="9450"/>
    <cellStyle name="20% - Акцент3 3 35" xfId="9539"/>
    <cellStyle name="20% - Акцент3 3 36" xfId="9616"/>
    <cellStyle name="20% - Акцент3 3 37" xfId="9651"/>
    <cellStyle name="20% - Акцент3 3 38" xfId="9744"/>
    <cellStyle name="20% - Акцент3 3 39" xfId="9817"/>
    <cellStyle name="20% - Акцент3 3 4" xfId="1023"/>
    <cellStyle name="20% - Акцент3 3 4 2" xfId="4585"/>
    <cellStyle name="20% - Акцент3 3 4 3" xfId="9821"/>
    <cellStyle name="20% - Акцент3 3 40" xfId="10527"/>
    <cellStyle name="20% - Акцент3 3 41" xfId="11260"/>
    <cellStyle name="20% - Акцент3 3 42" xfId="11495"/>
    <cellStyle name="20% - Акцент3 3 43" xfId="11730"/>
    <cellStyle name="20% - Акцент3 3 44" xfId="11965"/>
    <cellStyle name="20% - Акцент3 3 45" xfId="12200"/>
    <cellStyle name="20% - Акцент3 3 46" xfId="12435"/>
    <cellStyle name="20% - Акцент3 3 47" xfId="12670"/>
    <cellStyle name="20% - Акцент3 3 48" xfId="12905"/>
    <cellStyle name="20% - Акцент3 3 49" xfId="13140"/>
    <cellStyle name="20% - Акцент3 3 5" xfId="1024"/>
    <cellStyle name="20% - Акцент3 3 5 2" xfId="4586"/>
    <cellStyle name="20% - Акцент3 3 5 3" xfId="9822"/>
    <cellStyle name="20% - Акцент3 3 50" xfId="13375"/>
    <cellStyle name="20% - Акцент3 3 51" xfId="13610"/>
    <cellStyle name="20% - Акцент3 3 52" xfId="13844"/>
    <cellStyle name="20% - Акцент3 3 53" xfId="14073"/>
    <cellStyle name="20% - Акцент3 3 54" xfId="14301"/>
    <cellStyle name="20% - Акцент3 3 55" xfId="14522"/>
    <cellStyle name="20% - Акцент3 3 56" xfId="14742"/>
    <cellStyle name="20% - Акцент3 3 57" xfId="14943"/>
    <cellStyle name="20% - Акцент3 3 58" xfId="15137"/>
    <cellStyle name="20% - Акцент3 3 59" xfId="15292"/>
    <cellStyle name="20% - Акцент3 3 6" xfId="1025"/>
    <cellStyle name="20% - Акцент3 3 6 2" xfId="4587"/>
    <cellStyle name="20% - Акцент3 3 6 3" xfId="9823"/>
    <cellStyle name="20% - Акцент3 3 60" xfId="15436"/>
    <cellStyle name="20% - Акцент3 3 61" xfId="15493"/>
    <cellStyle name="20% - Акцент3 3 62" xfId="15657"/>
    <cellStyle name="20% - Акцент3 3 63" xfId="15733"/>
    <cellStyle name="20% - Акцент3 3 7" xfId="1026"/>
    <cellStyle name="20% - Акцент3 3 7 2" xfId="4588"/>
    <cellStyle name="20% - Акцент3 3 7 3" xfId="9824"/>
    <cellStyle name="20% - Акцент3 3 8" xfId="1027"/>
    <cellStyle name="20% - Акцент3 3 8 2" xfId="4589"/>
    <cellStyle name="20% - Акцент3 3 8 3" xfId="9825"/>
    <cellStyle name="20% - Акцент3 3 9" xfId="1028"/>
    <cellStyle name="20% - Акцент3 3 9 2" xfId="4590"/>
    <cellStyle name="20% - Акцент3 3 9 3" xfId="9826"/>
    <cellStyle name="20% - Акцент3 3_46EE.2011(v1.0)" xfId="1029"/>
    <cellStyle name="20% — акцент3 30" xfId="6970"/>
    <cellStyle name="20% — акцент3 31" xfId="7173"/>
    <cellStyle name="20% — акцент3 32" xfId="7386"/>
    <cellStyle name="20% — акцент3 33" xfId="7613"/>
    <cellStyle name="20% — акцент3 34" xfId="7836"/>
    <cellStyle name="20% — акцент3 35" xfId="8058"/>
    <cellStyle name="20% — акцент3 36" xfId="8258"/>
    <cellStyle name="20% — акцент3 37" xfId="8455"/>
    <cellStyle name="20% — акцент3 38" xfId="8610"/>
    <cellStyle name="20% — акцент3 39" xfId="8755"/>
    <cellStyle name="20% - Акцент3 4" xfId="1030"/>
    <cellStyle name="20% — акцент3 4" xfId="1031"/>
    <cellStyle name="20% - Акцент3 4 2" xfId="1032"/>
    <cellStyle name="20% - Акцент3 4 2 2" xfId="1033"/>
    <cellStyle name="20% - Акцент3 4 3" xfId="1034"/>
    <cellStyle name="20% - Акцент3 4 3 2" xfId="1035"/>
    <cellStyle name="20% - Акцент3 4_46EE.2011(v1.0)" xfId="1036"/>
    <cellStyle name="20% — акцент3 40" xfId="8798"/>
    <cellStyle name="20% — акцент3 41" xfId="8987"/>
    <cellStyle name="20% — акцент3 42" xfId="9231"/>
    <cellStyle name="20% — акцент3 43" xfId="9365"/>
    <cellStyle name="20% — акцент3 44" xfId="9454"/>
    <cellStyle name="20% — акцент3 45" xfId="9543"/>
    <cellStyle name="20% — акцент3 46" xfId="9620"/>
    <cellStyle name="20% — акцент3 47" xfId="9655"/>
    <cellStyle name="20% — акцент3 48" xfId="9748"/>
    <cellStyle name="20% — акцент3 49" xfId="9805"/>
    <cellStyle name="20% - Акцент3 5" xfId="1037"/>
    <cellStyle name="20% — акцент3 5" xfId="1038"/>
    <cellStyle name="20% - Акцент3 5 2" xfId="1039"/>
    <cellStyle name="20% - Акцент3 5 2 2" xfId="1040"/>
    <cellStyle name="20% - Акцент3 5 3" xfId="1041"/>
    <cellStyle name="20% - Акцент3 5 3 2" xfId="1042"/>
    <cellStyle name="20% - Акцент3 5_46EE.2011(v1.0)" xfId="1043"/>
    <cellStyle name="20% — акцент3 50" xfId="10539"/>
    <cellStyle name="20% — акцент3 51" xfId="11272"/>
    <cellStyle name="20% — акцент3 52" xfId="11507"/>
    <cellStyle name="20% — акцент3 53" xfId="11742"/>
    <cellStyle name="20% — акцент3 54" xfId="11977"/>
    <cellStyle name="20% — акцент3 55" xfId="12212"/>
    <cellStyle name="20% — акцент3 56" xfId="12447"/>
    <cellStyle name="20% — акцент3 57" xfId="12682"/>
    <cellStyle name="20% — акцент3 58" xfId="12917"/>
    <cellStyle name="20% — акцент3 59" xfId="13152"/>
    <cellStyle name="20% - Акцент3 6" xfId="1044"/>
    <cellStyle name="20% — акцент3 6" xfId="1045"/>
    <cellStyle name="20% - Акцент3 6 2" xfId="1046"/>
    <cellStyle name="20% - Акцент3 6 2 2" xfId="1047"/>
    <cellStyle name="20% - Акцент3 6 3" xfId="1048"/>
    <cellStyle name="20% - Акцент3 6 3 2" xfId="1049"/>
    <cellStyle name="20% - Акцент3 6_46EE.2011(v1.0)" xfId="1050"/>
    <cellStyle name="20% — акцент3 60" xfId="13387"/>
    <cellStyle name="20% — акцент3 61" xfId="13622"/>
    <cellStyle name="20% — акцент3 62" xfId="13856"/>
    <cellStyle name="20% — акцент3 63" xfId="14085"/>
    <cellStyle name="20% — акцент3 64" xfId="14313"/>
    <cellStyle name="20% — акцент3 65" xfId="14534"/>
    <cellStyle name="20% — акцент3 66" xfId="14754"/>
    <cellStyle name="20% — акцент3 67" xfId="14955"/>
    <cellStyle name="20% — акцент3 68" xfId="15149"/>
    <cellStyle name="20% — акцент3 69" xfId="15304"/>
    <cellStyle name="20% - Акцент3 7" xfId="1051"/>
    <cellStyle name="20% — акцент3 7" xfId="1052"/>
    <cellStyle name="20% - Акцент3 7 2" xfId="1053"/>
    <cellStyle name="20% - Акцент3 7 2 2" xfId="1054"/>
    <cellStyle name="20% - Акцент3 7 3" xfId="1055"/>
    <cellStyle name="20% - Акцент3 7 3 2" xfId="1056"/>
    <cellStyle name="20% - Акцент3 7_46EE.2011(v1.0)" xfId="1057"/>
    <cellStyle name="20% — акцент3 70" xfId="15448"/>
    <cellStyle name="20% — акцент3 71" xfId="15489"/>
    <cellStyle name="20% — акцент3 72" xfId="15661"/>
    <cellStyle name="20% — акцент3 73" xfId="15737"/>
    <cellStyle name="20% - Акцент3 8" xfId="1058"/>
    <cellStyle name="20% — акцент3 8" xfId="1059"/>
    <cellStyle name="20% - Акцент3 8 2" xfId="1060"/>
    <cellStyle name="20% - Акцент3 8 2 2" xfId="1061"/>
    <cellStyle name="20% - Акцент3 8 3" xfId="1062"/>
    <cellStyle name="20% - Акцент3 8 3 2" xfId="1063"/>
    <cellStyle name="20% - Акцент3 8 4" xfId="1064"/>
    <cellStyle name="20% - Акцент3 8_46EE.2011(v1.0)" xfId="1065"/>
    <cellStyle name="20% - Акцент3 9" xfId="1066"/>
    <cellStyle name="20% — акцент3 9" xfId="1067"/>
    <cellStyle name="20% - Акцент3 9 2" xfId="1068"/>
    <cellStyle name="20% - Акцент3 9 2 2" xfId="1069"/>
    <cellStyle name="20% - Акцент3 9 3" xfId="1070"/>
    <cellStyle name="20% - Акцент3 9 3 2" xfId="1071"/>
    <cellStyle name="20% - Акцент3 9 4" xfId="1072"/>
    <cellStyle name="20% - Акцент3 9_46EE.2011(v1.0)" xfId="1073"/>
    <cellStyle name="20% — акцент3_Расчет тарифа на тэ 2015 СЛФ" xfId="1074"/>
    <cellStyle name="20% — акцент4" xfId="1075"/>
    <cellStyle name="20% - Акцент4 10" xfId="1076"/>
    <cellStyle name="20% — акцент4 10" xfId="1077"/>
    <cellStyle name="20% - Акцент4 10 2" xfId="1078"/>
    <cellStyle name="20% - Акцент4 11" xfId="1079"/>
    <cellStyle name="20% — акцент4 11" xfId="1080"/>
    <cellStyle name="20% - Акцент4 11 2" xfId="1081"/>
    <cellStyle name="20% — акцент4 12" xfId="1082"/>
    <cellStyle name="20% — акцент4 13" xfId="1083"/>
    <cellStyle name="20% — акцент4 14" xfId="1084"/>
    <cellStyle name="20% — акцент4 15" xfId="1085"/>
    <cellStyle name="20% — акцент4 16" xfId="1086"/>
    <cellStyle name="20% — акцент4 17" xfId="1087"/>
    <cellStyle name="20% — акцент4 18" xfId="1088"/>
    <cellStyle name="20% — акцент4 19" xfId="1089"/>
    <cellStyle name="20% - Акцент4 2" xfId="1090"/>
    <cellStyle name="20% — акцент4 2" xfId="1091"/>
    <cellStyle name="20% - Акцент4 2 10" xfId="1092"/>
    <cellStyle name="20% — акцент4 2 10" xfId="6946"/>
    <cellStyle name="20% - Акцент4 2 10 10" xfId="8594"/>
    <cellStyle name="20% - Акцент4 2 10 11" xfId="8739"/>
    <cellStyle name="20% - Акцент4 2 10 12" xfId="9830"/>
    <cellStyle name="20% - Акцент4 2 10 13" xfId="10514"/>
    <cellStyle name="20% - Акцент4 2 10 14" xfId="11247"/>
    <cellStyle name="20% - Акцент4 2 10 15" xfId="11482"/>
    <cellStyle name="20% - Акцент4 2 10 16" xfId="11717"/>
    <cellStyle name="20% - Акцент4 2 10 17" xfId="11952"/>
    <cellStyle name="20% - Акцент4 2 10 18" xfId="12187"/>
    <cellStyle name="20% - Акцент4 2 10 19" xfId="12422"/>
    <cellStyle name="20% - Акцент4 2 10 2" xfId="4594"/>
    <cellStyle name="20% - Акцент4 2 10 20" xfId="12657"/>
    <cellStyle name="20% - Акцент4 2 10 21" xfId="12892"/>
    <cellStyle name="20% - Акцент4 2 10 22" xfId="13127"/>
    <cellStyle name="20% - Акцент4 2 10 23" xfId="13362"/>
    <cellStyle name="20% - Акцент4 2 10 24" xfId="13597"/>
    <cellStyle name="20% - Акцент4 2 10 25" xfId="13831"/>
    <cellStyle name="20% - Акцент4 2 10 26" xfId="14060"/>
    <cellStyle name="20% - Акцент4 2 10 27" xfId="14288"/>
    <cellStyle name="20% - Акцент4 2 10 28" xfId="14509"/>
    <cellStyle name="20% - Акцент4 2 10 29" xfId="14729"/>
    <cellStyle name="20% - Акцент4 2 10 3" xfId="7148"/>
    <cellStyle name="20% - Акцент4 2 10 30" xfId="14935"/>
    <cellStyle name="20% - Акцент4 2 10 31" xfId="15131"/>
    <cellStyle name="20% - Акцент4 2 10 32" xfId="15288"/>
    <cellStyle name="20% - Акцент4 2 10 33" xfId="15432"/>
    <cellStyle name="20% - Акцент4 2 10 4" xfId="7361"/>
    <cellStyle name="20% - Акцент4 2 10 5" xfId="7588"/>
    <cellStyle name="20% - Акцент4 2 10 6" xfId="7811"/>
    <cellStyle name="20% - Акцент4 2 10 7" xfId="8033"/>
    <cellStyle name="20% - Акцент4 2 10 8" xfId="8239"/>
    <cellStyle name="20% - Акцент4 2 10 9" xfId="8436"/>
    <cellStyle name="20% - Акцент4 2 11" xfId="4592"/>
    <cellStyle name="20% — акцент4 2 11" xfId="7149"/>
    <cellStyle name="20% - Акцент4 2 12" xfId="5496"/>
    <cellStyle name="20% — акцент4 2 12" xfId="7362"/>
    <cellStyle name="20% - Акцент4 2 13" xfId="6135"/>
    <cellStyle name="20% — акцент4 2 13" xfId="7589"/>
    <cellStyle name="20% - Акцент4 2 14" xfId="6226"/>
    <cellStyle name="20% — акцент4 2 14" xfId="7812"/>
    <cellStyle name="20% - Акцент4 2 15" xfId="6335"/>
    <cellStyle name="20% — акцент4 2 15" xfId="8034"/>
    <cellStyle name="20% - Акцент4 2 16" xfId="6462"/>
    <cellStyle name="20% — акцент4 2 16" xfId="8240"/>
    <cellStyle name="20% - Акцент4 2 17" xfId="6607"/>
    <cellStyle name="20% — акцент4 2 17" xfId="8437"/>
    <cellStyle name="20% - Акцент4 2 18" xfId="6770"/>
    <cellStyle name="20% — акцент4 2 18" xfId="8595"/>
    <cellStyle name="20% - Акцент4 2 19" xfId="6947"/>
    <cellStyle name="20% — акцент4 2 19" xfId="8740"/>
    <cellStyle name="20% - Акцент4 2 2" xfId="1093"/>
    <cellStyle name="20% — акцент4 2 2" xfId="4593"/>
    <cellStyle name="20% - Акцент4 2 2 10" xfId="6767"/>
    <cellStyle name="20% - Акцент4 2 2 11" xfId="6944"/>
    <cellStyle name="20% - Акцент4 2 2 12" xfId="7147"/>
    <cellStyle name="20% - Акцент4 2 2 13" xfId="7360"/>
    <cellStyle name="20% - Акцент4 2 2 14" xfId="7587"/>
    <cellStyle name="20% - Акцент4 2 2 15" xfId="7810"/>
    <cellStyle name="20% - Акцент4 2 2 16" xfId="8032"/>
    <cellStyle name="20% - Акцент4 2 2 17" xfId="8238"/>
    <cellStyle name="20% - Акцент4 2 2 18" xfId="8435"/>
    <cellStyle name="20% - Акцент4 2 2 19" xfId="8593"/>
    <cellStyle name="20% - Акцент4 2 2 2" xfId="1094"/>
    <cellStyle name="20% - Акцент4 2 2 20" xfId="8738"/>
    <cellStyle name="20% - Акцент4 2 2 21" xfId="8807"/>
    <cellStyle name="20% - Акцент4 2 2 22" xfId="9052"/>
    <cellStyle name="20% - Акцент4 2 2 23" xfId="9011"/>
    <cellStyle name="20% - Акцент4 2 2 24" xfId="9355"/>
    <cellStyle name="20% - Акцент4 2 2 25" xfId="9444"/>
    <cellStyle name="20% - Акцент4 2 2 26" xfId="9533"/>
    <cellStyle name="20% - Акцент4 2 2 27" xfId="9611"/>
    <cellStyle name="20% - Акцент4 2 2 28" xfId="9648"/>
    <cellStyle name="20% - Акцент4 2 2 29" xfId="9739"/>
    <cellStyle name="20% - Акцент4 2 2 3" xfId="4595"/>
    <cellStyle name="20% - Акцент4 2 2 30" xfId="9831"/>
    <cellStyle name="20% - Акцент4 2 2 31" xfId="9760"/>
    <cellStyle name="20% - Акцент4 2 2 32" xfId="11246"/>
    <cellStyle name="20% - Акцент4 2 2 33" xfId="11481"/>
    <cellStyle name="20% - Акцент4 2 2 34" xfId="11716"/>
    <cellStyle name="20% - Акцент4 2 2 35" xfId="11951"/>
    <cellStyle name="20% - Акцент4 2 2 36" xfId="12186"/>
    <cellStyle name="20% - Акцент4 2 2 37" xfId="12421"/>
    <cellStyle name="20% - Акцент4 2 2 38" xfId="12656"/>
    <cellStyle name="20% - Акцент4 2 2 39" xfId="12891"/>
    <cellStyle name="20% - Акцент4 2 2 4" xfId="5499"/>
    <cellStyle name="20% - Акцент4 2 2 40" xfId="13126"/>
    <cellStyle name="20% - Акцент4 2 2 41" xfId="13361"/>
    <cellStyle name="20% - Акцент4 2 2 42" xfId="13596"/>
    <cellStyle name="20% - Акцент4 2 2 43" xfId="13830"/>
    <cellStyle name="20% - Акцент4 2 2 44" xfId="14059"/>
    <cellStyle name="20% - Акцент4 2 2 45" xfId="14287"/>
    <cellStyle name="20% - Акцент4 2 2 46" xfId="14508"/>
    <cellStyle name="20% - Акцент4 2 2 47" xfId="14728"/>
    <cellStyle name="20% - Акцент4 2 2 48" xfId="14934"/>
    <cellStyle name="20% - Акцент4 2 2 49" xfId="15130"/>
    <cellStyle name="20% - Акцент4 2 2 5" xfId="6132"/>
    <cellStyle name="20% - Акцент4 2 2 50" xfId="15287"/>
    <cellStyle name="20% - Акцент4 2 2 51" xfId="15431"/>
    <cellStyle name="20% - Акцент4 2 2 52" xfId="15498"/>
    <cellStyle name="20% - Акцент4 2 2 53" xfId="15652"/>
    <cellStyle name="20% - Акцент4 2 2 54" xfId="15728"/>
    <cellStyle name="20% - Акцент4 2 2 6" xfId="6223"/>
    <cellStyle name="20% - Акцент4 2 2 7" xfId="6332"/>
    <cellStyle name="20% - Акцент4 2 2 8" xfId="6459"/>
    <cellStyle name="20% - Акцент4 2 2 9" xfId="6604"/>
    <cellStyle name="20% - Акцент4 2 20" xfId="7150"/>
    <cellStyle name="20% — акцент4 2 20" xfId="8806"/>
    <cellStyle name="20% - Акцент4 2 21" xfId="7363"/>
    <cellStyle name="20% — акцент4 2 21" xfId="9051"/>
    <cellStyle name="20% - Акцент4 2 22" xfId="7590"/>
    <cellStyle name="20% — акцент4 2 22" xfId="9223"/>
    <cellStyle name="20% - Акцент4 2 23" xfId="7813"/>
    <cellStyle name="20% — акцент4 2 23" xfId="9356"/>
    <cellStyle name="20% - Акцент4 2 24" xfId="8035"/>
    <cellStyle name="20% — акцент4 2 24" xfId="9445"/>
    <cellStyle name="20% - Акцент4 2 25" xfId="8241"/>
    <cellStyle name="20% — акцент4 2 25" xfId="9534"/>
    <cellStyle name="20% - Акцент4 2 26" xfId="8438"/>
    <cellStyle name="20% — акцент4 2 26" xfId="9612"/>
    <cellStyle name="20% - Акцент4 2 27" xfId="8596"/>
    <cellStyle name="20% — акцент4 2 27" xfId="9649"/>
    <cellStyle name="20% - Акцент4 2 28" xfId="8741"/>
    <cellStyle name="20% — акцент4 2 28" xfId="9740"/>
    <cellStyle name="20% - Акцент4 2 29" xfId="8805"/>
    <cellStyle name="20% — акцент4 2 29" xfId="9829"/>
    <cellStyle name="20% - Акцент4 2 3" xfId="1095"/>
    <cellStyle name="20% — акцент4 2 3" xfId="5497"/>
    <cellStyle name="20% - Акцент4 2 3 10" xfId="6943"/>
    <cellStyle name="20% - Акцент4 2 3 11" xfId="7146"/>
    <cellStyle name="20% - Акцент4 2 3 12" xfId="7359"/>
    <cellStyle name="20% - Акцент4 2 3 13" xfId="7586"/>
    <cellStyle name="20% - Акцент4 2 3 14" xfId="7809"/>
    <cellStyle name="20% - Акцент4 2 3 15" xfId="8031"/>
    <cellStyle name="20% - Акцент4 2 3 16" xfId="8237"/>
    <cellStyle name="20% - Акцент4 2 3 17" xfId="8434"/>
    <cellStyle name="20% - Акцент4 2 3 18" xfId="8592"/>
    <cellStyle name="20% - Акцент4 2 3 19" xfId="8737"/>
    <cellStyle name="20% - Акцент4 2 3 2" xfId="1096"/>
    <cellStyle name="20% - Акцент4 2 3 20" xfId="9832"/>
    <cellStyle name="20% - Акцент4 2 3 21" xfId="10506"/>
    <cellStyle name="20% - Акцент4 2 3 22" xfId="11245"/>
    <cellStyle name="20% - Акцент4 2 3 23" xfId="11480"/>
    <cellStyle name="20% - Акцент4 2 3 24" xfId="11715"/>
    <cellStyle name="20% - Акцент4 2 3 25" xfId="11950"/>
    <cellStyle name="20% - Акцент4 2 3 26" xfId="12185"/>
    <cellStyle name="20% - Акцент4 2 3 27" xfId="12420"/>
    <cellStyle name="20% - Акцент4 2 3 28" xfId="12655"/>
    <cellStyle name="20% - Акцент4 2 3 29" xfId="12890"/>
    <cellStyle name="20% - Акцент4 2 3 3" xfId="4596"/>
    <cellStyle name="20% - Акцент4 2 3 30" xfId="13125"/>
    <cellStyle name="20% - Акцент4 2 3 31" xfId="13360"/>
    <cellStyle name="20% - Акцент4 2 3 32" xfId="13595"/>
    <cellStyle name="20% - Акцент4 2 3 33" xfId="13829"/>
    <cellStyle name="20% - Акцент4 2 3 34" xfId="14058"/>
    <cellStyle name="20% - Акцент4 2 3 35" xfId="14286"/>
    <cellStyle name="20% - Акцент4 2 3 36" xfId="14507"/>
    <cellStyle name="20% - Акцент4 2 3 37" xfId="14727"/>
    <cellStyle name="20% - Акцент4 2 3 38" xfId="14933"/>
    <cellStyle name="20% - Акцент4 2 3 39" xfId="15129"/>
    <cellStyle name="20% - Акцент4 2 3 4" xfId="6131"/>
    <cellStyle name="20% - Акцент4 2 3 40" xfId="15286"/>
    <cellStyle name="20% - Акцент4 2 3 41" xfId="15430"/>
    <cellStyle name="20% - Акцент4 2 3 5" xfId="6222"/>
    <cellStyle name="20% - Акцент4 2 3 6" xfId="6331"/>
    <cellStyle name="20% - Акцент4 2 3 7" xfId="6458"/>
    <cellStyle name="20% - Акцент4 2 3 8" xfId="6603"/>
    <cellStyle name="20% - Акцент4 2 3 9" xfId="6766"/>
    <cellStyle name="20% - Акцент4 2 30" xfId="9050"/>
    <cellStyle name="20% — акцент4 2 30" xfId="10515"/>
    <cellStyle name="20% - Акцент4 2 31" xfId="9224"/>
    <cellStyle name="20% — акцент4 2 31" xfId="11248"/>
    <cellStyle name="20% - Акцент4 2 32" xfId="9357"/>
    <cellStyle name="20% — акцент4 2 32" xfId="11483"/>
    <cellStyle name="20% - Акцент4 2 33" xfId="9446"/>
    <cellStyle name="20% — акцент4 2 33" xfId="11718"/>
    <cellStyle name="20% - Акцент4 2 34" xfId="9535"/>
    <cellStyle name="20% — акцент4 2 34" xfId="11953"/>
    <cellStyle name="20% - Акцент4 2 35" xfId="9613"/>
    <cellStyle name="20% — акцент4 2 35" xfId="12188"/>
    <cellStyle name="20% - Акцент4 2 36" xfId="9631"/>
    <cellStyle name="20% — акцент4 2 36" xfId="12423"/>
    <cellStyle name="20% - Акцент4 2 37" xfId="9741"/>
    <cellStyle name="20% — акцент4 2 37" xfId="12658"/>
    <cellStyle name="20% - Акцент4 2 38" xfId="9828"/>
    <cellStyle name="20% — акцент4 2 38" xfId="12893"/>
    <cellStyle name="20% - Акцент4 2 39" xfId="10516"/>
    <cellStyle name="20% — акцент4 2 39" xfId="13128"/>
    <cellStyle name="20% - Акцент4 2 4" xfId="1097"/>
    <cellStyle name="20% — акцент4 2 4" xfId="6134"/>
    <cellStyle name="20% - Акцент4 2 4 10" xfId="7358"/>
    <cellStyle name="20% - Акцент4 2 4 11" xfId="7585"/>
    <cellStyle name="20% - Акцент4 2 4 12" xfId="7808"/>
    <cellStyle name="20% - Акцент4 2 4 13" xfId="8030"/>
    <cellStyle name="20% - Акцент4 2 4 14" xfId="8236"/>
    <cellStyle name="20% - Акцент4 2 4 15" xfId="8433"/>
    <cellStyle name="20% - Акцент4 2 4 16" xfId="8591"/>
    <cellStyle name="20% - Акцент4 2 4 17" xfId="8736"/>
    <cellStyle name="20% - Акцент4 2 4 18" xfId="9833"/>
    <cellStyle name="20% - Акцент4 2 4 19" xfId="10504"/>
    <cellStyle name="20% - Акцент4 2 4 2" xfId="4597"/>
    <cellStyle name="20% - Акцент4 2 4 20" xfId="11244"/>
    <cellStyle name="20% - Акцент4 2 4 21" xfId="11479"/>
    <cellStyle name="20% - Акцент4 2 4 22" xfId="11714"/>
    <cellStyle name="20% - Акцент4 2 4 23" xfId="11949"/>
    <cellStyle name="20% - Акцент4 2 4 24" xfId="12184"/>
    <cellStyle name="20% - Акцент4 2 4 25" xfId="12419"/>
    <cellStyle name="20% - Акцент4 2 4 26" xfId="12654"/>
    <cellStyle name="20% - Акцент4 2 4 27" xfId="12889"/>
    <cellStyle name="20% - Акцент4 2 4 28" xfId="13124"/>
    <cellStyle name="20% - Акцент4 2 4 29" xfId="13359"/>
    <cellStyle name="20% - Акцент4 2 4 3" xfId="6221"/>
    <cellStyle name="20% - Акцент4 2 4 30" xfId="13594"/>
    <cellStyle name="20% - Акцент4 2 4 31" xfId="13828"/>
    <cellStyle name="20% - Акцент4 2 4 32" xfId="14057"/>
    <cellStyle name="20% - Акцент4 2 4 33" xfId="14285"/>
    <cellStyle name="20% - Акцент4 2 4 34" xfId="14506"/>
    <cellStyle name="20% - Акцент4 2 4 35" xfId="14726"/>
    <cellStyle name="20% - Акцент4 2 4 36" xfId="14932"/>
    <cellStyle name="20% - Акцент4 2 4 37" xfId="15128"/>
    <cellStyle name="20% - Акцент4 2 4 38" xfId="15285"/>
    <cellStyle name="20% - Акцент4 2 4 39" xfId="15429"/>
    <cellStyle name="20% - Акцент4 2 4 4" xfId="6330"/>
    <cellStyle name="20% - Акцент4 2 4 5" xfId="6457"/>
    <cellStyle name="20% - Акцент4 2 4 6" xfId="6602"/>
    <cellStyle name="20% - Акцент4 2 4 7" xfId="6765"/>
    <cellStyle name="20% - Акцент4 2 4 8" xfId="6942"/>
    <cellStyle name="20% - Акцент4 2 4 9" xfId="7145"/>
    <cellStyle name="20% - Акцент4 2 40" xfId="11249"/>
    <cellStyle name="20% — акцент4 2 40" xfId="13363"/>
    <cellStyle name="20% - Акцент4 2 41" xfId="11484"/>
    <cellStyle name="20% — акцент4 2 41" xfId="13598"/>
    <cellStyle name="20% - Акцент4 2 42" xfId="11719"/>
    <cellStyle name="20% — акцент4 2 42" xfId="13832"/>
    <cellStyle name="20% - Акцент4 2 43" xfId="11954"/>
    <cellStyle name="20% — акцент4 2 43" xfId="14061"/>
    <cellStyle name="20% - Акцент4 2 44" xfId="12189"/>
    <cellStyle name="20% — акцент4 2 44" xfId="14289"/>
    <cellStyle name="20% - Акцент4 2 45" xfId="12424"/>
    <cellStyle name="20% — акцент4 2 45" xfId="14510"/>
    <cellStyle name="20% - Акцент4 2 46" xfId="12659"/>
    <cellStyle name="20% — акцент4 2 46" xfId="14730"/>
    <cellStyle name="20% - Акцент4 2 47" xfId="12894"/>
    <cellStyle name="20% — акцент4 2 47" xfId="14936"/>
    <cellStyle name="20% - Акцент4 2 48" xfId="13129"/>
    <cellStyle name="20% — акцент4 2 48" xfId="15132"/>
    <cellStyle name="20% - Акцент4 2 49" xfId="13364"/>
    <cellStyle name="20% — акцент4 2 49" xfId="15289"/>
    <cellStyle name="20% - Акцент4 2 5" xfId="1098"/>
    <cellStyle name="20% — акцент4 2 5" xfId="6225"/>
    <cellStyle name="20% - Акцент4 2 5 10" xfId="7584"/>
    <cellStyle name="20% - Акцент4 2 5 11" xfId="7807"/>
    <cellStyle name="20% - Акцент4 2 5 12" xfId="8029"/>
    <cellStyle name="20% - Акцент4 2 5 13" xfId="8235"/>
    <cellStyle name="20% - Акцент4 2 5 14" xfId="8432"/>
    <cellStyle name="20% - Акцент4 2 5 15" xfId="8590"/>
    <cellStyle name="20% - Акцент4 2 5 16" xfId="8735"/>
    <cellStyle name="20% - Акцент4 2 5 17" xfId="9834"/>
    <cellStyle name="20% - Акцент4 2 5 18" xfId="10496"/>
    <cellStyle name="20% - Акцент4 2 5 19" xfId="11243"/>
    <cellStyle name="20% - Акцент4 2 5 2" xfId="4598"/>
    <cellStyle name="20% - Акцент4 2 5 20" xfId="11478"/>
    <cellStyle name="20% - Акцент4 2 5 21" xfId="11713"/>
    <cellStyle name="20% - Акцент4 2 5 22" xfId="11948"/>
    <cellStyle name="20% - Акцент4 2 5 23" xfId="12183"/>
    <cellStyle name="20% - Акцент4 2 5 24" xfId="12418"/>
    <cellStyle name="20% - Акцент4 2 5 25" xfId="12653"/>
    <cellStyle name="20% - Акцент4 2 5 26" xfId="12888"/>
    <cellStyle name="20% - Акцент4 2 5 27" xfId="13123"/>
    <cellStyle name="20% - Акцент4 2 5 28" xfId="13358"/>
    <cellStyle name="20% - Акцент4 2 5 29" xfId="13593"/>
    <cellStyle name="20% - Акцент4 2 5 3" xfId="6329"/>
    <cellStyle name="20% - Акцент4 2 5 30" xfId="13827"/>
    <cellStyle name="20% - Акцент4 2 5 31" xfId="14056"/>
    <cellStyle name="20% - Акцент4 2 5 32" xfId="14284"/>
    <cellStyle name="20% - Акцент4 2 5 33" xfId="14505"/>
    <cellStyle name="20% - Акцент4 2 5 34" xfId="14725"/>
    <cellStyle name="20% - Акцент4 2 5 35" xfId="14931"/>
    <cellStyle name="20% - Акцент4 2 5 36" xfId="15127"/>
    <cellStyle name="20% - Акцент4 2 5 37" xfId="15284"/>
    <cellStyle name="20% - Акцент4 2 5 38" xfId="15428"/>
    <cellStyle name="20% - Акцент4 2 5 4" xfId="6456"/>
    <cellStyle name="20% - Акцент4 2 5 5" xfId="6601"/>
    <cellStyle name="20% - Акцент4 2 5 6" xfId="6764"/>
    <cellStyle name="20% - Акцент4 2 5 7" xfId="6941"/>
    <cellStyle name="20% - Акцент4 2 5 8" xfId="7144"/>
    <cellStyle name="20% - Акцент4 2 5 9" xfId="7357"/>
    <cellStyle name="20% - Акцент4 2 50" xfId="13599"/>
    <cellStyle name="20% — акцент4 2 50" xfId="15433"/>
    <cellStyle name="20% - Акцент4 2 51" xfId="13833"/>
    <cellStyle name="20% — акцент4 2 51" xfId="15497"/>
    <cellStyle name="20% - Акцент4 2 52" xfId="14062"/>
    <cellStyle name="20% — акцент4 2 52" xfId="15653"/>
    <cellStyle name="20% - Акцент4 2 53" xfId="14290"/>
    <cellStyle name="20% — акцент4 2 53" xfId="15729"/>
    <cellStyle name="20% - Акцент4 2 54" xfId="14511"/>
    <cellStyle name="20% - Акцент4 2 55" xfId="14731"/>
    <cellStyle name="20% - Акцент4 2 56" xfId="14937"/>
    <cellStyle name="20% - Акцент4 2 57" xfId="15133"/>
    <cellStyle name="20% - Акцент4 2 58" xfId="15290"/>
    <cellStyle name="20% - Акцент4 2 59" xfId="15434"/>
    <cellStyle name="20% - Акцент4 2 6" xfId="1099"/>
    <cellStyle name="20% — акцент4 2 6" xfId="6334"/>
    <cellStyle name="20% - Акцент4 2 6 10" xfId="7806"/>
    <cellStyle name="20% - Акцент4 2 6 11" xfId="8028"/>
    <cellStyle name="20% - Акцент4 2 6 12" xfId="8234"/>
    <cellStyle name="20% - Акцент4 2 6 13" xfId="8431"/>
    <cellStyle name="20% - Акцент4 2 6 14" xfId="8589"/>
    <cellStyle name="20% - Акцент4 2 6 15" xfId="8734"/>
    <cellStyle name="20% - Акцент4 2 6 16" xfId="9835"/>
    <cellStyle name="20% - Акцент4 2 6 17" xfId="10494"/>
    <cellStyle name="20% - Акцент4 2 6 18" xfId="11242"/>
    <cellStyle name="20% - Акцент4 2 6 19" xfId="11477"/>
    <cellStyle name="20% - Акцент4 2 6 2" xfId="4599"/>
    <cellStyle name="20% - Акцент4 2 6 20" xfId="11712"/>
    <cellStyle name="20% - Акцент4 2 6 21" xfId="11947"/>
    <cellStyle name="20% - Акцент4 2 6 22" xfId="12182"/>
    <cellStyle name="20% - Акцент4 2 6 23" xfId="12417"/>
    <cellStyle name="20% - Акцент4 2 6 24" xfId="12652"/>
    <cellStyle name="20% - Акцент4 2 6 25" xfId="12887"/>
    <cellStyle name="20% - Акцент4 2 6 26" xfId="13122"/>
    <cellStyle name="20% - Акцент4 2 6 27" xfId="13357"/>
    <cellStyle name="20% - Акцент4 2 6 28" xfId="13592"/>
    <cellStyle name="20% - Акцент4 2 6 29" xfId="13826"/>
    <cellStyle name="20% - Акцент4 2 6 3" xfId="6455"/>
    <cellStyle name="20% - Акцент4 2 6 30" xfId="14055"/>
    <cellStyle name="20% - Акцент4 2 6 31" xfId="14283"/>
    <cellStyle name="20% - Акцент4 2 6 32" xfId="14504"/>
    <cellStyle name="20% - Акцент4 2 6 33" xfId="14724"/>
    <cellStyle name="20% - Акцент4 2 6 34" xfId="14930"/>
    <cellStyle name="20% - Акцент4 2 6 35" xfId="15126"/>
    <cellStyle name="20% - Акцент4 2 6 36" xfId="15283"/>
    <cellStyle name="20% - Акцент4 2 6 37" xfId="15427"/>
    <cellStyle name="20% - Акцент4 2 6 4" xfId="6600"/>
    <cellStyle name="20% - Акцент4 2 6 5" xfId="6763"/>
    <cellStyle name="20% - Акцент4 2 6 6" xfId="6940"/>
    <cellStyle name="20% - Акцент4 2 6 7" xfId="7143"/>
    <cellStyle name="20% - Акцент4 2 6 8" xfId="7356"/>
    <cellStyle name="20% - Акцент4 2 6 9" xfId="7583"/>
    <cellStyle name="20% - Акцент4 2 60" xfId="15496"/>
    <cellStyle name="20% - Акцент4 2 61" xfId="15654"/>
    <cellStyle name="20% - Акцент4 2 62" xfId="15730"/>
    <cellStyle name="20% - Акцент4 2 7" xfId="1100"/>
    <cellStyle name="20% — акцент4 2 7" xfId="6461"/>
    <cellStyle name="20% - Акцент4 2 7 10" xfId="8027"/>
    <cellStyle name="20% - Акцент4 2 7 11" xfId="8233"/>
    <cellStyle name="20% - Акцент4 2 7 12" xfId="8430"/>
    <cellStyle name="20% - Акцент4 2 7 13" xfId="8588"/>
    <cellStyle name="20% - Акцент4 2 7 14" xfId="8733"/>
    <cellStyle name="20% - Акцент4 2 7 15" xfId="9836"/>
    <cellStyle name="20% - Акцент4 2 7 16" xfId="10493"/>
    <cellStyle name="20% - Акцент4 2 7 17" xfId="11241"/>
    <cellStyle name="20% - Акцент4 2 7 18" xfId="11476"/>
    <cellStyle name="20% - Акцент4 2 7 19" xfId="11711"/>
    <cellStyle name="20% - Акцент4 2 7 2" xfId="4600"/>
    <cellStyle name="20% - Акцент4 2 7 20" xfId="11946"/>
    <cellStyle name="20% - Акцент4 2 7 21" xfId="12181"/>
    <cellStyle name="20% - Акцент4 2 7 22" xfId="12416"/>
    <cellStyle name="20% - Акцент4 2 7 23" xfId="12651"/>
    <cellStyle name="20% - Акцент4 2 7 24" xfId="12886"/>
    <cellStyle name="20% - Акцент4 2 7 25" xfId="13121"/>
    <cellStyle name="20% - Акцент4 2 7 26" xfId="13356"/>
    <cellStyle name="20% - Акцент4 2 7 27" xfId="13591"/>
    <cellStyle name="20% - Акцент4 2 7 28" xfId="13825"/>
    <cellStyle name="20% - Акцент4 2 7 29" xfId="14054"/>
    <cellStyle name="20% - Акцент4 2 7 3" xfId="6599"/>
    <cellStyle name="20% - Акцент4 2 7 30" xfId="14282"/>
    <cellStyle name="20% - Акцент4 2 7 31" xfId="14503"/>
    <cellStyle name="20% - Акцент4 2 7 32" xfId="14723"/>
    <cellStyle name="20% - Акцент4 2 7 33" xfId="14929"/>
    <cellStyle name="20% - Акцент4 2 7 34" xfId="15125"/>
    <cellStyle name="20% - Акцент4 2 7 35" xfId="15282"/>
    <cellStyle name="20% - Акцент4 2 7 36" xfId="15426"/>
    <cellStyle name="20% - Акцент4 2 7 4" xfId="6762"/>
    <cellStyle name="20% - Акцент4 2 7 5" xfId="6939"/>
    <cellStyle name="20% - Акцент4 2 7 6" xfId="7142"/>
    <cellStyle name="20% - Акцент4 2 7 7" xfId="7355"/>
    <cellStyle name="20% - Акцент4 2 7 8" xfId="7582"/>
    <cellStyle name="20% - Акцент4 2 7 9" xfId="7805"/>
    <cellStyle name="20% - Акцент4 2 8" xfId="1101"/>
    <cellStyle name="20% — акцент4 2 8" xfId="6606"/>
    <cellStyle name="20% - Акцент4 2 8 10" xfId="8232"/>
    <cellStyle name="20% - Акцент4 2 8 11" xfId="8429"/>
    <cellStyle name="20% - Акцент4 2 8 12" xfId="8587"/>
    <cellStyle name="20% - Акцент4 2 8 13" xfId="8732"/>
    <cellStyle name="20% - Акцент4 2 8 14" xfId="9837"/>
    <cellStyle name="20% - Акцент4 2 8 15" xfId="10485"/>
    <cellStyle name="20% - Акцент4 2 8 16" xfId="11240"/>
    <cellStyle name="20% - Акцент4 2 8 17" xfId="11475"/>
    <cellStyle name="20% - Акцент4 2 8 18" xfId="11710"/>
    <cellStyle name="20% - Акцент4 2 8 19" xfId="11945"/>
    <cellStyle name="20% - Акцент4 2 8 2" xfId="4601"/>
    <cellStyle name="20% - Акцент4 2 8 20" xfId="12180"/>
    <cellStyle name="20% - Акцент4 2 8 21" xfId="12415"/>
    <cellStyle name="20% - Акцент4 2 8 22" xfId="12650"/>
    <cellStyle name="20% - Акцент4 2 8 23" xfId="12885"/>
    <cellStyle name="20% - Акцент4 2 8 24" xfId="13120"/>
    <cellStyle name="20% - Акцент4 2 8 25" xfId="13355"/>
    <cellStyle name="20% - Акцент4 2 8 26" xfId="13590"/>
    <cellStyle name="20% - Акцент4 2 8 27" xfId="13824"/>
    <cellStyle name="20% - Акцент4 2 8 28" xfId="14053"/>
    <cellStyle name="20% - Акцент4 2 8 29" xfId="14281"/>
    <cellStyle name="20% - Акцент4 2 8 3" xfId="6761"/>
    <cellStyle name="20% - Акцент4 2 8 30" xfId="14502"/>
    <cellStyle name="20% - Акцент4 2 8 31" xfId="14722"/>
    <cellStyle name="20% - Акцент4 2 8 32" xfId="14928"/>
    <cellStyle name="20% - Акцент4 2 8 33" xfId="15124"/>
    <cellStyle name="20% - Акцент4 2 8 34" xfId="15281"/>
    <cellStyle name="20% - Акцент4 2 8 35" xfId="15425"/>
    <cellStyle name="20% - Акцент4 2 8 4" xfId="6938"/>
    <cellStyle name="20% - Акцент4 2 8 5" xfId="7141"/>
    <cellStyle name="20% - Акцент4 2 8 6" xfId="7354"/>
    <cellStyle name="20% - Акцент4 2 8 7" xfId="7581"/>
    <cellStyle name="20% - Акцент4 2 8 8" xfId="7804"/>
    <cellStyle name="20% - Акцент4 2 8 9" xfId="8026"/>
    <cellStyle name="20% - Акцент4 2 9" xfId="1102"/>
    <cellStyle name="20% — акцент4 2 9" xfId="6769"/>
    <cellStyle name="20% - Акцент4 2 9 10" xfId="8428"/>
    <cellStyle name="20% - Акцент4 2 9 11" xfId="8586"/>
    <cellStyle name="20% - Акцент4 2 9 12" xfId="8731"/>
    <cellStyle name="20% - Акцент4 2 9 13" xfId="9838"/>
    <cellStyle name="20% - Акцент4 2 9 14" xfId="10483"/>
    <cellStyle name="20% - Акцент4 2 9 15" xfId="11239"/>
    <cellStyle name="20% - Акцент4 2 9 16" xfId="11474"/>
    <cellStyle name="20% - Акцент4 2 9 17" xfId="11709"/>
    <cellStyle name="20% - Акцент4 2 9 18" xfId="11944"/>
    <cellStyle name="20% - Акцент4 2 9 19" xfId="12179"/>
    <cellStyle name="20% - Акцент4 2 9 2" xfId="4602"/>
    <cellStyle name="20% - Акцент4 2 9 20" xfId="12414"/>
    <cellStyle name="20% - Акцент4 2 9 21" xfId="12649"/>
    <cellStyle name="20% - Акцент4 2 9 22" xfId="12884"/>
    <cellStyle name="20% - Акцент4 2 9 23" xfId="13119"/>
    <cellStyle name="20% - Акцент4 2 9 24" xfId="13354"/>
    <cellStyle name="20% - Акцент4 2 9 25" xfId="13589"/>
    <cellStyle name="20% - Акцент4 2 9 26" xfId="13823"/>
    <cellStyle name="20% - Акцент4 2 9 27" xfId="14052"/>
    <cellStyle name="20% - Акцент4 2 9 28" xfId="14280"/>
    <cellStyle name="20% - Акцент4 2 9 29" xfId="14501"/>
    <cellStyle name="20% - Акцент4 2 9 3" xfId="6937"/>
    <cellStyle name="20% - Акцент4 2 9 30" xfId="14721"/>
    <cellStyle name="20% - Акцент4 2 9 31" xfId="14927"/>
    <cellStyle name="20% - Акцент4 2 9 32" xfId="15123"/>
    <cellStyle name="20% - Акцент4 2 9 33" xfId="15280"/>
    <cellStyle name="20% - Акцент4 2 9 34" xfId="15424"/>
    <cellStyle name="20% - Акцент4 2 9 4" xfId="7140"/>
    <cellStyle name="20% - Акцент4 2 9 5" xfId="7353"/>
    <cellStyle name="20% - Акцент4 2 9 6" xfId="7580"/>
    <cellStyle name="20% - Акцент4 2 9 7" xfId="7803"/>
    <cellStyle name="20% - Акцент4 2 9 8" xfId="8025"/>
    <cellStyle name="20% - Акцент4 2 9 9" xfId="8231"/>
    <cellStyle name="20% - Акцент4 2_46EE.2011(v1.0)" xfId="1103"/>
    <cellStyle name="20% — акцент4 20" xfId="1104"/>
    <cellStyle name="20% — акцент4 21" xfId="1105"/>
    <cellStyle name="20% — акцент4 22" xfId="4591"/>
    <cellStyle name="20% — акцент4 23" xfId="5495"/>
    <cellStyle name="20% — акцент4 24" xfId="6136"/>
    <cellStyle name="20% — акцент4 25" xfId="6227"/>
    <cellStyle name="20% — акцент4 26" xfId="6336"/>
    <cellStyle name="20% — акцент4 27" xfId="6463"/>
    <cellStyle name="20% — акцент4 28" xfId="6608"/>
    <cellStyle name="20% — акцент4 29" xfId="6771"/>
    <cellStyle name="20% - Акцент4 3" xfId="1106"/>
    <cellStyle name="20% — акцент4 3" xfId="1107"/>
    <cellStyle name="20% - Акцент4 3 10" xfId="1108"/>
    <cellStyle name="20% - Акцент4 3 10 2" xfId="4604"/>
    <cellStyle name="20% - Акцент4 3 10 3" xfId="9840"/>
    <cellStyle name="20% - Акцент4 3 11" xfId="1109"/>
    <cellStyle name="20% - Акцент4 3 12" xfId="4603"/>
    <cellStyle name="20% - Акцент4 3 13" xfId="5507"/>
    <cellStyle name="20% - Акцент4 3 14" xfId="6124"/>
    <cellStyle name="20% - Акцент4 3 15" xfId="6215"/>
    <cellStyle name="20% - Акцент4 3 16" xfId="6324"/>
    <cellStyle name="20% - Акцент4 3 17" xfId="6451"/>
    <cellStyle name="20% - Акцент4 3 18" xfId="6596"/>
    <cellStyle name="20% - Акцент4 3 19" xfId="6759"/>
    <cellStyle name="20% - Акцент4 3 2" xfId="1110"/>
    <cellStyle name="20% - Акцент4 3 2 2" xfId="1111"/>
    <cellStyle name="20% - Акцент4 3 2 3" xfId="4605"/>
    <cellStyle name="20% - Акцент4 3 2 4" xfId="8809"/>
    <cellStyle name="20% - Акцент4 3 20" xfId="6935"/>
    <cellStyle name="20% - Акцент4 3 21" xfId="7139"/>
    <cellStyle name="20% - Акцент4 3 22" xfId="7352"/>
    <cellStyle name="20% - Акцент4 3 23" xfId="7579"/>
    <cellStyle name="20% - Акцент4 3 24" xfId="7802"/>
    <cellStyle name="20% - Акцент4 3 25" xfId="8024"/>
    <cellStyle name="20% - Акцент4 3 26" xfId="8230"/>
    <cellStyle name="20% - Акцент4 3 27" xfId="8427"/>
    <cellStyle name="20% - Акцент4 3 28" xfId="8585"/>
    <cellStyle name="20% - Акцент4 3 29" xfId="8730"/>
    <cellStyle name="20% - Акцент4 3 3" xfId="1112"/>
    <cellStyle name="20% - Акцент4 3 3 2" xfId="1113"/>
    <cellStyle name="20% - Акцент4 3 3 3" xfId="4606"/>
    <cellStyle name="20% - Акцент4 3 3 4" xfId="9842"/>
    <cellStyle name="20% - Акцент4 3 30" xfId="8808"/>
    <cellStyle name="20% - Акцент4 3 31" xfId="9053"/>
    <cellStyle name="20% - Акцент4 3 32" xfId="9222"/>
    <cellStyle name="20% - Акцент4 3 33" xfId="9354"/>
    <cellStyle name="20% - Акцент4 3 34" xfId="9443"/>
    <cellStyle name="20% - Акцент4 3 35" xfId="9532"/>
    <cellStyle name="20% - Акцент4 3 36" xfId="9610"/>
    <cellStyle name="20% - Акцент4 3 37" xfId="9647"/>
    <cellStyle name="20% - Акцент4 3 38" xfId="9738"/>
    <cellStyle name="20% - Акцент4 3 39" xfId="9839"/>
    <cellStyle name="20% - Акцент4 3 4" xfId="1114"/>
    <cellStyle name="20% - Акцент4 3 4 2" xfId="4607"/>
    <cellStyle name="20% - Акцент4 3 4 3" xfId="9843"/>
    <cellStyle name="20% - Акцент4 3 40" xfId="10475"/>
    <cellStyle name="20% - Акцент4 3 41" xfId="11238"/>
    <cellStyle name="20% - Акцент4 3 42" xfId="11473"/>
    <cellStyle name="20% - Акцент4 3 43" xfId="11708"/>
    <cellStyle name="20% - Акцент4 3 44" xfId="11943"/>
    <cellStyle name="20% - Акцент4 3 45" xfId="12178"/>
    <cellStyle name="20% - Акцент4 3 46" xfId="12413"/>
    <cellStyle name="20% - Акцент4 3 47" xfId="12648"/>
    <cellStyle name="20% - Акцент4 3 48" xfId="12883"/>
    <cellStyle name="20% - Акцент4 3 49" xfId="13118"/>
    <cellStyle name="20% - Акцент4 3 5" xfId="1115"/>
    <cellStyle name="20% - Акцент4 3 5 2" xfId="4608"/>
    <cellStyle name="20% - Акцент4 3 5 3" xfId="9844"/>
    <cellStyle name="20% - Акцент4 3 50" xfId="13353"/>
    <cellStyle name="20% - Акцент4 3 51" xfId="13588"/>
    <cellStyle name="20% - Акцент4 3 52" xfId="13822"/>
    <cellStyle name="20% - Акцент4 3 53" xfId="14051"/>
    <cellStyle name="20% - Акцент4 3 54" xfId="14279"/>
    <cellStyle name="20% - Акцент4 3 55" xfId="14500"/>
    <cellStyle name="20% - Акцент4 3 56" xfId="14720"/>
    <cellStyle name="20% - Акцент4 3 57" xfId="14926"/>
    <cellStyle name="20% - Акцент4 3 58" xfId="15122"/>
    <cellStyle name="20% - Акцент4 3 59" xfId="15279"/>
    <cellStyle name="20% - Акцент4 3 6" xfId="1116"/>
    <cellStyle name="20% - Акцент4 3 6 2" xfId="4609"/>
    <cellStyle name="20% - Акцент4 3 6 3" xfId="9845"/>
    <cellStyle name="20% - Акцент4 3 60" xfId="15423"/>
    <cellStyle name="20% - Акцент4 3 61" xfId="15499"/>
    <cellStyle name="20% - Акцент4 3 62" xfId="15651"/>
    <cellStyle name="20% - Акцент4 3 63" xfId="15727"/>
    <cellStyle name="20% - Акцент4 3 7" xfId="1117"/>
    <cellStyle name="20% - Акцент4 3 7 2" xfId="4610"/>
    <cellStyle name="20% - Акцент4 3 7 3" xfId="9846"/>
    <cellStyle name="20% - Акцент4 3 8" xfId="1118"/>
    <cellStyle name="20% - Акцент4 3 8 2" xfId="4611"/>
    <cellStyle name="20% - Акцент4 3 8 3" xfId="9847"/>
    <cellStyle name="20% - Акцент4 3 9" xfId="1119"/>
    <cellStyle name="20% - Акцент4 3 9 2" xfId="4612"/>
    <cellStyle name="20% - Акцент4 3 9 3" xfId="9848"/>
    <cellStyle name="20% - Акцент4 3_46EE.2011(v1.0)" xfId="1120"/>
    <cellStyle name="20% — акцент4 30" xfId="6948"/>
    <cellStyle name="20% — акцент4 31" xfId="7151"/>
    <cellStyle name="20% — акцент4 32" xfId="7364"/>
    <cellStyle name="20% — акцент4 33" xfId="7591"/>
    <cellStyle name="20% — акцент4 34" xfId="7814"/>
    <cellStyle name="20% — акцент4 35" xfId="8036"/>
    <cellStyle name="20% — акцент4 36" xfId="8242"/>
    <cellStyle name="20% — акцент4 37" xfId="8439"/>
    <cellStyle name="20% — акцент4 38" xfId="8597"/>
    <cellStyle name="20% — акцент4 39" xfId="8742"/>
    <cellStyle name="20% - Акцент4 4" xfId="1121"/>
    <cellStyle name="20% — акцент4 4" xfId="1122"/>
    <cellStyle name="20% - Акцент4 4 2" xfId="1123"/>
    <cellStyle name="20% - Акцент4 4 2 2" xfId="1124"/>
    <cellStyle name="20% - Акцент4 4 3" xfId="1125"/>
    <cellStyle name="20% - Акцент4 4 3 2" xfId="1126"/>
    <cellStyle name="20% - Акцент4 4_46EE.2011(v1.0)" xfId="1127"/>
    <cellStyle name="20% — акцент4 40" xfId="8804"/>
    <cellStyle name="20% — акцент4 41" xfId="9049"/>
    <cellStyle name="20% — акцент4 42" xfId="9225"/>
    <cellStyle name="20% — акцент4 43" xfId="9358"/>
    <cellStyle name="20% — акцент4 44" xfId="9447"/>
    <cellStyle name="20% — акцент4 45" xfId="9536"/>
    <cellStyle name="20% — акцент4 46" xfId="9614"/>
    <cellStyle name="20% — акцент4 47" xfId="9650"/>
    <cellStyle name="20% — акцент4 48" xfId="9742"/>
    <cellStyle name="20% — акцент4 49" xfId="9827"/>
    <cellStyle name="20% - Акцент4 5" xfId="1128"/>
    <cellStyle name="20% — акцент4 5" xfId="1129"/>
    <cellStyle name="20% - Акцент4 5 2" xfId="1130"/>
    <cellStyle name="20% - Акцент4 5 2 2" xfId="1131"/>
    <cellStyle name="20% - Акцент4 5 3" xfId="1132"/>
    <cellStyle name="20% - Акцент4 5 3 2" xfId="1133"/>
    <cellStyle name="20% - Акцент4 5_46EE.2011(v1.0)" xfId="1134"/>
    <cellStyle name="20% — акцент4 50" xfId="10517"/>
    <cellStyle name="20% — акцент4 51" xfId="11250"/>
    <cellStyle name="20% — акцент4 52" xfId="11485"/>
    <cellStyle name="20% — акцент4 53" xfId="11720"/>
    <cellStyle name="20% — акцент4 54" xfId="11955"/>
    <cellStyle name="20% — акцент4 55" xfId="12190"/>
    <cellStyle name="20% — акцент4 56" xfId="12425"/>
    <cellStyle name="20% — акцент4 57" xfId="12660"/>
    <cellStyle name="20% — акцент4 58" xfId="12895"/>
    <cellStyle name="20% — акцент4 59" xfId="13130"/>
    <cellStyle name="20% - Акцент4 6" xfId="1135"/>
    <cellStyle name="20% — акцент4 6" xfId="1136"/>
    <cellStyle name="20% - Акцент4 6 2" xfId="1137"/>
    <cellStyle name="20% - Акцент4 6 2 2" xfId="1138"/>
    <cellStyle name="20% - Акцент4 6 3" xfId="1139"/>
    <cellStyle name="20% - Акцент4 6 3 2" xfId="1140"/>
    <cellStyle name="20% - Акцент4 6_46EE.2011(v1.0)" xfId="1141"/>
    <cellStyle name="20% — акцент4 60" xfId="13365"/>
    <cellStyle name="20% — акцент4 61" xfId="13600"/>
    <cellStyle name="20% — акцент4 62" xfId="13834"/>
    <cellStyle name="20% — акцент4 63" xfId="14063"/>
    <cellStyle name="20% — акцент4 64" xfId="14291"/>
    <cellStyle name="20% — акцент4 65" xfId="14512"/>
    <cellStyle name="20% — акцент4 66" xfId="14732"/>
    <cellStyle name="20% — акцент4 67" xfId="14938"/>
    <cellStyle name="20% — акцент4 68" xfId="15134"/>
    <cellStyle name="20% — акцент4 69" xfId="15291"/>
    <cellStyle name="20% - Акцент4 7" xfId="1142"/>
    <cellStyle name="20% — акцент4 7" xfId="1143"/>
    <cellStyle name="20% - Акцент4 7 2" xfId="1144"/>
    <cellStyle name="20% - Акцент4 7 2 2" xfId="1145"/>
    <cellStyle name="20% - Акцент4 7 3" xfId="1146"/>
    <cellStyle name="20% - Акцент4 7 3 2" xfId="1147"/>
    <cellStyle name="20% - Акцент4 7_46EE.2011(v1.0)" xfId="1148"/>
    <cellStyle name="20% — акцент4 70" xfId="15435"/>
    <cellStyle name="20% — акцент4 71" xfId="15495"/>
    <cellStyle name="20% — акцент4 72" xfId="15655"/>
    <cellStyle name="20% — акцент4 73" xfId="15731"/>
    <cellStyle name="20% - Акцент4 8" xfId="1149"/>
    <cellStyle name="20% — акцент4 8" xfId="1150"/>
    <cellStyle name="20% - Акцент4 8 2" xfId="1151"/>
    <cellStyle name="20% - Акцент4 8 2 2" xfId="1152"/>
    <cellStyle name="20% - Акцент4 8 3" xfId="1153"/>
    <cellStyle name="20% - Акцент4 8 3 2" xfId="1154"/>
    <cellStyle name="20% - Акцент4 8 4" xfId="1155"/>
    <cellStyle name="20% - Акцент4 8_46EE.2011(v1.0)" xfId="1156"/>
    <cellStyle name="20% - Акцент4 9" xfId="1157"/>
    <cellStyle name="20% — акцент4 9" xfId="1158"/>
    <cellStyle name="20% - Акцент4 9 2" xfId="1159"/>
    <cellStyle name="20% - Акцент4 9 2 2" xfId="1160"/>
    <cellStyle name="20% - Акцент4 9 3" xfId="1161"/>
    <cellStyle name="20% - Акцент4 9 3 2" xfId="1162"/>
    <cellStyle name="20% - Акцент4 9 4" xfId="1163"/>
    <cellStyle name="20% - Акцент4 9_46EE.2011(v1.0)" xfId="1164"/>
    <cellStyle name="20% — акцент4_Расчет тарифа на тэ 2015 СЛФ" xfId="1165"/>
    <cellStyle name="20% — акцент5" xfId="1166"/>
    <cellStyle name="20% - Акцент5 10" xfId="1167"/>
    <cellStyle name="20% — акцент5 10" xfId="1168"/>
    <cellStyle name="20% - Акцент5 10 2" xfId="1169"/>
    <cellStyle name="20% - Акцент5 11" xfId="1170"/>
    <cellStyle name="20% — акцент5 11" xfId="1171"/>
    <cellStyle name="20% - Акцент5 11 2" xfId="1172"/>
    <cellStyle name="20% — акцент5 12" xfId="1173"/>
    <cellStyle name="20% — акцент5 13" xfId="1174"/>
    <cellStyle name="20% — акцент5 14" xfId="1175"/>
    <cellStyle name="20% — акцент5 15" xfId="1176"/>
    <cellStyle name="20% — акцент5 16" xfId="1177"/>
    <cellStyle name="20% — акцент5 17" xfId="1178"/>
    <cellStyle name="20% — акцент5 18" xfId="1179"/>
    <cellStyle name="20% — акцент5 19" xfId="1180"/>
    <cellStyle name="20% - Акцент5 2" xfId="1181"/>
    <cellStyle name="20% — акцент5 2" xfId="1182"/>
    <cellStyle name="20% - Акцент5 2 10" xfId="1183"/>
    <cellStyle name="20% — акцент5 2 10" xfId="6923"/>
    <cellStyle name="20% - Акцент5 2 10 10" xfId="8580"/>
    <cellStyle name="20% - Акцент5 2 10 11" xfId="8725"/>
    <cellStyle name="20% - Акцент5 2 10 12" xfId="9852"/>
    <cellStyle name="20% - Акцент5 2 10 13" xfId="10422"/>
    <cellStyle name="20% - Акцент5 2 10 14" xfId="11224"/>
    <cellStyle name="20% - Акцент5 2 10 15" xfId="11459"/>
    <cellStyle name="20% - Акцент5 2 10 16" xfId="11694"/>
    <cellStyle name="20% - Акцент5 2 10 17" xfId="11929"/>
    <cellStyle name="20% - Акцент5 2 10 18" xfId="12164"/>
    <cellStyle name="20% - Акцент5 2 10 19" xfId="12399"/>
    <cellStyle name="20% - Акцент5 2 10 2" xfId="4616"/>
    <cellStyle name="20% - Акцент5 2 10 20" xfId="12634"/>
    <cellStyle name="20% - Акцент5 2 10 21" xfId="12869"/>
    <cellStyle name="20% - Акцент5 2 10 22" xfId="13104"/>
    <cellStyle name="20% - Акцент5 2 10 23" xfId="13339"/>
    <cellStyle name="20% - Акцент5 2 10 24" xfId="13574"/>
    <cellStyle name="20% - Акцент5 2 10 25" xfId="13808"/>
    <cellStyle name="20% - Акцент5 2 10 26" xfId="14037"/>
    <cellStyle name="20% - Акцент5 2 10 27" xfId="14265"/>
    <cellStyle name="20% - Акцент5 2 10 28" xfId="14486"/>
    <cellStyle name="20% - Акцент5 2 10 29" xfId="14706"/>
    <cellStyle name="20% - Акцент5 2 10 3" xfId="7125"/>
    <cellStyle name="20% - Акцент5 2 10 30" xfId="14916"/>
    <cellStyle name="20% - Акцент5 2 10 31" xfId="15110"/>
    <cellStyle name="20% - Акцент5 2 10 32" xfId="15274"/>
    <cellStyle name="20% - Акцент5 2 10 33" xfId="15418"/>
    <cellStyle name="20% - Акцент5 2 10 4" xfId="7338"/>
    <cellStyle name="20% - Акцент5 2 10 5" xfId="7565"/>
    <cellStyle name="20% - Акцент5 2 10 6" xfId="7788"/>
    <cellStyle name="20% - Акцент5 2 10 7" xfId="8010"/>
    <cellStyle name="20% - Акцент5 2 10 8" xfId="8219"/>
    <cellStyle name="20% - Акцент5 2 10 9" xfId="8416"/>
    <cellStyle name="20% - Акцент5 2 11" xfId="4614"/>
    <cellStyle name="20% — акцент5 2 11" xfId="7126"/>
    <cellStyle name="20% - Акцент5 2 12" xfId="5518"/>
    <cellStyle name="20% — акцент5 2 12" xfId="7339"/>
    <cellStyle name="20% - Акцент5 2 13" xfId="6112"/>
    <cellStyle name="20% — акцент5 2 13" xfId="7566"/>
    <cellStyle name="20% - Акцент5 2 14" xfId="5353"/>
    <cellStyle name="20% — акцент5 2 14" xfId="7789"/>
    <cellStyle name="20% - Акцент5 2 15" xfId="6312"/>
    <cellStyle name="20% — акцент5 2 15" xfId="8011"/>
    <cellStyle name="20% - Акцент5 2 16" xfId="6439"/>
    <cellStyle name="20% — акцент5 2 16" xfId="8220"/>
    <cellStyle name="20% - Акцент5 2 17" xfId="6584"/>
    <cellStyle name="20% — акцент5 2 17" xfId="8417"/>
    <cellStyle name="20% - Акцент5 2 18" xfId="6747"/>
    <cellStyle name="20% — акцент5 2 18" xfId="8581"/>
    <cellStyle name="20% - Акцент5 2 19" xfId="6924"/>
    <cellStyle name="20% — акцент5 2 19" xfId="8726"/>
    <cellStyle name="20% - Акцент5 2 2" xfId="1184"/>
    <cellStyle name="20% — акцент5 2 2" xfId="4615"/>
    <cellStyle name="20% - Акцент5 2 2 10" xfId="6744"/>
    <cellStyle name="20% - Акцент5 2 2 11" xfId="6921"/>
    <cellStyle name="20% - Акцент5 2 2 12" xfId="7124"/>
    <cellStyle name="20% - Акцент5 2 2 13" xfId="7337"/>
    <cellStyle name="20% - Акцент5 2 2 14" xfId="7564"/>
    <cellStyle name="20% - Акцент5 2 2 15" xfId="7787"/>
    <cellStyle name="20% - Акцент5 2 2 16" xfId="8009"/>
    <cellStyle name="20% - Акцент5 2 2 17" xfId="8218"/>
    <cellStyle name="20% - Акцент5 2 2 18" xfId="8415"/>
    <cellStyle name="20% - Акцент5 2 2 19" xfId="8579"/>
    <cellStyle name="20% - Акцент5 2 2 2" xfId="1185"/>
    <cellStyle name="20% - Акцент5 2 2 20" xfId="8724"/>
    <cellStyle name="20% - Акцент5 2 2 21" xfId="8813"/>
    <cellStyle name="20% - Акцент5 2 2 22" xfId="9058"/>
    <cellStyle name="20% - Акцент5 2 2 23" xfId="9217"/>
    <cellStyle name="20% - Акцент5 2 2 24" xfId="9349"/>
    <cellStyle name="20% - Акцент5 2 2 25" xfId="9438"/>
    <cellStyle name="20% - Акцент5 2 2 26" xfId="9527"/>
    <cellStyle name="20% - Акцент5 2 2 27" xfId="9606"/>
    <cellStyle name="20% - Акцент5 2 2 28" xfId="9643"/>
    <cellStyle name="20% - Акцент5 2 2 29" xfId="9734"/>
    <cellStyle name="20% - Акцент5 2 2 3" xfId="4617"/>
    <cellStyle name="20% - Акцент5 2 2 30" xfId="9853"/>
    <cellStyle name="20% - Акцент5 2 2 31" xfId="10420"/>
    <cellStyle name="20% - Акцент5 2 2 32" xfId="11223"/>
    <cellStyle name="20% - Акцент5 2 2 33" xfId="11458"/>
    <cellStyle name="20% - Акцент5 2 2 34" xfId="11693"/>
    <cellStyle name="20% - Акцент5 2 2 35" xfId="11928"/>
    <cellStyle name="20% - Акцент5 2 2 36" xfId="12163"/>
    <cellStyle name="20% - Акцент5 2 2 37" xfId="12398"/>
    <cellStyle name="20% - Акцент5 2 2 38" xfId="12633"/>
    <cellStyle name="20% - Акцент5 2 2 39" xfId="12868"/>
    <cellStyle name="20% - Акцент5 2 2 4" xfId="5521"/>
    <cellStyle name="20% - Акцент5 2 2 40" xfId="13103"/>
    <cellStyle name="20% - Акцент5 2 2 41" xfId="13338"/>
    <cellStyle name="20% - Акцент5 2 2 42" xfId="13573"/>
    <cellStyle name="20% - Акцент5 2 2 43" xfId="13807"/>
    <cellStyle name="20% - Акцент5 2 2 44" xfId="14036"/>
    <cellStyle name="20% - Акцент5 2 2 45" xfId="14264"/>
    <cellStyle name="20% - Акцент5 2 2 46" xfId="14485"/>
    <cellStyle name="20% - Акцент5 2 2 47" xfId="14705"/>
    <cellStyle name="20% - Акцент5 2 2 48" xfId="14915"/>
    <cellStyle name="20% - Акцент5 2 2 49" xfId="15109"/>
    <cellStyle name="20% - Акцент5 2 2 5" xfId="6109"/>
    <cellStyle name="20% - Акцент5 2 2 50" xfId="15273"/>
    <cellStyle name="20% - Акцент5 2 2 51" xfId="15417"/>
    <cellStyle name="20% - Акцент5 2 2 52" xfId="15504"/>
    <cellStyle name="20% - Акцент5 2 2 53" xfId="15647"/>
    <cellStyle name="20% - Акцент5 2 2 54" xfId="15723"/>
    <cellStyle name="20% - Акцент5 2 2 6" xfId="5349"/>
    <cellStyle name="20% - Акцент5 2 2 7" xfId="6309"/>
    <cellStyle name="20% - Акцент5 2 2 8" xfId="6436"/>
    <cellStyle name="20% - Акцент5 2 2 9" xfId="6581"/>
    <cellStyle name="20% - Акцент5 2 20" xfId="7127"/>
    <cellStyle name="20% — акцент5 2 20" xfId="8812"/>
    <cellStyle name="20% - Акцент5 2 21" xfId="7340"/>
    <cellStyle name="20% — акцент5 2 21" xfId="9057"/>
    <cellStyle name="20% - Акцент5 2 22" xfId="7567"/>
    <cellStyle name="20% — акцент5 2 22" xfId="9218"/>
    <cellStyle name="20% - Акцент5 2 23" xfId="7790"/>
    <cellStyle name="20% — акцент5 2 23" xfId="9350"/>
    <cellStyle name="20% - Акцент5 2 24" xfId="8012"/>
    <cellStyle name="20% — акцент5 2 24" xfId="9439"/>
    <cellStyle name="20% - Акцент5 2 25" xfId="8221"/>
    <cellStyle name="20% — акцент5 2 25" xfId="9528"/>
    <cellStyle name="20% - Акцент5 2 26" xfId="8418"/>
    <cellStyle name="20% — акцент5 2 26" xfId="9607"/>
    <cellStyle name="20% - Акцент5 2 27" xfId="8582"/>
    <cellStyle name="20% — акцент5 2 27" xfId="9644"/>
    <cellStyle name="20% - Акцент5 2 28" xfId="8727"/>
    <cellStyle name="20% — акцент5 2 28" xfId="9735"/>
    <cellStyle name="20% - Акцент5 2 29" xfId="8811"/>
    <cellStyle name="20% — акцент5 2 29" xfId="9851"/>
    <cellStyle name="20% - Акцент5 2 3" xfId="1186"/>
    <cellStyle name="20% — акцент5 2 3" xfId="5519"/>
    <cellStyle name="20% - Акцент5 2 3 10" xfId="6920"/>
    <cellStyle name="20% - Акцент5 2 3 11" xfId="7123"/>
    <cellStyle name="20% - Акцент5 2 3 12" xfId="7336"/>
    <cellStyle name="20% - Акцент5 2 3 13" xfId="7563"/>
    <cellStyle name="20% - Акцент5 2 3 14" xfId="7786"/>
    <cellStyle name="20% - Акцент5 2 3 15" xfId="8008"/>
    <cellStyle name="20% - Акцент5 2 3 16" xfId="8217"/>
    <cellStyle name="20% - Акцент5 2 3 17" xfId="8414"/>
    <cellStyle name="20% - Акцент5 2 3 18" xfId="8578"/>
    <cellStyle name="20% - Акцент5 2 3 19" xfId="8723"/>
    <cellStyle name="20% - Акцент5 2 3 2" xfId="1187"/>
    <cellStyle name="20% - Акцент5 2 3 20" xfId="9854"/>
    <cellStyle name="20% - Акцент5 2 3 21" xfId="10412"/>
    <cellStyle name="20% - Акцент5 2 3 22" xfId="11222"/>
    <cellStyle name="20% - Акцент5 2 3 23" xfId="11457"/>
    <cellStyle name="20% - Акцент5 2 3 24" xfId="11692"/>
    <cellStyle name="20% - Акцент5 2 3 25" xfId="11927"/>
    <cellStyle name="20% - Акцент5 2 3 26" xfId="12162"/>
    <cellStyle name="20% - Акцент5 2 3 27" xfId="12397"/>
    <cellStyle name="20% - Акцент5 2 3 28" xfId="12632"/>
    <cellStyle name="20% - Акцент5 2 3 29" xfId="12867"/>
    <cellStyle name="20% - Акцент5 2 3 3" xfId="4618"/>
    <cellStyle name="20% - Акцент5 2 3 30" xfId="13102"/>
    <cellStyle name="20% - Акцент5 2 3 31" xfId="13337"/>
    <cellStyle name="20% - Акцент5 2 3 32" xfId="13572"/>
    <cellStyle name="20% - Акцент5 2 3 33" xfId="13806"/>
    <cellStyle name="20% - Акцент5 2 3 34" xfId="14035"/>
    <cellStyle name="20% - Акцент5 2 3 35" xfId="14263"/>
    <cellStyle name="20% - Акцент5 2 3 36" xfId="14484"/>
    <cellStyle name="20% - Акцент5 2 3 37" xfId="14704"/>
    <cellStyle name="20% - Акцент5 2 3 38" xfId="14914"/>
    <cellStyle name="20% - Акцент5 2 3 39" xfId="15108"/>
    <cellStyle name="20% - Акцент5 2 3 4" xfId="6108"/>
    <cellStyle name="20% - Акцент5 2 3 40" xfId="15272"/>
    <cellStyle name="20% - Акцент5 2 3 41" xfId="15416"/>
    <cellStyle name="20% - Акцент5 2 3 5" xfId="5348"/>
    <cellStyle name="20% - Акцент5 2 3 6" xfId="6308"/>
    <cellStyle name="20% - Акцент5 2 3 7" xfId="6435"/>
    <cellStyle name="20% - Акцент5 2 3 8" xfId="6580"/>
    <cellStyle name="20% - Акцент5 2 3 9" xfId="6743"/>
    <cellStyle name="20% - Акцент5 2 30" xfId="9056"/>
    <cellStyle name="20% — акцент5 2 30" xfId="10430"/>
    <cellStyle name="20% - Акцент5 2 31" xfId="9219"/>
    <cellStyle name="20% — акцент5 2 31" xfId="11225"/>
    <cellStyle name="20% - Акцент5 2 32" xfId="9351"/>
    <cellStyle name="20% — акцент5 2 32" xfId="11460"/>
    <cellStyle name="20% - Акцент5 2 33" xfId="9440"/>
    <cellStyle name="20% — акцент5 2 33" xfId="11695"/>
    <cellStyle name="20% - Акцент5 2 34" xfId="9529"/>
    <cellStyle name="20% — акцент5 2 34" xfId="11930"/>
    <cellStyle name="20% - Акцент5 2 35" xfId="9608"/>
    <cellStyle name="20% — акцент5 2 35" xfId="12165"/>
    <cellStyle name="20% - Акцент5 2 36" xfId="9645"/>
    <cellStyle name="20% — акцент5 2 36" xfId="12400"/>
    <cellStyle name="20% - Акцент5 2 37" xfId="9736"/>
    <cellStyle name="20% — акцент5 2 37" xfId="12635"/>
    <cellStyle name="20% - Акцент5 2 38" xfId="9850"/>
    <cellStyle name="20% — акцент5 2 38" xfId="12870"/>
    <cellStyle name="20% - Акцент5 2 39" xfId="10431"/>
    <cellStyle name="20% — акцент5 2 39" xfId="13105"/>
    <cellStyle name="20% - Акцент5 2 4" xfId="1188"/>
    <cellStyle name="20% — акцент5 2 4" xfId="6111"/>
    <cellStyle name="20% - Акцент5 2 4 10" xfId="7335"/>
    <cellStyle name="20% - Акцент5 2 4 11" xfId="7562"/>
    <cellStyle name="20% - Акцент5 2 4 12" xfId="7785"/>
    <cellStyle name="20% - Акцент5 2 4 13" xfId="8007"/>
    <cellStyle name="20% - Акцент5 2 4 14" xfId="8216"/>
    <cellStyle name="20% - Акцент5 2 4 15" xfId="8413"/>
    <cellStyle name="20% - Акцент5 2 4 16" xfId="8577"/>
    <cellStyle name="20% - Акцент5 2 4 17" xfId="8722"/>
    <cellStyle name="20% - Акцент5 2 4 18" xfId="9855"/>
    <cellStyle name="20% - Акцент5 2 4 19" xfId="10410"/>
    <cellStyle name="20% - Акцент5 2 4 2" xfId="4619"/>
    <cellStyle name="20% - Акцент5 2 4 20" xfId="11221"/>
    <cellStyle name="20% - Акцент5 2 4 21" xfId="11456"/>
    <cellStyle name="20% - Акцент5 2 4 22" xfId="11691"/>
    <cellStyle name="20% - Акцент5 2 4 23" xfId="11926"/>
    <cellStyle name="20% - Акцент5 2 4 24" xfId="12161"/>
    <cellStyle name="20% - Акцент5 2 4 25" xfId="12396"/>
    <cellStyle name="20% - Акцент5 2 4 26" xfId="12631"/>
    <cellStyle name="20% - Акцент5 2 4 27" xfId="12866"/>
    <cellStyle name="20% - Акцент5 2 4 28" xfId="13101"/>
    <cellStyle name="20% - Акцент5 2 4 29" xfId="13336"/>
    <cellStyle name="20% - Акцент5 2 4 3" xfId="5347"/>
    <cellStyle name="20% - Акцент5 2 4 30" xfId="13571"/>
    <cellStyle name="20% - Акцент5 2 4 31" xfId="13805"/>
    <cellStyle name="20% - Акцент5 2 4 32" xfId="14034"/>
    <cellStyle name="20% - Акцент5 2 4 33" xfId="14262"/>
    <cellStyle name="20% - Акцент5 2 4 34" xfId="14483"/>
    <cellStyle name="20% - Акцент5 2 4 35" xfId="14703"/>
    <cellStyle name="20% - Акцент5 2 4 36" xfId="14913"/>
    <cellStyle name="20% - Акцент5 2 4 37" xfId="15107"/>
    <cellStyle name="20% - Акцент5 2 4 38" xfId="15271"/>
    <cellStyle name="20% - Акцент5 2 4 39" xfId="15415"/>
    <cellStyle name="20% - Акцент5 2 4 4" xfId="6307"/>
    <cellStyle name="20% - Акцент5 2 4 5" xfId="6434"/>
    <cellStyle name="20% - Акцент5 2 4 6" xfId="6579"/>
    <cellStyle name="20% - Акцент5 2 4 7" xfId="6742"/>
    <cellStyle name="20% - Акцент5 2 4 8" xfId="6919"/>
    <cellStyle name="20% - Акцент5 2 4 9" xfId="7122"/>
    <cellStyle name="20% - Акцент5 2 40" xfId="11226"/>
    <cellStyle name="20% — акцент5 2 40" xfId="13340"/>
    <cellStyle name="20% - Акцент5 2 41" xfId="11461"/>
    <cellStyle name="20% — акцент5 2 41" xfId="13575"/>
    <cellStyle name="20% - Акцент5 2 42" xfId="11696"/>
    <cellStyle name="20% — акцент5 2 42" xfId="13809"/>
    <cellStyle name="20% - Акцент5 2 43" xfId="11931"/>
    <cellStyle name="20% — акцент5 2 43" xfId="14038"/>
    <cellStyle name="20% - Акцент5 2 44" xfId="12166"/>
    <cellStyle name="20% — акцент5 2 44" xfId="14266"/>
    <cellStyle name="20% - Акцент5 2 45" xfId="12401"/>
    <cellStyle name="20% — акцент5 2 45" xfId="14487"/>
    <cellStyle name="20% - Акцент5 2 46" xfId="12636"/>
    <cellStyle name="20% — акцент5 2 46" xfId="14707"/>
    <cellStyle name="20% - Акцент5 2 47" xfId="12871"/>
    <cellStyle name="20% — акцент5 2 47" xfId="14917"/>
    <cellStyle name="20% - Акцент5 2 48" xfId="13106"/>
    <cellStyle name="20% — акцент5 2 48" xfId="15111"/>
    <cellStyle name="20% - Акцент5 2 49" xfId="13341"/>
    <cellStyle name="20% — акцент5 2 49" xfId="15275"/>
    <cellStyle name="20% - Акцент5 2 5" xfId="1189"/>
    <cellStyle name="20% — акцент5 2 5" xfId="5351"/>
    <cellStyle name="20% - Акцент5 2 5 10" xfId="7561"/>
    <cellStyle name="20% - Акцент5 2 5 11" xfId="7784"/>
    <cellStyle name="20% - Акцент5 2 5 12" xfId="8006"/>
    <cellStyle name="20% - Акцент5 2 5 13" xfId="8215"/>
    <cellStyle name="20% - Акцент5 2 5 14" xfId="8412"/>
    <cellStyle name="20% - Акцент5 2 5 15" xfId="8576"/>
    <cellStyle name="20% - Акцент5 2 5 16" xfId="8721"/>
    <cellStyle name="20% - Акцент5 2 5 17" xfId="9856"/>
    <cellStyle name="20% - Акцент5 2 5 18" xfId="10409"/>
    <cellStyle name="20% - Акцент5 2 5 19" xfId="11220"/>
    <cellStyle name="20% - Акцент5 2 5 2" xfId="4620"/>
    <cellStyle name="20% - Акцент5 2 5 20" xfId="11455"/>
    <cellStyle name="20% - Акцент5 2 5 21" xfId="11690"/>
    <cellStyle name="20% - Акцент5 2 5 22" xfId="11925"/>
    <cellStyle name="20% - Акцент5 2 5 23" xfId="12160"/>
    <cellStyle name="20% - Акцент5 2 5 24" xfId="12395"/>
    <cellStyle name="20% - Акцент5 2 5 25" xfId="12630"/>
    <cellStyle name="20% - Акцент5 2 5 26" xfId="12865"/>
    <cellStyle name="20% - Акцент5 2 5 27" xfId="13100"/>
    <cellStyle name="20% - Акцент5 2 5 28" xfId="13335"/>
    <cellStyle name="20% - Акцент5 2 5 29" xfId="13570"/>
    <cellStyle name="20% - Акцент5 2 5 3" xfId="6306"/>
    <cellStyle name="20% - Акцент5 2 5 30" xfId="13804"/>
    <cellStyle name="20% - Акцент5 2 5 31" xfId="14033"/>
    <cellStyle name="20% - Акцент5 2 5 32" xfId="14261"/>
    <cellStyle name="20% - Акцент5 2 5 33" xfId="14482"/>
    <cellStyle name="20% - Акцент5 2 5 34" xfId="14702"/>
    <cellStyle name="20% - Акцент5 2 5 35" xfId="14912"/>
    <cellStyle name="20% - Акцент5 2 5 36" xfId="15106"/>
    <cellStyle name="20% - Акцент5 2 5 37" xfId="15270"/>
    <cellStyle name="20% - Акцент5 2 5 38" xfId="15414"/>
    <cellStyle name="20% - Акцент5 2 5 4" xfId="6433"/>
    <cellStyle name="20% - Акцент5 2 5 5" xfId="6578"/>
    <cellStyle name="20% - Акцент5 2 5 6" xfId="6741"/>
    <cellStyle name="20% - Акцент5 2 5 7" xfId="6918"/>
    <cellStyle name="20% - Акцент5 2 5 8" xfId="7121"/>
    <cellStyle name="20% - Акцент5 2 5 9" xfId="7334"/>
    <cellStyle name="20% - Акцент5 2 50" xfId="13576"/>
    <cellStyle name="20% — акцент5 2 50" xfId="15419"/>
    <cellStyle name="20% - Акцент5 2 51" xfId="13810"/>
    <cellStyle name="20% — акцент5 2 51" xfId="15503"/>
    <cellStyle name="20% - Акцент5 2 52" xfId="14039"/>
    <cellStyle name="20% — акцент5 2 52" xfId="15648"/>
    <cellStyle name="20% - Акцент5 2 53" xfId="14267"/>
    <cellStyle name="20% — акцент5 2 53" xfId="15724"/>
    <cellStyle name="20% - Акцент5 2 54" xfId="14488"/>
    <cellStyle name="20% - Акцент5 2 55" xfId="14708"/>
    <cellStyle name="20% - Акцент5 2 56" xfId="14918"/>
    <cellStyle name="20% - Акцент5 2 57" xfId="15112"/>
    <cellStyle name="20% - Акцент5 2 58" xfId="15276"/>
    <cellStyle name="20% - Акцент5 2 59" xfId="15420"/>
    <cellStyle name="20% - Акцент5 2 6" xfId="1190"/>
    <cellStyle name="20% — акцент5 2 6" xfId="6311"/>
    <cellStyle name="20% - Акцент5 2 6 10" xfId="7783"/>
    <cellStyle name="20% - Акцент5 2 6 11" xfId="8005"/>
    <cellStyle name="20% - Акцент5 2 6 12" xfId="8214"/>
    <cellStyle name="20% - Акцент5 2 6 13" xfId="8411"/>
    <cellStyle name="20% - Акцент5 2 6 14" xfId="8575"/>
    <cellStyle name="20% - Акцент5 2 6 15" xfId="8720"/>
    <cellStyle name="20% - Акцент5 2 6 16" xfId="9857"/>
    <cellStyle name="20% - Акцент5 2 6 17" xfId="10401"/>
    <cellStyle name="20% - Акцент5 2 6 18" xfId="11219"/>
    <cellStyle name="20% - Акцент5 2 6 19" xfId="11454"/>
    <cellStyle name="20% - Акцент5 2 6 2" xfId="4621"/>
    <cellStyle name="20% - Акцент5 2 6 20" xfId="11689"/>
    <cellStyle name="20% - Акцент5 2 6 21" xfId="11924"/>
    <cellStyle name="20% - Акцент5 2 6 22" xfId="12159"/>
    <cellStyle name="20% - Акцент5 2 6 23" xfId="12394"/>
    <cellStyle name="20% - Акцент5 2 6 24" xfId="12629"/>
    <cellStyle name="20% - Акцент5 2 6 25" xfId="12864"/>
    <cellStyle name="20% - Акцент5 2 6 26" xfId="13099"/>
    <cellStyle name="20% - Акцент5 2 6 27" xfId="13334"/>
    <cellStyle name="20% - Акцент5 2 6 28" xfId="13569"/>
    <cellStyle name="20% - Акцент5 2 6 29" xfId="13803"/>
    <cellStyle name="20% - Акцент5 2 6 3" xfId="6432"/>
    <cellStyle name="20% - Акцент5 2 6 30" xfId="14032"/>
    <cellStyle name="20% - Акцент5 2 6 31" xfId="14260"/>
    <cellStyle name="20% - Акцент5 2 6 32" xfId="14481"/>
    <cellStyle name="20% - Акцент5 2 6 33" xfId="14701"/>
    <cellStyle name="20% - Акцент5 2 6 34" xfId="14911"/>
    <cellStyle name="20% - Акцент5 2 6 35" xfId="15105"/>
    <cellStyle name="20% - Акцент5 2 6 36" xfId="15269"/>
    <cellStyle name="20% - Акцент5 2 6 37" xfId="15413"/>
    <cellStyle name="20% - Акцент5 2 6 4" xfId="6577"/>
    <cellStyle name="20% - Акцент5 2 6 5" xfId="6740"/>
    <cellStyle name="20% - Акцент5 2 6 6" xfId="6917"/>
    <cellStyle name="20% - Акцент5 2 6 7" xfId="7120"/>
    <cellStyle name="20% - Акцент5 2 6 8" xfId="7333"/>
    <cellStyle name="20% - Акцент5 2 6 9" xfId="7560"/>
    <cellStyle name="20% - Акцент5 2 60" xfId="15502"/>
    <cellStyle name="20% - Акцент5 2 61" xfId="15649"/>
    <cellStyle name="20% - Акцент5 2 62" xfId="15725"/>
    <cellStyle name="20% - Акцент5 2 7" xfId="1191"/>
    <cellStyle name="20% — акцент5 2 7" xfId="6438"/>
    <cellStyle name="20% - Акцент5 2 7 10" xfId="8004"/>
    <cellStyle name="20% - Акцент5 2 7 11" xfId="8213"/>
    <cellStyle name="20% - Акцент5 2 7 12" xfId="8410"/>
    <cellStyle name="20% - Акцент5 2 7 13" xfId="8574"/>
    <cellStyle name="20% - Акцент5 2 7 14" xfId="8719"/>
    <cellStyle name="20% - Акцент5 2 7 15" xfId="9858"/>
    <cellStyle name="20% - Акцент5 2 7 16" xfId="10399"/>
    <cellStyle name="20% - Акцент5 2 7 17" xfId="11218"/>
    <cellStyle name="20% - Акцент5 2 7 18" xfId="11453"/>
    <cellStyle name="20% - Акцент5 2 7 19" xfId="11688"/>
    <cellStyle name="20% - Акцент5 2 7 2" xfId="4622"/>
    <cellStyle name="20% - Акцент5 2 7 20" xfId="11923"/>
    <cellStyle name="20% - Акцент5 2 7 21" xfId="12158"/>
    <cellStyle name="20% - Акцент5 2 7 22" xfId="12393"/>
    <cellStyle name="20% - Акцент5 2 7 23" xfId="12628"/>
    <cellStyle name="20% - Акцент5 2 7 24" xfId="12863"/>
    <cellStyle name="20% - Акцент5 2 7 25" xfId="13098"/>
    <cellStyle name="20% - Акцент5 2 7 26" xfId="13333"/>
    <cellStyle name="20% - Акцент5 2 7 27" xfId="13568"/>
    <cellStyle name="20% - Акцент5 2 7 28" xfId="13802"/>
    <cellStyle name="20% - Акцент5 2 7 29" xfId="14031"/>
    <cellStyle name="20% - Акцент5 2 7 3" xfId="6576"/>
    <cellStyle name="20% - Акцент5 2 7 30" xfId="14259"/>
    <cellStyle name="20% - Акцент5 2 7 31" xfId="14480"/>
    <cellStyle name="20% - Акцент5 2 7 32" xfId="14700"/>
    <cellStyle name="20% - Акцент5 2 7 33" xfId="14910"/>
    <cellStyle name="20% - Акцент5 2 7 34" xfId="15104"/>
    <cellStyle name="20% - Акцент5 2 7 35" xfId="15268"/>
    <cellStyle name="20% - Акцент5 2 7 36" xfId="15412"/>
    <cellStyle name="20% - Акцент5 2 7 4" xfId="6739"/>
    <cellStyle name="20% - Акцент5 2 7 5" xfId="6916"/>
    <cellStyle name="20% - Акцент5 2 7 6" xfId="7119"/>
    <cellStyle name="20% - Акцент5 2 7 7" xfId="7332"/>
    <cellStyle name="20% - Акцент5 2 7 8" xfId="7559"/>
    <cellStyle name="20% - Акцент5 2 7 9" xfId="7782"/>
    <cellStyle name="20% - Акцент5 2 8" xfId="1192"/>
    <cellStyle name="20% — акцент5 2 8" xfId="6583"/>
    <cellStyle name="20% - Акцент5 2 8 10" xfId="8212"/>
    <cellStyle name="20% - Акцент5 2 8 11" xfId="8409"/>
    <cellStyle name="20% - Акцент5 2 8 12" xfId="8573"/>
    <cellStyle name="20% - Акцент5 2 8 13" xfId="8718"/>
    <cellStyle name="20% - Акцент5 2 8 14" xfId="9859"/>
    <cellStyle name="20% - Акцент5 2 8 15" xfId="10391"/>
    <cellStyle name="20% - Акцент5 2 8 16" xfId="11217"/>
    <cellStyle name="20% - Акцент5 2 8 17" xfId="11452"/>
    <cellStyle name="20% - Акцент5 2 8 18" xfId="11687"/>
    <cellStyle name="20% - Акцент5 2 8 19" xfId="11922"/>
    <cellStyle name="20% - Акцент5 2 8 2" xfId="4623"/>
    <cellStyle name="20% - Акцент5 2 8 20" xfId="12157"/>
    <cellStyle name="20% - Акцент5 2 8 21" xfId="12392"/>
    <cellStyle name="20% - Акцент5 2 8 22" xfId="12627"/>
    <cellStyle name="20% - Акцент5 2 8 23" xfId="12862"/>
    <cellStyle name="20% - Акцент5 2 8 24" xfId="13097"/>
    <cellStyle name="20% - Акцент5 2 8 25" xfId="13332"/>
    <cellStyle name="20% - Акцент5 2 8 26" xfId="13567"/>
    <cellStyle name="20% - Акцент5 2 8 27" xfId="13801"/>
    <cellStyle name="20% - Акцент5 2 8 28" xfId="14030"/>
    <cellStyle name="20% - Акцент5 2 8 29" xfId="14258"/>
    <cellStyle name="20% - Акцент5 2 8 3" xfId="6738"/>
    <cellStyle name="20% - Акцент5 2 8 30" xfId="14479"/>
    <cellStyle name="20% - Акцент5 2 8 31" xfId="14699"/>
    <cellStyle name="20% - Акцент5 2 8 32" xfId="14909"/>
    <cellStyle name="20% - Акцент5 2 8 33" xfId="15103"/>
    <cellStyle name="20% - Акцент5 2 8 34" xfId="15267"/>
    <cellStyle name="20% - Акцент5 2 8 35" xfId="15411"/>
    <cellStyle name="20% - Акцент5 2 8 4" xfId="6915"/>
    <cellStyle name="20% - Акцент5 2 8 5" xfId="7118"/>
    <cellStyle name="20% - Акцент5 2 8 6" xfId="7331"/>
    <cellStyle name="20% - Акцент5 2 8 7" xfId="7558"/>
    <cellStyle name="20% - Акцент5 2 8 8" xfId="7781"/>
    <cellStyle name="20% - Акцент5 2 8 9" xfId="8003"/>
    <cellStyle name="20% - Акцент5 2 9" xfId="1193"/>
    <cellStyle name="20% — акцент5 2 9" xfId="6746"/>
    <cellStyle name="20% - Акцент5 2 9 10" xfId="8408"/>
    <cellStyle name="20% - Акцент5 2 9 11" xfId="8572"/>
    <cellStyle name="20% - Акцент5 2 9 12" xfId="8717"/>
    <cellStyle name="20% - Акцент5 2 9 13" xfId="9860"/>
    <cellStyle name="20% - Акцент5 2 9 14" xfId="10389"/>
    <cellStyle name="20% - Акцент5 2 9 15" xfId="11216"/>
    <cellStyle name="20% - Акцент5 2 9 16" xfId="11451"/>
    <cellStyle name="20% - Акцент5 2 9 17" xfId="11686"/>
    <cellStyle name="20% - Акцент5 2 9 18" xfId="11921"/>
    <cellStyle name="20% - Акцент5 2 9 19" xfId="12156"/>
    <cellStyle name="20% - Акцент5 2 9 2" xfId="4624"/>
    <cellStyle name="20% - Акцент5 2 9 20" xfId="12391"/>
    <cellStyle name="20% - Акцент5 2 9 21" xfId="12626"/>
    <cellStyle name="20% - Акцент5 2 9 22" xfId="12861"/>
    <cellStyle name="20% - Акцент5 2 9 23" xfId="13096"/>
    <cellStyle name="20% - Акцент5 2 9 24" xfId="13331"/>
    <cellStyle name="20% - Акцент5 2 9 25" xfId="13566"/>
    <cellStyle name="20% - Акцент5 2 9 26" xfId="13800"/>
    <cellStyle name="20% - Акцент5 2 9 27" xfId="14029"/>
    <cellStyle name="20% - Акцент5 2 9 28" xfId="14257"/>
    <cellStyle name="20% - Акцент5 2 9 29" xfId="14478"/>
    <cellStyle name="20% - Акцент5 2 9 3" xfId="6914"/>
    <cellStyle name="20% - Акцент5 2 9 30" xfId="14698"/>
    <cellStyle name="20% - Акцент5 2 9 31" xfId="14908"/>
    <cellStyle name="20% - Акцент5 2 9 32" xfId="15102"/>
    <cellStyle name="20% - Акцент5 2 9 33" xfId="15266"/>
    <cellStyle name="20% - Акцент5 2 9 34" xfId="15410"/>
    <cellStyle name="20% - Акцент5 2 9 4" xfId="7117"/>
    <cellStyle name="20% - Акцент5 2 9 5" xfId="7330"/>
    <cellStyle name="20% - Акцент5 2 9 6" xfId="7557"/>
    <cellStyle name="20% - Акцент5 2 9 7" xfId="7780"/>
    <cellStyle name="20% - Акцент5 2 9 8" xfId="8002"/>
    <cellStyle name="20% - Акцент5 2 9 9" xfId="8211"/>
    <cellStyle name="20% - Акцент5 2_46EE.2011(v1.0)" xfId="1194"/>
    <cellStyle name="20% — акцент5 20" xfId="1195"/>
    <cellStyle name="20% — акцент5 21" xfId="1196"/>
    <cellStyle name="20% — акцент5 22" xfId="4613"/>
    <cellStyle name="20% — акцент5 23" xfId="5517"/>
    <cellStyle name="20% — акцент5 24" xfId="6113"/>
    <cellStyle name="20% — акцент5 25" xfId="6204"/>
    <cellStyle name="20% — акцент5 26" xfId="6313"/>
    <cellStyle name="20% — акцент5 27" xfId="6440"/>
    <cellStyle name="20% — акцент5 28" xfId="6585"/>
    <cellStyle name="20% — акцент5 29" xfId="6748"/>
    <cellStyle name="20% - Акцент5 3" xfId="1197"/>
    <cellStyle name="20% — акцент5 3" xfId="1198"/>
    <cellStyle name="20% - Акцент5 3 10" xfId="1199"/>
    <cellStyle name="20% - Акцент5 3 10 2" xfId="4626"/>
    <cellStyle name="20% - Акцент5 3 10 3" xfId="9862"/>
    <cellStyle name="20% - Акцент5 3 11" xfId="1200"/>
    <cellStyle name="20% - Акцент5 3 12" xfId="4625"/>
    <cellStyle name="20% - Акцент5 3 13" xfId="5529"/>
    <cellStyle name="20% - Акцент5 3 14" xfId="6101"/>
    <cellStyle name="20% - Акцент5 3 15" xfId="5338"/>
    <cellStyle name="20% - Акцент5 3 16" xfId="6301"/>
    <cellStyle name="20% - Акцент5 3 17" xfId="6428"/>
    <cellStyle name="20% - Акцент5 3 18" xfId="6573"/>
    <cellStyle name="20% - Акцент5 3 19" xfId="6736"/>
    <cellStyle name="20% - Акцент5 3 2" xfId="1201"/>
    <cellStyle name="20% - Акцент5 3 2 2" xfId="1202"/>
    <cellStyle name="20% - Акцент5 3 2 3" xfId="4627"/>
    <cellStyle name="20% - Акцент5 3 2 4" xfId="8815"/>
    <cellStyle name="20% - Акцент5 3 20" xfId="6913"/>
    <cellStyle name="20% - Акцент5 3 21" xfId="7116"/>
    <cellStyle name="20% - Акцент5 3 22" xfId="7329"/>
    <cellStyle name="20% - Акцент5 3 23" xfId="7556"/>
    <cellStyle name="20% - Акцент5 3 24" xfId="7779"/>
    <cellStyle name="20% - Акцент5 3 25" xfId="8001"/>
    <cellStyle name="20% - Акцент5 3 26" xfId="8210"/>
    <cellStyle name="20% - Акцент5 3 27" xfId="8407"/>
    <cellStyle name="20% - Акцент5 3 28" xfId="8571"/>
    <cellStyle name="20% - Акцент5 3 29" xfId="8716"/>
    <cellStyle name="20% - Акцент5 3 3" xfId="1203"/>
    <cellStyle name="20% - Акцент5 3 3 2" xfId="1204"/>
    <cellStyle name="20% - Акцент5 3 3 3" xfId="4628"/>
    <cellStyle name="20% - Акцент5 3 3 4" xfId="9864"/>
    <cellStyle name="20% - Акцент5 3 30" xfId="8814"/>
    <cellStyle name="20% - Акцент5 3 31" xfId="9059"/>
    <cellStyle name="20% - Акцент5 3 32" xfId="9216"/>
    <cellStyle name="20% - Акцент5 3 33" xfId="9348"/>
    <cellStyle name="20% - Акцент5 3 34" xfId="9437"/>
    <cellStyle name="20% - Акцент5 3 35" xfId="9526"/>
    <cellStyle name="20% - Акцент5 3 36" xfId="9605"/>
    <cellStyle name="20% - Акцент5 3 37" xfId="9642"/>
    <cellStyle name="20% - Акцент5 3 38" xfId="9733"/>
    <cellStyle name="20% - Акцент5 3 39" xfId="9861"/>
    <cellStyle name="20% - Акцент5 3 4" xfId="1205"/>
    <cellStyle name="20% - Акцент5 3 4 2" xfId="4629"/>
    <cellStyle name="20% - Акцент5 3 4 3" xfId="9865"/>
    <cellStyle name="20% - Акцент5 3 40" xfId="10388"/>
    <cellStyle name="20% - Акцент5 3 41" xfId="11215"/>
    <cellStyle name="20% - Акцент5 3 42" xfId="11450"/>
    <cellStyle name="20% - Акцент5 3 43" xfId="11685"/>
    <cellStyle name="20% - Акцент5 3 44" xfId="11920"/>
    <cellStyle name="20% - Акцент5 3 45" xfId="12155"/>
    <cellStyle name="20% - Акцент5 3 46" xfId="12390"/>
    <cellStyle name="20% - Акцент5 3 47" xfId="12625"/>
    <cellStyle name="20% - Акцент5 3 48" xfId="12860"/>
    <cellStyle name="20% - Акцент5 3 49" xfId="13095"/>
    <cellStyle name="20% - Акцент5 3 5" xfId="1206"/>
    <cellStyle name="20% - Акцент5 3 5 2" xfId="4630"/>
    <cellStyle name="20% - Акцент5 3 5 3" xfId="9866"/>
    <cellStyle name="20% - Акцент5 3 50" xfId="13330"/>
    <cellStyle name="20% - Акцент5 3 51" xfId="13565"/>
    <cellStyle name="20% - Акцент5 3 52" xfId="13799"/>
    <cellStyle name="20% - Акцент5 3 53" xfId="14028"/>
    <cellStyle name="20% - Акцент5 3 54" xfId="14256"/>
    <cellStyle name="20% - Акцент5 3 55" xfId="14477"/>
    <cellStyle name="20% - Акцент5 3 56" xfId="14697"/>
    <cellStyle name="20% - Акцент5 3 57" xfId="14907"/>
    <cellStyle name="20% - Акцент5 3 58" xfId="15101"/>
    <cellStyle name="20% - Акцент5 3 59" xfId="15265"/>
    <cellStyle name="20% - Акцент5 3 6" xfId="1207"/>
    <cellStyle name="20% - Акцент5 3 6 2" xfId="4631"/>
    <cellStyle name="20% - Акцент5 3 6 3" xfId="9867"/>
    <cellStyle name="20% - Акцент5 3 60" xfId="15409"/>
    <cellStyle name="20% - Акцент5 3 61" xfId="15505"/>
    <cellStyle name="20% - Акцент5 3 62" xfId="15646"/>
    <cellStyle name="20% - Акцент5 3 63" xfId="15722"/>
    <cellStyle name="20% - Акцент5 3 7" xfId="1208"/>
    <cellStyle name="20% - Акцент5 3 7 2" xfId="4632"/>
    <cellStyle name="20% - Акцент5 3 7 3" xfId="9868"/>
    <cellStyle name="20% - Акцент5 3 8" xfId="1209"/>
    <cellStyle name="20% - Акцент5 3 8 2" xfId="4633"/>
    <cellStyle name="20% - Акцент5 3 8 3" xfId="9869"/>
    <cellStyle name="20% - Акцент5 3 9" xfId="1210"/>
    <cellStyle name="20% - Акцент5 3 9 2" xfId="4634"/>
    <cellStyle name="20% - Акцент5 3 9 3" xfId="9870"/>
    <cellStyle name="20% - Акцент5 3_46EE.2011(v1.0)" xfId="1211"/>
    <cellStyle name="20% — акцент5 30" xfId="6925"/>
    <cellStyle name="20% — акцент5 31" xfId="7128"/>
    <cellStyle name="20% — акцент5 32" xfId="7341"/>
    <cellStyle name="20% — акцент5 33" xfId="7568"/>
    <cellStyle name="20% — акцент5 34" xfId="7791"/>
    <cellStyle name="20% — акцент5 35" xfId="8013"/>
    <cellStyle name="20% — акцент5 36" xfId="8222"/>
    <cellStyle name="20% — акцент5 37" xfId="8419"/>
    <cellStyle name="20% — акцент5 38" xfId="8583"/>
    <cellStyle name="20% — акцент5 39" xfId="8728"/>
    <cellStyle name="20% - Акцент5 4" xfId="1212"/>
    <cellStyle name="20% — акцент5 4" xfId="1213"/>
    <cellStyle name="20% - Акцент5 4 2" xfId="1214"/>
    <cellStyle name="20% - Акцент5 4 2 2" xfId="1215"/>
    <cellStyle name="20% - Акцент5 4 3" xfId="1216"/>
    <cellStyle name="20% - Акцент5 4 3 2" xfId="1217"/>
    <cellStyle name="20% - Акцент5 4_46EE.2011(v1.0)" xfId="1218"/>
    <cellStyle name="20% — акцент5 40" xfId="8810"/>
    <cellStyle name="20% — акцент5 41" xfId="9055"/>
    <cellStyle name="20% — акцент5 42" xfId="9220"/>
    <cellStyle name="20% — акцент5 43" xfId="9352"/>
    <cellStyle name="20% — акцент5 44" xfId="9441"/>
    <cellStyle name="20% — акцент5 45" xfId="9530"/>
    <cellStyle name="20% — акцент5 46" xfId="9609"/>
    <cellStyle name="20% — акцент5 47" xfId="9646"/>
    <cellStyle name="20% — акцент5 48" xfId="9737"/>
    <cellStyle name="20% — акцент5 49" xfId="9849"/>
    <cellStyle name="20% - Акцент5 5" xfId="1219"/>
    <cellStyle name="20% — акцент5 5" xfId="1220"/>
    <cellStyle name="20% - Акцент5 5 2" xfId="1221"/>
    <cellStyle name="20% - Акцент5 5 2 2" xfId="1222"/>
    <cellStyle name="20% - Акцент5 5 3" xfId="1223"/>
    <cellStyle name="20% - Акцент5 5 3 2" xfId="1224"/>
    <cellStyle name="20% - Акцент5 5_46EE.2011(v1.0)" xfId="1225"/>
    <cellStyle name="20% — акцент5 50" xfId="10433"/>
    <cellStyle name="20% — акцент5 51" xfId="11227"/>
    <cellStyle name="20% — акцент5 52" xfId="11462"/>
    <cellStyle name="20% — акцент5 53" xfId="11697"/>
    <cellStyle name="20% — акцент5 54" xfId="11932"/>
    <cellStyle name="20% — акцент5 55" xfId="12167"/>
    <cellStyle name="20% — акцент5 56" xfId="12402"/>
    <cellStyle name="20% — акцент5 57" xfId="12637"/>
    <cellStyle name="20% — акцент5 58" xfId="12872"/>
    <cellStyle name="20% — акцент5 59" xfId="13107"/>
    <cellStyle name="20% - Акцент5 6" xfId="1226"/>
    <cellStyle name="20% — акцент5 6" xfId="1227"/>
    <cellStyle name="20% - Акцент5 6 2" xfId="1228"/>
    <cellStyle name="20% - Акцент5 6 2 2" xfId="1229"/>
    <cellStyle name="20% - Акцент5 6 3" xfId="1230"/>
    <cellStyle name="20% - Акцент5 6 3 2" xfId="1231"/>
    <cellStyle name="20% - Акцент5 6_46EE.2011(v1.0)" xfId="1232"/>
    <cellStyle name="20% — акцент5 60" xfId="13342"/>
    <cellStyle name="20% — акцент5 61" xfId="13577"/>
    <cellStyle name="20% — акцент5 62" xfId="13811"/>
    <cellStyle name="20% — акцент5 63" xfId="14040"/>
    <cellStyle name="20% — акцент5 64" xfId="14268"/>
    <cellStyle name="20% — акцент5 65" xfId="14489"/>
    <cellStyle name="20% — акцент5 66" xfId="14709"/>
    <cellStyle name="20% — акцент5 67" xfId="14919"/>
    <cellStyle name="20% — акцент5 68" xfId="15113"/>
    <cellStyle name="20% — акцент5 69" xfId="15277"/>
    <cellStyle name="20% - Акцент5 7" xfId="1233"/>
    <cellStyle name="20% — акцент5 7" xfId="1234"/>
    <cellStyle name="20% - Акцент5 7 2" xfId="1235"/>
    <cellStyle name="20% - Акцент5 7 2 2" xfId="1236"/>
    <cellStyle name="20% - Акцент5 7 3" xfId="1237"/>
    <cellStyle name="20% - Акцент5 7 3 2" xfId="1238"/>
    <cellStyle name="20% - Акцент5 7_46EE.2011(v1.0)" xfId="1239"/>
    <cellStyle name="20% — акцент5 70" xfId="15421"/>
    <cellStyle name="20% — акцент5 71" xfId="15501"/>
    <cellStyle name="20% — акцент5 72" xfId="15650"/>
    <cellStyle name="20% — акцент5 73" xfId="15726"/>
    <cellStyle name="20% - Акцент5 8" xfId="1240"/>
    <cellStyle name="20% — акцент5 8" xfId="1241"/>
    <cellStyle name="20% - Акцент5 8 2" xfId="1242"/>
    <cellStyle name="20% - Акцент5 8 2 2" xfId="1243"/>
    <cellStyle name="20% - Акцент5 8 3" xfId="1244"/>
    <cellStyle name="20% - Акцент5 8 3 2" xfId="1245"/>
    <cellStyle name="20% - Акцент5 8 4" xfId="1246"/>
    <cellStyle name="20% - Акцент5 8_46EE.2011(v1.0)" xfId="1247"/>
    <cellStyle name="20% - Акцент5 9" xfId="1248"/>
    <cellStyle name="20% — акцент5 9" xfId="1249"/>
    <cellStyle name="20% - Акцент5 9 2" xfId="1250"/>
    <cellStyle name="20% - Акцент5 9 2 2" xfId="1251"/>
    <cellStyle name="20% - Акцент5 9 3" xfId="1252"/>
    <cellStyle name="20% - Акцент5 9 3 2" xfId="1253"/>
    <cellStyle name="20% - Акцент5 9 4" xfId="1254"/>
    <cellStyle name="20% - Акцент5 9_46EE.2011(v1.0)" xfId="1255"/>
    <cellStyle name="20% — акцент5_Расчет тарифа на тэ 2015 СЛФ" xfId="1256"/>
    <cellStyle name="20% — акцент6" xfId="1257"/>
    <cellStyle name="20% - Акцент6 10" xfId="1258"/>
    <cellStyle name="20% — акцент6 10" xfId="1259"/>
    <cellStyle name="20% - Акцент6 10 2" xfId="1260"/>
    <cellStyle name="20% - Акцент6 11" xfId="1261"/>
    <cellStyle name="20% — акцент6 11" xfId="1262"/>
    <cellStyle name="20% - Акцент6 11 2" xfId="1263"/>
    <cellStyle name="20% — акцент6 12" xfId="1264"/>
    <cellStyle name="20% — акцент6 13" xfId="1265"/>
    <cellStyle name="20% — акцент6 14" xfId="1266"/>
    <cellStyle name="20% — акцент6 15" xfId="1267"/>
    <cellStyle name="20% — акцент6 16" xfId="1268"/>
    <cellStyle name="20% — акцент6 17" xfId="1269"/>
    <cellStyle name="20% — акцент6 18" xfId="1270"/>
    <cellStyle name="20% — акцент6 19" xfId="1271"/>
    <cellStyle name="20% - Акцент6 2" xfId="1272"/>
    <cellStyle name="20% — акцент6 2" xfId="1273"/>
    <cellStyle name="20% - Акцент6 2 10" xfId="1274"/>
    <cellStyle name="20% — акцент6 2 10" xfId="6901"/>
    <cellStyle name="20% - Акцент6 2 10 10" xfId="8567"/>
    <cellStyle name="20% - Акцент6 2 10 11" xfId="8712"/>
    <cellStyle name="20% - Акцент6 2 10 12" xfId="9874"/>
    <cellStyle name="20% - Акцент6 2 10 13" xfId="10328"/>
    <cellStyle name="20% - Акцент6 2 10 14" xfId="11202"/>
    <cellStyle name="20% - Акцент6 2 10 15" xfId="11437"/>
    <cellStyle name="20% - Акцент6 2 10 16" xfId="11672"/>
    <cellStyle name="20% - Акцент6 2 10 17" xfId="11907"/>
    <cellStyle name="20% - Акцент6 2 10 18" xfId="12142"/>
    <cellStyle name="20% - Акцент6 2 10 19" xfId="12377"/>
    <cellStyle name="20% - Акцент6 2 10 2" xfId="4638"/>
    <cellStyle name="20% - Акцент6 2 10 20" xfId="12612"/>
    <cellStyle name="20% - Акцент6 2 10 21" xfId="12847"/>
    <cellStyle name="20% - Акцент6 2 10 22" xfId="13082"/>
    <cellStyle name="20% - Акцент6 2 10 23" xfId="13317"/>
    <cellStyle name="20% - Акцент6 2 10 24" xfId="13552"/>
    <cellStyle name="20% - Акцент6 2 10 25" xfId="13786"/>
    <cellStyle name="20% - Акцент6 2 10 26" xfId="14016"/>
    <cellStyle name="20% - Акцент6 2 10 27" xfId="14244"/>
    <cellStyle name="20% - Акцент6 2 10 28" xfId="14464"/>
    <cellStyle name="20% - Акцент6 2 10 29" xfId="14686"/>
    <cellStyle name="20% - Акцент6 2 10 3" xfId="7103"/>
    <cellStyle name="20% - Акцент6 2 10 30" xfId="14895"/>
    <cellStyle name="20% - Акцент6 2 10 31" xfId="15091"/>
    <cellStyle name="20% - Акцент6 2 10 32" xfId="15261"/>
    <cellStyle name="20% - Акцент6 2 10 33" xfId="15405"/>
    <cellStyle name="20% - Акцент6 2 10 4" xfId="7317"/>
    <cellStyle name="20% - Акцент6 2 10 5" xfId="7544"/>
    <cellStyle name="20% - Акцент6 2 10 6" xfId="7767"/>
    <cellStyle name="20% - Акцент6 2 10 7" xfId="7989"/>
    <cellStyle name="20% - Акцент6 2 10 8" xfId="8199"/>
    <cellStyle name="20% - Акцент6 2 10 9" xfId="8396"/>
    <cellStyle name="20% - Акцент6 2 11" xfId="4636"/>
    <cellStyle name="20% — акцент6 2 11" xfId="7104"/>
    <cellStyle name="20% - Акцент6 2 12" xfId="5540"/>
    <cellStyle name="20% — акцент6 2 12" xfId="7318"/>
    <cellStyle name="20% - Акцент6 2 13" xfId="6090"/>
    <cellStyle name="20% — акцент6 2 13" xfId="7545"/>
    <cellStyle name="20% - Акцент6 2 14" xfId="5323"/>
    <cellStyle name="20% — акцент6 2 14" xfId="7768"/>
    <cellStyle name="20% - Акцент6 2 15" xfId="6193"/>
    <cellStyle name="20% — акцент6 2 15" xfId="7990"/>
    <cellStyle name="20% - Акцент6 2 16" xfId="6417"/>
    <cellStyle name="20% — акцент6 2 16" xfId="8200"/>
    <cellStyle name="20% - Акцент6 2 17" xfId="6562"/>
    <cellStyle name="20% — акцент6 2 17" xfId="8397"/>
    <cellStyle name="20% - Акцент6 2 18" xfId="6725"/>
    <cellStyle name="20% — акцент6 2 18" xfId="8568"/>
    <cellStyle name="20% - Акцент6 2 19" xfId="6902"/>
    <cellStyle name="20% — акцент6 2 19" xfId="8713"/>
    <cellStyle name="20% - Акцент6 2 2" xfId="1275"/>
    <cellStyle name="20% — акцент6 2 2" xfId="4637"/>
    <cellStyle name="20% - Акцент6 2 2 10" xfId="6722"/>
    <cellStyle name="20% - Акцент6 2 2 11" xfId="6899"/>
    <cellStyle name="20% - Акцент6 2 2 12" xfId="7102"/>
    <cellStyle name="20% - Акцент6 2 2 13" xfId="7316"/>
    <cellStyle name="20% - Акцент6 2 2 14" xfId="7543"/>
    <cellStyle name="20% - Акцент6 2 2 15" xfId="7766"/>
    <cellStyle name="20% - Акцент6 2 2 16" xfId="7988"/>
    <cellStyle name="20% - Акцент6 2 2 17" xfId="8198"/>
    <cellStyle name="20% - Акцент6 2 2 18" xfId="8395"/>
    <cellStyle name="20% - Акцент6 2 2 19" xfId="8566"/>
    <cellStyle name="20% - Акцент6 2 2 2" xfId="1276"/>
    <cellStyle name="20% - Акцент6 2 2 20" xfId="8711"/>
    <cellStyle name="20% - Акцент6 2 2 21" xfId="8819"/>
    <cellStyle name="20% - Акцент6 2 2 22" xfId="9064"/>
    <cellStyle name="20% - Акцент6 2 2 23" xfId="9211"/>
    <cellStyle name="20% - Акцент6 2 2 24" xfId="9343"/>
    <cellStyle name="20% - Акцент6 2 2 25" xfId="9432"/>
    <cellStyle name="20% - Акцент6 2 2 26" xfId="9521"/>
    <cellStyle name="20% - Акцент6 2 2 27" xfId="9601"/>
    <cellStyle name="20% - Акцент6 2 2 28" xfId="9638"/>
    <cellStyle name="20% - Акцент6 2 2 29" xfId="9729"/>
    <cellStyle name="20% - Акцент6 2 2 3" xfId="4639"/>
    <cellStyle name="20% - Акцент6 2 2 30" xfId="9875"/>
    <cellStyle name="20% - Акцент6 2 2 31" xfId="10326"/>
    <cellStyle name="20% - Акцент6 2 2 32" xfId="11201"/>
    <cellStyle name="20% - Акцент6 2 2 33" xfId="11436"/>
    <cellStyle name="20% - Акцент6 2 2 34" xfId="11671"/>
    <cellStyle name="20% - Акцент6 2 2 35" xfId="11906"/>
    <cellStyle name="20% - Акцент6 2 2 36" xfId="12141"/>
    <cellStyle name="20% - Акцент6 2 2 37" xfId="12376"/>
    <cellStyle name="20% - Акцент6 2 2 38" xfId="12611"/>
    <cellStyle name="20% - Акцент6 2 2 39" xfId="12846"/>
    <cellStyle name="20% - Акцент6 2 2 4" xfId="5543"/>
    <cellStyle name="20% - Акцент6 2 2 40" xfId="13081"/>
    <cellStyle name="20% - Акцент6 2 2 41" xfId="13316"/>
    <cellStyle name="20% - Акцент6 2 2 42" xfId="13551"/>
    <cellStyle name="20% - Акцент6 2 2 43" xfId="13785"/>
    <cellStyle name="20% - Акцент6 2 2 44" xfId="14015"/>
    <cellStyle name="20% - Акцент6 2 2 45" xfId="14243"/>
    <cellStyle name="20% - Акцент6 2 2 46" xfId="14463"/>
    <cellStyle name="20% - Акцент6 2 2 47" xfId="14685"/>
    <cellStyle name="20% - Акцент6 2 2 48" xfId="14894"/>
    <cellStyle name="20% - Акцент6 2 2 49" xfId="15090"/>
    <cellStyle name="20% - Акцент6 2 2 5" xfId="6087"/>
    <cellStyle name="20% - Акцент6 2 2 50" xfId="15260"/>
    <cellStyle name="20% - Акцент6 2 2 51" xfId="15404"/>
    <cellStyle name="20% - Акцент6 2 2 52" xfId="15510"/>
    <cellStyle name="20% - Акцент6 2 2 53" xfId="15642"/>
    <cellStyle name="20% - Акцент6 2 2 54" xfId="15718"/>
    <cellStyle name="20% - Акцент6 2 2 6" xfId="5319"/>
    <cellStyle name="20% - Акцент6 2 2 7" xfId="6189"/>
    <cellStyle name="20% - Акцент6 2 2 8" xfId="6414"/>
    <cellStyle name="20% - Акцент6 2 2 9" xfId="6559"/>
    <cellStyle name="20% - Акцент6 2 20" xfId="7105"/>
    <cellStyle name="20% — акцент6 2 20" xfId="8818"/>
    <cellStyle name="20% - Акцент6 2 21" xfId="7319"/>
    <cellStyle name="20% — акцент6 2 21" xfId="9063"/>
    <cellStyle name="20% - Акцент6 2 22" xfId="7546"/>
    <cellStyle name="20% — акцент6 2 22" xfId="9212"/>
    <cellStyle name="20% - Акцент6 2 23" xfId="7769"/>
    <cellStyle name="20% — акцент6 2 23" xfId="9344"/>
    <cellStyle name="20% - Акцент6 2 24" xfId="7991"/>
    <cellStyle name="20% — акцент6 2 24" xfId="9433"/>
    <cellStyle name="20% - Акцент6 2 25" xfId="8201"/>
    <cellStyle name="20% — акцент6 2 25" xfId="9522"/>
    <cellStyle name="20% - Акцент6 2 26" xfId="8398"/>
    <cellStyle name="20% — акцент6 2 26" xfId="9602"/>
    <cellStyle name="20% - Акцент6 2 27" xfId="8569"/>
    <cellStyle name="20% — акцент6 2 27" xfId="9639"/>
    <cellStyle name="20% - Акцент6 2 28" xfId="8714"/>
    <cellStyle name="20% — акцент6 2 28" xfId="9730"/>
    <cellStyle name="20% - Акцент6 2 29" xfId="8817"/>
    <cellStyle name="20% — акцент6 2 29" xfId="9873"/>
    <cellStyle name="20% - Акцент6 2 3" xfId="1277"/>
    <cellStyle name="20% — акцент6 2 3" xfId="5541"/>
    <cellStyle name="20% - Акцент6 2 3 10" xfId="6898"/>
    <cellStyle name="20% - Акцент6 2 3 11" xfId="7101"/>
    <cellStyle name="20% - Акцент6 2 3 12" xfId="7315"/>
    <cellStyle name="20% - Акцент6 2 3 13" xfId="7542"/>
    <cellStyle name="20% - Акцент6 2 3 14" xfId="7765"/>
    <cellStyle name="20% - Акцент6 2 3 15" xfId="7987"/>
    <cellStyle name="20% - Акцент6 2 3 16" xfId="8197"/>
    <cellStyle name="20% - Акцент6 2 3 17" xfId="8394"/>
    <cellStyle name="20% - Акцент6 2 3 18" xfId="8565"/>
    <cellStyle name="20% - Акцент6 2 3 19" xfId="8710"/>
    <cellStyle name="20% - Акцент6 2 3 2" xfId="1278"/>
    <cellStyle name="20% - Акцент6 2 3 20" xfId="9876"/>
    <cellStyle name="20% - Акцент6 2 3 21" xfId="10325"/>
    <cellStyle name="20% - Акцент6 2 3 22" xfId="11200"/>
    <cellStyle name="20% - Акцент6 2 3 23" xfId="11435"/>
    <cellStyle name="20% - Акцент6 2 3 24" xfId="11670"/>
    <cellStyle name="20% - Акцент6 2 3 25" xfId="11905"/>
    <cellStyle name="20% - Акцент6 2 3 26" xfId="12140"/>
    <cellStyle name="20% - Акцент6 2 3 27" xfId="12375"/>
    <cellStyle name="20% - Акцент6 2 3 28" xfId="12610"/>
    <cellStyle name="20% - Акцент6 2 3 29" xfId="12845"/>
    <cellStyle name="20% - Акцент6 2 3 3" xfId="4640"/>
    <cellStyle name="20% - Акцент6 2 3 30" xfId="13080"/>
    <cellStyle name="20% - Акцент6 2 3 31" xfId="13315"/>
    <cellStyle name="20% - Акцент6 2 3 32" xfId="13550"/>
    <cellStyle name="20% - Акцент6 2 3 33" xfId="13784"/>
    <cellStyle name="20% - Акцент6 2 3 34" xfId="14014"/>
    <cellStyle name="20% - Акцент6 2 3 35" xfId="14242"/>
    <cellStyle name="20% - Акцент6 2 3 36" xfId="14462"/>
    <cellStyle name="20% - Акцент6 2 3 37" xfId="14684"/>
    <cellStyle name="20% - Акцент6 2 3 38" xfId="14893"/>
    <cellStyle name="20% - Акцент6 2 3 39" xfId="15089"/>
    <cellStyle name="20% - Акцент6 2 3 4" xfId="6086"/>
    <cellStyle name="20% - Акцент6 2 3 40" xfId="15259"/>
    <cellStyle name="20% - Акцент6 2 3 41" xfId="15403"/>
    <cellStyle name="20% - Акцент6 2 3 5" xfId="5318"/>
    <cellStyle name="20% - Акцент6 2 3 6" xfId="6188"/>
    <cellStyle name="20% - Акцент6 2 3 7" xfId="6413"/>
    <cellStyle name="20% - Акцент6 2 3 8" xfId="6558"/>
    <cellStyle name="20% - Акцент6 2 3 9" xfId="6721"/>
    <cellStyle name="20% - Акцент6 2 30" xfId="9062"/>
    <cellStyle name="20% — акцент6 2 30" xfId="10336"/>
    <cellStyle name="20% - Акцент6 2 31" xfId="9213"/>
    <cellStyle name="20% — акцент6 2 31" xfId="11203"/>
    <cellStyle name="20% - Акцент6 2 32" xfId="9345"/>
    <cellStyle name="20% — акцент6 2 32" xfId="11438"/>
    <cellStyle name="20% - Акцент6 2 33" xfId="9434"/>
    <cellStyle name="20% — акцент6 2 33" xfId="11673"/>
    <cellStyle name="20% - Акцент6 2 34" xfId="9523"/>
    <cellStyle name="20% — акцент6 2 34" xfId="11908"/>
    <cellStyle name="20% - Акцент6 2 35" xfId="9603"/>
    <cellStyle name="20% — акцент6 2 35" xfId="12143"/>
    <cellStyle name="20% - Акцент6 2 36" xfId="9640"/>
    <cellStyle name="20% — акцент6 2 36" xfId="12378"/>
    <cellStyle name="20% - Акцент6 2 37" xfId="9731"/>
    <cellStyle name="20% — акцент6 2 37" xfId="12613"/>
    <cellStyle name="20% - Акцент6 2 38" xfId="9872"/>
    <cellStyle name="20% — акцент6 2 38" xfId="12848"/>
    <cellStyle name="20% - Акцент6 2 39" xfId="10338"/>
    <cellStyle name="20% — акцент6 2 39" xfId="13083"/>
    <cellStyle name="20% - Акцент6 2 4" xfId="1279"/>
    <cellStyle name="20% — акцент6 2 4" xfId="6089"/>
    <cellStyle name="20% - Акцент6 2 4 10" xfId="7314"/>
    <cellStyle name="20% - Акцент6 2 4 11" xfId="7541"/>
    <cellStyle name="20% - Акцент6 2 4 12" xfId="7764"/>
    <cellStyle name="20% - Акцент6 2 4 13" xfId="7986"/>
    <cellStyle name="20% - Акцент6 2 4 14" xfId="8196"/>
    <cellStyle name="20% - Акцент6 2 4 15" xfId="8393"/>
    <cellStyle name="20% - Акцент6 2 4 16" xfId="8564"/>
    <cellStyle name="20% - Акцент6 2 4 17" xfId="8709"/>
    <cellStyle name="20% - Акцент6 2 4 18" xfId="9877"/>
    <cellStyle name="20% - Акцент6 2 4 19" xfId="10317"/>
    <cellStyle name="20% - Акцент6 2 4 2" xfId="4641"/>
    <cellStyle name="20% - Акцент6 2 4 20" xfId="11199"/>
    <cellStyle name="20% - Акцент6 2 4 21" xfId="11434"/>
    <cellStyle name="20% - Акцент6 2 4 22" xfId="11669"/>
    <cellStyle name="20% - Акцент6 2 4 23" xfId="11904"/>
    <cellStyle name="20% - Акцент6 2 4 24" xfId="12139"/>
    <cellStyle name="20% - Акцент6 2 4 25" xfId="12374"/>
    <cellStyle name="20% - Акцент6 2 4 26" xfId="12609"/>
    <cellStyle name="20% - Акцент6 2 4 27" xfId="12844"/>
    <cellStyle name="20% - Акцент6 2 4 28" xfId="13079"/>
    <cellStyle name="20% - Акцент6 2 4 29" xfId="13314"/>
    <cellStyle name="20% - Акцент6 2 4 3" xfId="5317"/>
    <cellStyle name="20% - Акцент6 2 4 30" xfId="13549"/>
    <cellStyle name="20% - Акцент6 2 4 31" xfId="13783"/>
    <cellStyle name="20% - Акцент6 2 4 32" xfId="14013"/>
    <cellStyle name="20% - Акцент6 2 4 33" xfId="14241"/>
    <cellStyle name="20% - Акцент6 2 4 34" xfId="14461"/>
    <cellStyle name="20% - Акцент6 2 4 35" xfId="14683"/>
    <cellStyle name="20% - Акцент6 2 4 36" xfId="14892"/>
    <cellStyle name="20% - Акцент6 2 4 37" xfId="15088"/>
    <cellStyle name="20% - Акцент6 2 4 38" xfId="15258"/>
    <cellStyle name="20% - Акцент6 2 4 39" xfId="15402"/>
    <cellStyle name="20% - Акцент6 2 4 4" xfId="6187"/>
    <cellStyle name="20% - Акцент6 2 4 5" xfId="6412"/>
    <cellStyle name="20% - Акцент6 2 4 6" xfId="6557"/>
    <cellStyle name="20% - Акцент6 2 4 7" xfId="6720"/>
    <cellStyle name="20% - Акцент6 2 4 8" xfId="6897"/>
    <cellStyle name="20% - Акцент6 2 4 9" xfId="7100"/>
    <cellStyle name="20% - Акцент6 2 40" xfId="11204"/>
    <cellStyle name="20% — акцент6 2 40" xfId="13318"/>
    <cellStyle name="20% - Акцент6 2 41" xfId="11439"/>
    <cellStyle name="20% — акцент6 2 41" xfId="13553"/>
    <cellStyle name="20% - Акцент6 2 42" xfId="11674"/>
    <cellStyle name="20% — акцент6 2 42" xfId="13787"/>
    <cellStyle name="20% - Акцент6 2 43" xfId="11909"/>
    <cellStyle name="20% — акцент6 2 43" xfId="14017"/>
    <cellStyle name="20% - Акцент6 2 44" xfId="12144"/>
    <cellStyle name="20% — акцент6 2 44" xfId="14245"/>
    <cellStyle name="20% - Акцент6 2 45" xfId="12379"/>
    <cellStyle name="20% — акцент6 2 45" xfId="14465"/>
    <cellStyle name="20% - Акцент6 2 46" xfId="12614"/>
    <cellStyle name="20% — акцент6 2 46" xfId="14687"/>
    <cellStyle name="20% - Акцент6 2 47" xfId="12849"/>
    <cellStyle name="20% — акцент6 2 47" xfId="14896"/>
    <cellStyle name="20% - Акцент6 2 48" xfId="13084"/>
    <cellStyle name="20% — акцент6 2 48" xfId="15092"/>
    <cellStyle name="20% - Акцент6 2 49" xfId="13319"/>
    <cellStyle name="20% — акцент6 2 49" xfId="15262"/>
    <cellStyle name="20% - Акцент6 2 5" xfId="1280"/>
    <cellStyle name="20% — акцент6 2 5" xfId="5322"/>
    <cellStyle name="20% - Акцент6 2 5 10" xfId="7540"/>
    <cellStyle name="20% - Акцент6 2 5 11" xfId="7763"/>
    <cellStyle name="20% - Акцент6 2 5 12" xfId="7985"/>
    <cellStyle name="20% - Акцент6 2 5 13" xfId="8195"/>
    <cellStyle name="20% - Акцент6 2 5 14" xfId="8392"/>
    <cellStyle name="20% - Акцент6 2 5 15" xfId="8563"/>
    <cellStyle name="20% - Акцент6 2 5 16" xfId="8708"/>
    <cellStyle name="20% - Акцент6 2 5 17" xfId="9878"/>
    <cellStyle name="20% - Акцент6 2 5 18" xfId="10315"/>
    <cellStyle name="20% - Акцент6 2 5 19" xfId="11198"/>
    <cellStyle name="20% - Акцент6 2 5 2" xfId="4642"/>
    <cellStyle name="20% - Акцент6 2 5 20" xfId="11433"/>
    <cellStyle name="20% - Акцент6 2 5 21" xfId="11668"/>
    <cellStyle name="20% - Акцент6 2 5 22" xfId="11903"/>
    <cellStyle name="20% - Акцент6 2 5 23" xfId="12138"/>
    <cellStyle name="20% - Акцент6 2 5 24" xfId="12373"/>
    <cellStyle name="20% - Акцент6 2 5 25" xfId="12608"/>
    <cellStyle name="20% - Акцент6 2 5 26" xfId="12843"/>
    <cellStyle name="20% - Акцент6 2 5 27" xfId="13078"/>
    <cellStyle name="20% - Акцент6 2 5 28" xfId="13313"/>
    <cellStyle name="20% - Акцент6 2 5 29" xfId="13548"/>
    <cellStyle name="20% - Акцент6 2 5 3" xfId="6186"/>
    <cellStyle name="20% - Акцент6 2 5 30" xfId="13782"/>
    <cellStyle name="20% - Акцент6 2 5 31" xfId="14012"/>
    <cellStyle name="20% - Акцент6 2 5 32" xfId="14240"/>
    <cellStyle name="20% - Акцент6 2 5 33" xfId="14460"/>
    <cellStyle name="20% - Акцент6 2 5 34" xfId="14682"/>
    <cellStyle name="20% - Акцент6 2 5 35" xfId="14891"/>
    <cellStyle name="20% - Акцент6 2 5 36" xfId="15087"/>
    <cellStyle name="20% - Акцент6 2 5 37" xfId="15257"/>
    <cellStyle name="20% - Акцент6 2 5 38" xfId="15401"/>
    <cellStyle name="20% - Акцент6 2 5 4" xfId="6411"/>
    <cellStyle name="20% - Акцент6 2 5 5" xfId="6556"/>
    <cellStyle name="20% - Акцент6 2 5 6" xfId="6719"/>
    <cellStyle name="20% - Акцент6 2 5 7" xfId="6896"/>
    <cellStyle name="20% - Акцент6 2 5 8" xfId="7099"/>
    <cellStyle name="20% - Акцент6 2 5 9" xfId="7313"/>
    <cellStyle name="20% - Акцент6 2 50" xfId="13554"/>
    <cellStyle name="20% — акцент6 2 50" xfId="15406"/>
    <cellStyle name="20% - Акцент6 2 51" xfId="13788"/>
    <cellStyle name="20% — акцент6 2 51" xfId="15509"/>
    <cellStyle name="20% - Акцент6 2 52" xfId="14018"/>
    <cellStyle name="20% — акцент6 2 52" xfId="15643"/>
    <cellStyle name="20% - Акцент6 2 53" xfId="14246"/>
    <cellStyle name="20% — акцент6 2 53" xfId="15719"/>
    <cellStyle name="20% - Акцент6 2 54" xfId="14466"/>
    <cellStyle name="20% - Акцент6 2 55" xfId="14688"/>
    <cellStyle name="20% - Акцент6 2 56" xfId="14897"/>
    <cellStyle name="20% - Акцент6 2 57" xfId="15093"/>
    <cellStyle name="20% - Акцент6 2 58" xfId="15263"/>
    <cellStyle name="20% - Акцент6 2 59" xfId="15407"/>
    <cellStyle name="20% - Акцент6 2 6" xfId="1281"/>
    <cellStyle name="20% — акцент6 2 6" xfId="6192"/>
    <cellStyle name="20% - Акцент6 2 6 10" xfId="7762"/>
    <cellStyle name="20% - Акцент6 2 6 11" xfId="7984"/>
    <cellStyle name="20% - Акцент6 2 6 12" xfId="8194"/>
    <cellStyle name="20% - Акцент6 2 6 13" xfId="8391"/>
    <cellStyle name="20% - Акцент6 2 6 14" xfId="8562"/>
    <cellStyle name="20% - Акцент6 2 6 15" xfId="8707"/>
    <cellStyle name="20% - Акцент6 2 6 16" xfId="9879"/>
    <cellStyle name="20% - Акцент6 2 6 17" xfId="10307"/>
    <cellStyle name="20% - Акцент6 2 6 18" xfId="11197"/>
    <cellStyle name="20% - Акцент6 2 6 19" xfId="11432"/>
    <cellStyle name="20% - Акцент6 2 6 2" xfId="4643"/>
    <cellStyle name="20% - Акцент6 2 6 20" xfId="11667"/>
    <cellStyle name="20% - Акцент6 2 6 21" xfId="11902"/>
    <cellStyle name="20% - Акцент6 2 6 22" xfId="12137"/>
    <cellStyle name="20% - Акцент6 2 6 23" xfId="12372"/>
    <cellStyle name="20% - Акцент6 2 6 24" xfId="12607"/>
    <cellStyle name="20% - Акцент6 2 6 25" xfId="12842"/>
    <cellStyle name="20% - Акцент6 2 6 26" xfId="13077"/>
    <cellStyle name="20% - Акцент6 2 6 27" xfId="13312"/>
    <cellStyle name="20% - Акцент6 2 6 28" xfId="13547"/>
    <cellStyle name="20% - Акцент6 2 6 29" xfId="13781"/>
    <cellStyle name="20% - Акцент6 2 6 3" xfId="6410"/>
    <cellStyle name="20% - Акцент6 2 6 30" xfId="14011"/>
    <cellStyle name="20% - Акцент6 2 6 31" xfId="14239"/>
    <cellStyle name="20% - Акцент6 2 6 32" xfId="14459"/>
    <cellStyle name="20% - Акцент6 2 6 33" xfId="14681"/>
    <cellStyle name="20% - Акцент6 2 6 34" xfId="14890"/>
    <cellStyle name="20% - Акцент6 2 6 35" xfId="15086"/>
    <cellStyle name="20% - Акцент6 2 6 36" xfId="15256"/>
    <cellStyle name="20% - Акцент6 2 6 37" xfId="15400"/>
    <cellStyle name="20% - Акцент6 2 6 4" xfId="6555"/>
    <cellStyle name="20% - Акцент6 2 6 5" xfId="6718"/>
    <cellStyle name="20% - Акцент6 2 6 6" xfId="6895"/>
    <cellStyle name="20% - Акцент6 2 6 7" xfId="7098"/>
    <cellStyle name="20% - Акцент6 2 6 8" xfId="7312"/>
    <cellStyle name="20% - Акцент6 2 6 9" xfId="7539"/>
    <cellStyle name="20% - Акцент6 2 60" xfId="15508"/>
    <cellStyle name="20% - Акцент6 2 61" xfId="15644"/>
    <cellStyle name="20% - Акцент6 2 62" xfId="15720"/>
    <cellStyle name="20% - Акцент6 2 7" xfId="1282"/>
    <cellStyle name="20% — акцент6 2 7" xfId="6416"/>
    <cellStyle name="20% - Акцент6 2 7 10" xfId="7983"/>
    <cellStyle name="20% - Акцент6 2 7 11" xfId="8193"/>
    <cellStyle name="20% - Акцент6 2 7 12" xfId="8390"/>
    <cellStyle name="20% - Акцент6 2 7 13" xfId="8561"/>
    <cellStyle name="20% - Акцент6 2 7 14" xfId="8706"/>
    <cellStyle name="20% - Акцент6 2 7 15" xfId="9880"/>
    <cellStyle name="20% - Акцент6 2 7 16" xfId="10305"/>
    <cellStyle name="20% - Акцент6 2 7 17" xfId="11196"/>
    <cellStyle name="20% - Акцент6 2 7 18" xfId="11431"/>
    <cellStyle name="20% - Акцент6 2 7 19" xfId="11666"/>
    <cellStyle name="20% - Акцент6 2 7 2" xfId="4644"/>
    <cellStyle name="20% - Акцент6 2 7 20" xfId="11901"/>
    <cellStyle name="20% - Акцент6 2 7 21" xfId="12136"/>
    <cellStyle name="20% - Акцент6 2 7 22" xfId="12371"/>
    <cellStyle name="20% - Акцент6 2 7 23" xfId="12606"/>
    <cellStyle name="20% - Акцент6 2 7 24" xfId="12841"/>
    <cellStyle name="20% - Акцент6 2 7 25" xfId="13076"/>
    <cellStyle name="20% - Акцент6 2 7 26" xfId="13311"/>
    <cellStyle name="20% - Акцент6 2 7 27" xfId="13546"/>
    <cellStyle name="20% - Акцент6 2 7 28" xfId="13780"/>
    <cellStyle name="20% - Акцент6 2 7 29" xfId="14010"/>
    <cellStyle name="20% - Акцент6 2 7 3" xfId="6554"/>
    <cellStyle name="20% - Акцент6 2 7 30" xfId="14238"/>
    <cellStyle name="20% - Акцент6 2 7 31" xfId="14458"/>
    <cellStyle name="20% - Акцент6 2 7 32" xfId="14680"/>
    <cellStyle name="20% - Акцент6 2 7 33" xfId="14889"/>
    <cellStyle name="20% - Акцент6 2 7 34" xfId="15085"/>
    <cellStyle name="20% - Акцент6 2 7 35" xfId="15255"/>
    <cellStyle name="20% - Акцент6 2 7 36" xfId="15399"/>
    <cellStyle name="20% - Акцент6 2 7 4" xfId="6717"/>
    <cellStyle name="20% - Акцент6 2 7 5" xfId="6894"/>
    <cellStyle name="20% - Акцент6 2 7 6" xfId="7097"/>
    <cellStyle name="20% - Акцент6 2 7 7" xfId="7311"/>
    <cellStyle name="20% - Акцент6 2 7 8" xfId="7538"/>
    <cellStyle name="20% - Акцент6 2 7 9" xfId="7761"/>
    <cellStyle name="20% - Акцент6 2 8" xfId="1283"/>
    <cellStyle name="20% — акцент6 2 8" xfId="6561"/>
    <cellStyle name="20% - Акцент6 2 8 10" xfId="8192"/>
    <cellStyle name="20% - Акцент6 2 8 11" xfId="8389"/>
    <cellStyle name="20% - Акцент6 2 8 12" xfId="8560"/>
    <cellStyle name="20% - Акцент6 2 8 13" xfId="8705"/>
    <cellStyle name="20% - Акцент6 2 8 14" xfId="9881"/>
    <cellStyle name="20% - Акцент6 2 8 15" xfId="10304"/>
    <cellStyle name="20% - Акцент6 2 8 16" xfId="11195"/>
    <cellStyle name="20% - Акцент6 2 8 17" xfId="11430"/>
    <cellStyle name="20% - Акцент6 2 8 18" xfId="11665"/>
    <cellStyle name="20% - Акцент6 2 8 19" xfId="11900"/>
    <cellStyle name="20% - Акцент6 2 8 2" xfId="4645"/>
    <cellStyle name="20% - Акцент6 2 8 20" xfId="12135"/>
    <cellStyle name="20% - Акцент6 2 8 21" xfId="12370"/>
    <cellStyle name="20% - Акцент6 2 8 22" xfId="12605"/>
    <cellStyle name="20% - Акцент6 2 8 23" xfId="12840"/>
    <cellStyle name="20% - Акцент6 2 8 24" xfId="13075"/>
    <cellStyle name="20% - Акцент6 2 8 25" xfId="13310"/>
    <cellStyle name="20% - Акцент6 2 8 26" xfId="13545"/>
    <cellStyle name="20% - Акцент6 2 8 27" xfId="13779"/>
    <cellStyle name="20% - Акцент6 2 8 28" xfId="14009"/>
    <cellStyle name="20% - Акцент6 2 8 29" xfId="14237"/>
    <cellStyle name="20% - Акцент6 2 8 3" xfId="6716"/>
    <cellStyle name="20% - Акцент6 2 8 30" xfId="14457"/>
    <cellStyle name="20% - Акцент6 2 8 31" xfId="14679"/>
    <cellStyle name="20% - Акцент6 2 8 32" xfId="14888"/>
    <cellStyle name="20% - Акцент6 2 8 33" xfId="15084"/>
    <cellStyle name="20% - Акцент6 2 8 34" xfId="15254"/>
    <cellStyle name="20% - Акцент6 2 8 35" xfId="15398"/>
    <cellStyle name="20% - Акцент6 2 8 4" xfId="6893"/>
    <cellStyle name="20% - Акцент6 2 8 5" xfId="7096"/>
    <cellStyle name="20% - Акцент6 2 8 6" xfId="7310"/>
    <cellStyle name="20% - Акцент6 2 8 7" xfId="7537"/>
    <cellStyle name="20% - Акцент6 2 8 8" xfId="7760"/>
    <cellStyle name="20% - Акцент6 2 8 9" xfId="7982"/>
    <cellStyle name="20% - Акцент6 2 9" xfId="1284"/>
    <cellStyle name="20% — акцент6 2 9" xfId="6724"/>
    <cellStyle name="20% - Акцент6 2 9 10" xfId="8388"/>
    <cellStyle name="20% - Акцент6 2 9 11" xfId="8559"/>
    <cellStyle name="20% - Акцент6 2 9 12" xfId="8704"/>
    <cellStyle name="20% - Акцент6 2 9 13" xfId="9882"/>
    <cellStyle name="20% - Акцент6 2 9 14" xfId="10296"/>
    <cellStyle name="20% - Акцент6 2 9 15" xfId="11194"/>
    <cellStyle name="20% - Акцент6 2 9 16" xfId="11429"/>
    <cellStyle name="20% - Акцент6 2 9 17" xfId="11664"/>
    <cellStyle name="20% - Акцент6 2 9 18" xfId="11899"/>
    <cellStyle name="20% - Акцент6 2 9 19" xfId="12134"/>
    <cellStyle name="20% - Акцент6 2 9 2" xfId="4646"/>
    <cellStyle name="20% - Акцент6 2 9 20" xfId="12369"/>
    <cellStyle name="20% - Акцент6 2 9 21" xfId="12604"/>
    <cellStyle name="20% - Акцент6 2 9 22" xfId="12839"/>
    <cellStyle name="20% - Акцент6 2 9 23" xfId="13074"/>
    <cellStyle name="20% - Акцент6 2 9 24" xfId="13309"/>
    <cellStyle name="20% - Акцент6 2 9 25" xfId="13544"/>
    <cellStyle name="20% - Акцент6 2 9 26" xfId="13778"/>
    <cellStyle name="20% - Акцент6 2 9 27" xfId="14008"/>
    <cellStyle name="20% - Акцент6 2 9 28" xfId="14236"/>
    <cellStyle name="20% - Акцент6 2 9 29" xfId="14456"/>
    <cellStyle name="20% - Акцент6 2 9 3" xfId="6892"/>
    <cellStyle name="20% - Акцент6 2 9 30" xfId="14678"/>
    <cellStyle name="20% - Акцент6 2 9 31" xfId="14887"/>
    <cellStyle name="20% - Акцент6 2 9 32" xfId="15083"/>
    <cellStyle name="20% - Акцент6 2 9 33" xfId="15253"/>
    <cellStyle name="20% - Акцент6 2 9 34" xfId="15397"/>
    <cellStyle name="20% - Акцент6 2 9 4" xfId="7095"/>
    <cellStyle name="20% - Акцент6 2 9 5" xfId="7309"/>
    <cellStyle name="20% - Акцент6 2 9 6" xfId="7536"/>
    <cellStyle name="20% - Акцент6 2 9 7" xfId="7759"/>
    <cellStyle name="20% - Акцент6 2 9 8" xfId="7981"/>
    <cellStyle name="20% - Акцент6 2 9 9" xfId="8191"/>
    <cellStyle name="20% - Акцент6 2_46EE.2011(v1.0)" xfId="1285"/>
    <cellStyle name="20% — акцент6 20" xfId="1286"/>
    <cellStyle name="20% — акцент6 21" xfId="1287"/>
    <cellStyle name="20% — акцент6 22" xfId="4635"/>
    <cellStyle name="20% — акцент6 23" xfId="5539"/>
    <cellStyle name="20% — акцент6 24" xfId="6091"/>
    <cellStyle name="20% — акцент6 25" xfId="5324"/>
    <cellStyle name="20% — акцент6 26" xfId="6194"/>
    <cellStyle name="20% — акцент6 27" xfId="6418"/>
    <cellStyle name="20% — акцент6 28" xfId="6563"/>
    <cellStyle name="20% — акцент6 29" xfId="6726"/>
    <cellStyle name="20% - Акцент6 3" xfId="1288"/>
    <cellStyle name="20% — акцент6 3" xfId="1289"/>
    <cellStyle name="20% - Акцент6 3 10" xfId="1290"/>
    <cellStyle name="20% - Акцент6 3 10 2" xfId="4648"/>
    <cellStyle name="20% - Акцент6 3 10 3" xfId="9884"/>
    <cellStyle name="20% - Акцент6 3 11" xfId="1291"/>
    <cellStyle name="20% - Акцент6 3 12" xfId="4647"/>
    <cellStyle name="20% - Акцент6 3 13" xfId="5551"/>
    <cellStyle name="20% - Акцент6 3 14" xfId="6079"/>
    <cellStyle name="20% - Акцент6 3 15" xfId="5311"/>
    <cellStyle name="20% - Акцент6 3 16" xfId="6181"/>
    <cellStyle name="20% - Акцент6 3 17" xfId="6406"/>
    <cellStyle name="20% - Акцент6 3 18" xfId="6551"/>
    <cellStyle name="20% - Акцент6 3 19" xfId="6714"/>
    <cellStyle name="20% - Акцент6 3 2" xfId="1292"/>
    <cellStyle name="20% - Акцент6 3 2 2" xfId="1293"/>
    <cellStyle name="20% - Акцент6 3 2 3" xfId="4649"/>
    <cellStyle name="20% - Акцент6 3 2 4" xfId="8821"/>
    <cellStyle name="20% - Акцент6 3 20" xfId="6891"/>
    <cellStyle name="20% - Акцент6 3 21" xfId="7094"/>
    <cellStyle name="20% - Акцент6 3 22" xfId="7308"/>
    <cellStyle name="20% - Акцент6 3 23" xfId="7535"/>
    <cellStyle name="20% - Акцент6 3 24" xfId="7758"/>
    <cellStyle name="20% - Акцент6 3 25" xfId="7980"/>
    <cellStyle name="20% - Акцент6 3 26" xfId="8190"/>
    <cellStyle name="20% - Акцент6 3 27" xfId="8387"/>
    <cellStyle name="20% - Акцент6 3 28" xfId="8558"/>
    <cellStyle name="20% - Акцент6 3 29" xfId="8703"/>
    <cellStyle name="20% - Акцент6 3 3" xfId="1294"/>
    <cellStyle name="20% - Акцент6 3 3 2" xfId="1295"/>
    <cellStyle name="20% - Акцент6 3 3 3" xfId="4650"/>
    <cellStyle name="20% - Акцент6 3 3 4" xfId="9886"/>
    <cellStyle name="20% - Акцент6 3 30" xfId="8820"/>
    <cellStyle name="20% - Акцент6 3 31" xfId="9065"/>
    <cellStyle name="20% - Акцент6 3 32" xfId="9210"/>
    <cellStyle name="20% - Акцент6 3 33" xfId="9342"/>
    <cellStyle name="20% - Акцент6 3 34" xfId="9431"/>
    <cellStyle name="20% - Акцент6 3 35" xfId="9520"/>
    <cellStyle name="20% - Акцент6 3 36" xfId="9600"/>
    <cellStyle name="20% - Акцент6 3 37" xfId="9637"/>
    <cellStyle name="20% - Акцент6 3 38" xfId="9728"/>
    <cellStyle name="20% - Акцент6 3 39" xfId="9883"/>
    <cellStyle name="20% - Акцент6 3 4" xfId="1296"/>
    <cellStyle name="20% - Акцент6 3 4 2" xfId="4651"/>
    <cellStyle name="20% - Акцент6 3 4 3" xfId="9887"/>
    <cellStyle name="20% - Акцент6 3 40" xfId="10294"/>
    <cellStyle name="20% - Акцент6 3 41" xfId="11193"/>
    <cellStyle name="20% - Акцент6 3 42" xfId="11428"/>
    <cellStyle name="20% - Акцент6 3 43" xfId="11663"/>
    <cellStyle name="20% - Акцент6 3 44" xfId="11898"/>
    <cellStyle name="20% - Акцент6 3 45" xfId="12133"/>
    <cellStyle name="20% - Акцент6 3 46" xfId="12368"/>
    <cellStyle name="20% - Акцент6 3 47" xfId="12603"/>
    <cellStyle name="20% - Акцент6 3 48" xfId="12838"/>
    <cellStyle name="20% - Акцент6 3 49" xfId="13073"/>
    <cellStyle name="20% - Акцент6 3 5" xfId="1297"/>
    <cellStyle name="20% - Акцент6 3 5 2" xfId="4652"/>
    <cellStyle name="20% - Акцент6 3 5 3" xfId="9888"/>
    <cellStyle name="20% - Акцент6 3 50" xfId="13308"/>
    <cellStyle name="20% - Акцент6 3 51" xfId="13543"/>
    <cellStyle name="20% - Акцент6 3 52" xfId="13777"/>
    <cellStyle name="20% - Акцент6 3 53" xfId="14007"/>
    <cellStyle name="20% - Акцент6 3 54" xfId="14235"/>
    <cellStyle name="20% - Акцент6 3 55" xfId="14455"/>
    <cellStyle name="20% - Акцент6 3 56" xfId="14677"/>
    <cellStyle name="20% - Акцент6 3 57" xfId="14886"/>
    <cellStyle name="20% - Акцент6 3 58" xfId="15082"/>
    <cellStyle name="20% - Акцент6 3 59" xfId="15252"/>
    <cellStyle name="20% - Акцент6 3 6" xfId="1298"/>
    <cellStyle name="20% - Акцент6 3 6 2" xfId="4653"/>
    <cellStyle name="20% - Акцент6 3 6 3" xfId="9889"/>
    <cellStyle name="20% - Акцент6 3 60" xfId="15396"/>
    <cellStyle name="20% - Акцент6 3 61" xfId="15511"/>
    <cellStyle name="20% - Акцент6 3 62" xfId="15641"/>
    <cellStyle name="20% - Акцент6 3 63" xfId="15717"/>
    <cellStyle name="20% - Акцент6 3 7" xfId="1299"/>
    <cellStyle name="20% - Акцент6 3 7 2" xfId="4654"/>
    <cellStyle name="20% - Акцент6 3 7 3" xfId="9890"/>
    <cellStyle name="20% - Акцент6 3 8" xfId="1300"/>
    <cellStyle name="20% - Акцент6 3 8 2" xfId="4655"/>
    <cellStyle name="20% - Акцент6 3 8 3" xfId="9891"/>
    <cellStyle name="20% - Акцент6 3 9" xfId="1301"/>
    <cellStyle name="20% - Акцент6 3 9 2" xfId="4656"/>
    <cellStyle name="20% - Акцент6 3 9 3" xfId="9892"/>
    <cellStyle name="20% - Акцент6 3_46EE.2011(v1.0)" xfId="1302"/>
    <cellStyle name="20% — акцент6 30" xfId="6903"/>
    <cellStyle name="20% — акцент6 31" xfId="7106"/>
    <cellStyle name="20% — акцент6 32" xfId="7320"/>
    <cellStyle name="20% — акцент6 33" xfId="7547"/>
    <cellStyle name="20% — акцент6 34" xfId="7770"/>
    <cellStyle name="20% — акцент6 35" xfId="7992"/>
    <cellStyle name="20% — акцент6 36" xfId="8202"/>
    <cellStyle name="20% — акцент6 37" xfId="8399"/>
    <cellStyle name="20% — акцент6 38" xfId="8570"/>
    <cellStyle name="20% — акцент6 39" xfId="8715"/>
    <cellStyle name="20% - Акцент6 4" xfId="1303"/>
    <cellStyle name="20% — акцент6 4" xfId="1304"/>
    <cellStyle name="20% - Акцент6 4 2" xfId="1305"/>
    <cellStyle name="20% - Акцент6 4 2 2" xfId="1306"/>
    <cellStyle name="20% - Акцент6 4 3" xfId="1307"/>
    <cellStyle name="20% - Акцент6 4 3 2" xfId="1308"/>
    <cellStyle name="20% - Акцент6 4_46EE.2011(v1.0)" xfId="1309"/>
    <cellStyle name="20% — акцент6 40" xfId="8816"/>
    <cellStyle name="20% — акцент6 41" xfId="9061"/>
    <cellStyle name="20% — акцент6 42" xfId="9214"/>
    <cellStyle name="20% — акцент6 43" xfId="9346"/>
    <cellStyle name="20% — акцент6 44" xfId="9435"/>
    <cellStyle name="20% — акцент6 45" xfId="9524"/>
    <cellStyle name="20% — акцент6 46" xfId="9604"/>
    <cellStyle name="20% — акцент6 47" xfId="9641"/>
    <cellStyle name="20% — акцент6 48" xfId="9732"/>
    <cellStyle name="20% — акцент6 49" xfId="9871"/>
    <cellStyle name="20% - Акцент6 5" xfId="1310"/>
    <cellStyle name="20% — акцент6 5" xfId="1311"/>
    <cellStyle name="20% - Акцент6 5 2" xfId="1312"/>
    <cellStyle name="20% - Акцент6 5 2 2" xfId="1313"/>
    <cellStyle name="20% - Акцент6 5 3" xfId="1314"/>
    <cellStyle name="20% - Акцент6 5 3 2" xfId="1315"/>
    <cellStyle name="20% - Акцент6 5_46EE.2011(v1.0)" xfId="1316"/>
    <cellStyle name="20% — акцент6 50" xfId="10346"/>
    <cellStyle name="20% — акцент6 51" xfId="11205"/>
    <cellStyle name="20% — акцент6 52" xfId="11440"/>
    <cellStyle name="20% — акцент6 53" xfId="11675"/>
    <cellStyle name="20% — акцент6 54" xfId="11910"/>
    <cellStyle name="20% — акцент6 55" xfId="12145"/>
    <cellStyle name="20% — акцент6 56" xfId="12380"/>
    <cellStyle name="20% — акцент6 57" xfId="12615"/>
    <cellStyle name="20% — акцент6 58" xfId="12850"/>
    <cellStyle name="20% — акцент6 59" xfId="13085"/>
    <cellStyle name="20% - Акцент6 6" xfId="1317"/>
    <cellStyle name="20% — акцент6 6" xfId="1318"/>
    <cellStyle name="20% - Акцент6 6 2" xfId="1319"/>
    <cellStyle name="20% - Акцент6 6 2 2" xfId="1320"/>
    <cellStyle name="20% - Акцент6 6 3" xfId="1321"/>
    <cellStyle name="20% - Акцент6 6 3 2" xfId="1322"/>
    <cellStyle name="20% - Акцент6 6_46EE.2011(v1.0)" xfId="1323"/>
    <cellStyle name="20% — акцент6 60" xfId="13320"/>
    <cellStyle name="20% — акцент6 61" xfId="13555"/>
    <cellStyle name="20% — акцент6 62" xfId="13789"/>
    <cellStyle name="20% — акцент6 63" xfId="14019"/>
    <cellStyle name="20% — акцент6 64" xfId="14247"/>
    <cellStyle name="20% — акцент6 65" xfId="14467"/>
    <cellStyle name="20% — акцент6 66" xfId="14689"/>
    <cellStyle name="20% — акцент6 67" xfId="14898"/>
    <cellStyle name="20% — акцент6 68" xfId="15094"/>
    <cellStyle name="20% — акцент6 69" xfId="15264"/>
    <cellStyle name="20% - Акцент6 7" xfId="1324"/>
    <cellStyle name="20% — акцент6 7" xfId="1325"/>
    <cellStyle name="20% - Акцент6 7 2" xfId="1326"/>
    <cellStyle name="20% - Акцент6 7 2 2" xfId="1327"/>
    <cellStyle name="20% - Акцент6 7 3" xfId="1328"/>
    <cellStyle name="20% - Акцент6 7 3 2" xfId="1329"/>
    <cellStyle name="20% - Акцент6 7_46EE.2011(v1.0)" xfId="1330"/>
    <cellStyle name="20% — акцент6 70" xfId="15408"/>
    <cellStyle name="20% — акцент6 71" xfId="15507"/>
    <cellStyle name="20% — акцент6 72" xfId="15645"/>
    <cellStyle name="20% — акцент6 73" xfId="15721"/>
    <cellStyle name="20% - Акцент6 8" xfId="1331"/>
    <cellStyle name="20% — акцент6 8" xfId="1332"/>
    <cellStyle name="20% - Акцент6 8 2" xfId="1333"/>
    <cellStyle name="20% - Акцент6 8 2 2" xfId="1334"/>
    <cellStyle name="20% - Акцент6 8 3" xfId="1335"/>
    <cellStyle name="20% - Акцент6 8 3 2" xfId="1336"/>
    <cellStyle name="20% - Акцент6 8 4" xfId="1337"/>
    <cellStyle name="20% - Акцент6 8_46EE.2011(v1.0)" xfId="1338"/>
    <cellStyle name="20% - Акцент6 9" xfId="1339"/>
    <cellStyle name="20% — акцент6 9" xfId="1340"/>
    <cellStyle name="20% - Акцент6 9 2" xfId="1341"/>
    <cellStyle name="20% - Акцент6 9 2 2" xfId="1342"/>
    <cellStyle name="20% - Акцент6 9 3" xfId="1343"/>
    <cellStyle name="20% - Акцент6 9 3 2" xfId="1344"/>
    <cellStyle name="20% - Акцент6 9 4" xfId="1345"/>
    <cellStyle name="20% - Акцент6 9_46EE.2011(v1.0)" xfId="1346"/>
    <cellStyle name="20% — акцент6_Расчет тарифа на тэ 2015 СЛФ" xfId="1347"/>
    <cellStyle name="40% - Accent1" xfId="1348"/>
    <cellStyle name="40% - Accent1 2" xfId="1349"/>
    <cellStyle name="40% - Accent1 2 2" xfId="1350"/>
    <cellStyle name="40% - Accent1 3" xfId="1351"/>
    <cellStyle name="40% - Accent1 3 2" xfId="1352"/>
    <cellStyle name="40% - Accent1 4" xfId="1353"/>
    <cellStyle name="40% - Accent1_46EE.2011(v1.0)" xfId="1354"/>
    <cellStyle name="40% - Accent2" xfId="1355"/>
    <cellStyle name="40% - Accent2 2" xfId="1356"/>
    <cellStyle name="40% - Accent2 2 2" xfId="1357"/>
    <cellStyle name="40% - Accent2 3" xfId="1358"/>
    <cellStyle name="40% - Accent2 3 2" xfId="1359"/>
    <cellStyle name="40% - Accent2 4" xfId="1360"/>
    <cellStyle name="40% - Accent2_46EE.2011(v1.0)" xfId="1361"/>
    <cellStyle name="40% - Accent3" xfId="1362"/>
    <cellStyle name="40% - Accent3 2" xfId="1363"/>
    <cellStyle name="40% - Accent3 2 2" xfId="1364"/>
    <cellStyle name="40% - Accent3 3" xfId="1365"/>
    <cellStyle name="40% - Accent3 3 2" xfId="1366"/>
    <cellStyle name="40% - Accent3 4" xfId="1367"/>
    <cellStyle name="40% - Accent3_46EE.2011(v1.0)" xfId="1368"/>
    <cellStyle name="40% - Accent4" xfId="1369"/>
    <cellStyle name="40% - Accent4 2" xfId="1370"/>
    <cellStyle name="40% - Accent4 2 2" xfId="1371"/>
    <cellStyle name="40% - Accent4 3" xfId="1372"/>
    <cellStyle name="40% - Accent4 3 2" xfId="1373"/>
    <cellStyle name="40% - Accent4 4" xfId="1374"/>
    <cellStyle name="40% - Accent4_46EE.2011(v1.0)" xfId="1375"/>
    <cellStyle name="40% - Accent5" xfId="1376"/>
    <cellStyle name="40% - Accent5 2" xfId="1377"/>
    <cellStyle name="40% - Accent5 2 2" xfId="1378"/>
    <cellStyle name="40% - Accent5 3" xfId="1379"/>
    <cellStyle name="40% - Accent5 3 2" xfId="1380"/>
    <cellStyle name="40% - Accent5 4" xfId="1381"/>
    <cellStyle name="40% - Accent5_46EE.2011(v1.0)" xfId="1382"/>
    <cellStyle name="40% - Accent6" xfId="1383"/>
    <cellStyle name="40% - Accent6 2" xfId="1384"/>
    <cellStyle name="40% - Accent6 2 2" xfId="1385"/>
    <cellStyle name="40% - Accent6 3" xfId="1386"/>
    <cellStyle name="40% - Accent6 3 2" xfId="1387"/>
    <cellStyle name="40% - Accent6 4" xfId="1388"/>
    <cellStyle name="40% - Accent6_46EE.2011(v1.0)" xfId="1389"/>
    <cellStyle name="40% — акцент1" xfId="1390"/>
    <cellStyle name="40% - Акцент1 10" xfId="1391"/>
    <cellStyle name="40% — акцент1 10" xfId="1392"/>
    <cellStyle name="40% - Акцент1 10 2" xfId="1393"/>
    <cellStyle name="40% - Акцент1 11" xfId="1394"/>
    <cellStyle name="40% — акцент1 11" xfId="1395"/>
    <cellStyle name="40% - Акцент1 11 2" xfId="1396"/>
    <cellStyle name="40% — акцент1 12" xfId="1397"/>
    <cellStyle name="40% — акцент1 13" xfId="1398"/>
    <cellStyle name="40% — акцент1 14" xfId="1399"/>
    <cellStyle name="40% — акцент1 15" xfId="1400"/>
    <cellStyle name="40% — акцент1 16" xfId="1401"/>
    <cellStyle name="40% — акцент1 17" xfId="1402"/>
    <cellStyle name="40% — акцент1 18" xfId="1403"/>
    <cellStyle name="40% — акцент1 19" xfId="1404"/>
    <cellStyle name="40% - Акцент1 2" xfId="1405"/>
    <cellStyle name="40% — акцент1 2" xfId="1406"/>
    <cellStyle name="40% - Акцент1 2 10" xfId="1407"/>
    <cellStyle name="40% — акцент1 2 10" xfId="6879"/>
    <cellStyle name="40% - Акцент1 2 10 10" xfId="8554"/>
    <cellStyle name="40% - Акцент1 2 10 11" xfId="8699"/>
    <cellStyle name="40% - Акцент1 2 10 12" xfId="9896"/>
    <cellStyle name="40% - Акцент1 2 10 13" xfId="10241"/>
    <cellStyle name="40% - Акцент1 2 10 14" xfId="11180"/>
    <cellStyle name="40% - Акцент1 2 10 15" xfId="11415"/>
    <cellStyle name="40% - Акцент1 2 10 16" xfId="11650"/>
    <cellStyle name="40% - Акцент1 2 10 17" xfId="11885"/>
    <cellStyle name="40% - Акцент1 2 10 18" xfId="12120"/>
    <cellStyle name="40% - Акцент1 2 10 19" xfId="12355"/>
    <cellStyle name="40% - Акцент1 2 10 2" xfId="4660"/>
    <cellStyle name="40% - Акцент1 2 10 20" xfId="12590"/>
    <cellStyle name="40% - Акцент1 2 10 21" xfId="12825"/>
    <cellStyle name="40% - Акцент1 2 10 22" xfId="13060"/>
    <cellStyle name="40% - Акцент1 2 10 23" xfId="13295"/>
    <cellStyle name="40% - Акцент1 2 10 24" xfId="13530"/>
    <cellStyle name="40% - Акцент1 2 10 25" xfId="13765"/>
    <cellStyle name="40% - Акцент1 2 10 26" xfId="13999"/>
    <cellStyle name="40% - Акцент1 2 10 27" xfId="14225"/>
    <cellStyle name="40% - Акцент1 2 10 28" xfId="14449"/>
    <cellStyle name="40% - Акцент1 2 10 29" xfId="14671"/>
    <cellStyle name="40% - Акцент1 2 10 3" xfId="7081"/>
    <cellStyle name="40% - Акцент1 2 10 30" xfId="14881"/>
    <cellStyle name="40% - Акцент1 2 10 31" xfId="15075"/>
    <cellStyle name="40% - Акцент1 2 10 32" xfId="15248"/>
    <cellStyle name="40% - Акцент1 2 10 33" xfId="15392"/>
    <cellStyle name="40% - Акцент1 2 10 4" xfId="7299"/>
    <cellStyle name="40% - Акцент1 2 10 5" xfId="7526"/>
    <cellStyle name="40% - Акцент1 2 10 6" xfId="7752"/>
    <cellStyle name="40% - Акцент1 2 10 7" xfId="7974"/>
    <cellStyle name="40% - Акцент1 2 10 8" xfId="8184"/>
    <cellStyle name="40% - Акцент1 2 10 9" xfId="8381"/>
    <cellStyle name="40% - Акцент1 2 11" xfId="4658"/>
    <cellStyle name="40% — акцент1 2 11" xfId="7082"/>
    <cellStyle name="40% - Акцент1 2 12" xfId="5562"/>
    <cellStyle name="40% — акцент1 2 12" xfId="7300"/>
    <cellStyle name="40% - Акцент1 2 13" xfId="6068"/>
    <cellStyle name="40% — акцент1 2 13" xfId="7527"/>
    <cellStyle name="40% - Акцент1 2 14" xfId="5488"/>
    <cellStyle name="40% — акцент1 2 14" xfId="7753"/>
    <cellStyle name="40% - Акцент1 2 15" xfId="6164"/>
    <cellStyle name="40% — акцент1 2 15" xfId="7975"/>
    <cellStyle name="40% - Акцент1 2 16" xfId="6278"/>
    <cellStyle name="40% — акцент1 2 16" xfId="8185"/>
    <cellStyle name="40% - Акцент1 2 17" xfId="6540"/>
    <cellStyle name="40% — акцент1 2 17" xfId="8382"/>
    <cellStyle name="40% - Акцент1 2 18" xfId="6703"/>
    <cellStyle name="40% — акцент1 2 18" xfId="8555"/>
    <cellStyle name="40% - Акцент1 2 19" xfId="6880"/>
    <cellStyle name="40% — акцент1 2 19" xfId="8700"/>
    <cellStyle name="40% - Акцент1 2 2" xfId="1408"/>
    <cellStyle name="40% — акцент1 2 2" xfId="4659"/>
    <cellStyle name="40% - Акцент1 2 2 10" xfId="6700"/>
    <cellStyle name="40% - Акцент1 2 2 11" xfId="6877"/>
    <cellStyle name="40% - Акцент1 2 2 12" xfId="7080"/>
    <cellStyle name="40% - Акцент1 2 2 13" xfId="7298"/>
    <cellStyle name="40% - Акцент1 2 2 14" xfId="7525"/>
    <cellStyle name="40% - Акцент1 2 2 15" xfId="7751"/>
    <cellStyle name="40% - Акцент1 2 2 16" xfId="7973"/>
    <cellStyle name="40% - Акцент1 2 2 17" xfId="8183"/>
    <cellStyle name="40% - Акцент1 2 2 18" xfId="8380"/>
    <cellStyle name="40% - Акцент1 2 2 19" xfId="8553"/>
    <cellStyle name="40% - Акцент1 2 2 2" xfId="1409"/>
    <cellStyle name="40% - Акцент1 2 2 20" xfId="8698"/>
    <cellStyle name="40% - Акцент1 2 2 21" xfId="8825"/>
    <cellStyle name="40% - Акцент1 2 2 22" xfId="9070"/>
    <cellStyle name="40% - Акцент1 2 2 23" xfId="9205"/>
    <cellStyle name="40% - Акцент1 2 2 24" xfId="9337"/>
    <cellStyle name="40% - Акцент1 2 2 25" xfId="9427"/>
    <cellStyle name="40% - Акцент1 2 2 26" xfId="9515"/>
    <cellStyle name="40% - Акцент1 2 2 27" xfId="9596"/>
    <cellStyle name="40% - Акцент1 2 2 28" xfId="9633"/>
    <cellStyle name="40% - Акцент1 2 2 29" xfId="9724"/>
    <cellStyle name="40% - Акцент1 2 2 3" xfId="4661"/>
    <cellStyle name="40% - Акцент1 2 2 30" xfId="9897"/>
    <cellStyle name="40% - Акцент1 2 2 31" xfId="10233"/>
    <cellStyle name="40% - Акцент1 2 2 32" xfId="11179"/>
    <cellStyle name="40% - Акцент1 2 2 33" xfId="11414"/>
    <cellStyle name="40% - Акцент1 2 2 34" xfId="11649"/>
    <cellStyle name="40% - Акцент1 2 2 35" xfId="11884"/>
    <cellStyle name="40% - Акцент1 2 2 36" xfId="12119"/>
    <cellStyle name="40% - Акцент1 2 2 37" xfId="12354"/>
    <cellStyle name="40% - Акцент1 2 2 38" xfId="12589"/>
    <cellStyle name="40% - Акцент1 2 2 39" xfId="12824"/>
    <cellStyle name="40% - Акцент1 2 2 4" xfId="5565"/>
    <cellStyle name="40% - Акцент1 2 2 40" xfId="13059"/>
    <cellStyle name="40% - Акцент1 2 2 41" xfId="13294"/>
    <cellStyle name="40% - Акцент1 2 2 42" xfId="13529"/>
    <cellStyle name="40% - Акцент1 2 2 43" xfId="13764"/>
    <cellStyle name="40% - Акцент1 2 2 44" xfId="13998"/>
    <cellStyle name="40% - Акцент1 2 2 45" xfId="14224"/>
    <cellStyle name="40% - Акцент1 2 2 46" xfId="14448"/>
    <cellStyle name="40% - Акцент1 2 2 47" xfId="14670"/>
    <cellStyle name="40% - Акцент1 2 2 48" xfId="14880"/>
    <cellStyle name="40% - Акцент1 2 2 49" xfId="15074"/>
    <cellStyle name="40% - Акцент1 2 2 5" xfId="6065"/>
    <cellStyle name="40% - Акцент1 2 2 50" xfId="15247"/>
    <cellStyle name="40% - Акцент1 2 2 51" xfId="15391"/>
    <cellStyle name="40% - Акцент1 2 2 52" xfId="15515"/>
    <cellStyle name="40% - Акцент1 2 2 53" xfId="15637"/>
    <cellStyle name="40% - Акцент1 2 2 54" xfId="15713"/>
    <cellStyle name="40% - Акцент1 2 2 6" xfId="5491"/>
    <cellStyle name="40% - Акцент1 2 2 7" xfId="6161"/>
    <cellStyle name="40% - Акцент1 2 2 8" xfId="6275"/>
    <cellStyle name="40% - Акцент1 2 2 9" xfId="6537"/>
    <cellStyle name="40% - Акцент1 2 20" xfId="7083"/>
    <cellStyle name="40% — акцент1 2 20" xfId="8824"/>
    <cellStyle name="40% - Акцент1 2 21" xfId="7301"/>
    <cellStyle name="40% — акцент1 2 21" xfId="9069"/>
    <cellStyle name="40% - Акцент1 2 22" xfId="7528"/>
    <cellStyle name="40% — акцент1 2 22" xfId="9206"/>
    <cellStyle name="40% - Акцент1 2 23" xfId="7754"/>
    <cellStyle name="40% — акцент1 2 23" xfId="9338"/>
    <cellStyle name="40% - Акцент1 2 24" xfId="7976"/>
    <cellStyle name="40% — акцент1 2 24" xfId="9428"/>
    <cellStyle name="40% - Акцент1 2 25" xfId="8186"/>
    <cellStyle name="40% — акцент1 2 25" xfId="9516"/>
    <cellStyle name="40% - Акцент1 2 26" xfId="8383"/>
    <cellStyle name="40% — акцент1 2 26" xfId="9597"/>
    <cellStyle name="40% - Акцент1 2 27" xfId="8556"/>
    <cellStyle name="40% — акцент1 2 27" xfId="9634"/>
    <cellStyle name="40% - Акцент1 2 28" xfId="8701"/>
    <cellStyle name="40% — акцент1 2 28" xfId="9725"/>
    <cellStyle name="40% - Акцент1 2 29" xfId="8823"/>
    <cellStyle name="40% — акцент1 2 29" xfId="9895"/>
    <cellStyle name="40% - Акцент1 2 3" xfId="1410"/>
    <cellStyle name="40% — акцент1 2 3" xfId="5563"/>
    <cellStyle name="40% - Акцент1 2 3 10" xfId="6876"/>
    <cellStyle name="40% - Акцент1 2 3 11" xfId="7079"/>
    <cellStyle name="40% - Акцент1 2 3 12" xfId="7297"/>
    <cellStyle name="40% - Акцент1 2 3 13" xfId="7524"/>
    <cellStyle name="40% - Акцент1 2 3 14" xfId="7750"/>
    <cellStyle name="40% - Акцент1 2 3 15" xfId="7972"/>
    <cellStyle name="40% - Акцент1 2 3 16" xfId="8182"/>
    <cellStyle name="40% - Акцент1 2 3 17" xfId="8379"/>
    <cellStyle name="40% - Акцент1 2 3 18" xfId="8552"/>
    <cellStyle name="40% - Акцент1 2 3 19" xfId="8697"/>
    <cellStyle name="40% - Акцент1 2 3 2" xfId="1411"/>
    <cellStyle name="40% - Акцент1 2 3 20" xfId="9898"/>
    <cellStyle name="40% - Акцент1 2 3 21" xfId="10231"/>
    <cellStyle name="40% - Акцент1 2 3 22" xfId="11178"/>
    <cellStyle name="40% - Акцент1 2 3 23" xfId="11413"/>
    <cellStyle name="40% - Акцент1 2 3 24" xfId="11648"/>
    <cellStyle name="40% - Акцент1 2 3 25" xfId="11883"/>
    <cellStyle name="40% - Акцент1 2 3 26" xfId="12118"/>
    <cellStyle name="40% - Акцент1 2 3 27" xfId="12353"/>
    <cellStyle name="40% - Акцент1 2 3 28" xfId="12588"/>
    <cellStyle name="40% - Акцент1 2 3 29" xfId="12823"/>
    <cellStyle name="40% - Акцент1 2 3 3" xfId="4662"/>
    <cellStyle name="40% - Акцент1 2 3 30" xfId="13058"/>
    <cellStyle name="40% - Акцент1 2 3 31" xfId="13293"/>
    <cellStyle name="40% - Акцент1 2 3 32" xfId="13528"/>
    <cellStyle name="40% - Акцент1 2 3 33" xfId="13763"/>
    <cellStyle name="40% - Акцент1 2 3 34" xfId="13997"/>
    <cellStyle name="40% - Акцент1 2 3 35" xfId="14223"/>
    <cellStyle name="40% - Акцент1 2 3 36" xfId="14447"/>
    <cellStyle name="40% - Акцент1 2 3 37" xfId="14669"/>
    <cellStyle name="40% - Акцент1 2 3 38" xfId="14879"/>
    <cellStyle name="40% - Акцент1 2 3 39" xfId="15073"/>
    <cellStyle name="40% - Акцент1 2 3 4" xfId="6064"/>
    <cellStyle name="40% - Акцент1 2 3 40" xfId="15246"/>
    <cellStyle name="40% - Акцент1 2 3 41" xfId="15390"/>
    <cellStyle name="40% - Акцент1 2 3 5" xfId="5492"/>
    <cellStyle name="40% - Акцент1 2 3 6" xfId="6160"/>
    <cellStyle name="40% - Акцент1 2 3 7" xfId="6274"/>
    <cellStyle name="40% - Акцент1 2 3 8" xfId="6536"/>
    <cellStyle name="40% - Акцент1 2 3 9" xfId="6699"/>
    <cellStyle name="40% - Акцент1 2 30" xfId="9068"/>
    <cellStyle name="40% — акцент1 2 30" xfId="10242"/>
    <cellStyle name="40% - Акцент1 2 31" xfId="9207"/>
    <cellStyle name="40% — акцент1 2 31" xfId="11181"/>
    <cellStyle name="40% - Акцент1 2 32" xfId="9339"/>
    <cellStyle name="40% — акцент1 2 32" xfId="11416"/>
    <cellStyle name="40% - Акцент1 2 33" xfId="9429"/>
    <cellStyle name="40% — акцент1 2 33" xfId="11651"/>
    <cellStyle name="40% - Акцент1 2 34" xfId="9517"/>
    <cellStyle name="40% — акцент1 2 34" xfId="11886"/>
    <cellStyle name="40% - Акцент1 2 35" xfId="9598"/>
    <cellStyle name="40% — акцент1 2 35" xfId="12121"/>
    <cellStyle name="40% - Акцент1 2 36" xfId="9635"/>
    <cellStyle name="40% — акцент1 2 36" xfId="12356"/>
    <cellStyle name="40% - Акцент1 2 37" xfId="9726"/>
    <cellStyle name="40% — акцент1 2 37" xfId="12591"/>
    <cellStyle name="40% - Акцент1 2 38" xfId="9894"/>
    <cellStyle name="40% — акцент1 2 38" xfId="12826"/>
    <cellStyle name="40% - Акцент1 2 39" xfId="10244"/>
    <cellStyle name="40% — акцент1 2 39" xfId="13061"/>
    <cellStyle name="40% - Акцент1 2 4" xfId="1412"/>
    <cellStyle name="40% — акцент1 2 4" xfId="6067"/>
    <cellStyle name="40% - Акцент1 2 4 10" xfId="7296"/>
    <cellStyle name="40% - Акцент1 2 4 11" xfId="7523"/>
    <cellStyle name="40% - Акцент1 2 4 12" xfId="7749"/>
    <cellStyle name="40% - Акцент1 2 4 13" xfId="7971"/>
    <cellStyle name="40% - Акцент1 2 4 14" xfId="8181"/>
    <cellStyle name="40% - Акцент1 2 4 15" xfId="8378"/>
    <cellStyle name="40% - Акцент1 2 4 16" xfId="8551"/>
    <cellStyle name="40% - Акцент1 2 4 17" xfId="8696"/>
    <cellStyle name="40% - Акцент1 2 4 18" xfId="9899"/>
    <cellStyle name="40% - Акцент1 2 4 19" xfId="10223"/>
    <cellStyle name="40% - Акцент1 2 4 2" xfId="4663"/>
    <cellStyle name="40% - Акцент1 2 4 20" xfId="11177"/>
    <cellStyle name="40% - Акцент1 2 4 21" xfId="11412"/>
    <cellStyle name="40% - Акцент1 2 4 22" xfId="11647"/>
    <cellStyle name="40% - Акцент1 2 4 23" xfId="11882"/>
    <cellStyle name="40% - Акцент1 2 4 24" xfId="12117"/>
    <cellStyle name="40% - Акцент1 2 4 25" xfId="12352"/>
    <cellStyle name="40% - Акцент1 2 4 26" xfId="12587"/>
    <cellStyle name="40% - Акцент1 2 4 27" xfId="12822"/>
    <cellStyle name="40% - Акцент1 2 4 28" xfId="13057"/>
    <cellStyle name="40% - Акцент1 2 4 29" xfId="13292"/>
    <cellStyle name="40% - Акцент1 2 4 3" xfId="5493"/>
    <cellStyle name="40% - Акцент1 2 4 30" xfId="13527"/>
    <cellStyle name="40% - Акцент1 2 4 31" xfId="13762"/>
    <cellStyle name="40% - Акцент1 2 4 32" xfId="13996"/>
    <cellStyle name="40% - Акцент1 2 4 33" xfId="14222"/>
    <cellStyle name="40% - Акцент1 2 4 34" xfId="14446"/>
    <cellStyle name="40% - Акцент1 2 4 35" xfId="14668"/>
    <cellStyle name="40% - Акцент1 2 4 36" xfId="14878"/>
    <cellStyle name="40% - Акцент1 2 4 37" xfId="15072"/>
    <cellStyle name="40% - Акцент1 2 4 38" xfId="15245"/>
    <cellStyle name="40% - Акцент1 2 4 39" xfId="15389"/>
    <cellStyle name="40% - Акцент1 2 4 4" xfId="6159"/>
    <cellStyle name="40% - Акцент1 2 4 5" xfId="6273"/>
    <cellStyle name="40% - Акцент1 2 4 6" xfId="6535"/>
    <cellStyle name="40% - Акцент1 2 4 7" xfId="6698"/>
    <cellStyle name="40% - Акцент1 2 4 8" xfId="6875"/>
    <cellStyle name="40% - Акцент1 2 4 9" xfId="7078"/>
    <cellStyle name="40% - Акцент1 2 40" xfId="11182"/>
    <cellStyle name="40% — акцент1 2 40" xfId="13296"/>
    <cellStyle name="40% - Акцент1 2 41" xfId="11417"/>
    <cellStyle name="40% — акцент1 2 41" xfId="13531"/>
    <cellStyle name="40% - Акцент1 2 42" xfId="11652"/>
    <cellStyle name="40% — акцент1 2 42" xfId="13766"/>
    <cellStyle name="40% - Акцент1 2 43" xfId="11887"/>
    <cellStyle name="40% — акцент1 2 43" xfId="14000"/>
    <cellStyle name="40% - Акцент1 2 44" xfId="12122"/>
    <cellStyle name="40% — акцент1 2 44" xfId="14226"/>
    <cellStyle name="40% - Акцент1 2 45" xfId="12357"/>
    <cellStyle name="40% — акцент1 2 45" xfId="14450"/>
    <cellStyle name="40% - Акцент1 2 46" xfId="12592"/>
    <cellStyle name="40% — акцент1 2 46" xfId="14672"/>
    <cellStyle name="40% - Акцент1 2 47" xfId="12827"/>
    <cellStyle name="40% — акцент1 2 47" xfId="14882"/>
    <cellStyle name="40% - Акцент1 2 48" xfId="13062"/>
    <cellStyle name="40% — акцент1 2 48" xfId="15076"/>
    <cellStyle name="40% - Акцент1 2 49" xfId="13297"/>
    <cellStyle name="40% — акцент1 2 49" xfId="15249"/>
    <cellStyle name="40% - Акцент1 2 5" xfId="1413"/>
    <cellStyle name="40% — акцент1 2 5" xfId="5489"/>
    <cellStyle name="40% - Акцент1 2 5 10" xfId="7522"/>
    <cellStyle name="40% - Акцент1 2 5 11" xfId="7748"/>
    <cellStyle name="40% - Акцент1 2 5 12" xfId="7970"/>
    <cellStyle name="40% - Акцент1 2 5 13" xfId="8180"/>
    <cellStyle name="40% - Акцент1 2 5 14" xfId="8377"/>
    <cellStyle name="40% - Акцент1 2 5 15" xfId="8550"/>
    <cellStyle name="40% - Акцент1 2 5 16" xfId="8695"/>
    <cellStyle name="40% - Акцент1 2 5 17" xfId="9900"/>
    <cellStyle name="40% - Акцент1 2 5 18" xfId="10221"/>
    <cellStyle name="40% - Акцент1 2 5 19" xfId="11176"/>
    <cellStyle name="40% - Акцент1 2 5 2" xfId="4664"/>
    <cellStyle name="40% - Акцент1 2 5 20" xfId="11411"/>
    <cellStyle name="40% - Акцент1 2 5 21" xfId="11646"/>
    <cellStyle name="40% - Акцент1 2 5 22" xfId="11881"/>
    <cellStyle name="40% - Акцент1 2 5 23" xfId="12116"/>
    <cellStyle name="40% - Акцент1 2 5 24" xfId="12351"/>
    <cellStyle name="40% - Акцент1 2 5 25" xfId="12586"/>
    <cellStyle name="40% - Акцент1 2 5 26" xfId="12821"/>
    <cellStyle name="40% - Акцент1 2 5 27" xfId="13056"/>
    <cellStyle name="40% - Акцент1 2 5 28" xfId="13291"/>
    <cellStyle name="40% - Акцент1 2 5 29" xfId="13526"/>
    <cellStyle name="40% - Акцент1 2 5 3" xfId="6155"/>
    <cellStyle name="40% - Акцент1 2 5 30" xfId="13761"/>
    <cellStyle name="40% - Акцент1 2 5 31" xfId="13995"/>
    <cellStyle name="40% - Акцент1 2 5 32" xfId="14221"/>
    <cellStyle name="40% - Акцент1 2 5 33" xfId="14445"/>
    <cellStyle name="40% - Акцент1 2 5 34" xfId="14667"/>
    <cellStyle name="40% - Акцент1 2 5 35" xfId="14877"/>
    <cellStyle name="40% - Акцент1 2 5 36" xfId="15071"/>
    <cellStyle name="40% - Акцент1 2 5 37" xfId="15244"/>
    <cellStyle name="40% - Акцент1 2 5 38" xfId="15388"/>
    <cellStyle name="40% - Акцент1 2 5 4" xfId="6272"/>
    <cellStyle name="40% - Акцент1 2 5 5" xfId="6534"/>
    <cellStyle name="40% - Акцент1 2 5 6" xfId="6697"/>
    <cellStyle name="40% - Акцент1 2 5 7" xfId="6874"/>
    <cellStyle name="40% - Акцент1 2 5 8" xfId="7077"/>
    <cellStyle name="40% - Акцент1 2 5 9" xfId="7295"/>
    <cellStyle name="40% - Акцент1 2 50" xfId="13532"/>
    <cellStyle name="40% — акцент1 2 50" xfId="15393"/>
    <cellStyle name="40% - Акцент1 2 51" xfId="13767"/>
    <cellStyle name="40% — акцент1 2 51" xfId="15514"/>
    <cellStyle name="40% - Акцент1 2 52" xfId="14001"/>
    <cellStyle name="40% — акцент1 2 52" xfId="15638"/>
    <cellStyle name="40% - Акцент1 2 53" xfId="14227"/>
    <cellStyle name="40% — акцент1 2 53" xfId="15714"/>
    <cellStyle name="40% - Акцент1 2 54" xfId="14451"/>
    <cellStyle name="40% - Акцент1 2 55" xfId="14673"/>
    <cellStyle name="40% - Акцент1 2 56" xfId="14883"/>
    <cellStyle name="40% - Акцент1 2 57" xfId="15077"/>
    <cellStyle name="40% - Акцент1 2 58" xfId="15250"/>
    <cellStyle name="40% - Акцент1 2 59" xfId="15394"/>
    <cellStyle name="40% - Акцент1 2 6" xfId="1414"/>
    <cellStyle name="40% — акцент1 2 6" xfId="6163"/>
    <cellStyle name="40% - Акцент1 2 6 10" xfId="7747"/>
    <cellStyle name="40% - Акцент1 2 6 11" xfId="7969"/>
    <cellStyle name="40% - Акцент1 2 6 12" xfId="8179"/>
    <cellStyle name="40% - Акцент1 2 6 13" xfId="8376"/>
    <cellStyle name="40% - Акцент1 2 6 14" xfId="8549"/>
    <cellStyle name="40% - Акцент1 2 6 15" xfId="8694"/>
    <cellStyle name="40% - Акцент1 2 6 16" xfId="9901"/>
    <cellStyle name="40% - Акцент1 2 6 17" xfId="10220"/>
    <cellStyle name="40% - Акцент1 2 6 18" xfId="11175"/>
    <cellStyle name="40% - Акцент1 2 6 19" xfId="11410"/>
    <cellStyle name="40% - Акцент1 2 6 2" xfId="4665"/>
    <cellStyle name="40% - Акцент1 2 6 20" xfId="11645"/>
    <cellStyle name="40% - Акцент1 2 6 21" xfId="11880"/>
    <cellStyle name="40% - Акцент1 2 6 22" xfId="12115"/>
    <cellStyle name="40% - Акцент1 2 6 23" xfId="12350"/>
    <cellStyle name="40% - Акцент1 2 6 24" xfId="12585"/>
    <cellStyle name="40% - Акцент1 2 6 25" xfId="12820"/>
    <cellStyle name="40% - Акцент1 2 6 26" xfId="13055"/>
    <cellStyle name="40% - Акцент1 2 6 27" xfId="13290"/>
    <cellStyle name="40% - Акцент1 2 6 28" xfId="13525"/>
    <cellStyle name="40% - Акцент1 2 6 29" xfId="13760"/>
    <cellStyle name="40% - Акцент1 2 6 3" xfId="6268"/>
    <cellStyle name="40% - Акцент1 2 6 30" xfId="13994"/>
    <cellStyle name="40% - Акцент1 2 6 31" xfId="14220"/>
    <cellStyle name="40% - Акцент1 2 6 32" xfId="14444"/>
    <cellStyle name="40% - Акцент1 2 6 33" xfId="14666"/>
    <cellStyle name="40% - Акцент1 2 6 34" xfId="14876"/>
    <cellStyle name="40% - Акцент1 2 6 35" xfId="15070"/>
    <cellStyle name="40% - Акцент1 2 6 36" xfId="15243"/>
    <cellStyle name="40% - Акцент1 2 6 37" xfId="15387"/>
    <cellStyle name="40% - Акцент1 2 6 4" xfId="6533"/>
    <cellStyle name="40% - Акцент1 2 6 5" xfId="6696"/>
    <cellStyle name="40% - Акцент1 2 6 6" xfId="6873"/>
    <cellStyle name="40% - Акцент1 2 6 7" xfId="7076"/>
    <cellStyle name="40% - Акцент1 2 6 8" xfId="7294"/>
    <cellStyle name="40% - Акцент1 2 6 9" xfId="7521"/>
    <cellStyle name="40% - Акцент1 2 60" xfId="15513"/>
    <cellStyle name="40% - Акцент1 2 61" xfId="15639"/>
    <cellStyle name="40% - Акцент1 2 62" xfId="15715"/>
    <cellStyle name="40% - Акцент1 2 7" xfId="1415"/>
    <cellStyle name="40% — акцент1 2 7" xfId="6277"/>
    <cellStyle name="40% - Акцент1 2 7 10" xfId="7968"/>
    <cellStyle name="40% - Акцент1 2 7 11" xfId="8178"/>
    <cellStyle name="40% - Акцент1 2 7 12" xfId="8375"/>
    <cellStyle name="40% - Акцент1 2 7 13" xfId="8548"/>
    <cellStyle name="40% - Акцент1 2 7 14" xfId="8693"/>
    <cellStyle name="40% - Акцент1 2 7 15" xfId="9902"/>
    <cellStyle name="40% - Акцент1 2 7 16" xfId="10212"/>
    <cellStyle name="40% - Акцент1 2 7 17" xfId="11174"/>
    <cellStyle name="40% - Акцент1 2 7 18" xfId="11409"/>
    <cellStyle name="40% - Акцент1 2 7 19" xfId="11644"/>
    <cellStyle name="40% - Акцент1 2 7 2" xfId="4666"/>
    <cellStyle name="40% - Акцент1 2 7 20" xfId="11879"/>
    <cellStyle name="40% - Акцент1 2 7 21" xfId="12114"/>
    <cellStyle name="40% - Акцент1 2 7 22" xfId="12349"/>
    <cellStyle name="40% - Акцент1 2 7 23" xfId="12584"/>
    <cellStyle name="40% - Акцент1 2 7 24" xfId="12819"/>
    <cellStyle name="40% - Акцент1 2 7 25" xfId="13054"/>
    <cellStyle name="40% - Акцент1 2 7 26" xfId="13289"/>
    <cellStyle name="40% - Акцент1 2 7 27" xfId="13524"/>
    <cellStyle name="40% - Акцент1 2 7 28" xfId="13759"/>
    <cellStyle name="40% - Акцент1 2 7 29" xfId="13993"/>
    <cellStyle name="40% - Акцент1 2 7 3" xfId="6532"/>
    <cellStyle name="40% - Акцент1 2 7 30" xfId="14219"/>
    <cellStyle name="40% - Акцент1 2 7 31" xfId="14443"/>
    <cellStyle name="40% - Акцент1 2 7 32" xfId="14665"/>
    <cellStyle name="40% - Акцент1 2 7 33" xfId="14875"/>
    <cellStyle name="40% - Акцент1 2 7 34" xfId="15069"/>
    <cellStyle name="40% - Акцент1 2 7 35" xfId="15242"/>
    <cellStyle name="40% - Акцент1 2 7 36" xfId="15386"/>
    <cellStyle name="40% - Акцент1 2 7 4" xfId="6695"/>
    <cellStyle name="40% - Акцент1 2 7 5" xfId="6872"/>
    <cellStyle name="40% - Акцент1 2 7 6" xfId="7075"/>
    <cellStyle name="40% - Акцент1 2 7 7" xfId="7293"/>
    <cellStyle name="40% - Акцент1 2 7 8" xfId="7520"/>
    <cellStyle name="40% - Акцент1 2 7 9" xfId="7746"/>
    <cellStyle name="40% - Акцент1 2 8" xfId="1416"/>
    <cellStyle name="40% — акцент1 2 8" xfId="6539"/>
    <cellStyle name="40% - Акцент1 2 8 10" xfId="8177"/>
    <cellStyle name="40% - Акцент1 2 8 11" xfId="8374"/>
    <cellStyle name="40% - Акцент1 2 8 12" xfId="8547"/>
    <cellStyle name="40% - Акцент1 2 8 13" xfId="8692"/>
    <cellStyle name="40% - Акцент1 2 8 14" xfId="9903"/>
    <cellStyle name="40% - Акцент1 2 8 15" xfId="10210"/>
    <cellStyle name="40% - Акцент1 2 8 16" xfId="11173"/>
    <cellStyle name="40% - Акцент1 2 8 17" xfId="11408"/>
    <cellStyle name="40% - Акцент1 2 8 18" xfId="11643"/>
    <cellStyle name="40% - Акцент1 2 8 19" xfId="11878"/>
    <cellStyle name="40% - Акцент1 2 8 2" xfId="4667"/>
    <cellStyle name="40% - Акцент1 2 8 20" xfId="12113"/>
    <cellStyle name="40% - Акцент1 2 8 21" xfId="12348"/>
    <cellStyle name="40% - Акцент1 2 8 22" xfId="12583"/>
    <cellStyle name="40% - Акцент1 2 8 23" xfId="12818"/>
    <cellStyle name="40% - Акцент1 2 8 24" xfId="13053"/>
    <cellStyle name="40% - Акцент1 2 8 25" xfId="13288"/>
    <cellStyle name="40% - Акцент1 2 8 26" xfId="13523"/>
    <cellStyle name="40% - Акцент1 2 8 27" xfId="13758"/>
    <cellStyle name="40% - Акцент1 2 8 28" xfId="13992"/>
    <cellStyle name="40% - Акцент1 2 8 29" xfId="14218"/>
    <cellStyle name="40% - Акцент1 2 8 3" xfId="6694"/>
    <cellStyle name="40% - Акцент1 2 8 30" xfId="14442"/>
    <cellStyle name="40% - Акцент1 2 8 31" xfId="14664"/>
    <cellStyle name="40% - Акцент1 2 8 32" xfId="14874"/>
    <cellStyle name="40% - Акцент1 2 8 33" xfId="15068"/>
    <cellStyle name="40% - Акцент1 2 8 34" xfId="15241"/>
    <cellStyle name="40% - Акцент1 2 8 35" xfId="15385"/>
    <cellStyle name="40% - Акцент1 2 8 4" xfId="6871"/>
    <cellStyle name="40% - Акцент1 2 8 5" xfId="7074"/>
    <cellStyle name="40% - Акцент1 2 8 6" xfId="7292"/>
    <cellStyle name="40% - Акцент1 2 8 7" xfId="7519"/>
    <cellStyle name="40% - Акцент1 2 8 8" xfId="7745"/>
    <cellStyle name="40% - Акцент1 2 8 9" xfId="7967"/>
    <cellStyle name="40% - Акцент1 2 9" xfId="1417"/>
    <cellStyle name="40% — акцент1 2 9" xfId="6702"/>
    <cellStyle name="40% - Акцент1 2 9 10" xfId="8373"/>
    <cellStyle name="40% - Акцент1 2 9 11" xfId="8546"/>
    <cellStyle name="40% - Акцент1 2 9 12" xfId="8691"/>
    <cellStyle name="40% - Акцент1 2 9 13" xfId="9904"/>
    <cellStyle name="40% - Акцент1 2 9 14" xfId="10202"/>
    <cellStyle name="40% - Акцент1 2 9 15" xfId="11172"/>
    <cellStyle name="40% - Акцент1 2 9 16" xfId="11407"/>
    <cellStyle name="40% - Акцент1 2 9 17" xfId="11642"/>
    <cellStyle name="40% - Акцент1 2 9 18" xfId="11877"/>
    <cellStyle name="40% - Акцент1 2 9 19" xfId="12112"/>
    <cellStyle name="40% - Акцент1 2 9 2" xfId="4668"/>
    <cellStyle name="40% - Акцент1 2 9 20" xfId="12347"/>
    <cellStyle name="40% - Акцент1 2 9 21" xfId="12582"/>
    <cellStyle name="40% - Акцент1 2 9 22" xfId="12817"/>
    <cellStyle name="40% - Акцент1 2 9 23" xfId="13052"/>
    <cellStyle name="40% - Акцент1 2 9 24" xfId="13287"/>
    <cellStyle name="40% - Акцент1 2 9 25" xfId="13522"/>
    <cellStyle name="40% - Акцент1 2 9 26" xfId="13757"/>
    <cellStyle name="40% - Акцент1 2 9 27" xfId="13991"/>
    <cellStyle name="40% - Акцент1 2 9 28" xfId="14217"/>
    <cellStyle name="40% - Акцент1 2 9 29" xfId="14441"/>
    <cellStyle name="40% - Акцент1 2 9 3" xfId="6870"/>
    <cellStyle name="40% - Акцент1 2 9 30" xfId="14663"/>
    <cellStyle name="40% - Акцент1 2 9 31" xfId="14873"/>
    <cellStyle name="40% - Акцент1 2 9 32" xfId="15067"/>
    <cellStyle name="40% - Акцент1 2 9 33" xfId="15240"/>
    <cellStyle name="40% - Акцент1 2 9 34" xfId="15384"/>
    <cellStyle name="40% - Акцент1 2 9 4" xfId="7073"/>
    <cellStyle name="40% - Акцент1 2 9 5" xfId="7291"/>
    <cellStyle name="40% - Акцент1 2 9 6" xfId="7518"/>
    <cellStyle name="40% - Акцент1 2 9 7" xfId="7744"/>
    <cellStyle name="40% - Акцент1 2 9 8" xfId="7966"/>
    <cellStyle name="40% - Акцент1 2 9 9" xfId="8176"/>
    <cellStyle name="40% - Акцент1 2_46EE.2011(v1.0)" xfId="1418"/>
    <cellStyle name="40% — акцент1 20" xfId="1419"/>
    <cellStyle name="40% — акцент1 21" xfId="1420"/>
    <cellStyle name="40% — акцент1 22" xfId="4657"/>
    <cellStyle name="40% — акцент1 23" xfId="5561"/>
    <cellStyle name="40% — акцент1 24" xfId="6069"/>
    <cellStyle name="40% — акцент1 25" xfId="5487"/>
    <cellStyle name="40% — акцент1 26" xfId="6165"/>
    <cellStyle name="40% — акцент1 27" xfId="6279"/>
    <cellStyle name="40% — акцент1 28" xfId="6541"/>
    <cellStyle name="40% — акцент1 29" xfId="6704"/>
    <cellStyle name="40% - Акцент1 3" xfId="1421"/>
    <cellStyle name="40% — акцент1 3" xfId="1422"/>
    <cellStyle name="40% - Акцент1 3 10" xfId="1423"/>
    <cellStyle name="40% - Акцент1 3 10 2" xfId="4670"/>
    <cellStyle name="40% - Акцент1 3 10 3" xfId="9906"/>
    <cellStyle name="40% - Акцент1 3 11" xfId="1424"/>
    <cellStyle name="40% - Акцент1 3 12" xfId="4669"/>
    <cellStyle name="40% - Акцент1 3 13" xfId="5573"/>
    <cellStyle name="40% - Акцент1 3 14" xfId="6057"/>
    <cellStyle name="40% - Акцент1 3 15" xfId="5503"/>
    <cellStyle name="40% - Акцент1 3 16" xfId="6148"/>
    <cellStyle name="40% - Акцент1 3 17" xfId="6261"/>
    <cellStyle name="40% - Акцент1 3 18" xfId="6394"/>
    <cellStyle name="40% - Акцент1 3 19" xfId="6692"/>
    <cellStyle name="40% - Акцент1 3 2" xfId="1425"/>
    <cellStyle name="40% - Акцент1 3 2 2" xfId="1426"/>
    <cellStyle name="40% - Акцент1 3 2 3" xfId="4671"/>
    <cellStyle name="40% - Акцент1 3 2 4" xfId="8827"/>
    <cellStyle name="40% - Акцент1 3 20" xfId="6869"/>
    <cellStyle name="40% - Акцент1 3 21" xfId="7072"/>
    <cellStyle name="40% - Акцент1 3 22" xfId="7290"/>
    <cellStyle name="40% - Акцент1 3 23" xfId="7517"/>
    <cellStyle name="40% - Акцент1 3 24" xfId="7743"/>
    <cellStyle name="40% - Акцент1 3 25" xfId="7965"/>
    <cellStyle name="40% - Акцент1 3 26" xfId="8175"/>
    <cellStyle name="40% - Акцент1 3 27" xfId="8372"/>
    <cellStyle name="40% - Акцент1 3 28" xfId="8545"/>
    <cellStyle name="40% - Акцент1 3 29" xfId="8690"/>
    <cellStyle name="40% - Акцент1 3 3" xfId="1427"/>
    <cellStyle name="40% - Акцент1 3 3 2" xfId="1428"/>
    <cellStyle name="40% - Акцент1 3 3 3" xfId="4672"/>
    <cellStyle name="40% - Акцент1 3 3 4" xfId="9908"/>
    <cellStyle name="40% - Акцент1 3 30" xfId="8826"/>
    <cellStyle name="40% - Акцент1 3 31" xfId="9071"/>
    <cellStyle name="40% - Акцент1 3 32" xfId="9204"/>
    <cellStyle name="40% - Акцент1 3 33" xfId="9336"/>
    <cellStyle name="40% - Акцент1 3 34" xfId="9426"/>
    <cellStyle name="40% - Акцент1 3 35" xfId="9514"/>
    <cellStyle name="40% - Акцент1 3 36" xfId="9595"/>
    <cellStyle name="40% - Акцент1 3 37" xfId="9632"/>
    <cellStyle name="40% - Акцент1 3 38" xfId="9723"/>
    <cellStyle name="40% - Акцент1 3 39" xfId="9905"/>
    <cellStyle name="40% - Акцент1 3 4" xfId="1429"/>
    <cellStyle name="40% - Акцент1 3 4 2" xfId="4673"/>
    <cellStyle name="40% - Акцент1 3 4 3" xfId="9909"/>
    <cellStyle name="40% - Акцент1 3 40" xfId="10200"/>
    <cellStyle name="40% - Акцент1 3 41" xfId="11171"/>
    <cellStyle name="40% - Акцент1 3 42" xfId="11406"/>
    <cellStyle name="40% - Акцент1 3 43" xfId="11641"/>
    <cellStyle name="40% - Акцент1 3 44" xfId="11876"/>
    <cellStyle name="40% - Акцент1 3 45" xfId="12111"/>
    <cellStyle name="40% - Акцент1 3 46" xfId="12346"/>
    <cellStyle name="40% - Акцент1 3 47" xfId="12581"/>
    <cellStyle name="40% - Акцент1 3 48" xfId="12816"/>
    <cellStyle name="40% - Акцент1 3 49" xfId="13051"/>
    <cellStyle name="40% - Акцент1 3 5" xfId="1430"/>
    <cellStyle name="40% - Акцент1 3 5 2" xfId="4674"/>
    <cellStyle name="40% - Акцент1 3 5 3" xfId="9910"/>
    <cellStyle name="40% - Акцент1 3 50" xfId="13286"/>
    <cellStyle name="40% - Акцент1 3 51" xfId="13521"/>
    <cellStyle name="40% - Акцент1 3 52" xfId="13756"/>
    <cellStyle name="40% - Акцент1 3 53" xfId="13990"/>
    <cellStyle name="40% - Акцент1 3 54" xfId="14216"/>
    <cellStyle name="40% - Акцент1 3 55" xfId="14440"/>
    <cellStyle name="40% - Акцент1 3 56" xfId="14662"/>
    <cellStyle name="40% - Акцент1 3 57" xfId="14872"/>
    <cellStyle name="40% - Акцент1 3 58" xfId="15066"/>
    <cellStyle name="40% - Акцент1 3 59" xfId="15239"/>
    <cellStyle name="40% - Акцент1 3 6" xfId="1431"/>
    <cellStyle name="40% - Акцент1 3 6 2" xfId="4675"/>
    <cellStyle name="40% - Акцент1 3 6 3" xfId="9911"/>
    <cellStyle name="40% - Акцент1 3 60" xfId="15383"/>
    <cellStyle name="40% - Акцент1 3 61" xfId="15516"/>
    <cellStyle name="40% - Акцент1 3 62" xfId="15636"/>
    <cellStyle name="40% - Акцент1 3 63" xfId="15712"/>
    <cellStyle name="40% - Акцент1 3 7" xfId="1432"/>
    <cellStyle name="40% - Акцент1 3 7 2" xfId="4676"/>
    <cellStyle name="40% - Акцент1 3 7 3" xfId="9912"/>
    <cellStyle name="40% - Акцент1 3 8" xfId="1433"/>
    <cellStyle name="40% - Акцент1 3 8 2" xfId="4677"/>
    <cellStyle name="40% - Акцент1 3 8 3" xfId="9913"/>
    <cellStyle name="40% - Акцент1 3 9" xfId="1434"/>
    <cellStyle name="40% - Акцент1 3 9 2" xfId="4678"/>
    <cellStyle name="40% - Акцент1 3 9 3" xfId="9914"/>
    <cellStyle name="40% - Акцент1 3_46EE.2011(v1.0)" xfId="1435"/>
    <cellStyle name="40% — акцент1 30" xfId="6881"/>
    <cellStyle name="40% — акцент1 31" xfId="7084"/>
    <cellStyle name="40% — акцент1 32" xfId="7302"/>
    <cellStyle name="40% — акцент1 33" xfId="7529"/>
    <cellStyle name="40% — акцент1 34" xfId="7755"/>
    <cellStyle name="40% — акцент1 35" xfId="7977"/>
    <cellStyle name="40% — акцент1 36" xfId="8187"/>
    <cellStyle name="40% — акцент1 37" xfId="8384"/>
    <cellStyle name="40% — акцент1 38" xfId="8557"/>
    <cellStyle name="40% — акцент1 39" xfId="8702"/>
    <cellStyle name="40% - Акцент1 4" xfId="1436"/>
    <cellStyle name="40% — акцент1 4" xfId="1437"/>
    <cellStyle name="40% - Акцент1 4 2" xfId="1438"/>
    <cellStyle name="40% - Акцент1 4 2 2" xfId="1439"/>
    <cellStyle name="40% - Акцент1 4 3" xfId="1440"/>
    <cellStyle name="40% - Акцент1 4 3 2" xfId="1441"/>
    <cellStyle name="40% - Акцент1 4_46EE.2011(v1.0)" xfId="1442"/>
    <cellStyle name="40% — акцент1 40" xfId="8822"/>
    <cellStyle name="40% — акцент1 41" xfId="9067"/>
    <cellStyle name="40% — акцент1 42" xfId="9208"/>
    <cellStyle name="40% — акцент1 43" xfId="9340"/>
    <cellStyle name="40% — акцент1 44" xfId="9430"/>
    <cellStyle name="40% — акцент1 45" xfId="9518"/>
    <cellStyle name="40% — акцент1 46" xfId="9599"/>
    <cellStyle name="40% — акцент1 47" xfId="9636"/>
    <cellStyle name="40% — акцент1 48" xfId="9727"/>
    <cellStyle name="40% — акцент1 49" xfId="9893"/>
    <cellStyle name="40% - Акцент1 5" xfId="1443"/>
    <cellStyle name="40% — акцент1 5" xfId="1444"/>
    <cellStyle name="40% - Акцент1 5 2" xfId="1445"/>
    <cellStyle name="40% - Акцент1 5 2 2" xfId="1446"/>
    <cellStyle name="40% - Акцент1 5 3" xfId="1447"/>
    <cellStyle name="40% - Акцент1 5 3 2" xfId="1448"/>
    <cellStyle name="40% - Акцент1 5_46EE.2011(v1.0)" xfId="1449"/>
    <cellStyle name="40% — акцент1 50" xfId="10252"/>
    <cellStyle name="40% — акцент1 51" xfId="11183"/>
    <cellStyle name="40% — акцент1 52" xfId="11418"/>
    <cellStyle name="40% — акцент1 53" xfId="11653"/>
    <cellStyle name="40% — акцент1 54" xfId="11888"/>
    <cellStyle name="40% — акцент1 55" xfId="12123"/>
    <cellStyle name="40% — акцент1 56" xfId="12358"/>
    <cellStyle name="40% — акцент1 57" xfId="12593"/>
    <cellStyle name="40% — акцент1 58" xfId="12828"/>
    <cellStyle name="40% — акцент1 59" xfId="13063"/>
    <cellStyle name="40% - Акцент1 6" xfId="1450"/>
    <cellStyle name="40% — акцент1 6" xfId="1451"/>
    <cellStyle name="40% - Акцент1 6 2" xfId="1452"/>
    <cellStyle name="40% - Акцент1 6 2 2" xfId="1453"/>
    <cellStyle name="40% - Акцент1 6 3" xfId="1454"/>
    <cellStyle name="40% - Акцент1 6 3 2" xfId="1455"/>
    <cellStyle name="40% - Акцент1 6_46EE.2011(v1.0)" xfId="1456"/>
    <cellStyle name="40% — акцент1 60" xfId="13298"/>
    <cellStyle name="40% — акцент1 61" xfId="13533"/>
    <cellStyle name="40% — акцент1 62" xfId="13768"/>
    <cellStyle name="40% — акцент1 63" xfId="14002"/>
    <cellStyle name="40% — акцент1 64" xfId="14228"/>
    <cellStyle name="40% — акцент1 65" xfId="14452"/>
    <cellStyle name="40% — акцент1 66" xfId="14674"/>
    <cellStyle name="40% — акцент1 67" xfId="14884"/>
    <cellStyle name="40% — акцент1 68" xfId="15078"/>
    <cellStyle name="40% — акцент1 69" xfId="15251"/>
    <cellStyle name="40% - Акцент1 7" xfId="1457"/>
    <cellStyle name="40% — акцент1 7" xfId="1458"/>
    <cellStyle name="40% - Акцент1 7 2" xfId="1459"/>
    <cellStyle name="40% - Акцент1 7 2 2" xfId="1460"/>
    <cellStyle name="40% - Акцент1 7 3" xfId="1461"/>
    <cellStyle name="40% - Акцент1 7 3 2" xfId="1462"/>
    <cellStyle name="40% - Акцент1 7_46EE.2011(v1.0)" xfId="1463"/>
    <cellStyle name="40% — акцент1 70" xfId="15395"/>
    <cellStyle name="40% — акцент1 71" xfId="15512"/>
    <cellStyle name="40% — акцент1 72" xfId="15640"/>
    <cellStyle name="40% — акцент1 73" xfId="15716"/>
    <cellStyle name="40% - Акцент1 8" xfId="1464"/>
    <cellStyle name="40% — акцент1 8" xfId="1465"/>
    <cellStyle name="40% - Акцент1 8 2" xfId="1466"/>
    <cellStyle name="40% - Акцент1 8 2 2" xfId="1467"/>
    <cellStyle name="40% - Акцент1 8 3" xfId="1468"/>
    <cellStyle name="40% - Акцент1 8 3 2" xfId="1469"/>
    <cellStyle name="40% - Акцент1 8 4" xfId="1470"/>
    <cellStyle name="40% - Акцент1 8_46EE.2011(v1.0)" xfId="1471"/>
    <cellStyle name="40% - Акцент1 9" xfId="1472"/>
    <cellStyle name="40% — акцент1 9" xfId="1473"/>
    <cellStyle name="40% - Акцент1 9 2" xfId="1474"/>
    <cellStyle name="40% - Акцент1 9 2 2" xfId="1475"/>
    <cellStyle name="40% - Акцент1 9 3" xfId="1476"/>
    <cellStyle name="40% - Акцент1 9 3 2" xfId="1477"/>
    <cellStyle name="40% - Акцент1 9 4" xfId="1478"/>
    <cellStyle name="40% - Акцент1 9_46EE.2011(v1.0)" xfId="1479"/>
    <cellStyle name="40% — акцент1_Расчет тарифа на тэ 2015 СЛФ" xfId="1480"/>
    <cellStyle name="40% — акцент2" xfId="1481"/>
    <cellStyle name="40% - Акцент2 10" xfId="1482"/>
    <cellStyle name="40% — акцент2 10" xfId="1483"/>
    <cellStyle name="40% - Акцент2 10 2" xfId="1484"/>
    <cellStyle name="40% - Акцент2 11" xfId="1485"/>
    <cellStyle name="40% — акцент2 11" xfId="1486"/>
    <cellStyle name="40% - Акцент2 11 2" xfId="1487"/>
    <cellStyle name="40% — акцент2 12" xfId="1488"/>
    <cellStyle name="40% — акцент2 13" xfId="1489"/>
    <cellStyle name="40% — акцент2 14" xfId="1490"/>
    <cellStyle name="40% — акцент2 15" xfId="1491"/>
    <cellStyle name="40% — акцент2 16" xfId="1492"/>
    <cellStyle name="40% — акцент2 17" xfId="1493"/>
    <cellStyle name="40% — акцент2 18" xfId="1494"/>
    <cellStyle name="40% — акцент2 19" xfId="1495"/>
    <cellStyle name="40% - Акцент2 2" xfId="1496"/>
    <cellStyle name="40% — акцент2 2" xfId="1497"/>
    <cellStyle name="40% - Акцент2 2 10" xfId="1498"/>
    <cellStyle name="40% — акцент2 2 10" xfId="6857"/>
    <cellStyle name="40% - Акцент2 2 10 10" xfId="8541"/>
    <cellStyle name="40% - Акцент2 2 10 11" xfId="8686"/>
    <cellStyle name="40% - Акцент2 2 10 12" xfId="9918"/>
    <cellStyle name="40% - Акцент2 2 10 13" xfId="10127"/>
    <cellStyle name="40% - Акцент2 2 10 14" xfId="11158"/>
    <cellStyle name="40% - Акцент2 2 10 15" xfId="11393"/>
    <cellStyle name="40% - Акцент2 2 10 16" xfId="11628"/>
    <cellStyle name="40% - Акцент2 2 10 17" xfId="11863"/>
    <cellStyle name="40% - Акцент2 2 10 18" xfId="12098"/>
    <cellStyle name="40% - Акцент2 2 10 19" xfId="12333"/>
    <cellStyle name="40% - Акцент2 2 10 2" xfId="4682"/>
    <cellStyle name="40% - Акцент2 2 10 20" xfId="12568"/>
    <cellStyle name="40% - Акцент2 2 10 21" xfId="12803"/>
    <cellStyle name="40% - Акцент2 2 10 22" xfId="13038"/>
    <cellStyle name="40% - Акцент2 2 10 23" xfId="13273"/>
    <cellStyle name="40% - Акцент2 2 10 24" xfId="13508"/>
    <cellStyle name="40% - Акцент2 2 10 25" xfId="13743"/>
    <cellStyle name="40% - Акцент2 2 10 26" xfId="13977"/>
    <cellStyle name="40% - Акцент2 2 10 27" xfId="14203"/>
    <cellStyle name="40% - Акцент2 2 10 28" xfId="14427"/>
    <cellStyle name="40% - Акцент2 2 10 29" xfId="14649"/>
    <cellStyle name="40% - Акцент2 2 10 3" xfId="7059"/>
    <cellStyle name="40% - Акцент2 2 10 30" xfId="14859"/>
    <cellStyle name="40% - Акцент2 2 10 31" xfId="15053"/>
    <cellStyle name="40% - Акцент2 2 10 32" xfId="15235"/>
    <cellStyle name="40% - Акцент2 2 10 33" xfId="15379"/>
    <cellStyle name="40% - Акцент2 2 10 4" xfId="7277"/>
    <cellStyle name="40% - Акцент2 2 10 5" xfId="7504"/>
    <cellStyle name="40% - Акцент2 2 10 6" xfId="7730"/>
    <cellStyle name="40% - Акцент2 2 10 7" xfId="7952"/>
    <cellStyle name="40% - Акцент2 2 10 8" xfId="8162"/>
    <cellStyle name="40% - Акцент2 2 10 9" xfId="8359"/>
    <cellStyle name="40% - Акцент2 2 11" xfId="4680"/>
    <cellStyle name="40% — акцент2 2 11" xfId="7060"/>
    <cellStyle name="40% - Акцент2 2 12" xfId="5584"/>
    <cellStyle name="40% — акцент2 2 12" xfId="7278"/>
    <cellStyle name="40% - Акцент2 2 13" xfId="6046"/>
    <cellStyle name="40% — акцент2 2 13" xfId="7505"/>
    <cellStyle name="40% - Акцент2 2 14" xfId="5515"/>
    <cellStyle name="40% — акцент2 2 14" xfId="7731"/>
    <cellStyle name="40% - Акцент2 2 15" xfId="6133"/>
    <cellStyle name="40% — акцент2 2 15" xfId="7953"/>
    <cellStyle name="40% - Акцент2 2 16" xfId="6246"/>
    <cellStyle name="40% — акцент2 2 16" xfId="8163"/>
    <cellStyle name="40% - Акцент2 2 17" xfId="6382"/>
    <cellStyle name="40% — акцент2 2 17" xfId="8360"/>
    <cellStyle name="40% - Акцент2 2 18" xfId="6681"/>
    <cellStyle name="40% — акцент2 2 18" xfId="8542"/>
    <cellStyle name="40% - Акцент2 2 19" xfId="6858"/>
    <cellStyle name="40% — акцент2 2 19" xfId="8687"/>
    <cellStyle name="40% - Акцент2 2 2" xfId="1499"/>
    <cellStyle name="40% — акцент2 2 2" xfId="4681"/>
    <cellStyle name="40% - Акцент2 2 2 10" xfId="6678"/>
    <cellStyle name="40% - Акцент2 2 2 11" xfId="6855"/>
    <cellStyle name="40% - Акцент2 2 2 12" xfId="7058"/>
    <cellStyle name="40% - Акцент2 2 2 13" xfId="7276"/>
    <cellStyle name="40% - Акцент2 2 2 14" xfId="7503"/>
    <cellStyle name="40% - Акцент2 2 2 15" xfId="7729"/>
    <cellStyle name="40% - Акцент2 2 2 16" xfId="7951"/>
    <cellStyle name="40% - Акцент2 2 2 17" xfId="8161"/>
    <cellStyle name="40% - Акцент2 2 2 18" xfId="8358"/>
    <cellStyle name="40% - Акцент2 2 2 19" xfId="8540"/>
    <cellStyle name="40% - Акцент2 2 2 2" xfId="1500"/>
    <cellStyle name="40% - Акцент2 2 2 20" xfId="8685"/>
    <cellStyle name="40% - Акцент2 2 2 21" xfId="8831"/>
    <cellStyle name="40% - Акцент2 2 2 22" xfId="9076"/>
    <cellStyle name="40% - Акцент2 2 2 23" xfId="9199"/>
    <cellStyle name="40% - Акцент2 2 2 24" xfId="9331"/>
    <cellStyle name="40% - Акцент2 2 2 25" xfId="9421"/>
    <cellStyle name="40% - Акцент2 2 2 26" xfId="9510"/>
    <cellStyle name="40% - Акцент2 2 2 27" xfId="9591"/>
    <cellStyle name="40% - Акцент2 2 2 28" xfId="9525"/>
    <cellStyle name="40% - Акцент2 2 2 29" xfId="9719"/>
    <cellStyle name="40% - Акцент2 2 2 3" xfId="4683"/>
    <cellStyle name="40% - Акцент2 2 2 30" xfId="9919"/>
    <cellStyle name="40% - Акцент2 2 2 31" xfId="10105"/>
    <cellStyle name="40% - Акцент2 2 2 32" xfId="11157"/>
    <cellStyle name="40% - Акцент2 2 2 33" xfId="11392"/>
    <cellStyle name="40% - Акцент2 2 2 34" xfId="11627"/>
    <cellStyle name="40% - Акцент2 2 2 35" xfId="11862"/>
    <cellStyle name="40% - Акцент2 2 2 36" xfId="12097"/>
    <cellStyle name="40% - Акцент2 2 2 37" xfId="12332"/>
    <cellStyle name="40% - Акцент2 2 2 38" xfId="12567"/>
    <cellStyle name="40% - Акцент2 2 2 39" xfId="12802"/>
    <cellStyle name="40% - Акцент2 2 2 4" xfId="5587"/>
    <cellStyle name="40% - Акцент2 2 2 40" xfId="13037"/>
    <cellStyle name="40% - Акцент2 2 2 41" xfId="13272"/>
    <cellStyle name="40% - Акцент2 2 2 42" xfId="13507"/>
    <cellStyle name="40% - Акцент2 2 2 43" xfId="13742"/>
    <cellStyle name="40% - Акцент2 2 2 44" xfId="13976"/>
    <cellStyle name="40% - Акцент2 2 2 45" xfId="14202"/>
    <cellStyle name="40% - Акцент2 2 2 46" xfId="14426"/>
    <cellStyle name="40% - Акцент2 2 2 47" xfId="14648"/>
    <cellStyle name="40% - Акцент2 2 2 48" xfId="14858"/>
    <cellStyle name="40% - Акцент2 2 2 49" xfId="15052"/>
    <cellStyle name="40% - Акцент2 2 2 5" xfId="6043"/>
    <cellStyle name="40% - Акцент2 2 2 50" xfId="15234"/>
    <cellStyle name="40% - Акцент2 2 2 51" xfId="15378"/>
    <cellStyle name="40% - Акцент2 2 2 52" xfId="15521"/>
    <cellStyle name="40% - Акцент2 2 2 53" xfId="15632"/>
    <cellStyle name="40% - Акцент2 2 2 54" xfId="15708"/>
    <cellStyle name="40% - Акцент2 2 2 6" xfId="5522"/>
    <cellStyle name="40% - Акцент2 2 2 7" xfId="6128"/>
    <cellStyle name="40% - Акцент2 2 2 8" xfId="6240"/>
    <cellStyle name="40% - Акцент2 2 2 9" xfId="6372"/>
    <cellStyle name="40% - Акцент2 2 20" xfId="7061"/>
    <cellStyle name="40% — акцент2 2 20" xfId="8830"/>
    <cellStyle name="40% - Акцент2 2 21" xfId="7279"/>
    <cellStyle name="40% — акцент2 2 21" xfId="9075"/>
    <cellStyle name="40% - Акцент2 2 22" xfId="7506"/>
    <cellStyle name="40% — акцент2 2 22" xfId="9200"/>
    <cellStyle name="40% - Акцент2 2 23" xfId="7732"/>
    <cellStyle name="40% — акцент2 2 23" xfId="9332"/>
    <cellStyle name="40% - Акцент2 2 24" xfId="7954"/>
    <cellStyle name="40% — акцент2 2 24" xfId="9422"/>
    <cellStyle name="40% - Акцент2 2 25" xfId="8164"/>
    <cellStyle name="40% — акцент2 2 25" xfId="9511"/>
    <cellStyle name="40% - Акцент2 2 26" xfId="8361"/>
    <cellStyle name="40% — акцент2 2 26" xfId="9592"/>
    <cellStyle name="40% - Акцент2 2 27" xfId="8543"/>
    <cellStyle name="40% — акцент2 2 27" xfId="9531"/>
    <cellStyle name="40% - Акцент2 2 28" xfId="8688"/>
    <cellStyle name="40% — акцент2 2 28" xfId="9720"/>
    <cellStyle name="40% - Акцент2 2 29" xfId="8829"/>
    <cellStyle name="40% — акцент2 2 29" xfId="9917"/>
    <cellStyle name="40% - Акцент2 2 3" xfId="1501"/>
    <cellStyle name="40% — акцент2 2 3" xfId="5585"/>
    <cellStyle name="40% - Акцент2 2 3 10" xfId="6854"/>
    <cellStyle name="40% - Акцент2 2 3 11" xfId="7057"/>
    <cellStyle name="40% - Акцент2 2 3 12" xfId="7275"/>
    <cellStyle name="40% - Акцент2 2 3 13" xfId="7502"/>
    <cellStyle name="40% - Акцент2 2 3 14" xfId="7728"/>
    <cellStyle name="40% - Акцент2 2 3 15" xfId="7950"/>
    <cellStyle name="40% - Акцент2 2 3 16" xfId="8160"/>
    <cellStyle name="40% - Акцент2 2 3 17" xfId="8357"/>
    <cellStyle name="40% - Акцент2 2 3 18" xfId="8539"/>
    <cellStyle name="40% - Акцент2 2 3 19" xfId="8684"/>
    <cellStyle name="40% - Акцент2 2 3 2" xfId="1502"/>
    <cellStyle name="40% - Акцент2 2 3 20" xfId="9920"/>
    <cellStyle name="40% - Акцент2 2 3 21" xfId="10083"/>
    <cellStyle name="40% - Акцент2 2 3 22" xfId="11156"/>
    <cellStyle name="40% - Акцент2 2 3 23" xfId="11391"/>
    <cellStyle name="40% - Акцент2 2 3 24" xfId="11626"/>
    <cellStyle name="40% - Акцент2 2 3 25" xfId="11861"/>
    <cellStyle name="40% - Акцент2 2 3 26" xfId="12096"/>
    <cellStyle name="40% - Акцент2 2 3 27" xfId="12331"/>
    <cellStyle name="40% - Акцент2 2 3 28" xfId="12566"/>
    <cellStyle name="40% - Акцент2 2 3 29" xfId="12801"/>
    <cellStyle name="40% - Акцент2 2 3 3" xfId="4684"/>
    <cellStyle name="40% - Акцент2 2 3 30" xfId="13036"/>
    <cellStyle name="40% - Акцент2 2 3 31" xfId="13271"/>
    <cellStyle name="40% - Акцент2 2 3 32" xfId="13506"/>
    <cellStyle name="40% - Акцент2 2 3 33" xfId="13741"/>
    <cellStyle name="40% - Акцент2 2 3 34" xfId="13975"/>
    <cellStyle name="40% - Акцент2 2 3 35" xfId="14201"/>
    <cellStyle name="40% - Акцент2 2 3 36" xfId="14425"/>
    <cellStyle name="40% - Акцент2 2 3 37" xfId="14647"/>
    <cellStyle name="40% - Акцент2 2 3 38" xfId="14857"/>
    <cellStyle name="40% - Акцент2 2 3 39" xfId="15051"/>
    <cellStyle name="40% - Акцент2 2 3 4" xfId="6042"/>
    <cellStyle name="40% - Акцент2 2 3 40" xfId="15233"/>
    <cellStyle name="40% - Акцент2 2 3 41" xfId="15377"/>
    <cellStyle name="40% - Акцент2 2 3 5" xfId="5523"/>
    <cellStyle name="40% - Акцент2 2 3 6" xfId="6127"/>
    <cellStyle name="40% - Акцент2 2 3 7" xfId="6239"/>
    <cellStyle name="40% - Акцент2 2 3 8" xfId="6371"/>
    <cellStyle name="40% - Акцент2 2 3 9" xfId="6677"/>
    <cellStyle name="40% - Акцент2 2 30" xfId="9074"/>
    <cellStyle name="40% — акцент2 2 30" xfId="10149"/>
    <cellStyle name="40% - Акцент2 2 31" xfId="9201"/>
    <cellStyle name="40% — акцент2 2 31" xfId="11159"/>
    <cellStyle name="40% - Акцент2 2 32" xfId="9333"/>
    <cellStyle name="40% — акцент2 2 32" xfId="11394"/>
    <cellStyle name="40% - Акцент2 2 33" xfId="9423"/>
    <cellStyle name="40% — акцент2 2 33" xfId="11629"/>
    <cellStyle name="40% - Акцент2 2 34" xfId="9512"/>
    <cellStyle name="40% — акцент2 2 34" xfId="11864"/>
    <cellStyle name="40% - Акцент2 2 35" xfId="9593"/>
    <cellStyle name="40% — акцент2 2 35" xfId="12099"/>
    <cellStyle name="40% - Акцент2 2 36" xfId="9538"/>
    <cellStyle name="40% — акцент2 2 36" xfId="12334"/>
    <cellStyle name="40% - Акцент2 2 37" xfId="9721"/>
    <cellStyle name="40% — акцент2 2 37" xfId="12569"/>
    <cellStyle name="40% - Акцент2 2 38" xfId="9916"/>
    <cellStyle name="40% — акцент2 2 38" xfId="12804"/>
    <cellStyle name="40% - Акцент2 2 39" xfId="10157"/>
    <cellStyle name="40% — акцент2 2 39" xfId="13039"/>
    <cellStyle name="40% - Акцент2 2 4" xfId="1503"/>
    <cellStyle name="40% — акцент2 2 4" xfId="6045"/>
    <cellStyle name="40% - Акцент2 2 4 10" xfId="7274"/>
    <cellStyle name="40% - Акцент2 2 4 11" xfId="7501"/>
    <cellStyle name="40% - Акцент2 2 4 12" xfId="7727"/>
    <cellStyle name="40% - Акцент2 2 4 13" xfId="7949"/>
    <cellStyle name="40% - Акцент2 2 4 14" xfId="8159"/>
    <cellStyle name="40% - Акцент2 2 4 15" xfId="8356"/>
    <cellStyle name="40% - Акцент2 2 4 16" xfId="8538"/>
    <cellStyle name="40% - Акцент2 2 4 17" xfId="8683"/>
    <cellStyle name="40% - Акцент2 2 4 18" xfId="9921"/>
    <cellStyle name="40% - Акцент2 2 4 19" xfId="10061"/>
    <cellStyle name="40% - Акцент2 2 4 2" xfId="4685"/>
    <cellStyle name="40% - Акцент2 2 4 20" xfId="11155"/>
    <cellStyle name="40% - Акцент2 2 4 21" xfId="11390"/>
    <cellStyle name="40% - Акцент2 2 4 22" xfId="11625"/>
    <cellStyle name="40% - Акцент2 2 4 23" xfId="11860"/>
    <cellStyle name="40% - Акцент2 2 4 24" xfId="12095"/>
    <cellStyle name="40% - Акцент2 2 4 25" xfId="12330"/>
    <cellStyle name="40% - Акцент2 2 4 26" xfId="12565"/>
    <cellStyle name="40% - Акцент2 2 4 27" xfId="12800"/>
    <cellStyle name="40% - Акцент2 2 4 28" xfId="13035"/>
    <cellStyle name="40% - Акцент2 2 4 29" xfId="13270"/>
    <cellStyle name="40% - Акцент2 2 4 3" xfId="5524"/>
    <cellStyle name="40% - Акцент2 2 4 30" xfId="13505"/>
    <cellStyle name="40% - Акцент2 2 4 31" xfId="13740"/>
    <cellStyle name="40% - Акцент2 2 4 32" xfId="13974"/>
    <cellStyle name="40% - Акцент2 2 4 33" xfId="14200"/>
    <cellStyle name="40% - Акцент2 2 4 34" xfId="14424"/>
    <cellStyle name="40% - Акцент2 2 4 35" xfId="14646"/>
    <cellStyle name="40% - Акцент2 2 4 36" xfId="14856"/>
    <cellStyle name="40% - Акцент2 2 4 37" xfId="15050"/>
    <cellStyle name="40% - Акцент2 2 4 38" xfId="15232"/>
    <cellStyle name="40% - Акцент2 2 4 39" xfId="15376"/>
    <cellStyle name="40% - Акцент2 2 4 4" xfId="6126"/>
    <cellStyle name="40% - Акцент2 2 4 5" xfId="6238"/>
    <cellStyle name="40% - Акцент2 2 4 6" xfId="6370"/>
    <cellStyle name="40% - Акцент2 2 4 7" xfId="6676"/>
    <cellStyle name="40% - Акцент2 2 4 8" xfId="6853"/>
    <cellStyle name="40% - Акцент2 2 4 9" xfId="7056"/>
    <cellStyle name="40% - Акцент2 2 40" xfId="11160"/>
    <cellStyle name="40% — акцент2 2 40" xfId="13274"/>
    <cellStyle name="40% - Акцент2 2 41" xfId="11395"/>
    <cellStyle name="40% — акцент2 2 41" xfId="13509"/>
    <cellStyle name="40% - Акцент2 2 42" xfId="11630"/>
    <cellStyle name="40% — акцент2 2 42" xfId="13744"/>
    <cellStyle name="40% - Акцент2 2 43" xfId="11865"/>
    <cellStyle name="40% — акцент2 2 43" xfId="13978"/>
    <cellStyle name="40% - Акцент2 2 44" xfId="12100"/>
    <cellStyle name="40% — акцент2 2 44" xfId="14204"/>
    <cellStyle name="40% - Акцент2 2 45" xfId="12335"/>
    <cellStyle name="40% — акцент2 2 45" xfId="14428"/>
    <cellStyle name="40% - Акцент2 2 46" xfId="12570"/>
    <cellStyle name="40% — акцент2 2 46" xfId="14650"/>
    <cellStyle name="40% - Акцент2 2 47" xfId="12805"/>
    <cellStyle name="40% — акцент2 2 47" xfId="14860"/>
    <cellStyle name="40% - Акцент2 2 48" xfId="13040"/>
    <cellStyle name="40% — акцент2 2 48" xfId="15054"/>
    <cellStyle name="40% - Акцент2 2 49" xfId="13275"/>
    <cellStyle name="40% — акцент2 2 49" xfId="15236"/>
    <cellStyle name="40% - Акцент2 2 5" xfId="1504"/>
    <cellStyle name="40% — акцент2 2 5" xfId="5516"/>
    <cellStyle name="40% - Акцент2 2 5 10" xfId="7500"/>
    <cellStyle name="40% - Акцент2 2 5 11" xfId="7726"/>
    <cellStyle name="40% - Акцент2 2 5 12" xfId="7948"/>
    <cellStyle name="40% - Акцент2 2 5 13" xfId="8158"/>
    <cellStyle name="40% - Акцент2 2 5 14" xfId="8355"/>
    <cellStyle name="40% - Акцент2 2 5 15" xfId="8537"/>
    <cellStyle name="40% - Акцент2 2 5 16" xfId="8682"/>
    <cellStyle name="40% - Акцент2 2 5 17" xfId="9922"/>
    <cellStyle name="40% - Акцент2 2 5 18" xfId="10039"/>
    <cellStyle name="40% - Акцент2 2 5 19" xfId="11154"/>
    <cellStyle name="40% - Акцент2 2 5 2" xfId="4686"/>
    <cellStyle name="40% - Акцент2 2 5 20" xfId="11389"/>
    <cellStyle name="40% - Акцент2 2 5 21" xfId="11624"/>
    <cellStyle name="40% - Акцент2 2 5 22" xfId="11859"/>
    <cellStyle name="40% - Акцент2 2 5 23" xfId="12094"/>
    <cellStyle name="40% - Акцент2 2 5 24" xfId="12329"/>
    <cellStyle name="40% - Акцент2 2 5 25" xfId="12564"/>
    <cellStyle name="40% - Акцент2 2 5 26" xfId="12799"/>
    <cellStyle name="40% - Акцент2 2 5 27" xfId="13034"/>
    <cellStyle name="40% - Акцент2 2 5 28" xfId="13269"/>
    <cellStyle name="40% - Акцент2 2 5 29" xfId="13504"/>
    <cellStyle name="40% - Акцент2 2 5 3" xfId="6125"/>
    <cellStyle name="40% - Акцент2 2 5 30" xfId="13739"/>
    <cellStyle name="40% - Акцент2 2 5 31" xfId="13973"/>
    <cellStyle name="40% - Акцент2 2 5 32" xfId="14199"/>
    <cellStyle name="40% - Акцент2 2 5 33" xfId="14423"/>
    <cellStyle name="40% - Акцент2 2 5 34" xfId="14645"/>
    <cellStyle name="40% - Акцент2 2 5 35" xfId="14855"/>
    <cellStyle name="40% - Акцент2 2 5 36" xfId="15049"/>
    <cellStyle name="40% - Акцент2 2 5 37" xfId="15231"/>
    <cellStyle name="40% - Акцент2 2 5 38" xfId="15375"/>
    <cellStyle name="40% - Акцент2 2 5 4" xfId="6236"/>
    <cellStyle name="40% - Акцент2 2 5 5" xfId="6369"/>
    <cellStyle name="40% - Акцент2 2 5 6" xfId="6526"/>
    <cellStyle name="40% - Акцент2 2 5 7" xfId="6852"/>
    <cellStyle name="40% - Акцент2 2 5 8" xfId="7055"/>
    <cellStyle name="40% - Акцент2 2 5 9" xfId="7273"/>
    <cellStyle name="40% - Акцент2 2 50" xfId="13510"/>
    <cellStyle name="40% — акцент2 2 50" xfId="15380"/>
    <cellStyle name="40% - Акцент2 2 51" xfId="13745"/>
    <cellStyle name="40% — акцент2 2 51" xfId="15520"/>
    <cellStyle name="40% - Акцент2 2 52" xfId="13979"/>
    <cellStyle name="40% — акцент2 2 52" xfId="15633"/>
    <cellStyle name="40% - Акцент2 2 53" xfId="14205"/>
    <cellStyle name="40% — акцент2 2 53" xfId="15709"/>
    <cellStyle name="40% - Акцент2 2 54" xfId="14429"/>
    <cellStyle name="40% - Акцент2 2 55" xfId="14651"/>
    <cellStyle name="40% - Акцент2 2 56" xfId="14861"/>
    <cellStyle name="40% - Акцент2 2 57" xfId="15055"/>
    <cellStyle name="40% - Акцент2 2 58" xfId="15237"/>
    <cellStyle name="40% - Акцент2 2 59" xfId="15381"/>
    <cellStyle name="40% - Акцент2 2 6" xfId="1505"/>
    <cellStyle name="40% — акцент2 2 6" xfId="6130"/>
    <cellStyle name="40% - Акцент2 2 6 10" xfId="7725"/>
    <cellStyle name="40% - Акцент2 2 6 11" xfId="7947"/>
    <cellStyle name="40% - Акцент2 2 6 12" xfId="8157"/>
    <cellStyle name="40% - Акцент2 2 6 13" xfId="8354"/>
    <cellStyle name="40% - Акцент2 2 6 14" xfId="8536"/>
    <cellStyle name="40% - Акцент2 2 6 15" xfId="8681"/>
    <cellStyle name="40% - Акцент2 2 6 16" xfId="9923"/>
    <cellStyle name="40% - Акцент2 2 6 17" xfId="10017"/>
    <cellStyle name="40% - Акцент2 2 6 18" xfId="11153"/>
    <cellStyle name="40% - Акцент2 2 6 19" xfId="11388"/>
    <cellStyle name="40% - Акцент2 2 6 2" xfId="4687"/>
    <cellStyle name="40% - Акцент2 2 6 20" xfId="11623"/>
    <cellStyle name="40% - Акцент2 2 6 21" xfId="11858"/>
    <cellStyle name="40% - Акцент2 2 6 22" xfId="12093"/>
    <cellStyle name="40% - Акцент2 2 6 23" xfId="12328"/>
    <cellStyle name="40% - Акцент2 2 6 24" xfId="12563"/>
    <cellStyle name="40% - Акцент2 2 6 25" xfId="12798"/>
    <cellStyle name="40% - Акцент2 2 6 26" xfId="13033"/>
    <cellStyle name="40% - Акцент2 2 6 27" xfId="13268"/>
    <cellStyle name="40% - Акцент2 2 6 28" xfId="13503"/>
    <cellStyle name="40% - Акцент2 2 6 29" xfId="13738"/>
    <cellStyle name="40% - Акцент2 2 6 3" xfId="6235"/>
    <cellStyle name="40% - Акцент2 2 6 30" xfId="13972"/>
    <cellStyle name="40% - Акцент2 2 6 31" xfId="14198"/>
    <cellStyle name="40% - Акцент2 2 6 32" xfId="14422"/>
    <cellStyle name="40% - Акцент2 2 6 33" xfId="14644"/>
    <cellStyle name="40% - Акцент2 2 6 34" xfId="14854"/>
    <cellStyle name="40% - Акцент2 2 6 35" xfId="15048"/>
    <cellStyle name="40% - Акцент2 2 6 36" xfId="15230"/>
    <cellStyle name="40% - Акцент2 2 6 37" xfId="15374"/>
    <cellStyle name="40% - Акцент2 2 6 4" xfId="6367"/>
    <cellStyle name="40% - Акцент2 2 6 5" xfId="6520"/>
    <cellStyle name="40% - Акцент2 2 6 6" xfId="6851"/>
    <cellStyle name="40% - Акцент2 2 6 7" xfId="7054"/>
    <cellStyle name="40% - Акцент2 2 6 8" xfId="7272"/>
    <cellStyle name="40% - Акцент2 2 6 9" xfId="7499"/>
    <cellStyle name="40% - Акцент2 2 60" xfId="15519"/>
    <cellStyle name="40% - Акцент2 2 61" xfId="15634"/>
    <cellStyle name="40% - Акцент2 2 62" xfId="15710"/>
    <cellStyle name="40% - Акцент2 2 7" xfId="1506"/>
    <cellStyle name="40% — акцент2 2 7" xfId="6242"/>
    <cellStyle name="40% - Акцент2 2 7 10" xfId="7946"/>
    <cellStyle name="40% - Акцент2 2 7 11" xfId="8156"/>
    <cellStyle name="40% - Акцент2 2 7 12" xfId="8353"/>
    <cellStyle name="40% - Акцент2 2 7 13" xfId="8535"/>
    <cellStyle name="40% - Акцент2 2 7 14" xfId="8680"/>
    <cellStyle name="40% - Акцент2 2 7 15" xfId="9924"/>
    <cellStyle name="40% - Акцент2 2 7 16" xfId="9995"/>
    <cellStyle name="40% - Акцент2 2 7 17" xfId="11152"/>
    <cellStyle name="40% - Акцент2 2 7 18" xfId="11387"/>
    <cellStyle name="40% - Акцент2 2 7 19" xfId="11622"/>
    <cellStyle name="40% - Акцент2 2 7 2" xfId="4688"/>
    <cellStyle name="40% - Акцент2 2 7 20" xfId="11857"/>
    <cellStyle name="40% - Акцент2 2 7 21" xfId="12092"/>
    <cellStyle name="40% - Акцент2 2 7 22" xfId="12327"/>
    <cellStyle name="40% - Акцент2 2 7 23" xfId="12562"/>
    <cellStyle name="40% - Акцент2 2 7 24" xfId="12797"/>
    <cellStyle name="40% - Акцент2 2 7 25" xfId="13032"/>
    <cellStyle name="40% - Акцент2 2 7 26" xfId="13267"/>
    <cellStyle name="40% - Акцент2 2 7 27" xfId="13502"/>
    <cellStyle name="40% - Акцент2 2 7 28" xfId="13737"/>
    <cellStyle name="40% - Акцент2 2 7 29" xfId="13971"/>
    <cellStyle name="40% - Акцент2 2 7 3" xfId="6366"/>
    <cellStyle name="40% - Акцент2 2 7 30" xfId="14197"/>
    <cellStyle name="40% - Акцент2 2 7 31" xfId="14421"/>
    <cellStyle name="40% - Акцент2 2 7 32" xfId="14643"/>
    <cellStyle name="40% - Акцент2 2 7 33" xfId="14853"/>
    <cellStyle name="40% - Акцент2 2 7 34" xfId="15047"/>
    <cellStyle name="40% - Акцент2 2 7 35" xfId="15229"/>
    <cellStyle name="40% - Акцент2 2 7 36" xfId="15373"/>
    <cellStyle name="40% - Акцент2 2 7 4" xfId="6519"/>
    <cellStyle name="40% - Акцент2 2 7 5" xfId="6850"/>
    <cellStyle name="40% - Акцент2 2 7 6" xfId="7053"/>
    <cellStyle name="40% - Акцент2 2 7 7" xfId="7271"/>
    <cellStyle name="40% - Акцент2 2 7 8" xfId="7498"/>
    <cellStyle name="40% - Акцент2 2 7 9" xfId="7724"/>
    <cellStyle name="40% - Акцент2 2 8" xfId="1507"/>
    <cellStyle name="40% — акцент2 2 8" xfId="6381"/>
    <cellStyle name="40% - Акцент2 2 8 10" xfId="8155"/>
    <cellStyle name="40% - Акцент2 2 8 11" xfId="8352"/>
    <cellStyle name="40% - Акцент2 2 8 12" xfId="8534"/>
    <cellStyle name="40% - Акцент2 2 8 13" xfId="8679"/>
    <cellStyle name="40% - Акцент2 2 8 14" xfId="9925"/>
    <cellStyle name="40% - Акцент2 2 8 15" xfId="9973"/>
    <cellStyle name="40% - Акцент2 2 8 16" xfId="11151"/>
    <cellStyle name="40% - Акцент2 2 8 17" xfId="11386"/>
    <cellStyle name="40% - Акцент2 2 8 18" xfId="11621"/>
    <cellStyle name="40% - Акцент2 2 8 19" xfId="11856"/>
    <cellStyle name="40% - Акцент2 2 8 2" xfId="4689"/>
    <cellStyle name="40% - Акцент2 2 8 20" xfId="12091"/>
    <cellStyle name="40% - Акцент2 2 8 21" xfId="12326"/>
    <cellStyle name="40% - Акцент2 2 8 22" xfId="12561"/>
    <cellStyle name="40% - Акцент2 2 8 23" xfId="12796"/>
    <cellStyle name="40% - Акцент2 2 8 24" xfId="13031"/>
    <cellStyle name="40% - Акцент2 2 8 25" xfId="13266"/>
    <cellStyle name="40% - Акцент2 2 8 26" xfId="13501"/>
    <cellStyle name="40% - Акцент2 2 8 27" xfId="13736"/>
    <cellStyle name="40% - Акцент2 2 8 28" xfId="13970"/>
    <cellStyle name="40% - Акцент2 2 8 29" xfId="14196"/>
    <cellStyle name="40% - Акцент2 2 8 3" xfId="6518"/>
    <cellStyle name="40% - Акцент2 2 8 30" xfId="14420"/>
    <cellStyle name="40% - Акцент2 2 8 31" xfId="14642"/>
    <cellStyle name="40% - Акцент2 2 8 32" xfId="14852"/>
    <cellStyle name="40% - Акцент2 2 8 33" xfId="15046"/>
    <cellStyle name="40% - Акцент2 2 8 34" xfId="15228"/>
    <cellStyle name="40% - Акцент2 2 8 35" xfId="15372"/>
    <cellStyle name="40% - Акцент2 2 8 4" xfId="6849"/>
    <cellStyle name="40% - Акцент2 2 8 5" xfId="7052"/>
    <cellStyle name="40% - Акцент2 2 8 6" xfId="7270"/>
    <cellStyle name="40% - Акцент2 2 8 7" xfId="7497"/>
    <cellStyle name="40% - Акцент2 2 8 8" xfId="7723"/>
    <cellStyle name="40% - Акцент2 2 8 9" xfId="7945"/>
    <cellStyle name="40% - Акцент2 2 9" xfId="1508"/>
    <cellStyle name="40% — акцент2 2 9" xfId="6680"/>
    <cellStyle name="40% - Акцент2 2 9 10" xfId="8351"/>
    <cellStyle name="40% - Акцент2 2 9 11" xfId="8533"/>
    <cellStyle name="40% - Акцент2 2 9 12" xfId="8678"/>
    <cellStyle name="40% - Акцент2 2 9 13" xfId="9926"/>
    <cellStyle name="40% - Акцент2 2 9 14" xfId="9951"/>
    <cellStyle name="40% - Акцент2 2 9 15" xfId="11150"/>
    <cellStyle name="40% - Акцент2 2 9 16" xfId="11385"/>
    <cellStyle name="40% - Акцент2 2 9 17" xfId="11620"/>
    <cellStyle name="40% - Акцент2 2 9 18" xfId="11855"/>
    <cellStyle name="40% - Акцент2 2 9 19" xfId="12090"/>
    <cellStyle name="40% - Акцент2 2 9 2" xfId="4690"/>
    <cellStyle name="40% - Акцент2 2 9 20" xfId="12325"/>
    <cellStyle name="40% - Акцент2 2 9 21" xfId="12560"/>
    <cellStyle name="40% - Акцент2 2 9 22" xfId="12795"/>
    <cellStyle name="40% - Акцент2 2 9 23" xfId="13030"/>
    <cellStyle name="40% - Акцент2 2 9 24" xfId="13265"/>
    <cellStyle name="40% - Акцент2 2 9 25" xfId="13500"/>
    <cellStyle name="40% - Акцент2 2 9 26" xfId="13735"/>
    <cellStyle name="40% - Акцент2 2 9 27" xfId="13969"/>
    <cellStyle name="40% - Акцент2 2 9 28" xfId="14195"/>
    <cellStyle name="40% - Акцент2 2 9 29" xfId="14419"/>
    <cellStyle name="40% - Акцент2 2 9 3" xfId="6848"/>
    <cellStyle name="40% - Акцент2 2 9 30" xfId="14641"/>
    <cellStyle name="40% - Акцент2 2 9 31" xfId="14851"/>
    <cellStyle name="40% - Акцент2 2 9 32" xfId="15045"/>
    <cellStyle name="40% - Акцент2 2 9 33" xfId="15227"/>
    <cellStyle name="40% - Акцент2 2 9 34" xfId="15371"/>
    <cellStyle name="40% - Акцент2 2 9 4" xfId="7051"/>
    <cellStyle name="40% - Акцент2 2 9 5" xfId="7269"/>
    <cellStyle name="40% - Акцент2 2 9 6" xfId="7496"/>
    <cellStyle name="40% - Акцент2 2 9 7" xfId="7722"/>
    <cellStyle name="40% - Акцент2 2 9 8" xfId="7944"/>
    <cellStyle name="40% - Акцент2 2 9 9" xfId="8154"/>
    <cellStyle name="40% - Акцент2 2_46EE.2011(v1.0)" xfId="1509"/>
    <cellStyle name="40% — акцент2 20" xfId="1510"/>
    <cellStyle name="40% — акцент2 21" xfId="1511"/>
    <cellStyle name="40% — акцент2 22" xfId="4679"/>
    <cellStyle name="40% — акцент2 23" xfId="5583"/>
    <cellStyle name="40% — акцент2 24" xfId="6047"/>
    <cellStyle name="40% — акцент2 25" xfId="5514"/>
    <cellStyle name="40% — акцент2 26" xfId="6137"/>
    <cellStyle name="40% — акцент2 27" xfId="6250"/>
    <cellStyle name="40% — акцент2 28" xfId="6383"/>
    <cellStyle name="40% — акцент2 29" xfId="6682"/>
    <cellStyle name="40% - Акцент2 3" xfId="1512"/>
    <cellStyle name="40% — акцент2 3" xfId="1513"/>
    <cellStyle name="40% - Акцент2 3 10" xfId="1514"/>
    <cellStyle name="40% - Акцент2 3 10 2" xfId="4692"/>
    <cellStyle name="40% - Акцент2 3 10 3" xfId="9928"/>
    <cellStyle name="40% - Акцент2 3 11" xfId="1515"/>
    <cellStyle name="40% - Акцент2 3 12" xfId="4691"/>
    <cellStyle name="40% - Акцент2 3 13" xfId="5595"/>
    <cellStyle name="40% - Акцент2 3 14" xfId="6035"/>
    <cellStyle name="40% - Акцент2 3 15" xfId="5531"/>
    <cellStyle name="40% - Акцент2 3 16" xfId="6118"/>
    <cellStyle name="40% - Акцент2 3 17" xfId="6231"/>
    <cellStyle name="40% - Акцент2 3 18" xfId="6363"/>
    <cellStyle name="40% - Акцент2 3 19" xfId="6515"/>
    <cellStyle name="40% - Акцент2 3 2" xfId="1516"/>
    <cellStyle name="40% - Акцент2 3 2 2" xfId="1517"/>
    <cellStyle name="40% - Акцент2 3 2 3" xfId="4693"/>
    <cellStyle name="40% - Акцент2 3 2 4" xfId="8833"/>
    <cellStyle name="40% - Акцент2 3 20" xfId="6847"/>
    <cellStyle name="40% - Акцент2 3 21" xfId="7050"/>
    <cellStyle name="40% - Акцент2 3 22" xfId="7268"/>
    <cellStyle name="40% - Акцент2 3 23" xfId="7495"/>
    <cellStyle name="40% - Акцент2 3 24" xfId="7721"/>
    <cellStyle name="40% - Акцент2 3 25" xfId="7943"/>
    <cellStyle name="40% - Акцент2 3 26" xfId="8153"/>
    <cellStyle name="40% - Акцент2 3 27" xfId="8350"/>
    <cellStyle name="40% - Акцент2 3 28" xfId="8532"/>
    <cellStyle name="40% - Акцент2 3 29" xfId="8677"/>
    <cellStyle name="40% - Акцент2 3 3" xfId="1518"/>
    <cellStyle name="40% - Акцент2 3 3 2" xfId="1519"/>
    <cellStyle name="40% - Акцент2 3 3 3" xfId="4694"/>
    <cellStyle name="40% - Акцент2 3 3 4" xfId="9930"/>
    <cellStyle name="40% - Акцент2 3 30" xfId="8832"/>
    <cellStyle name="40% - Акцент2 3 31" xfId="9077"/>
    <cellStyle name="40% - Акцент2 3 32" xfId="9198"/>
    <cellStyle name="40% - Акцент2 3 33" xfId="9330"/>
    <cellStyle name="40% - Акцент2 3 34" xfId="9420"/>
    <cellStyle name="40% - Акцент2 3 35" xfId="9509"/>
    <cellStyle name="40% - Акцент2 3 36" xfId="9590"/>
    <cellStyle name="40% - Акцент2 3 37" xfId="9519"/>
    <cellStyle name="40% - Акцент2 3 38" xfId="9718"/>
    <cellStyle name="40% - Акцент2 3 39" xfId="9927"/>
    <cellStyle name="40% - Акцент2 3 4" xfId="1520"/>
    <cellStyle name="40% - Акцент2 3 4 2" xfId="4695"/>
    <cellStyle name="40% - Акцент2 3 4 3" xfId="9931"/>
    <cellStyle name="40% - Акцент2 3 40" xfId="9929"/>
    <cellStyle name="40% - Акцент2 3 41" xfId="11149"/>
    <cellStyle name="40% - Акцент2 3 42" xfId="11384"/>
    <cellStyle name="40% - Акцент2 3 43" xfId="11619"/>
    <cellStyle name="40% - Акцент2 3 44" xfId="11854"/>
    <cellStyle name="40% - Акцент2 3 45" xfId="12089"/>
    <cellStyle name="40% - Акцент2 3 46" xfId="12324"/>
    <cellStyle name="40% - Акцент2 3 47" xfId="12559"/>
    <cellStyle name="40% - Акцент2 3 48" xfId="12794"/>
    <cellStyle name="40% - Акцент2 3 49" xfId="13029"/>
    <cellStyle name="40% - Акцент2 3 5" xfId="1521"/>
    <cellStyle name="40% - Акцент2 3 5 2" xfId="4696"/>
    <cellStyle name="40% - Акцент2 3 5 3" xfId="9932"/>
    <cellStyle name="40% - Акцент2 3 50" xfId="13264"/>
    <cellStyle name="40% - Акцент2 3 51" xfId="13499"/>
    <cellStyle name="40% - Акцент2 3 52" xfId="13734"/>
    <cellStyle name="40% - Акцент2 3 53" xfId="13968"/>
    <cellStyle name="40% - Акцент2 3 54" xfId="14194"/>
    <cellStyle name="40% - Акцент2 3 55" xfId="14418"/>
    <cellStyle name="40% - Акцент2 3 56" xfId="14640"/>
    <cellStyle name="40% - Акцент2 3 57" xfId="14850"/>
    <cellStyle name="40% - Акцент2 3 58" xfId="15044"/>
    <cellStyle name="40% - Акцент2 3 59" xfId="15226"/>
    <cellStyle name="40% - Акцент2 3 6" xfId="1522"/>
    <cellStyle name="40% - Акцент2 3 6 2" xfId="4697"/>
    <cellStyle name="40% - Акцент2 3 6 3" xfId="9933"/>
    <cellStyle name="40% - Акцент2 3 60" xfId="15370"/>
    <cellStyle name="40% - Акцент2 3 61" xfId="15522"/>
    <cellStyle name="40% - Акцент2 3 62" xfId="15631"/>
    <cellStyle name="40% - Акцент2 3 63" xfId="15707"/>
    <cellStyle name="40% - Акцент2 3 7" xfId="1523"/>
    <cellStyle name="40% - Акцент2 3 7 2" xfId="4698"/>
    <cellStyle name="40% - Акцент2 3 7 3" xfId="9934"/>
    <cellStyle name="40% - Акцент2 3 8" xfId="1524"/>
    <cellStyle name="40% - Акцент2 3 8 2" xfId="4699"/>
    <cellStyle name="40% - Акцент2 3 8 3" xfId="9935"/>
    <cellStyle name="40% - Акцент2 3 9" xfId="1525"/>
    <cellStyle name="40% - Акцент2 3 9 2" xfId="4700"/>
    <cellStyle name="40% - Акцент2 3 9 3" xfId="9936"/>
    <cellStyle name="40% - Акцент2 3_46EE.2011(v1.0)" xfId="1526"/>
    <cellStyle name="40% — акцент2 30" xfId="6859"/>
    <cellStyle name="40% — акцент2 31" xfId="7062"/>
    <cellStyle name="40% — акцент2 32" xfId="7280"/>
    <cellStyle name="40% — акцент2 33" xfId="7507"/>
    <cellStyle name="40% — акцент2 34" xfId="7733"/>
    <cellStyle name="40% — акцент2 35" xfId="7955"/>
    <cellStyle name="40% — акцент2 36" xfId="8165"/>
    <cellStyle name="40% — акцент2 37" xfId="8362"/>
    <cellStyle name="40% — акцент2 38" xfId="8544"/>
    <cellStyle name="40% — акцент2 39" xfId="8689"/>
    <cellStyle name="40% - Акцент2 4" xfId="1527"/>
    <cellStyle name="40% — акцент2 4" xfId="1528"/>
    <cellStyle name="40% - Акцент2 4 2" xfId="1529"/>
    <cellStyle name="40% - Акцент2 4 2 2" xfId="1530"/>
    <cellStyle name="40% - Акцент2 4 3" xfId="1531"/>
    <cellStyle name="40% - Акцент2 4 3 2" xfId="1532"/>
    <cellStyle name="40% - Акцент2 4_46EE.2011(v1.0)" xfId="1533"/>
    <cellStyle name="40% — акцент2 40" xfId="8828"/>
    <cellStyle name="40% — акцент2 41" xfId="9073"/>
    <cellStyle name="40% — акцент2 42" xfId="9202"/>
    <cellStyle name="40% — акцент2 43" xfId="9334"/>
    <cellStyle name="40% — акцент2 44" xfId="9424"/>
    <cellStyle name="40% — акцент2 45" xfId="9513"/>
    <cellStyle name="40% — акцент2 46" xfId="9594"/>
    <cellStyle name="40% — акцент2 47" xfId="9544"/>
    <cellStyle name="40% — акцент2 48" xfId="9722"/>
    <cellStyle name="40% — акцент2 49" xfId="9915"/>
    <cellStyle name="40% - Акцент2 5" xfId="1534"/>
    <cellStyle name="40% — акцент2 5" xfId="1535"/>
    <cellStyle name="40% - Акцент2 5 2" xfId="1536"/>
    <cellStyle name="40% - Акцент2 5 2 2" xfId="1537"/>
    <cellStyle name="40% - Акцент2 5 3" xfId="1538"/>
    <cellStyle name="40% - Акцент2 5 3 2" xfId="1539"/>
    <cellStyle name="40% - Акцент2 5_46EE.2011(v1.0)" xfId="1540"/>
    <cellStyle name="40% — акцент2 50" xfId="10158"/>
    <cellStyle name="40% — акцент2 51" xfId="11161"/>
    <cellStyle name="40% — акцент2 52" xfId="11396"/>
    <cellStyle name="40% — акцент2 53" xfId="11631"/>
    <cellStyle name="40% — акцент2 54" xfId="11866"/>
    <cellStyle name="40% — акцент2 55" xfId="12101"/>
    <cellStyle name="40% — акцент2 56" xfId="12336"/>
    <cellStyle name="40% — акцент2 57" xfId="12571"/>
    <cellStyle name="40% — акцент2 58" xfId="12806"/>
    <cellStyle name="40% — акцент2 59" xfId="13041"/>
    <cellStyle name="40% - Акцент2 6" xfId="1541"/>
    <cellStyle name="40% — акцент2 6" xfId="1542"/>
    <cellStyle name="40% - Акцент2 6 2" xfId="1543"/>
    <cellStyle name="40% - Акцент2 6 2 2" xfId="1544"/>
    <cellStyle name="40% - Акцент2 6 3" xfId="1545"/>
    <cellStyle name="40% - Акцент2 6 3 2" xfId="1546"/>
    <cellStyle name="40% - Акцент2 6_46EE.2011(v1.0)" xfId="1547"/>
    <cellStyle name="40% — акцент2 60" xfId="13276"/>
    <cellStyle name="40% — акцент2 61" xfId="13511"/>
    <cellStyle name="40% — акцент2 62" xfId="13746"/>
    <cellStyle name="40% — акцент2 63" xfId="13980"/>
    <cellStyle name="40% — акцент2 64" xfId="14206"/>
    <cellStyle name="40% — акцент2 65" xfId="14430"/>
    <cellStyle name="40% — акцент2 66" xfId="14652"/>
    <cellStyle name="40% — акцент2 67" xfId="14862"/>
    <cellStyle name="40% — акцент2 68" xfId="15056"/>
    <cellStyle name="40% — акцент2 69" xfId="15238"/>
    <cellStyle name="40% - Акцент2 7" xfId="1548"/>
    <cellStyle name="40% — акцент2 7" xfId="1549"/>
    <cellStyle name="40% - Акцент2 7 2" xfId="1550"/>
    <cellStyle name="40% - Акцент2 7 2 2" xfId="1551"/>
    <cellStyle name="40% - Акцент2 7 3" xfId="1552"/>
    <cellStyle name="40% - Акцент2 7 3 2" xfId="1553"/>
    <cellStyle name="40% - Акцент2 7_46EE.2011(v1.0)" xfId="1554"/>
    <cellStyle name="40% — акцент2 70" xfId="15382"/>
    <cellStyle name="40% — акцент2 71" xfId="15518"/>
    <cellStyle name="40% — акцент2 72" xfId="15635"/>
    <cellStyle name="40% — акцент2 73" xfId="15711"/>
    <cellStyle name="40% - Акцент2 8" xfId="1555"/>
    <cellStyle name="40% — акцент2 8" xfId="1556"/>
    <cellStyle name="40% - Акцент2 8 2" xfId="1557"/>
    <cellStyle name="40% - Акцент2 8 2 2" xfId="1558"/>
    <cellStyle name="40% - Акцент2 8 3" xfId="1559"/>
    <cellStyle name="40% - Акцент2 8 3 2" xfId="1560"/>
    <cellStyle name="40% - Акцент2 8 4" xfId="1561"/>
    <cellStyle name="40% - Акцент2 8_46EE.2011(v1.0)" xfId="1562"/>
    <cellStyle name="40% - Акцент2 9" xfId="1563"/>
    <cellStyle name="40% — акцент2 9" xfId="1564"/>
    <cellStyle name="40% - Акцент2 9 2" xfId="1565"/>
    <cellStyle name="40% - Акцент2 9 2 2" xfId="1566"/>
    <cellStyle name="40% - Акцент2 9 3" xfId="1567"/>
    <cellStyle name="40% - Акцент2 9 3 2" xfId="1568"/>
    <cellStyle name="40% - Акцент2 9 4" xfId="1569"/>
    <cellStyle name="40% - Акцент2 9_46EE.2011(v1.0)" xfId="1570"/>
    <cellStyle name="40% — акцент2_Расчет тарифа на тэ 2015 СЛФ" xfId="1571"/>
    <cellStyle name="40% — акцент3" xfId="1572"/>
    <cellStyle name="40% - Акцент3 10" xfId="1573"/>
    <cellStyle name="40% — акцент3 10" xfId="1574"/>
    <cellStyle name="40% - Акцент3 10 2" xfId="1575"/>
    <cellStyle name="40% - Акцент3 11" xfId="1576"/>
    <cellStyle name="40% — акцент3 11" xfId="1577"/>
    <cellStyle name="40% - Акцент3 11 2" xfId="1578"/>
    <cellStyle name="40% — акцент3 12" xfId="1579"/>
    <cellStyle name="40% — акцент3 13" xfId="1580"/>
    <cellStyle name="40% — акцент3 14" xfId="1581"/>
    <cellStyle name="40% — акцент3 15" xfId="1582"/>
    <cellStyle name="40% — акцент3 16" xfId="1583"/>
    <cellStyle name="40% — акцент3 17" xfId="1584"/>
    <cellStyle name="40% — акцент3 18" xfId="1585"/>
    <cellStyle name="40% — акцент3 19" xfId="1586"/>
    <cellStyle name="40% - Акцент3 2" xfId="1587"/>
    <cellStyle name="40% — акцент3 2" xfId="1588"/>
    <cellStyle name="40% - Акцент3 2 10" xfId="1589"/>
    <cellStyle name="40% — акцент3 2 10" xfId="6661"/>
    <cellStyle name="40% - Акцент3 2 10 10" xfId="8528"/>
    <cellStyle name="40% - Акцент3 2 10 11" xfId="8673"/>
    <cellStyle name="40% - Акцент3 2 10 12" xfId="9940"/>
    <cellStyle name="40% - Акцент3 2 10 13" xfId="10721"/>
    <cellStyle name="40% - Акцент3 2 10 14" xfId="11136"/>
    <cellStyle name="40% - Акцент3 2 10 15" xfId="11371"/>
    <cellStyle name="40% - Акцент3 2 10 16" xfId="11606"/>
    <cellStyle name="40% - Акцент3 2 10 17" xfId="11841"/>
    <cellStyle name="40% - Акцент3 2 10 18" xfId="12076"/>
    <cellStyle name="40% - Акцент3 2 10 19" xfId="12311"/>
    <cellStyle name="40% - Акцент3 2 10 2" xfId="4704"/>
    <cellStyle name="40% - Акцент3 2 10 20" xfId="12546"/>
    <cellStyle name="40% - Акцент3 2 10 21" xfId="12781"/>
    <cellStyle name="40% - Акцент3 2 10 22" xfId="13016"/>
    <cellStyle name="40% - Акцент3 2 10 23" xfId="13251"/>
    <cellStyle name="40% - Акцент3 2 10 24" xfId="13486"/>
    <cellStyle name="40% - Акцент3 2 10 25" xfId="13721"/>
    <cellStyle name="40% - Акцент3 2 10 26" xfId="13955"/>
    <cellStyle name="40% - Акцент3 2 10 27" xfId="14181"/>
    <cellStyle name="40% - Акцент3 2 10 28" xfId="14407"/>
    <cellStyle name="40% - Акцент3 2 10 29" xfId="14627"/>
    <cellStyle name="40% - Акцент3 2 10 3" xfId="7037"/>
    <cellStyle name="40% - Акцент3 2 10 30" xfId="14843"/>
    <cellStyle name="40% - Акцент3 2 10 31" xfId="15039"/>
    <cellStyle name="40% - Акцент3 2 10 32" xfId="15222"/>
    <cellStyle name="40% - Акцент3 2 10 33" xfId="15366"/>
    <cellStyle name="40% - Акцент3 2 10 4" xfId="7255"/>
    <cellStyle name="40% - Акцент3 2 10 5" xfId="7482"/>
    <cellStyle name="40% - Акцент3 2 10 6" xfId="7709"/>
    <cellStyle name="40% - Акцент3 2 10 7" xfId="7931"/>
    <cellStyle name="40% - Акцент3 2 10 8" xfId="8147"/>
    <cellStyle name="40% - Акцент3 2 10 9" xfId="8344"/>
    <cellStyle name="40% - Акцент3 2 11" xfId="4702"/>
    <cellStyle name="40% — акцент3 2 11" xfId="7038"/>
    <cellStyle name="40% - Акцент3 2 12" xfId="5606"/>
    <cellStyle name="40% — акцент3 2 12" xfId="7256"/>
    <cellStyle name="40% - Акцент3 2 13" xfId="6024"/>
    <cellStyle name="40% — акцент3 2 13" xfId="7483"/>
    <cellStyle name="40% - Акцент3 2 14" xfId="5546"/>
    <cellStyle name="40% — акцент3 2 14" xfId="7710"/>
    <cellStyle name="40% - Акцент3 2 15" xfId="6102"/>
    <cellStyle name="40% — акцент3 2 15" xfId="7932"/>
    <cellStyle name="40% - Акцент3 2 16" xfId="6213"/>
    <cellStyle name="40% — акцент3 2 16" xfId="8148"/>
    <cellStyle name="40% - Акцент3 2 17" xfId="6344"/>
    <cellStyle name="40% — акцент3 2 17" xfId="8345"/>
    <cellStyle name="40% - Акцент3 2 18" xfId="6496"/>
    <cellStyle name="40% — акцент3 2 18" xfId="8529"/>
    <cellStyle name="40% - Акцент3 2 19" xfId="6663"/>
    <cellStyle name="40% — акцент3 2 19" xfId="8674"/>
    <cellStyle name="40% - Акцент3 2 2" xfId="1590"/>
    <cellStyle name="40% — акцент3 2 2" xfId="4703"/>
    <cellStyle name="40% - Акцент3 2 2 10" xfId="6492"/>
    <cellStyle name="40% - Акцент3 2 2 11" xfId="6659"/>
    <cellStyle name="40% - Акцент3 2 2 12" xfId="7036"/>
    <cellStyle name="40% - Акцент3 2 2 13" xfId="7254"/>
    <cellStyle name="40% - Акцент3 2 2 14" xfId="7481"/>
    <cellStyle name="40% - Акцент3 2 2 15" xfId="7708"/>
    <cellStyle name="40% - Акцент3 2 2 16" xfId="7930"/>
    <cellStyle name="40% - Акцент3 2 2 17" xfId="8146"/>
    <cellStyle name="40% - Акцент3 2 2 18" xfId="8343"/>
    <cellStyle name="40% - Акцент3 2 2 19" xfId="8527"/>
    <cellStyle name="40% - Акцент3 2 2 2" xfId="1591"/>
    <cellStyle name="40% - Акцент3 2 2 20" xfId="8672"/>
    <cellStyle name="40% - Акцент3 2 2 21" xfId="8837"/>
    <cellStyle name="40% - Акцент3 2 2 22" xfId="9081"/>
    <cellStyle name="40% - Акцент3 2 2 23" xfId="9193"/>
    <cellStyle name="40% - Акцент3 2 2 24" xfId="9325"/>
    <cellStyle name="40% - Акцент3 2 2 25" xfId="9415"/>
    <cellStyle name="40% - Акцент3 2 2 26" xfId="9504"/>
    <cellStyle name="40% - Акцент3 2 2 27" xfId="9586"/>
    <cellStyle name="40% - Акцент3 2 2 28" xfId="9490"/>
    <cellStyle name="40% - Акцент3 2 2 29" xfId="9714"/>
    <cellStyle name="40% - Акцент3 2 2 3" xfId="4705"/>
    <cellStyle name="40% - Акцент3 2 2 30" xfId="9941"/>
    <cellStyle name="40% - Акцент3 2 2 31" xfId="10722"/>
    <cellStyle name="40% - Акцент3 2 2 32" xfId="11135"/>
    <cellStyle name="40% - Акцент3 2 2 33" xfId="11370"/>
    <cellStyle name="40% - Акцент3 2 2 34" xfId="11605"/>
    <cellStyle name="40% - Акцент3 2 2 35" xfId="11840"/>
    <cellStyle name="40% - Акцент3 2 2 36" xfId="12075"/>
    <cellStyle name="40% - Акцент3 2 2 37" xfId="12310"/>
    <cellStyle name="40% - Акцент3 2 2 38" xfId="12545"/>
    <cellStyle name="40% - Акцент3 2 2 39" xfId="12780"/>
    <cellStyle name="40% - Акцент3 2 2 4" xfId="5609"/>
    <cellStyle name="40% - Акцент3 2 2 40" xfId="13015"/>
    <cellStyle name="40% - Акцент3 2 2 41" xfId="13250"/>
    <cellStyle name="40% - Акцент3 2 2 42" xfId="13485"/>
    <cellStyle name="40% - Акцент3 2 2 43" xfId="13720"/>
    <cellStyle name="40% - Акцент3 2 2 44" xfId="13954"/>
    <cellStyle name="40% - Акцент3 2 2 45" xfId="14180"/>
    <cellStyle name="40% - Акцент3 2 2 46" xfId="14406"/>
    <cellStyle name="40% - Акцент3 2 2 47" xfId="14626"/>
    <cellStyle name="40% - Акцент3 2 2 48" xfId="14842"/>
    <cellStyle name="40% - Акцент3 2 2 49" xfId="15038"/>
    <cellStyle name="40% - Акцент3 2 2 5" xfId="6021"/>
    <cellStyle name="40% - Акцент3 2 2 50" xfId="15221"/>
    <cellStyle name="40% - Акцент3 2 2 51" xfId="15365"/>
    <cellStyle name="40% - Акцент3 2 2 52" xfId="15527"/>
    <cellStyle name="40% - Акцент3 2 2 53" xfId="15627"/>
    <cellStyle name="40% - Акцент3 2 2 54" xfId="15703"/>
    <cellStyle name="40% - Акцент3 2 2 6" xfId="5549"/>
    <cellStyle name="40% - Акцент3 2 2 7" xfId="6098"/>
    <cellStyle name="40% - Акцент3 2 2 8" xfId="6209"/>
    <cellStyle name="40% - Акцент3 2 2 9" xfId="6341"/>
    <cellStyle name="40% - Акцент3 2 20" xfId="7039"/>
    <cellStyle name="40% — акцент3 2 20" xfId="8836"/>
    <cellStyle name="40% - Акцент3 2 21" xfId="7257"/>
    <cellStyle name="40% — акцент3 2 21" xfId="9080"/>
    <cellStyle name="40% - Акцент3 2 22" xfId="7484"/>
    <cellStyle name="40% — акцент3 2 22" xfId="9194"/>
    <cellStyle name="40% - Акцент3 2 23" xfId="7711"/>
    <cellStyle name="40% — акцент3 2 23" xfId="9326"/>
    <cellStyle name="40% - Акцент3 2 24" xfId="7933"/>
    <cellStyle name="40% — акцент3 2 24" xfId="9416"/>
    <cellStyle name="40% - Акцент3 2 25" xfId="8149"/>
    <cellStyle name="40% — акцент3 2 25" xfId="9505"/>
    <cellStyle name="40% - Акцент3 2 26" xfId="8346"/>
    <cellStyle name="40% — акцент3 2 26" xfId="9587"/>
    <cellStyle name="40% - Акцент3 2 27" xfId="8530"/>
    <cellStyle name="40% — акцент3 2 27" xfId="9496"/>
    <cellStyle name="40% - Акцент3 2 28" xfId="8675"/>
    <cellStyle name="40% — акцент3 2 28" xfId="9715"/>
    <cellStyle name="40% - Акцент3 2 29" xfId="8835"/>
    <cellStyle name="40% — акцент3 2 29" xfId="9939"/>
    <cellStyle name="40% - Акцент3 2 3" xfId="1592"/>
    <cellStyle name="40% — акцент3 2 3" xfId="5607"/>
    <cellStyle name="40% - Акцент3 2 3 10" xfId="6658"/>
    <cellStyle name="40% - Акцент3 2 3 11" xfId="7035"/>
    <cellStyle name="40% - Акцент3 2 3 12" xfId="7253"/>
    <cellStyle name="40% - Акцент3 2 3 13" xfId="7480"/>
    <cellStyle name="40% - Акцент3 2 3 14" xfId="7707"/>
    <cellStyle name="40% - Акцент3 2 3 15" xfId="7929"/>
    <cellStyle name="40% - Акцент3 2 3 16" xfId="8145"/>
    <cellStyle name="40% - Акцент3 2 3 17" xfId="8342"/>
    <cellStyle name="40% - Акцент3 2 3 18" xfId="8526"/>
    <cellStyle name="40% - Акцент3 2 3 19" xfId="8671"/>
    <cellStyle name="40% - Акцент3 2 3 2" xfId="1593"/>
    <cellStyle name="40% - Акцент3 2 3 20" xfId="9942"/>
    <cellStyle name="40% - Акцент3 2 3 21" xfId="10723"/>
    <cellStyle name="40% - Акцент3 2 3 22" xfId="11134"/>
    <cellStyle name="40% - Акцент3 2 3 23" xfId="11369"/>
    <cellStyle name="40% - Акцент3 2 3 24" xfId="11604"/>
    <cellStyle name="40% - Акцент3 2 3 25" xfId="11839"/>
    <cellStyle name="40% - Акцент3 2 3 26" xfId="12074"/>
    <cellStyle name="40% - Акцент3 2 3 27" xfId="12309"/>
    <cellStyle name="40% - Акцент3 2 3 28" xfId="12544"/>
    <cellStyle name="40% - Акцент3 2 3 29" xfId="12779"/>
    <cellStyle name="40% - Акцент3 2 3 3" xfId="4706"/>
    <cellStyle name="40% - Акцент3 2 3 30" xfId="13014"/>
    <cellStyle name="40% - Акцент3 2 3 31" xfId="13249"/>
    <cellStyle name="40% - Акцент3 2 3 32" xfId="13484"/>
    <cellStyle name="40% - Акцент3 2 3 33" xfId="13719"/>
    <cellStyle name="40% - Акцент3 2 3 34" xfId="13953"/>
    <cellStyle name="40% - Акцент3 2 3 35" xfId="14179"/>
    <cellStyle name="40% - Акцент3 2 3 36" xfId="14405"/>
    <cellStyle name="40% - Акцент3 2 3 37" xfId="14625"/>
    <cellStyle name="40% - Акцент3 2 3 38" xfId="14841"/>
    <cellStyle name="40% - Акцент3 2 3 39" xfId="15037"/>
    <cellStyle name="40% - Акцент3 2 3 4" xfId="6020"/>
    <cellStyle name="40% - Акцент3 2 3 40" xfId="15220"/>
    <cellStyle name="40% - Акцент3 2 3 41" xfId="15364"/>
    <cellStyle name="40% - Акцент3 2 3 5" xfId="5550"/>
    <cellStyle name="40% - Акцент3 2 3 6" xfId="6097"/>
    <cellStyle name="40% - Акцент3 2 3 7" xfId="6208"/>
    <cellStyle name="40% - Акцент3 2 3 8" xfId="6340"/>
    <cellStyle name="40% - Акцент3 2 3 9" xfId="6491"/>
    <cellStyle name="40% - Акцент3 2 30" xfId="9079"/>
    <cellStyle name="40% — акцент3 2 30" xfId="10720"/>
    <cellStyle name="40% - Акцент3 2 31" xfId="9195"/>
    <cellStyle name="40% — акцент3 2 31" xfId="11137"/>
    <cellStyle name="40% - Акцент3 2 32" xfId="9327"/>
    <cellStyle name="40% — акцент3 2 32" xfId="11372"/>
    <cellStyle name="40% - Акцент3 2 33" xfId="9417"/>
    <cellStyle name="40% — акцент3 2 33" xfId="11607"/>
    <cellStyle name="40% - Акцент3 2 34" xfId="9506"/>
    <cellStyle name="40% — акцент3 2 34" xfId="11842"/>
    <cellStyle name="40% - Акцент3 2 35" xfId="9588"/>
    <cellStyle name="40% — акцент3 2 35" xfId="12077"/>
    <cellStyle name="40% - Акцент3 2 36" xfId="9502"/>
    <cellStyle name="40% — акцент3 2 36" xfId="12312"/>
    <cellStyle name="40% - Акцент3 2 37" xfId="9716"/>
    <cellStyle name="40% — акцент3 2 37" xfId="12547"/>
    <cellStyle name="40% - Акцент3 2 38" xfId="9938"/>
    <cellStyle name="40% — акцент3 2 38" xfId="12782"/>
    <cellStyle name="40% - Акцент3 2 39" xfId="10719"/>
    <cellStyle name="40% — акцент3 2 39" xfId="13017"/>
    <cellStyle name="40% - Акцент3 2 4" xfId="1594"/>
    <cellStyle name="40% — акцент3 2 4" xfId="6023"/>
    <cellStyle name="40% - Акцент3 2 4 10" xfId="7252"/>
    <cellStyle name="40% - Акцент3 2 4 11" xfId="7479"/>
    <cellStyle name="40% - Акцент3 2 4 12" xfId="7706"/>
    <cellStyle name="40% - Акцент3 2 4 13" xfId="7928"/>
    <cellStyle name="40% - Акцент3 2 4 14" xfId="8144"/>
    <cellStyle name="40% - Акцент3 2 4 15" xfId="8341"/>
    <cellStyle name="40% - Акцент3 2 4 16" xfId="8525"/>
    <cellStyle name="40% - Акцент3 2 4 17" xfId="8670"/>
    <cellStyle name="40% - Акцент3 2 4 18" xfId="9943"/>
    <cellStyle name="40% - Акцент3 2 4 19" xfId="10724"/>
    <cellStyle name="40% - Акцент3 2 4 2" xfId="4707"/>
    <cellStyle name="40% - Акцент3 2 4 20" xfId="11133"/>
    <cellStyle name="40% - Акцент3 2 4 21" xfId="11368"/>
    <cellStyle name="40% - Акцент3 2 4 22" xfId="11603"/>
    <cellStyle name="40% - Акцент3 2 4 23" xfId="11838"/>
    <cellStyle name="40% - Акцент3 2 4 24" xfId="12073"/>
    <cellStyle name="40% - Акцент3 2 4 25" xfId="12308"/>
    <cellStyle name="40% - Акцент3 2 4 26" xfId="12543"/>
    <cellStyle name="40% - Акцент3 2 4 27" xfId="12778"/>
    <cellStyle name="40% - Акцент3 2 4 28" xfId="13013"/>
    <cellStyle name="40% - Акцент3 2 4 29" xfId="13248"/>
    <cellStyle name="40% - Акцент3 2 4 3" xfId="5552"/>
    <cellStyle name="40% - Акцент3 2 4 30" xfId="13483"/>
    <cellStyle name="40% - Акцент3 2 4 31" xfId="13718"/>
    <cellStyle name="40% - Акцент3 2 4 32" xfId="13952"/>
    <cellStyle name="40% - Акцент3 2 4 33" xfId="14178"/>
    <cellStyle name="40% - Акцент3 2 4 34" xfId="14404"/>
    <cellStyle name="40% - Акцент3 2 4 35" xfId="14624"/>
    <cellStyle name="40% - Акцент3 2 4 36" xfId="14840"/>
    <cellStyle name="40% - Акцент3 2 4 37" xfId="15036"/>
    <cellStyle name="40% - Акцент3 2 4 38" xfId="15219"/>
    <cellStyle name="40% - Акцент3 2 4 39" xfId="15363"/>
    <cellStyle name="40% - Акцент3 2 4 4" xfId="6096"/>
    <cellStyle name="40% - Акцент3 2 4 5" xfId="6207"/>
    <cellStyle name="40% - Акцент3 2 4 6" xfId="6339"/>
    <cellStyle name="40% - Акцент3 2 4 7" xfId="6490"/>
    <cellStyle name="40% - Акцент3 2 4 8" xfId="6657"/>
    <cellStyle name="40% - Акцент3 2 4 9" xfId="7034"/>
    <cellStyle name="40% - Акцент3 2 40" xfId="11138"/>
    <cellStyle name="40% — акцент3 2 40" xfId="13252"/>
    <cellStyle name="40% - Акцент3 2 41" xfId="11373"/>
    <cellStyle name="40% — акцент3 2 41" xfId="13487"/>
    <cellStyle name="40% - Акцент3 2 42" xfId="11608"/>
    <cellStyle name="40% — акцент3 2 42" xfId="13722"/>
    <cellStyle name="40% - Акцент3 2 43" xfId="11843"/>
    <cellStyle name="40% — акцент3 2 43" xfId="13956"/>
    <cellStyle name="40% - Акцент3 2 44" xfId="12078"/>
    <cellStyle name="40% — акцент3 2 44" xfId="14182"/>
    <cellStyle name="40% - Акцент3 2 45" xfId="12313"/>
    <cellStyle name="40% — акцент3 2 45" xfId="14408"/>
    <cellStyle name="40% - Акцент3 2 46" xfId="12548"/>
    <cellStyle name="40% — акцент3 2 46" xfId="14628"/>
    <cellStyle name="40% - Акцент3 2 47" xfId="12783"/>
    <cellStyle name="40% — акцент3 2 47" xfId="14844"/>
    <cellStyle name="40% - Акцент3 2 48" xfId="13018"/>
    <cellStyle name="40% — акцент3 2 48" xfId="15040"/>
    <cellStyle name="40% - Акцент3 2 49" xfId="13253"/>
    <cellStyle name="40% — акцент3 2 49" xfId="15223"/>
    <cellStyle name="40% - Акцент3 2 5" xfId="1595"/>
    <cellStyle name="40% — акцент3 2 5" xfId="5547"/>
    <cellStyle name="40% - Акцент3 2 5 10" xfId="7478"/>
    <cellStyle name="40% - Акцент3 2 5 11" xfId="7705"/>
    <cellStyle name="40% - Акцент3 2 5 12" xfId="7927"/>
    <cellStyle name="40% - Акцент3 2 5 13" xfId="8143"/>
    <cellStyle name="40% - Акцент3 2 5 14" xfId="8340"/>
    <cellStyle name="40% - Акцент3 2 5 15" xfId="8524"/>
    <cellStyle name="40% - Акцент3 2 5 16" xfId="8669"/>
    <cellStyle name="40% - Акцент3 2 5 17" xfId="9944"/>
    <cellStyle name="40% - Акцент3 2 5 18" xfId="10725"/>
    <cellStyle name="40% - Акцент3 2 5 19" xfId="11132"/>
    <cellStyle name="40% - Акцент3 2 5 2" xfId="4708"/>
    <cellStyle name="40% - Акцент3 2 5 20" xfId="11367"/>
    <cellStyle name="40% - Акцент3 2 5 21" xfId="11602"/>
    <cellStyle name="40% - Акцент3 2 5 22" xfId="11837"/>
    <cellStyle name="40% - Акцент3 2 5 23" xfId="12072"/>
    <cellStyle name="40% - Акцент3 2 5 24" xfId="12307"/>
    <cellStyle name="40% - Акцент3 2 5 25" xfId="12542"/>
    <cellStyle name="40% - Акцент3 2 5 26" xfId="12777"/>
    <cellStyle name="40% - Акцент3 2 5 27" xfId="13012"/>
    <cellStyle name="40% - Акцент3 2 5 28" xfId="13247"/>
    <cellStyle name="40% - Акцент3 2 5 29" xfId="13482"/>
    <cellStyle name="40% - Акцент3 2 5 3" xfId="6095"/>
    <cellStyle name="40% - Акцент3 2 5 30" xfId="13717"/>
    <cellStyle name="40% - Акцент3 2 5 31" xfId="13951"/>
    <cellStyle name="40% - Акцент3 2 5 32" xfId="14177"/>
    <cellStyle name="40% - Акцент3 2 5 33" xfId="14403"/>
    <cellStyle name="40% - Акцент3 2 5 34" xfId="14623"/>
    <cellStyle name="40% - Акцент3 2 5 35" xfId="14839"/>
    <cellStyle name="40% - Акцент3 2 5 36" xfId="15035"/>
    <cellStyle name="40% - Акцент3 2 5 37" xfId="15218"/>
    <cellStyle name="40% - Акцент3 2 5 38" xfId="15362"/>
    <cellStyle name="40% - Акцент3 2 5 4" xfId="6206"/>
    <cellStyle name="40% - Акцент3 2 5 5" xfId="6338"/>
    <cellStyle name="40% - Акцент3 2 5 6" xfId="6489"/>
    <cellStyle name="40% - Акцент3 2 5 7" xfId="6656"/>
    <cellStyle name="40% - Акцент3 2 5 8" xfId="7033"/>
    <cellStyle name="40% - Акцент3 2 5 9" xfId="7251"/>
    <cellStyle name="40% - Акцент3 2 50" xfId="13488"/>
    <cellStyle name="40% — акцент3 2 50" xfId="15367"/>
    <cellStyle name="40% - Акцент3 2 51" xfId="13723"/>
    <cellStyle name="40% — акцент3 2 51" xfId="15526"/>
    <cellStyle name="40% - Акцент3 2 52" xfId="13957"/>
    <cellStyle name="40% — акцент3 2 52" xfId="15628"/>
    <cellStyle name="40% - Акцент3 2 53" xfId="14183"/>
    <cellStyle name="40% — акцент3 2 53" xfId="15704"/>
    <cellStyle name="40% - Акцент3 2 54" xfId="14409"/>
    <cellStyle name="40% - Акцент3 2 55" xfId="14629"/>
    <cellStyle name="40% - Акцент3 2 56" xfId="14845"/>
    <cellStyle name="40% - Акцент3 2 57" xfId="15041"/>
    <cellStyle name="40% - Акцент3 2 58" xfId="15224"/>
    <cellStyle name="40% - Акцент3 2 59" xfId="15368"/>
    <cellStyle name="40% - Акцент3 2 6" xfId="1596"/>
    <cellStyle name="40% — акцент3 2 6" xfId="6100"/>
    <cellStyle name="40% - Акцент3 2 6 10" xfId="7704"/>
    <cellStyle name="40% - Акцент3 2 6 11" xfId="7926"/>
    <cellStyle name="40% - Акцент3 2 6 12" xfId="8142"/>
    <cellStyle name="40% - Акцент3 2 6 13" xfId="8339"/>
    <cellStyle name="40% - Акцент3 2 6 14" xfId="8523"/>
    <cellStyle name="40% - Акцент3 2 6 15" xfId="8668"/>
    <cellStyle name="40% - Акцент3 2 6 16" xfId="9945"/>
    <cellStyle name="40% - Акцент3 2 6 17" xfId="10726"/>
    <cellStyle name="40% - Акцент3 2 6 18" xfId="11131"/>
    <cellStyle name="40% - Акцент3 2 6 19" xfId="11366"/>
    <cellStyle name="40% - Акцент3 2 6 2" xfId="4709"/>
    <cellStyle name="40% - Акцент3 2 6 20" xfId="11601"/>
    <cellStyle name="40% - Акцент3 2 6 21" xfId="11836"/>
    <cellStyle name="40% - Акцент3 2 6 22" xfId="12071"/>
    <cellStyle name="40% - Акцент3 2 6 23" xfId="12306"/>
    <cellStyle name="40% - Акцент3 2 6 24" xfId="12541"/>
    <cellStyle name="40% - Акцент3 2 6 25" xfId="12776"/>
    <cellStyle name="40% - Акцент3 2 6 26" xfId="13011"/>
    <cellStyle name="40% - Акцент3 2 6 27" xfId="13246"/>
    <cellStyle name="40% - Акцент3 2 6 28" xfId="13481"/>
    <cellStyle name="40% - Акцент3 2 6 29" xfId="13716"/>
    <cellStyle name="40% - Акцент3 2 6 3" xfId="6205"/>
    <cellStyle name="40% - Акцент3 2 6 30" xfId="13950"/>
    <cellStyle name="40% - Акцент3 2 6 31" xfId="14176"/>
    <cellStyle name="40% - Акцент3 2 6 32" xfId="14402"/>
    <cellStyle name="40% - Акцент3 2 6 33" xfId="14622"/>
    <cellStyle name="40% - Акцент3 2 6 34" xfId="14838"/>
    <cellStyle name="40% - Акцент3 2 6 35" xfId="15034"/>
    <cellStyle name="40% - Акцент3 2 6 36" xfId="15217"/>
    <cellStyle name="40% - Акцент3 2 6 37" xfId="15361"/>
    <cellStyle name="40% - Акцент3 2 6 4" xfId="6337"/>
    <cellStyle name="40% - Акцент3 2 6 5" xfId="6488"/>
    <cellStyle name="40% - Акцент3 2 6 6" xfId="6655"/>
    <cellStyle name="40% - Акцент3 2 6 7" xfId="7032"/>
    <cellStyle name="40% - Акцент3 2 6 8" xfId="7250"/>
    <cellStyle name="40% - Акцент3 2 6 9" xfId="7477"/>
    <cellStyle name="40% - Акцент3 2 60" xfId="15525"/>
    <cellStyle name="40% - Акцент3 2 61" xfId="15629"/>
    <cellStyle name="40% - Акцент3 2 62" xfId="15705"/>
    <cellStyle name="40% - Акцент3 2 7" xfId="1597"/>
    <cellStyle name="40% — акцент3 2 7" xfId="6212"/>
    <cellStyle name="40% - Акцент3 2 7 10" xfId="7925"/>
    <cellStyle name="40% - Акцент3 2 7 11" xfId="8141"/>
    <cellStyle name="40% - Акцент3 2 7 12" xfId="8338"/>
    <cellStyle name="40% - Акцент3 2 7 13" xfId="8522"/>
    <cellStyle name="40% - Акцент3 2 7 14" xfId="8667"/>
    <cellStyle name="40% - Акцент3 2 7 15" xfId="9946"/>
    <cellStyle name="40% - Акцент3 2 7 16" xfId="10727"/>
    <cellStyle name="40% - Акцент3 2 7 17" xfId="11130"/>
    <cellStyle name="40% - Акцент3 2 7 18" xfId="11365"/>
    <cellStyle name="40% - Акцент3 2 7 19" xfId="11600"/>
    <cellStyle name="40% - Акцент3 2 7 2" xfId="4710"/>
    <cellStyle name="40% - Акцент3 2 7 20" xfId="11835"/>
    <cellStyle name="40% - Акцент3 2 7 21" xfId="12070"/>
    <cellStyle name="40% - Акцент3 2 7 22" xfId="12305"/>
    <cellStyle name="40% - Акцент3 2 7 23" xfId="12540"/>
    <cellStyle name="40% - Акцент3 2 7 24" xfId="12775"/>
    <cellStyle name="40% - Акцент3 2 7 25" xfId="13010"/>
    <cellStyle name="40% - Акцент3 2 7 26" xfId="13245"/>
    <cellStyle name="40% - Акцент3 2 7 27" xfId="13480"/>
    <cellStyle name="40% - Акцент3 2 7 28" xfId="13715"/>
    <cellStyle name="40% - Акцент3 2 7 29" xfId="13949"/>
    <cellStyle name="40% - Акцент3 2 7 3" xfId="6333"/>
    <cellStyle name="40% - Акцент3 2 7 30" xfId="14175"/>
    <cellStyle name="40% - Акцент3 2 7 31" xfId="14401"/>
    <cellStyle name="40% - Акцент3 2 7 32" xfId="14621"/>
    <cellStyle name="40% - Акцент3 2 7 33" xfId="14837"/>
    <cellStyle name="40% - Акцент3 2 7 34" xfId="15033"/>
    <cellStyle name="40% - Акцент3 2 7 35" xfId="15216"/>
    <cellStyle name="40% - Акцент3 2 7 36" xfId="15360"/>
    <cellStyle name="40% - Акцент3 2 7 4" xfId="6487"/>
    <cellStyle name="40% - Акцент3 2 7 5" xfId="6654"/>
    <cellStyle name="40% - Акцент3 2 7 6" xfId="7031"/>
    <cellStyle name="40% - Акцент3 2 7 7" xfId="7249"/>
    <cellStyle name="40% - Акцент3 2 7 8" xfId="7476"/>
    <cellStyle name="40% - Акцент3 2 7 9" xfId="7703"/>
    <cellStyle name="40% - Акцент3 2 8" xfId="1598"/>
    <cellStyle name="40% — акцент3 2 8" xfId="6343"/>
    <cellStyle name="40% - Акцент3 2 8 10" xfId="8140"/>
    <cellStyle name="40% - Акцент3 2 8 11" xfId="8337"/>
    <cellStyle name="40% - Акцент3 2 8 12" xfId="8521"/>
    <cellStyle name="40% - Акцент3 2 8 13" xfId="8666"/>
    <cellStyle name="40% - Акцент3 2 8 14" xfId="9947"/>
    <cellStyle name="40% - Акцент3 2 8 15" xfId="10728"/>
    <cellStyle name="40% - Акцент3 2 8 16" xfId="11129"/>
    <cellStyle name="40% - Акцент3 2 8 17" xfId="11364"/>
    <cellStyle name="40% - Акцент3 2 8 18" xfId="11599"/>
    <cellStyle name="40% - Акцент3 2 8 19" xfId="11834"/>
    <cellStyle name="40% - Акцент3 2 8 2" xfId="4711"/>
    <cellStyle name="40% - Акцент3 2 8 20" xfId="12069"/>
    <cellStyle name="40% - Акцент3 2 8 21" xfId="12304"/>
    <cellStyle name="40% - Акцент3 2 8 22" xfId="12539"/>
    <cellStyle name="40% - Акцент3 2 8 23" xfId="12774"/>
    <cellStyle name="40% - Акцент3 2 8 24" xfId="13009"/>
    <cellStyle name="40% - Акцент3 2 8 25" xfId="13244"/>
    <cellStyle name="40% - Акцент3 2 8 26" xfId="13479"/>
    <cellStyle name="40% - Акцент3 2 8 27" xfId="13714"/>
    <cellStyle name="40% - Акцент3 2 8 28" xfId="13948"/>
    <cellStyle name="40% - Акцент3 2 8 29" xfId="14174"/>
    <cellStyle name="40% - Акцент3 2 8 3" xfId="6486"/>
    <cellStyle name="40% - Акцент3 2 8 30" xfId="14400"/>
    <cellStyle name="40% - Акцент3 2 8 31" xfId="14620"/>
    <cellStyle name="40% - Акцент3 2 8 32" xfId="14836"/>
    <cellStyle name="40% - Акцент3 2 8 33" xfId="15032"/>
    <cellStyle name="40% - Акцент3 2 8 34" xfId="15215"/>
    <cellStyle name="40% - Акцент3 2 8 35" xfId="15359"/>
    <cellStyle name="40% - Акцент3 2 8 4" xfId="6653"/>
    <cellStyle name="40% - Акцент3 2 8 5" xfId="7030"/>
    <cellStyle name="40% - Акцент3 2 8 6" xfId="7248"/>
    <cellStyle name="40% - Акцент3 2 8 7" xfId="7475"/>
    <cellStyle name="40% - Акцент3 2 8 8" xfId="7702"/>
    <cellStyle name="40% - Акцент3 2 8 9" xfId="7924"/>
    <cellStyle name="40% - Акцент3 2 9" xfId="1599"/>
    <cellStyle name="40% — акцент3 2 9" xfId="6494"/>
    <cellStyle name="40% - Акцент3 2 9 10" xfId="8336"/>
    <cellStyle name="40% - Акцент3 2 9 11" xfId="8520"/>
    <cellStyle name="40% - Акцент3 2 9 12" xfId="8665"/>
    <cellStyle name="40% - Акцент3 2 9 13" xfId="9948"/>
    <cellStyle name="40% - Акцент3 2 9 14" xfId="10729"/>
    <cellStyle name="40% - Акцент3 2 9 15" xfId="11128"/>
    <cellStyle name="40% - Акцент3 2 9 16" xfId="11363"/>
    <cellStyle name="40% - Акцент3 2 9 17" xfId="11598"/>
    <cellStyle name="40% - Акцент3 2 9 18" xfId="11833"/>
    <cellStyle name="40% - Акцент3 2 9 19" xfId="12068"/>
    <cellStyle name="40% - Акцент3 2 9 2" xfId="4712"/>
    <cellStyle name="40% - Акцент3 2 9 20" xfId="12303"/>
    <cellStyle name="40% - Акцент3 2 9 21" xfId="12538"/>
    <cellStyle name="40% - Акцент3 2 9 22" xfId="12773"/>
    <cellStyle name="40% - Акцент3 2 9 23" xfId="13008"/>
    <cellStyle name="40% - Акцент3 2 9 24" xfId="13243"/>
    <cellStyle name="40% - Акцент3 2 9 25" xfId="13478"/>
    <cellStyle name="40% - Акцент3 2 9 26" xfId="13713"/>
    <cellStyle name="40% - Акцент3 2 9 27" xfId="13947"/>
    <cellStyle name="40% - Акцент3 2 9 28" xfId="14173"/>
    <cellStyle name="40% - Акцент3 2 9 29" xfId="14399"/>
    <cellStyle name="40% - Акцент3 2 9 3" xfId="6649"/>
    <cellStyle name="40% - Акцент3 2 9 30" xfId="14619"/>
    <cellStyle name="40% - Акцент3 2 9 31" xfId="14835"/>
    <cellStyle name="40% - Акцент3 2 9 32" xfId="15031"/>
    <cellStyle name="40% - Акцент3 2 9 33" xfId="15214"/>
    <cellStyle name="40% - Акцент3 2 9 34" xfId="15358"/>
    <cellStyle name="40% - Акцент3 2 9 4" xfId="7029"/>
    <cellStyle name="40% - Акцент3 2 9 5" xfId="7247"/>
    <cellStyle name="40% - Акцент3 2 9 6" xfId="7474"/>
    <cellStyle name="40% - Акцент3 2 9 7" xfId="7701"/>
    <cellStyle name="40% - Акцент3 2 9 8" xfId="7923"/>
    <cellStyle name="40% - Акцент3 2 9 9" xfId="8139"/>
    <cellStyle name="40% - Акцент3 2_46EE.2011(v1.0)" xfId="1600"/>
    <cellStyle name="40% — акцент3 20" xfId="1601"/>
    <cellStyle name="40% — акцент3 21" xfId="1602"/>
    <cellStyle name="40% — акцент3 22" xfId="4701"/>
    <cellStyle name="40% — акцент3 23" xfId="5605"/>
    <cellStyle name="40% — акцент3 24" xfId="6025"/>
    <cellStyle name="40% — акцент3 25" xfId="5545"/>
    <cellStyle name="40% — акцент3 26" xfId="6103"/>
    <cellStyle name="40% — акцент3 27" xfId="6214"/>
    <cellStyle name="40% — акцент3 28" xfId="6345"/>
    <cellStyle name="40% — акцент3 29" xfId="6497"/>
    <cellStyle name="40% - Акцент3 3" xfId="1603"/>
    <cellStyle name="40% — акцент3 3" xfId="1604"/>
    <cellStyle name="40% - Акцент3 3 10" xfId="1605"/>
    <cellStyle name="40% - Акцент3 3 10 2" xfId="4714"/>
    <cellStyle name="40% - Акцент3 3 10 3" xfId="9950"/>
    <cellStyle name="40% - Акцент3 3 11" xfId="1606"/>
    <cellStyle name="40% - Акцент3 3 12" xfId="4713"/>
    <cellStyle name="40% - Акцент3 3 13" xfId="5617"/>
    <cellStyle name="40% - Акцент3 3 14" xfId="6013"/>
    <cellStyle name="40% - Акцент3 3 15" xfId="5558"/>
    <cellStyle name="40% - Акцент3 3 16" xfId="6085"/>
    <cellStyle name="40% - Акцент3 3 17" xfId="5343"/>
    <cellStyle name="40% - Акцент3 3 18" xfId="6326"/>
    <cellStyle name="40% - Акцент3 3 19" xfId="6476"/>
    <cellStyle name="40% - Акцент3 3 2" xfId="1607"/>
    <cellStyle name="40% - Акцент3 3 2 2" xfId="1608"/>
    <cellStyle name="40% - Акцент3 3 2 3" xfId="4715"/>
    <cellStyle name="40% - Акцент3 3 2 4" xfId="8839"/>
    <cellStyle name="40% - Акцент3 3 20" xfId="6642"/>
    <cellStyle name="40% - Акцент3 3 21" xfId="7028"/>
    <cellStyle name="40% - Акцент3 3 22" xfId="7246"/>
    <cellStyle name="40% - Акцент3 3 23" xfId="7473"/>
    <cellStyle name="40% - Акцент3 3 24" xfId="7700"/>
    <cellStyle name="40% - Акцент3 3 25" xfId="7922"/>
    <cellStyle name="40% - Акцент3 3 26" xfId="8138"/>
    <cellStyle name="40% - Акцент3 3 27" xfId="8335"/>
    <cellStyle name="40% - Акцент3 3 28" xfId="8519"/>
    <cellStyle name="40% - Акцент3 3 29" xfId="8664"/>
    <cellStyle name="40% - Акцент3 3 3" xfId="1609"/>
    <cellStyle name="40% - Акцент3 3 3 2" xfId="1610"/>
    <cellStyle name="40% - Акцент3 3 3 3" xfId="4716"/>
    <cellStyle name="40% - Акцент3 3 3 4" xfId="9952"/>
    <cellStyle name="40% - Акцент3 3 30" xfId="8838"/>
    <cellStyle name="40% - Акцент3 3 31" xfId="9082"/>
    <cellStyle name="40% - Акцент3 3 32" xfId="9192"/>
    <cellStyle name="40% - Акцент3 3 33" xfId="9324"/>
    <cellStyle name="40% - Акцент3 3 34" xfId="9414"/>
    <cellStyle name="40% - Акцент3 3 35" xfId="9503"/>
    <cellStyle name="40% - Акцент3 3 36" xfId="9585"/>
    <cellStyle name="40% - Акцент3 3 37" xfId="9485"/>
    <cellStyle name="40% - Акцент3 3 38" xfId="9713"/>
    <cellStyle name="40% - Акцент3 3 39" xfId="9949"/>
    <cellStyle name="40% - Акцент3 3 4" xfId="1611"/>
    <cellStyle name="40% - Акцент3 3 4 2" xfId="4717"/>
    <cellStyle name="40% - Акцент3 3 4 3" xfId="9953"/>
    <cellStyle name="40% - Акцент3 3 40" xfId="10730"/>
    <cellStyle name="40% - Акцент3 3 41" xfId="11127"/>
    <cellStyle name="40% - Акцент3 3 42" xfId="11362"/>
    <cellStyle name="40% - Акцент3 3 43" xfId="11597"/>
    <cellStyle name="40% - Акцент3 3 44" xfId="11832"/>
    <cellStyle name="40% - Акцент3 3 45" xfId="12067"/>
    <cellStyle name="40% - Акцент3 3 46" xfId="12302"/>
    <cellStyle name="40% - Акцент3 3 47" xfId="12537"/>
    <cellStyle name="40% - Акцент3 3 48" xfId="12772"/>
    <cellStyle name="40% - Акцент3 3 49" xfId="13007"/>
    <cellStyle name="40% - Акцент3 3 5" xfId="1612"/>
    <cellStyle name="40% - Акцент3 3 5 2" xfId="4718"/>
    <cellStyle name="40% - Акцент3 3 5 3" xfId="9954"/>
    <cellStyle name="40% - Акцент3 3 50" xfId="13242"/>
    <cellStyle name="40% - Акцент3 3 51" xfId="13477"/>
    <cellStyle name="40% - Акцент3 3 52" xfId="13712"/>
    <cellStyle name="40% - Акцент3 3 53" xfId="13946"/>
    <cellStyle name="40% - Акцент3 3 54" xfId="14172"/>
    <cellStyle name="40% - Акцент3 3 55" xfId="14398"/>
    <cellStyle name="40% - Акцент3 3 56" xfId="14618"/>
    <cellStyle name="40% - Акцент3 3 57" xfId="14834"/>
    <cellStyle name="40% - Акцент3 3 58" xfId="15030"/>
    <cellStyle name="40% - Акцент3 3 59" xfId="15213"/>
    <cellStyle name="40% - Акцент3 3 6" xfId="1613"/>
    <cellStyle name="40% - Акцент3 3 6 2" xfId="4719"/>
    <cellStyle name="40% - Акцент3 3 6 3" xfId="9955"/>
    <cellStyle name="40% - Акцент3 3 60" xfId="15357"/>
    <cellStyle name="40% - Акцент3 3 61" xfId="15528"/>
    <cellStyle name="40% - Акцент3 3 62" xfId="15626"/>
    <cellStyle name="40% - Акцент3 3 63" xfId="15702"/>
    <cellStyle name="40% - Акцент3 3 7" xfId="1614"/>
    <cellStyle name="40% - Акцент3 3 7 2" xfId="4720"/>
    <cellStyle name="40% - Акцент3 3 7 3" xfId="9956"/>
    <cellStyle name="40% - Акцент3 3 8" xfId="1615"/>
    <cellStyle name="40% - Акцент3 3 8 2" xfId="4721"/>
    <cellStyle name="40% - Акцент3 3 8 3" xfId="9957"/>
    <cellStyle name="40% - Акцент3 3 9" xfId="1616"/>
    <cellStyle name="40% - Акцент3 3 9 2" xfId="4722"/>
    <cellStyle name="40% - Акцент3 3 9 3" xfId="9958"/>
    <cellStyle name="40% - Акцент3 3_46EE.2011(v1.0)" xfId="1617"/>
    <cellStyle name="40% — акцент3 30" xfId="6664"/>
    <cellStyle name="40% — акцент3 31" xfId="7040"/>
    <cellStyle name="40% — акцент3 32" xfId="7258"/>
    <cellStyle name="40% — акцент3 33" xfId="7485"/>
    <cellStyle name="40% — акцент3 34" xfId="7712"/>
    <cellStyle name="40% — акцент3 35" xfId="7934"/>
    <cellStyle name="40% — акцент3 36" xfId="8150"/>
    <cellStyle name="40% — акцент3 37" xfId="8347"/>
    <cellStyle name="40% — акцент3 38" xfId="8531"/>
    <cellStyle name="40% — акцент3 39" xfId="8676"/>
    <cellStyle name="40% - Акцент3 4" xfId="1618"/>
    <cellStyle name="40% — акцент3 4" xfId="1619"/>
    <cellStyle name="40% - Акцент3 4 2" xfId="1620"/>
    <cellStyle name="40% - Акцент3 4 2 2" xfId="1621"/>
    <cellStyle name="40% - Акцент3 4 3" xfId="1622"/>
    <cellStyle name="40% - Акцент3 4 3 2" xfId="1623"/>
    <cellStyle name="40% - Акцент3 4_46EE.2011(v1.0)" xfId="1624"/>
    <cellStyle name="40% — акцент3 40" xfId="8834"/>
    <cellStyle name="40% — акцент3 41" xfId="9078"/>
    <cellStyle name="40% — акцент3 42" xfId="9196"/>
    <cellStyle name="40% — акцент3 43" xfId="9328"/>
    <cellStyle name="40% — акцент3 44" xfId="9418"/>
    <cellStyle name="40% — акцент3 45" xfId="9507"/>
    <cellStyle name="40% — акцент3 46" xfId="9589"/>
    <cellStyle name="40% — акцент3 47" xfId="9508"/>
    <cellStyle name="40% — акцент3 48" xfId="9717"/>
    <cellStyle name="40% — акцент3 49" xfId="9937"/>
    <cellStyle name="40% - Акцент3 5" xfId="1625"/>
    <cellStyle name="40% — акцент3 5" xfId="1626"/>
    <cellStyle name="40% - Акцент3 5 2" xfId="1627"/>
    <cellStyle name="40% - Акцент3 5 2 2" xfId="1628"/>
    <cellStyle name="40% - Акцент3 5 3" xfId="1629"/>
    <cellStyle name="40% - Акцент3 5 3 2" xfId="1630"/>
    <cellStyle name="40% - Акцент3 5_46EE.2011(v1.0)" xfId="1631"/>
    <cellStyle name="40% — акцент3 50" xfId="10718"/>
    <cellStyle name="40% — акцент3 51" xfId="11139"/>
    <cellStyle name="40% — акцент3 52" xfId="11374"/>
    <cellStyle name="40% — акцент3 53" xfId="11609"/>
    <cellStyle name="40% — акцент3 54" xfId="11844"/>
    <cellStyle name="40% — акцент3 55" xfId="12079"/>
    <cellStyle name="40% — акцент3 56" xfId="12314"/>
    <cellStyle name="40% — акцент3 57" xfId="12549"/>
    <cellStyle name="40% — акцент3 58" xfId="12784"/>
    <cellStyle name="40% — акцент3 59" xfId="13019"/>
    <cellStyle name="40% - Акцент3 6" xfId="1632"/>
    <cellStyle name="40% — акцент3 6" xfId="1633"/>
    <cellStyle name="40% - Акцент3 6 2" xfId="1634"/>
    <cellStyle name="40% - Акцент3 6 2 2" xfId="1635"/>
    <cellStyle name="40% - Акцент3 6 3" xfId="1636"/>
    <cellStyle name="40% - Акцент3 6 3 2" xfId="1637"/>
    <cellStyle name="40% - Акцент3 6_46EE.2011(v1.0)" xfId="1638"/>
    <cellStyle name="40% — акцент3 60" xfId="13254"/>
    <cellStyle name="40% — акцент3 61" xfId="13489"/>
    <cellStyle name="40% — акцент3 62" xfId="13724"/>
    <cellStyle name="40% — акцент3 63" xfId="13958"/>
    <cellStyle name="40% — акцент3 64" xfId="14184"/>
    <cellStyle name="40% — акцент3 65" xfId="14410"/>
    <cellStyle name="40% — акцент3 66" xfId="14630"/>
    <cellStyle name="40% — акцент3 67" xfId="14846"/>
    <cellStyle name="40% — акцент3 68" xfId="15042"/>
    <cellStyle name="40% — акцент3 69" xfId="15225"/>
    <cellStyle name="40% - Акцент3 7" xfId="1639"/>
    <cellStyle name="40% — акцент3 7" xfId="1640"/>
    <cellStyle name="40% - Акцент3 7 2" xfId="1641"/>
    <cellStyle name="40% - Акцент3 7 2 2" xfId="1642"/>
    <cellStyle name="40% - Акцент3 7 3" xfId="1643"/>
    <cellStyle name="40% - Акцент3 7 3 2" xfId="1644"/>
    <cellStyle name="40% - Акцент3 7_46EE.2011(v1.0)" xfId="1645"/>
    <cellStyle name="40% — акцент3 70" xfId="15369"/>
    <cellStyle name="40% — акцент3 71" xfId="15524"/>
    <cellStyle name="40% — акцент3 72" xfId="15630"/>
    <cellStyle name="40% — акцент3 73" xfId="15706"/>
    <cellStyle name="40% - Акцент3 8" xfId="1646"/>
    <cellStyle name="40% — акцент3 8" xfId="1647"/>
    <cellStyle name="40% - Акцент3 8 2" xfId="1648"/>
    <cellStyle name="40% - Акцент3 8 2 2" xfId="1649"/>
    <cellStyle name="40% - Акцент3 8 3" xfId="1650"/>
    <cellStyle name="40% - Акцент3 8 3 2" xfId="1651"/>
    <cellStyle name="40% - Акцент3 8 4" xfId="1652"/>
    <cellStyle name="40% - Акцент3 8_46EE.2011(v1.0)" xfId="1653"/>
    <cellStyle name="40% - Акцент3 9" xfId="1654"/>
    <cellStyle name="40% — акцент3 9" xfId="1655"/>
    <cellStyle name="40% - Акцент3 9 2" xfId="1656"/>
    <cellStyle name="40% - Акцент3 9 2 2" xfId="1657"/>
    <cellStyle name="40% - Акцент3 9 3" xfId="1658"/>
    <cellStyle name="40% - Акцент3 9 3 2" xfId="1659"/>
    <cellStyle name="40% - Акцент3 9 4" xfId="1660"/>
    <cellStyle name="40% - Акцент3 9_46EE.2011(v1.0)" xfId="1661"/>
    <cellStyle name="40% — акцент3_Расчет тарифа на тэ 2015 СЛФ" xfId="1662"/>
    <cellStyle name="40% — акцент4" xfId="1663"/>
    <cellStyle name="40% - Акцент4 10" xfId="1664"/>
    <cellStyle name="40% — акцент4 10" xfId="1665"/>
    <cellStyle name="40% - Акцент4 10 2" xfId="1666"/>
    <cellStyle name="40% - Акцент4 11" xfId="1667"/>
    <cellStyle name="40% — акцент4 11" xfId="1668"/>
    <cellStyle name="40% - Акцент4 11 2" xfId="1669"/>
    <cellStyle name="40% — акцент4 12" xfId="1670"/>
    <cellStyle name="40% — акцент4 13" xfId="1671"/>
    <cellStyle name="40% — акцент4 14" xfId="1672"/>
    <cellStyle name="40% — акцент4 15" xfId="1673"/>
    <cellStyle name="40% — акцент4 16" xfId="1674"/>
    <cellStyle name="40% — акцент4 17" xfId="1675"/>
    <cellStyle name="40% — акцент4 18" xfId="1676"/>
    <cellStyle name="40% — акцент4 19" xfId="1677"/>
    <cellStyle name="40% - Акцент4 2" xfId="1678"/>
    <cellStyle name="40% — акцент4 2" xfId="1679"/>
    <cellStyle name="40% - Акцент4 2 10" xfId="1680"/>
    <cellStyle name="40% — акцент4 2 10" xfId="6838"/>
    <cellStyle name="40% - Акцент4 2 10 10" xfId="8515"/>
    <cellStyle name="40% - Акцент4 2 10 11" xfId="8660"/>
    <cellStyle name="40% - Акцент4 2 10 12" xfId="9962"/>
    <cellStyle name="40% - Акцент4 2 10 13" xfId="10743"/>
    <cellStyle name="40% - Акцент4 2 10 14" xfId="11114"/>
    <cellStyle name="40% - Акцент4 2 10 15" xfId="11349"/>
    <cellStyle name="40% - Акцент4 2 10 16" xfId="11584"/>
    <cellStyle name="40% - Акцент4 2 10 17" xfId="11819"/>
    <cellStyle name="40% - Акцент4 2 10 18" xfId="12054"/>
    <cellStyle name="40% - Акцент4 2 10 19" xfId="12289"/>
    <cellStyle name="40% - Акцент4 2 10 2" xfId="4726"/>
    <cellStyle name="40% - Акцент4 2 10 20" xfId="12524"/>
    <cellStyle name="40% - Акцент4 2 10 21" xfId="12759"/>
    <cellStyle name="40% - Акцент4 2 10 22" xfId="12994"/>
    <cellStyle name="40% - Акцент4 2 10 23" xfId="13229"/>
    <cellStyle name="40% - Акцент4 2 10 24" xfId="13464"/>
    <cellStyle name="40% - Акцент4 2 10 25" xfId="13699"/>
    <cellStyle name="40% - Акцент4 2 10 26" xfId="13933"/>
    <cellStyle name="40% - Акцент4 2 10 27" xfId="14159"/>
    <cellStyle name="40% - Акцент4 2 10 28" xfId="14385"/>
    <cellStyle name="40% - Акцент4 2 10 29" xfId="14605"/>
    <cellStyle name="40% - Акцент4 2 10 3" xfId="6834"/>
    <cellStyle name="40% - Акцент4 2 10 30" xfId="14824"/>
    <cellStyle name="40% - Акцент4 2 10 31" xfId="15018"/>
    <cellStyle name="40% - Акцент4 2 10 32" xfId="15209"/>
    <cellStyle name="40% - Акцент4 2 10 33" xfId="15353"/>
    <cellStyle name="40% - Акцент4 2 10 4" xfId="7233"/>
    <cellStyle name="40% - Акцент4 2 10 5" xfId="7460"/>
    <cellStyle name="40% - Акцент4 2 10 6" xfId="7687"/>
    <cellStyle name="40% - Акцент4 2 10 7" xfId="7909"/>
    <cellStyle name="40% - Акцент4 2 10 8" xfId="8127"/>
    <cellStyle name="40% - Акцент4 2 10 9" xfId="8324"/>
    <cellStyle name="40% - Акцент4 2 11" xfId="4724"/>
    <cellStyle name="40% — акцент4 2 11" xfId="7016"/>
    <cellStyle name="40% - Акцент4 2 12" xfId="5628"/>
    <cellStyle name="40% — акцент4 2 12" xfId="7234"/>
    <cellStyle name="40% - Акцент4 2 13" xfId="6002"/>
    <cellStyle name="40% — акцент4 2 13" xfId="7461"/>
    <cellStyle name="40% - Акцент4 2 14" xfId="5574"/>
    <cellStyle name="40% — акцент4 2 14" xfId="7688"/>
    <cellStyle name="40% - Акцент4 2 15" xfId="6073"/>
    <cellStyle name="40% — акцент4 2 15" xfId="7910"/>
    <cellStyle name="40% - Акцент4 2 16" xfId="5325"/>
    <cellStyle name="40% — акцент4 2 16" xfId="8128"/>
    <cellStyle name="40% - Акцент4 2 17" xfId="6310"/>
    <cellStyle name="40% — акцент4 2 17" xfId="8325"/>
    <cellStyle name="40% - Акцент4 2 18" xfId="6464"/>
    <cellStyle name="40% — акцент4 2 18" xfId="8516"/>
    <cellStyle name="40% - Акцент4 2 19" xfId="6627"/>
    <cellStyle name="40% — акцент4 2 19" xfId="8661"/>
    <cellStyle name="40% - Акцент4 2 2" xfId="1681"/>
    <cellStyle name="40% — акцент4 2 2" xfId="4725"/>
    <cellStyle name="40% - Акцент4 2 2 10" xfId="6453"/>
    <cellStyle name="40% - Акцент4 2 2 11" xfId="6619"/>
    <cellStyle name="40% - Акцент4 2 2 12" xfId="6826"/>
    <cellStyle name="40% - Акцент4 2 2 13" xfId="7232"/>
    <cellStyle name="40% - Акцент4 2 2 14" xfId="7459"/>
    <cellStyle name="40% - Акцент4 2 2 15" xfId="7686"/>
    <cellStyle name="40% - Акцент4 2 2 16" xfId="7908"/>
    <cellStyle name="40% - Акцент4 2 2 17" xfId="8126"/>
    <cellStyle name="40% - Акцент4 2 2 18" xfId="8323"/>
    <cellStyle name="40% - Акцент4 2 2 19" xfId="8514"/>
    <cellStyle name="40% - Акцент4 2 2 2" xfId="1682"/>
    <cellStyle name="40% - Акцент4 2 2 20" xfId="8659"/>
    <cellStyle name="40% - Акцент4 2 2 21" xfId="8843"/>
    <cellStyle name="40% - Акцент4 2 2 22" xfId="9087"/>
    <cellStyle name="40% - Акцент4 2 2 23" xfId="9187"/>
    <cellStyle name="40% - Акцент4 2 2 24" xfId="9319"/>
    <cellStyle name="40% - Акцент4 2 2 25" xfId="9409"/>
    <cellStyle name="40% - Акцент4 2 2 26" xfId="9498"/>
    <cellStyle name="40% - Акцент4 2 2 27" xfId="9581"/>
    <cellStyle name="40% - Акцент4 2 2 28" xfId="9306"/>
    <cellStyle name="40% - Акцент4 2 2 29" xfId="9709"/>
    <cellStyle name="40% - Акцент4 2 2 3" xfId="4727"/>
    <cellStyle name="40% - Акцент4 2 2 30" xfId="9963"/>
    <cellStyle name="40% - Акцент4 2 2 31" xfId="10744"/>
    <cellStyle name="40% - Акцент4 2 2 32" xfId="11113"/>
    <cellStyle name="40% - Акцент4 2 2 33" xfId="11348"/>
    <cellStyle name="40% - Акцент4 2 2 34" xfId="11583"/>
    <cellStyle name="40% - Акцент4 2 2 35" xfId="11818"/>
    <cellStyle name="40% - Акцент4 2 2 36" xfId="12053"/>
    <cellStyle name="40% - Акцент4 2 2 37" xfId="12288"/>
    <cellStyle name="40% - Акцент4 2 2 38" xfId="12523"/>
    <cellStyle name="40% - Акцент4 2 2 39" xfId="12758"/>
    <cellStyle name="40% - Акцент4 2 2 4" xfId="5631"/>
    <cellStyle name="40% - Акцент4 2 2 40" xfId="12993"/>
    <cellStyle name="40% - Акцент4 2 2 41" xfId="13228"/>
    <cellStyle name="40% - Акцент4 2 2 42" xfId="13463"/>
    <cellStyle name="40% - Акцент4 2 2 43" xfId="13698"/>
    <cellStyle name="40% - Акцент4 2 2 44" xfId="13932"/>
    <cellStyle name="40% - Акцент4 2 2 45" xfId="14158"/>
    <cellStyle name="40% - Акцент4 2 2 46" xfId="14384"/>
    <cellStyle name="40% - Акцент4 2 2 47" xfId="14604"/>
    <cellStyle name="40% - Акцент4 2 2 48" xfId="14823"/>
    <cellStyle name="40% - Акцент4 2 2 49" xfId="15017"/>
    <cellStyle name="40% - Акцент4 2 2 5" xfId="5999"/>
    <cellStyle name="40% - Акцент4 2 2 50" xfId="15208"/>
    <cellStyle name="40% - Акцент4 2 2 51" xfId="15352"/>
    <cellStyle name="40% - Акцент4 2 2 52" xfId="15533"/>
    <cellStyle name="40% - Акцент4 2 2 53" xfId="15622"/>
    <cellStyle name="40% - Акцент4 2 2 54" xfId="15698"/>
    <cellStyle name="40% - Акцент4 2 2 6" xfId="5577"/>
    <cellStyle name="40% - Акцент4 2 2 7" xfId="6070"/>
    <cellStyle name="40% - Акцент4 2 2 8" xfId="5315"/>
    <cellStyle name="40% - Акцент4 2 2 9" xfId="6303"/>
    <cellStyle name="40% - Акцент4 2 20" xfId="7017"/>
    <cellStyle name="40% — акцент4 2 20" xfId="8842"/>
    <cellStyle name="40% - Акцент4 2 21" xfId="7235"/>
    <cellStyle name="40% — акцент4 2 21" xfId="9086"/>
    <cellStyle name="40% - Акцент4 2 22" xfId="7462"/>
    <cellStyle name="40% — акцент4 2 22" xfId="9188"/>
    <cellStyle name="40% - Акцент4 2 23" xfId="7689"/>
    <cellStyle name="40% — акцент4 2 23" xfId="9320"/>
    <cellStyle name="40% - Акцент4 2 24" xfId="7911"/>
    <cellStyle name="40% — акцент4 2 24" xfId="9410"/>
    <cellStyle name="40% - Акцент4 2 25" xfId="8129"/>
    <cellStyle name="40% — акцент4 2 25" xfId="9499"/>
    <cellStyle name="40% - Акцент4 2 26" xfId="8326"/>
    <cellStyle name="40% — акцент4 2 26" xfId="9582"/>
    <cellStyle name="40% - Акцент4 2 27" xfId="8517"/>
    <cellStyle name="40% — акцент4 2 27" xfId="9341"/>
    <cellStyle name="40% - Акцент4 2 28" xfId="8662"/>
    <cellStyle name="40% — акцент4 2 28" xfId="9710"/>
    <cellStyle name="40% - Акцент4 2 29" xfId="8841"/>
    <cellStyle name="40% — акцент4 2 29" xfId="9961"/>
    <cellStyle name="40% - Акцент4 2 3" xfId="1683"/>
    <cellStyle name="40% — акцент4 2 3" xfId="5629"/>
    <cellStyle name="40% - Акцент4 2 3 10" xfId="6617"/>
    <cellStyle name="40% - Акцент4 2 3 11" xfId="6824"/>
    <cellStyle name="40% - Акцент4 2 3 12" xfId="7231"/>
    <cellStyle name="40% - Акцент4 2 3 13" xfId="7458"/>
    <cellStyle name="40% - Акцент4 2 3 14" xfId="7685"/>
    <cellStyle name="40% - Акцент4 2 3 15" xfId="7907"/>
    <cellStyle name="40% - Акцент4 2 3 16" xfId="8125"/>
    <cellStyle name="40% - Акцент4 2 3 17" xfId="8322"/>
    <cellStyle name="40% - Акцент4 2 3 18" xfId="8513"/>
    <cellStyle name="40% - Акцент4 2 3 19" xfId="8658"/>
    <cellStyle name="40% - Акцент4 2 3 2" xfId="1684"/>
    <cellStyle name="40% - Акцент4 2 3 20" xfId="9964"/>
    <cellStyle name="40% - Акцент4 2 3 21" xfId="10745"/>
    <cellStyle name="40% - Акцент4 2 3 22" xfId="11112"/>
    <cellStyle name="40% - Акцент4 2 3 23" xfId="11347"/>
    <cellStyle name="40% - Акцент4 2 3 24" xfId="11582"/>
    <cellStyle name="40% - Акцент4 2 3 25" xfId="11817"/>
    <cellStyle name="40% - Акцент4 2 3 26" xfId="12052"/>
    <cellStyle name="40% - Акцент4 2 3 27" xfId="12287"/>
    <cellStyle name="40% - Акцент4 2 3 28" xfId="12522"/>
    <cellStyle name="40% - Акцент4 2 3 29" xfId="12757"/>
    <cellStyle name="40% - Акцент4 2 3 3" xfId="4728"/>
    <cellStyle name="40% - Акцент4 2 3 30" xfId="12992"/>
    <cellStyle name="40% - Акцент4 2 3 31" xfId="13227"/>
    <cellStyle name="40% - Акцент4 2 3 32" xfId="13462"/>
    <cellStyle name="40% - Акцент4 2 3 33" xfId="13697"/>
    <cellStyle name="40% - Акцент4 2 3 34" xfId="13931"/>
    <cellStyle name="40% - Акцент4 2 3 35" xfId="14157"/>
    <cellStyle name="40% - Акцент4 2 3 36" xfId="14383"/>
    <cellStyle name="40% - Акцент4 2 3 37" xfId="14603"/>
    <cellStyle name="40% - Акцент4 2 3 38" xfId="14822"/>
    <cellStyle name="40% - Акцент4 2 3 39" xfId="15016"/>
    <cellStyle name="40% - Акцент4 2 3 4" xfId="5998"/>
    <cellStyle name="40% - Акцент4 2 3 40" xfId="15187"/>
    <cellStyle name="40% - Акцент4 2 3 41" xfId="15351"/>
    <cellStyle name="40% - Акцент4 2 3 5" xfId="5578"/>
    <cellStyle name="40% - Акцент4 2 3 6" xfId="6066"/>
    <cellStyle name="40% - Акцент4 2 3 7" xfId="5314"/>
    <cellStyle name="40% - Акцент4 2 3 8" xfId="6302"/>
    <cellStyle name="40% - Акцент4 2 3 9" xfId="6452"/>
    <cellStyle name="40% - Акцент4 2 30" xfId="9085"/>
    <cellStyle name="40% — акцент4 2 30" xfId="10742"/>
    <cellStyle name="40% - Акцент4 2 31" xfId="9189"/>
    <cellStyle name="40% — акцент4 2 31" xfId="11115"/>
    <cellStyle name="40% - Акцент4 2 32" xfId="9321"/>
    <cellStyle name="40% — акцент4 2 32" xfId="11350"/>
    <cellStyle name="40% - Акцент4 2 33" xfId="9411"/>
    <cellStyle name="40% — акцент4 2 33" xfId="11585"/>
    <cellStyle name="40% - Акцент4 2 34" xfId="9500"/>
    <cellStyle name="40% — акцент4 2 34" xfId="11820"/>
    <cellStyle name="40% - Акцент4 2 35" xfId="9583"/>
    <cellStyle name="40% — акцент4 2 35" xfId="12055"/>
    <cellStyle name="40% - Акцент4 2 36" xfId="9468"/>
    <cellStyle name="40% — акцент4 2 36" xfId="12290"/>
    <cellStyle name="40% - Акцент4 2 37" xfId="9711"/>
    <cellStyle name="40% — акцент4 2 37" xfId="12525"/>
    <cellStyle name="40% - Акцент4 2 38" xfId="9960"/>
    <cellStyle name="40% — акцент4 2 38" xfId="12760"/>
    <cellStyle name="40% - Акцент4 2 39" xfId="10741"/>
    <cellStyle name="40% — акцент4 2 39" xfId="12995"/>
    <cellStyle name="40% - Акцент4 2 4" xfId="1685"/>
    <cellStyle name="40% — акцент4 2 4" xfId="6001"/>
    <cellStyle name="40% - Акцент4 2 4 10" xfId="7218"/>
    <cellStyle name="40% - Акцент4 2 4 11" xfId="7427"/>
    <cellStyle name="40% - Акцент4 2 4 12" xfId="7654"/>
    <cellStyle name="40% - Акцент4 2 4 13" xfId="7876"/>
    <cellStyle name="40% - Акцент4 2 4 14" xfId="8098"/>
    <cellStyle name="40% - Акцент4 2 4 15" xfId="8295"/>
    <cellStyle name="40% - Акцент4 2 4 16" xfId="8492"/>
    <cellStyle name="40% - Акцент4 2 4 17" xfId="8637"/>
    <cellStyle name="40% - Акцент4 2 4 18" xfId="9965"/>
    <cellStyle name="40% - Акцент4 2 4 19" xfId="10746"/>
    <cellStyle name="40% - Акцент4 2 4 2" xfId="4729"/>
    <cellStyle name="40% - Акцент4 2 4 20" xfId="10699"/>
    <cellStyle name="40% - Акцент4 2 4 21" xfId="11317"/>
    <cellStyle name="40% - Акцент4 2 4 22" xfId="11552"/>
    <cellStyle name="40% - Акцент4 2 4 23" xfId="11787"/>
    <cellStyle name="40% - Акцент4 2 4 24" xfId="12022"/>
    <cellStyle name="40% - Акцент4 2 4 25" xfId="12257"/>
    <cellStyle name="40% - Акцент4 2 4 26" xfId="12492"/>
    <cellStyle name="40% - Акцент4 2 4 27" xfId="12727"/>
    <cellStyle name="40% - Акцент4 2 4 28" xfId="12962"/>
    <cellStyle name="40% - Акцент4 2 4 29" xfId="13197"/>
    <cellStyle name="40% - Акцент4 2 4 3" xfId="6203"/>
    <cellStyle name="40% - Акцент4 2 4 30" xfId="13432"/>
    <cellStyle name="40% - Акцент4 2 4 31" xfId="13667"/>
    <cellStyle name="40% - Акцент4 2 4 32" xfId="13901"/>
    <cellStyle name="40% - Акцент4 2 4 33" xfId="14127"/>
    <cellStyle name="40% - Акцент4 2 4 34" xfId="14353"/>
    <cellStyle name="40% - Акцент4 2 4 35" xfId="14573"/>
    <cellStyle name="40% - Акцент4 2 4 36" xfId="14795"/>
    <cellStyle name="40% - Акцент4 2 4 37" xfId="14991"/>
    <cellStyle name="40% - Акцент4 2 4 38" xfId="15207"/>
    <cellStyle name="40% - Акцент4 2 4 39" xfId="15331"/>
    <cellStyle name="40% - Акцент4 2 4 4" xfId="6294"/>
    <cellStyle name="40% - Акцент4 2 4 5" xfId="6403"/>
    <cellStyle name="40% - Акцент4 2 4 6" xfId="6530"/>
    <cellStyle name="40% - Акцент4 2 4 7" xfId="6675"/>
    <cellStyle name="40% - Акцент4 2 4 8" xfId="6616"/>
    <cellStyle name="40% - Акцент4 2 4 9" xfId="7015"/>
    <cellStyle name="40% - Акцент4 2 40" xfId="11116"/>
    <cellStyle name="40% — акцент4 2 40" xfId="13230"/>
    <cellStyle name="40% - Акцент4 2 41" xfId="11351"/>
    <cellStyle name="40% — акцент4 2 41" xfId="13465"/>
    <cellStyle name="40% - Акцент4 2 42" xfId="11586"/>
    <cellStyle name="40% — акцент4 2 42" xfId="13700"/>
    <cellStyle name="40% - Акцент4 2 43" xfId="11821"/>
    <cellStyle name="40% — акцент4 2 43" xfId="13934"/>
    <cellStyle name="40% - Акцент4 2 44" xfId="12056"/>
    <cellStyle name="40% — акцент4 2 44" xfId="14160"/>
    <cellStyle name="40% - Акцент4 2 45" xfId="12291"/>
    <cellStyle name="40% — акцент4 2 45" xfId="14386"/>
    <cellStyle name="40% - Акцент4 2 46" xfId="12526"/>
    <cellStyle name="40% — акцент4 2 46" xfId="14606"/>
    <cellStyle name="40% - Акцент4 2 47" xfId="12761"/>
    <cellStyle name="40% — акцент4 2 47" xfId="14825"/>
    <cellStyle name="40% - Акцент4 2 48" xfId="12996"/>
    <cellStyle name="40% — акцент4 2 48" xfId="15019"/>
    <cellStyle name="40% - Акцент4 2 49" xfId="13231"/>
    <cellStyle name="40% — акцент4 2 49" xfId="15210"/>
    <cellStyle name="40% - Акцент4 2 5" xfId="1686"/>
    <cellStyle name="40% — акцент4 2 5" xfId="5575"/>
    <cellStyle name="40% - Акцент4 2 5 10" xfId="7457"/>
    <cellStyle name="40% - Акцент4 2 5 11" xfId="7684"/>
    <cellStyle name="40% - Акцент4 2 5 12" xfId="7906"/>
    <cellStyle name="40% - Акцент4 2 5 13" xfId="8124"/>
    <cellStyle name="40% - Акцент4 2 5 14" xfId="8321"/>
    <cellStyle name="40% - Акцент4 2 5 15" xfId="8512"/>
    <cellStyle name="40% - Акцент4 2 5 16" xfId="8657"/>
    <cellStyle name="40% - Акцент4 2 5 17" xfId="9966"/>
    <cellStyle name="40% - Акцент4 2 5 18" xfId="10747"/>
    <cellStyle name="40% - Акцент4 2 5 19" xfId="11111"/>
    <cellStyle name="40% - Акцент4 2 5 2" xfId="4730"/>
    <cellStyle name="40% - Акцент4 2 5 20" xfId="11346"/>
    <cellStyle name="40% - Акцент4 2 5 21" xfId="11581"/>
    <cellStyle name="40% - Акцент4 2 5 22" xfId="11816"/>
    <cellStyle name="40% - Акцент4 2 5 23" xfId="12051"/>
    <cellStyle name="40% - Акцент4 2 5 24" xfId="12286"/>
    <cellStyle name="40% - Акцент4 2 5 25" xfId="12521"/>
    <cellStyle name="40% - Акцент4 2 5 26" xfId="12756"/>
    <cellStyle name="40% - Акцент4 2 5 27" xfId="12991"/>
    <cellStyle name="40% - Акцент4 2 5 28" xfId="13226"/>
    <cellStyle name="40% - Акцент4 2 5 29" xfId="13461"/>
    <cellStyle name="40% - Акцент4 2 5 3" xfId="6063"/>
    <cellStyle name="40% - Акцент4 2 5 30" xfId="13696"/>
    <cellStyle name="40% - Акцент4 2 5 31" xfId="13930"/>
    <cellStyle name="40% - Акцент4 2 5 32" xfId="14156"/>
    <cellStyle name="40% - Акцент4 2 5 33" xfId="14382"/>
    <cellStyle name="40% - Акцент4 2 5 34" xfId="14602"/>
    <cellStyle name="40% - Акцент4 2 5 35" xfId="14821"/>
    <cellStyle name="40% - Акцент4 2 5 36" xfId="15015"/>
    <cellStyle name="40% - Акцент4 2 5 37" xfId="15206"/>
    <cellStyle name="40% - Акцент4 2 5 38" xfId="15350"/>
    <cellStyle name="40% - Акцент4 2 5 4" xfId="5313"/>
    <cellStyle name="40% - Акцент4 2 5 5" xfId="6300"/>
    <cellStyle name="40% - Акцент4 2 5 6" xfId="6450"/>
    <cellStyle name="40% - Акцент4 2 5 7" xfId="6615"/>
    <cellStyle name="40% - Акцент4 2 5 8" xfId="6823"/>
    <cellStyle name="40% - Акцент4 2 5 9" xfId="7230"/>
    <cellStyle name="40% - Акцент4 2 50" xfId="13466"/>
    <cellStyle name="40% — акцент4 2 50" xfId="15354"/>
    <cellStyle name="40% - Акцент4 2 51" xfId="13701"/>
    <cellStyle name="40% — акцент4 2 51" xfId="15532"/>
    <cellStyle name="40% - Акцент4 2 52" xfId="13935"/>
    <cellStyle name="40% — акцент4 2 52" xfId="15623"/>
    <cellStyle name="40% - Акцент4 2 53" xfId="14161"/>
    <cellStyle name="40% — акцент4 2 53" xfId="15699"/>
    <cellStyle name="40% - Акцент4 2 54" xfId="14387"/>
    <cellStyle name="40% - Акцент4 2 55" xfId="14607"/>
    <cellStyle name="40% - Акцент4 2 56" xfId="14826"/>
    <cellStyle name="40% - Акцент4 2 57" xfId="15020"/>
    <cellStyle name="40% - Акцент4 2 58" xfId="15211"/>
    <cellStyle name="40% - Акцент4 2 59" xfId="15355"/>
    <cellStyle name="40% - Акцент4 2 6" xfId="1687"/>
    <cellStyle name="40% — акцент4 2 6" xfId="6072"/>
    <cellStyle name="40% - Акцент4 2 6 10" xfId="7683"/>
    <cellStyle name="40% - Акцент4 2 6 11" xfId="7905"/>
    <cellStyle name="40% - Акцент4 2 6 12" xfId="8123"/>
    <cellStyle name="40% - Акцент4 2 6 13" xfId="8320"/>
    <cellStyle name="40% - Акцент4 2 6 14" xfId="8511"/>
    <cellStyle name="40% - Акцент4 2 6 15" xfId="8656"/>
    <cellStyle name="40% - Акцент4 2 6 16" xfId="9967"/>
    <cellStyle name="40% - Акцент4 2 6 17" xfId="10748"/>
    <cellStyle name="40% - Акцент4 2 6 18" xfId="11110"/>
    <cellStyle name="40% - Акцент4 2 6 19" xfId="11345"/>
    <cellStyle name="40% - Акцент4 2 6 2" xfId="4731"/>
    <cellStyle name="40% - Акцент4 2 6 20" xfId="11580"/>
    <cellStyle name="40% - Акцент4 2 6 21" xfId="11815"/>
    <cellStyle name="40% - Акцент4 2 6 22" xfId="12050"/>
    <cellStyle name="40% - Акцент4 2 6 23" xfId="12285"/>
    <cellStyle name="40% - Акцент4 2 6 24" xfId="12520"/>
    <cellStyle name="40% - Акцент4 2 6 25" xfId="12755"/>
    <cellStyle name="40% - Акцент4 2 6 26" xfId="12990"/>
    <cellStyle name="40% - Акцент4 2 6 27" xfId="13225"/>
    <cellStyle name="40% - Акцент4 2 6 28" xfId="13460"/>
    <cellStyle name="40% - Акцент4 2 6 29" xfId="13695"/>
    <cellStyle name="40% - Акцент4 2 6 3" xfId="5312"/>
    <cellStyle name="40% - Акцент4 2 6 30" xfId="13929"/>
    <cellStyle name="40% - Акцент4 2 6 31" xfId="14155"/>
    <cellStyle name="40% - Акцент4 2 6 32" xfId="14381"/>
    <cellStyle name="40% - Акцент4 2 6 33" xfId="14601"/>
    <cellStyle name="40% - Акцент4 2 6 34" xfId="14820"/>
    <cellStyle name="40% - Акцент4 2 6 35" xfId="15014"/>
    <cellStyle name="40% - Акцент4 2 6 36" xfId="15205"/>
    <cellStyle name="40% - Акцент4 2 6 37" xfId="15349"/>
    <cellStyle name="40% - Акцент4 2 6 4" xfId="6299"/>
    <cellStyle name="40% - Акцент4 2 6 5" xfId="6449"/>
    <cellStyle name="40% - Акцент4 2 6 6" xfId="6614"/>
    <cellStyle name="40% - Акцент4 2 6 7" xfId="6822"/>
    <cellStyle name="40% - Акцент4 2 6 8" xfId="7229"/>
    <cellStyle name="40% - Акцент4 2 6 9" xfId="7456"/>
    <cellStyle name="40% - Акцент4 2 60" xfId="15531"/>
    <cellStyle name="40% - Акцент4 2 61" xfId="15624"/>
    <cellStyle name="40% - Акцент4 2 62" xfId="15700"/>
    <cellStyle name="40% - Акцент4 2 7" xfId="1688"/>
    <cellStyle name="40% — акцент4 2 7" xfId="5321"/>
    <cellStyle name="40% - Акцент4 2 7 10" xfId="7904"/>
    <cellStyle name="40% - Акцент4 2 7 11" xfId="8122"/>
    <cellStyle name="40% - Акцент4 2 7 12" xfId="8319"/>
    <cellStyle name="40% - Акцент4 2 7 13" xfId="8510"/>
    <cellStyle name="40% - Акцент4 2 7 14" xfId="8655"/>
    <cellStyle name="40% - Акцент4 2 7 15" xfId="9968"/>
    <cellStyle name="40% - Акцент4 2 7 16" xfId="10749"/>
    <cellStyle name="40% - Акцент4 2 7 17" xfId="11109"/>
    <cellStyle name="40% - Акцент4 2 7 18" xfId="11344"/>
    <cellStyle name="40% - Акцент4 2 7 19" xfId="11579"/>
    <cellStyle name="40% - Акцент4 2 7 2" xfId="4732"/>
    <cellStyle name="40% - Акцент4 2 7 20" xfId="11814"/>
    <cellStyle name="40% - Акцент4 2 7 21" xfId="12049"/>
    <cellStyle name="40% - Акцент4 2 7 22" xfId="12284"/>
    <cellStyle name="40% - Акцент4 2 7 23" xfId="12519"/>
    <cellStyle name="40% - Акцент4 2 7 24" xfId="12754"/>
    <cellStyle name="40% - Акцент4 2 7 25" xfId="12989"/>
    <cellStyle name="40% - Акцент4 2 7 26" xfId="13224"/>
    <cellStyle name="40% - Акцент4 2 7 27" xfId="13459"/>
    <cellStyle name="40% - Акцент4 2 7 28" xfId="13694"/>
    <cellStyle name="40% - Акцент4 2 7 29" xfId="13928"/>
    <cellStyle name="40% - Акцент4 2 7 3" xfId="6298"/>
    <cellStyle name="40% - Акцент4 2 7 30" xfId="14154"/>
    <cellStyle name="40% - Акцент4 2 7 31" xfId="14380"/>
    <cellStyle name="40% - Акцент4 2 7 32" xfId="14600"/>
    <cellStyle name="40% - Акцент4 2 7 33" xfId="14819"/>
    <cellStyle name="40% - Акцент4 2 7 34" xfId="15013"/>
    <cellStyle name="40% - Акцент4 2 7 35" xfId="15204"/>
    <cellStyle name="40% - Акцент4 2 7 36" xfId="15348"/>
    <cellStyle name="40% - Акцент4 2 7 4" xfId="6448"/>
    <cellStyle name="40% - Акцент4 2 7 5" xfId="6613"/>
    <cellStyle name="40% - Акцент4 2 7 6" xfId="6821"/>
    <cellStyle name="40% - Акцент4 2 7 7" xfId="7228"/>
    <cellStyle name="40% - Акцент4 2 7 8" xfId="7455"/>
    <cellStyle name="40% - Акцент4 2 7 9" xfId="7682"/>
    <cellStyle name="40% - Акцент4 2 8" xfId="1689"/>
    <cellStyle name="40% — акцент4 2 8" xfId="6305"/>
    <cellStyle name="40% - Акцент4 2 8 10" xfId="8121"/>
    <cellStyle name="40% - Акцент4 2 8 11" xfId="8318"/>
    <cellStyle name="40% - Акцент4 2 8 12" xfId="8509"/>
    <cellStyle name="40% - Акцент4 2 8 13" xfId="8654"/>
    <cellStyle name="40% - Акцент4 2 8 14" xfId="9969"/>
    <cellStyle name="40% - Акцент4 2 8 15" xfId="10750"/>
    <cellStyle name="40% - Акцент4 2 8 16" xfId="11108"/>
    <cellStyle name="40% - Акцент4 2 8 17" xfId="11343"/>
    <cellStyle name="40% - Акцент4 2 8 18" xfId="11578"/>
    <cellStyle name="40% - Акцент4 2 8 19" xfId="11813"/>
    <cellStyle name="40% - Акцент4 2 8 2" xfId="4733"/>
    <cellStyle name="40% - Акцент4 2 8 20" xfId="12048"/>
    <cellStyle name="40% - Акцент4 2 8 21" xfId="12283"/>
    <cellStyle name="40% - Акцент4 2 8 22" xfId="12518"/>
    <cellStyle name="40% - Акцент4 2 8 23" xfId="12753"/>
    <cellStyle name="40% - Акцент4 2 8 24" xfId="12988"/>
    <cellStyle name="40% - Акцент4 2 8 25" xfId="13223"/>
    <cellStyle name="40% - Акцент4 2 8 26" xfId="13458"/>
    <cellStyle name="40% - Акцент4 2 8 27" xfId="13693"/>
    <cellStyle name="40% - Акцент4 2 8 28" xfId="13927"/>
    <cellStyle name="40% - Акцент4 2 8 29" xfId="14153"/>
    <cellStyle name="40% - Акцент4 2 8 3" xfId="6446"/>
    <cellStyle name="40% - Акцент4 2 8 30" xfId="14379"/>
    <cellStyle name="40% - Акцент4 2 8 31" xfId="14599"/>
    <cellStyle name="40% - Акцент4 2 8 32" xfId="14818"/>
    <cellStyle name="40% - Акцент4 2 8 33" xfId="15012"/>
    <cellStyle name="40% - Акцент4 2 8 34" xfId="15203"/>
    <cellStyle name="40% - Акцент4 2 8 35" xfId="15347"/>
    <cellStyle name="40% - Акцент4 2 8 4" xfId="6612"/>
    <cellStyle name="40% - Акцент4 2 8 5" xfId="6820"/>
    <cellStyle name="40% - Акцент4 2 8 6" xfId="7227"/>
    <cellStyle name="40% - Акцент4 2 8 7" xfId="7454"/>
    <cellStyle name="40% - Акцент4 2 8 8" xfId="7681"/>
    <cellStyle name="40% - Акцент4 2 8 9" xfId="7903"/>
    <cellStyle name="40% - Акцент4 2 9" xfId="1690"/>
    <cellStyle name="40% — акцент4 2 9" xfId="6460"/>
    <cellStyle name="40% - Акцент4 2 9 10" xfId="8317"/>
    <cellStyle name="40% - Акцент4 2 9 11" xfId="8508"/>
    <cellStyle name="40% - Акцент4 2 9 12" xfId="8653"/>
    <cellStyle name="40% - Акцент4 2 9 13" xfId="9970"/>
    <cellStyle name="40% - Акцент4 2 9 14" xfId="10751"/>
    <cellStyle name="40% - Акцент4 2 9 15" xfId="11107"/>
    <cellStyle name="40% - Акцент4 2 9 16" xfId="11342"/>
    <cellStyle name="40% - Акцент4 2 9 17" xfId="11577"/>
    <cellStyle name="40% - Акцент4 2 9 18" xfId="11812"/>
    <cellStyle name="40% - Акцент4 2 9 19" xfId="12047"/>
    <cellStyle name="40% - Акцент4 2 9 2" xfId="4734"/>
    <cellStyle name="40% - Акцент4 2 9 20" xfId="12282"/>
    <cellStyle name="40% - Акцент4 2 9 21" xfId="12517"/>
    <cellStyle name="40% - Акцент4 2 9 22" xfId="12752"/>
    <cellStyle name="40% - Акцент4 2 9 23" xfId="12987"/>
    <cellStyle name="40% - Акцент4 2 9 24" xfId="13222"/>
    <cellStyle name="40% - Акцент4 2 9 25" xfId="13457"/>
    <cellStyle name="40% - Акцент4 2 9 26" xfId="13692"/>
    <cellStyle name="40% - Акцент4 2 9 27" xfId="13926"/>
    <cellStyle name="40% - Акцент4 2 9 28" xfId="14152"/>
    <cellStyle name="40% - Акцент4 2 9 29" xfId="14378"/>
    <cellStyle name="40% - Акцент4 2 9 3" xfId="6611"/>
    <cellStyle name="40% - Акцент4 2 9 30" xfId="14598"/>
    <cellStyle name="40% - Акцент4 2 9 31" xfId="14817"/>
    <cellStyle name="40% - Акцент4 2 9 32" xfId="15011"/>
    <cellStyle name="40% - Акцент4 2 9 33" xfId="15202"/>
    <cellStyle name="40% - Акцент4 2 9 34" xfId="15346"/>
    <cellStyle name="40% - Акцент4 2 9 4" xfId="6819"/>
    <cellStyle name="40% - Акцент4 2 9 5" xfId="7226"/>
    <cellStyle name="40% - Акцент4 2 9 6" xfId="7453"/>
    <cellStyle name="40% - Акцент4 2 9 7" xfId="7680"/>
    <cellStyle name="40% - Акцент4 2 9 8" xfId="7902"/>
    <cellStyle name="40% - Акцент4 2 9 9" xfId="8120"/>
    <cellStyle name="40% - Акцент4 2_46EE.2011(v1.0)" xfId="1691"/>
    <cellStyle name="40% — акцент4 20" xfId="1692"/>
    <cellStyle name="40% — акцент4 21" xfId="1693"/>
    <cellStyle name="40% — акцент4 22" xfId="4723"/>
    <cellStyle name="40% — акцент4 23" xfId="5627"/>
    <cellStyle name="40% — акцент4 24" xfId="6003"/>
    <cellStyle name="40% — акцент4 25" xfId="5572"/>
    <cellStyle name="40% — акцент4 26" xfId="6074"/>
    <cellStyle name="40% — акцент4 27" xfId="5326"/>
    <cellStyle name="40% — акцент4 28" xfId="6314"/>
    <cellStyle name="40% — акцент4 29" xfId="6465"/>
    <cellStyle name="40% - Акцент4 3" xfId="1694"/>
    <cellStyle name="40% — акцент4 3" xfId="1695"/>
    <cellStyle name="40% - Акцент4 3 10" xfId="1696"/>
    <cellStyle name="40% - Акцент4 3 10 2" xfId="4736"/>
    <cellStyle name="40% - Акцент4 3 10 3" xfId="9972"/>
    <cellStyle name="40% - Акцент4 3 11" xfId="1697"/>
    <cellStyle name="40% - Акцент4 3 12" xfId="4735"/>
    <cellStyle name="40% - Акцент4 3 13" xfId="5639"/>
    <cellStyle name="40% - Акцент4 3 14" xfId="5992"/>
    <cellStyle name="40% - Акцент4 3 15" xfId="5588"/>
    <cellStyle name="40% - Акцент4 3 16" xfId="6058"/>
    <cellStyle name="40% - Акцент4 3 17" xfId="5284"/>
    <cellStyle name="40% - Акцент4 3 18" xfId="6295"/>
    <cellStyle name="40% - Акцент4 3 19" xfId="6444"/>
    <cellStyle name="40% - Акцент4 3 2" xfId="1698"/>
    <cellStyle name="40% - Акцент4 3 2 2" xfId="1699"/>
    <cellStyle name="40% - Акцент4 3 2 3" xfId="4737"/>
    <cellStyle name="40% - Акцент4 3 2 4" xfId="8845"/>
    <cellStyle name="40% - Акцент4 3 20" xfId="6610"/>
    <cellStyle name="40% - Акцент4 3 21" xfId="6818"/>
    <cellStyle name="40% - Акцент4 3 22" xfId="7225"/>
    <cellStyle name="40% - Акцент4 3 23" xfId="7452"/>
    <cellStyle name="40% - Акцент4 3 24" xfId="7679"/>
    <cellStyle name="40% - Акцент4 3 25" xfId="7901"/>
    <cellStyle name="40% - Акцент4 3 26" xfId="8119"/>
    <cellStyle name="40% - Акцент4 3 27" xfId="8316"/>
    <cellStyle name="40% - Акцент4 3 28" xfId="8507"/>
    <cellStyle name="40% - Акцент4 3 29" xfId="8652"/>
    <cellStyle name="40% - Акцент4 3 3" xfId="1700"/>
    <cellStyle name="40% - Акцент4 3 3 2" xfId="1701"/>
    <cellStyle name="40% - Акцент4 3 3 3" xfId="4738"/>
    <cellStyle name="40% - Акцент4 3 3 4" xfId="9974"/>
    <cellStyle name="40% - Акцент4 3 30" xfId="8844"/>
    <cellStyle name="40% - Акцент4 3 31" xfId="9088"/>
    <cellStyle name="40% - Акцент4 3 32" xfId="9186"/>
    <cellStyle name="40% - Акцент4 3 33" xfId="9318"/>
    <cellStyle name="40% - Акцент4 3 34" xfId="9408"/>
    <cellStyle name="40% - Акцент4 3 35" xfId="9497"/>
    <cellStyle name="40% - Акцент4 3 36" xfId="9580"/>
    <cellStyle name="40% - Акцент4 3 37" xfId="9270"/>
    <cellStyle name="40% - Акцент4 3 38" xfId="9708"/>
    <cellStyle name="40% - Акцент4 3 39" xfId="9971"/>
    <cellStyle name="40% - Акцент4 3 4" xfId="1702"/>
    <cellStyle name="40% - Акцент4 3 4 2" xfId="4739"/>
    <cellStyle name="40% - Акцент4 3 4 3" xfId="9975"/>
    <cellStyle name="40% - Акцент4 3 40" xfId="10752"/>
    <cellStyle name="40% - Акцент4 3 41" xfId="11106"/>
    <cellStyle name="40% - Акцент4 3 42" xfId="11341"/>
    <cellStyle name="40% - Акцент4 3 43" xfId="11576"/>
    <cellStyle name="40% - Акцент4 3 44" xfId="11811"/>
    <cellStyle name="40% - Акцент4 3 45" xfId="12046"/>
    <cellStyle name="40% - Акцент4 3 46" xfId="12281"/>
    <cellStyle name="40% - Акцент4 3 47" xfId="12516"/>
    <cellStyle name="40% - Акцент4 3 48" xfId="12751"/>
    <cellStyle name="40% - Акцент4 3 49" xfId="12986"/>
    <cellStyle name="40% - Акцент4 3 5" xfId="1703"/>
    <cellStyle name="40% - Акцент4 3 5 2" xfId="4740"/>
    <cellStyle name="40% - Акцент4 3 5 3" xfId="9976"/>
    <cellStyle name="40% - Акцент4 3 50" xfId="13221"/>
    <cellStyle name="40% - Акцент4 3 51" xfId="13456"/>
    <cellStyle name="40% - Акцент4 3 52" xfId="13691"/>
    <cellStyle name="40% - Акцент4 3 53" xfId="13925"/>
    <cellStyle name="40% - Акцент4 3 54" xfId="14151"/>
    <cellStyle name="40% - Акцент4 3 55" xfId="14377"/>
    <cellStyle name="40% - Акцент4 3 56" xfId="14597"/>
    <cellStyle name="40% - Акцент4 3 57" xfId="14816"/>
    <cellStyle name="40% - Акцент4 3 58" xfId="15010"/>
    <cellStyle name="40% - Акцент4 3 59" xfId="15201"/>
    <cellStyle name="40% - Акцент4 3 6" xfId="1704"/>
    <cellStyle name="40% - Акцент4 3 6 2" xfId="4741"/>
    <cellStyle name="40% - Акцент4 3 6 3" xfId="9977"/>
    <cellStyle name="40% - Акцент4 3 60" xfId="15345"/>
    <cellStyle name="40% - Акцент4 3 61" xfId="15534"/>
    <cellStyle name="40% - Акцент4 3 62" xfId="15621"/>
    <cellStyle name="40% - Акцент4 3 63" xfId="15697"/>
    <cellStyle name="40% - Акцент4 3 7" xfId="1705"/>
    <cellStyle name="40% - Акцент4 3 7 2" xfId="4742"/>
    <cellStyle name="40% - Акцент4 3 7 3" xfId="9978"/>
    <cellStyle name="40% - Акцент4 3 8" xfId="1706"/>
    <cellStyle name="40% - Акцент4 3 8 2" xfId="4743"/>
    <cellStyle name="40% - Акцент4 3 8 3" xfId="9979"/>
    <cellStyle name="40% - Акцент4 3 9" xfId="1707"/>
    <cellStyle name="40% - Акцент4 3 9 2" xfId="4744"/>
    <cellStyle name="40% - Акцент4 3 9 3" xfId="9980"/>
    <cellStyle name="40% - Акцент4 3_46EE.2011(v1.0)" xfId="1708"/>
    <cellStyle name="40% — акцент4 30" xfId="6631"/>
    <cellStyle name="40% — акцент4 31" xfId="7018"/>
    <cellStyle name="40% — акцент4 32" xfId="7236"/>
    <cellStyle name="40% — акцент4 33" xfId="7463"/>
    <cellStyle name="40% — акцент4 34" xfId="7690"/>
    <cellStyle name="40% — акцент4 35" xfId="7912"/>
    <cellStyle name="40% — акцент4 36" xfId="8130"/>
    <cellStyle name="40% — акцент4 37" xfId="8327"/>
    <cellStyle name="40% — акцент4 38" xfId="8518"/>
    <cellStyle name="40% — акцент4 39" xfId="8663"/>
    <cellStyle name="40% - Акцент4 4" xfId="1709"/>
    <cellStyle name="40% — акцент4 4" xfId="1710"/>
    <cellStyle name="40% - Акцент4 4 2" xfId="1711"/>
    <cellStyle name="40% - Акцент4 4 2 2" xfId="1712"/>
    <cellStyle name="40% - Акцент4 4 3" xfId="1713"/>
    <cellStyle name="40% - Акцент4 4 3 2" xfId="1714"/>
    <cellStyle name="40% - Акцент4 4_46EE.2011(v1.0)" xfId="1715"/>
    <cellStyle name="40% — акцент4 40" xfId="8840"/>
    <cellStyle name="40% — акцент4 41" xfId="9084"/>
    <cellStyle name="40% — акцент4 42" xfId="9190"/>
    <cellStyle name="40% — акцент4 43" xfId="9322"/>
    <cellStyle name="40% — акцент4 44" xfId="9412"/>
    <cellStyle name="40% — акцент4 45" xfId="9501"/>
    <cellStyle name="40% — акцент4 46" xfId="9584"/>
    <cellStyle name="40% — акцент4 47" xfId="9474"/>
    <cellStyle name="40% — акцент4 48" xfId="9712"/>
    <cellStyle name="40% — акцент4 49" xfId="9959"/>
    <cellStyle name="40% - Акцент4 5" xfId="1716"/>
    <cellStyle name="40% — акцент4 5" xfId="1717"/>
    <cellStyle name="40% - Акцент4 5 2" xfId="1718"/>
    <cellStyle name="40% - Акцент4 5 2 2" xfId="1719"/>
    <cellStyle name="40% - Акцент4 5 3" xfId="1720"/>
    <cellStyle name="40% - Акцент4 5 3 2" xfId="1721"/>
    <cellStyle name="40% - Акцент4 5_46EE.2011(v1.0)" xfId="1722"/>
    <cellStyle name="40% — акцент4 50" xfId="10740"/>
    <cellStyle name="40% — акцент4 51" xfId="11117"/>
    <cellStyle name="40% — акцент4 52" xfId="11352"/>
    <cellStyle name="40% — акцент4 53" xfId="11587"/>
    <cellStyle name="40% — акцент4 54" xfId="11822"/>
    <cellStyle name="40% — акцент4 55" xfId="12057"/>
    <cellStyle name="40% — акцент4 56" xfId="12292"/>
    <cellStyle name="40% — акцент4 57" xfId="12527"/>
    <cellStyle name="40% — акцент4 58" xfId="12762"/>
    <cellStyle name="40% — акцент4 59" xfId="12997"/>
    <cellStyle name="40% - Акцент4 6" xfId="1723"/>
    <cellStyle name="40% — акцент4 6" xfId="1724"/>
    <cellStyle name="40% - Акцент4 6 2" xfId="1725"/>
    <cellStyle name="40% - Акцент4 6 2 2" xfId="1726"/>
    <cellStyle name="40% - Акцент4 6 3" xfId="1727"/>
    <cellStyle name="40% - Акцент4 6 3 2" xfId="1728"/>
    <cellStyle name="40% - Акцент4 6_46EE.2011(v1.0)" xfId="1729"/>
    <cellStyle name="40% — акцент4 60" xfId="13232"/>
    <cellStyle name="40% — акцент4 61" xfId="13467"/>
    <cellStyle name="40% — акцент4 62" xfId="13702"/>
    <cellStyle name="40% — акцент4 63" xfId="13936"/>
    <cellStyle name="40% — акцент4 64" xfId="14162"/>
    <cellStyle name="40% — акцент4 65" xfId="14388"/>
    <cellStyle name="40% — акцент4 66" xfId="14608"/>
    <cellStyle name="40% — акцент4 67" xfId="14827"/>
    <cellStyle name="40% — акцент4 68" xfId="15021"/>
    <cellStyle name="40% — акцент4 69" xfId="15212"/>
    <cellStyle name="40% - Акцент4 7" xfId="1730"/>
    <cellStyle name="40% — акцент4 7" xfId="1731"/>
    <cellStyle name="40% - Акцент4 7 2" xfId="1732"/>
    <cellStyle name="40% - Акцент4 7 2 2" xfId="1733"/>
    <cellStyle name="40% - Акцент4 7 3" xfId="1734"/>
    <cellStyle name="40% - Акцент4 7 3 2" xfId="1735"/>
    <cellStyle name="40% - Акцент4 7_46EE.2011(v1.0)" xfId="1736"/>
    <cellStyle name="40% — акцент4 70" xfId="15356"/>
    <cellStyle name="40% — акцент4 71" xfId="15530"/>
    <cellStyle name="40% — акцент4 72" xfId="15625"/>
    <cellStyle name="40% — акцент4 73" xfId="15701"/>
    <cellStyle name="40% - Акцент4 8" xfId="1737"/>
    <cellStyle name="40% — акцент4 8" xfId="1738"/>
    <cellStyle name="40% - Акцент4 8 2" xfId="1739"/>
    <cellStyle name="40% - Акцент4 8 2 2" xfId="1740"/>
    <cellStyle name="40% - Акцент4 8 3" xfId="1741"/>
    <cellStyle name="40% - Акцент4 8 3 2" xfId="1742"/>
    <cellStyle name="40% - Акцент4 8 4" xfId="1743"/>
    <cellStyle name="40% - Акцент4 8_46EE.2011(v1.0)" xfId="1744"/>
    <cellStyle name="40% - Акцент4 9" xfId="1745"/>
    <cellStyle name="40% — акцент4 9" xfId="1746"/>
    <cellStyle name="40% - Акцент4 9 2" xfId="1747"/>
    <cellStyle name="40% - Акцент4 9 2 2" xfId="1748"/>
    <cellStyle name="40% - Акцент4 9 3" xfId="1749"/>
    <cellStyle name="40% - Акцент4 9 3 2" xfId="1750"/>
    <cellStyle name="40% - Акцент4 9 4" xfId="1751"/>
    <cellStyle name="40% - Акцент4 9_46EE.2011(v1.0)" xfId="1752"/>
    <cellStyle name="40% — акцент4_Расчет тарифа на тэ 2015 СЛФ" xfId="1753"/>
    <cellStyle name="40% — акцент5" xfId="1754"/>
    <cellStyle name="40% - Акцент5 10" xfId="1755"/>
    <cellStyle name="40% — акцент5 10" xfId="1756"/>
    <cellStyle name="40% - Акцент5 10 2" xfId="1757"/>
    <cellStyle name="40% - Акцент5 11" xfId="1758"/>
    <cellStyle name="40% — акцент5 11" xfId="1759"/>
    <cellStyle name="40% - Акцент5 11 2" xfId="1760"/>
    <cellStyle name="40% — акцент5 12" xfId="1761"/>
    <cellStyle name="40% — акцент5 13" xfId="1762"/>
    <cellStyle name="40% — акцент5 14" xfId="1763"/>
    <cellStyle name="40% — акцент5 15" xfId="1764"/>
    <cellStyle name="40% — акцент5 16" xfId="1765"/>
    <cellStyle name="40% — акцент5 17" xfId="1766"/>
    <cellStyle name="40% — акцент5 18" xfId="1767"/>
    <cellStyle name="40% — акцент5 19" xfId="1768"/>
    <cellStyle name="40% - Акцент5 2" xfId="1769"/>
    <cellStyle name="40% — акцент5 2" xfId="1770"/>
    <cellStyle name="40% - Акцент5 2 10" xfId="1771"/>
    <cellStyle name="40% — акцент5 2 10" xfId="6587"/>
    <cellStyle name="40% - Акцент5 2 10 10" xfId="8503"/>
    <cellStyle name="40% - Акцент5 2 10 11" xfId="8648"/>
    <cellStyle name="40% - Акцент5 2 10 12" xfId="9984"/>
    <cellStyle name="40% - Акцент5 2 10 13" xfId="10765"/>
    <cellStyle name="40% - Акцент5 2 10 14" xfId="11093"/>
    <cellStyle name="40% - Акцент5 2 10 15" xfId="11328"/>
    <cellStyle name="40% - Акцент5 2 10 16" xfId="11563"/>
    <cellStyle name="40% - Акцент5 2 10 17" xfId="11798"/>
    <cellStyle name="40% - Акцент5 2 10 18" xfId="12033"/>
    <cellStyle name="40% - Акцент5 2 10 19" xfId="12268"/>
    <cellStyle name="40% - Акцент5 2 10 2" xfId="4748"/>
    <cellStyle name="40% - Акцент5 2 10 20" xfId="12503"/>
    <cellStyle name="40% - Акцент5 2 10 21" xfId="12738"/>
    <cellStyle name="40% - Акцент5 2 10 22" xfId="12973"/>
    <cellStyle name="40% - Акцент5 2 10 23" xfId="13208"/>
    <cellStyle name="40% - Акцент5 2 10 24" xfId="13443"/>
    <cellStyle name="40% - Акцент5 2 10 25" xfId="13678"/>
    <cellStyle name="40% - Акцент5 2 10 26" xfId="13912"/>
    <cellStyle name="40% - Акцент5 2 10 27" xfId="14138"/>
    <cellStyle name="40% - Акцент5 2 10 28" xfId="14364"/>
    <cellStyle name="40% - Акцент5 2 10 29" xfId="14584"/>
    <cellStyle name="40% - Акцент5 2 10 3" xfId="6794"/>
    <cellStyle name="40% - Акцент5 2 10 30" xfId="14805"/>
    <cellStyle name="40% - Акцент5 2 10 31" xfId="15001"/>
    <cellStyle name="40% - Акцент5 2 10 32" xfId="15197"/>
    <cellStyle name="40% - Акцент5 2 10 33" xfId="15341"/>
    <cellStyle name="40% - Акцент5 2 10 4" xfId="6995"/>
    <cellStyle name="40% - Акцент5 2 10 5" xfId="7439"/>
    <cellStyle name="40% - Акцент5 2 10 6" xfId="7666"/>
    <cellStyle name="40% - Акцент5 2 10 7" xfId="7888"/>
    <cellStyle name="40% - Акцент5 2 10 8" xfId="8109"/>
    <cellStyle name="40% - Акцент5 2 10 9" xfId="8306"/>
    <cellStyle name="40% - Акцент5 2 11" xfId="4746"/>
    <cellStyle name="40% — акцент5 2 11" xfId="6795"/>
    <cellStyle name="40% - Акцент5 2 12" xfId="5650"/>
    <cellStyle name="40% — акцент5 2 12" xfId="6996"/>
    <cellStyle name="40% - Акцент5 2 13" xfId="5981"/>
    <cellStyle name="40% — акцент5 2 13" xfId="7440"/>
    <cellStyle name="40% - Акцент5 2 14" xfId="5600"/>
    <cellStyle name="40% — акцент5 2 14" xfId="7667"/>
    <cellStyle name="40% - Акцент5 2 15" xfId="6041"/>
    <cellStyle name="40% — акцент5 2 15" xfId="7889"/>
    <cellStyle name="40% - Акцент5 2 16" xfId="5502"/>
    <cellStyle name="40% — акцент5 2 16" xfId="8110"/>
    <cellStyle name="40% - Акцент5 2 17" xfId="6173"/>
    <cellStyle name="40% — акцент5 2 17" xfId="8307"/>
    <cellStyle name="40% - Акцент5 2 18" xfId="6424"/>
    <cellStyle name="40% — акцент5 2 18" xfId="8504"/>
    <cellStyle name="40% - Акцент5 2 19" xfId="6588"/>
    <cellStyle name="40% — акцент5 2 19" xfId="8649"/>
    <cellStyle name="40% - Акцент5 2 2" xfId="1772"/>
    <cellStyle name="40% — акцент5 2 2" xfId="4747"/>
    <cellStyle name="40% - Акцент5 2 2 10" xfId="6421"/>
    <cellStyle name="40% - Акцент5 2 2 11" xfId="6582"/>
    <cellStyle name="40% - Акцент5 2 2 12" xfId="6790"/>
    <cellStyle name="40% - Акцент5 2 2 13" xfId="6994"/>
    <cellStyle name="40% - Акцент5 2 2 14" xfId="7438"/>
    <cellStyle name="40% - Акцент5 2 2 15" xfId="7665"/>
    <cellStyle name="40% - Акцент5 2 2 16" xfId="7887"/>
    <cellStyle name="40% - Акцент5 2 2 17" xfId="8108"/>
    <cellStyle name="40% - Акцент5 2 2 18" xfId="8305"/>
    <cellStyle name="40% - Акцент5 2 2 19" xfId="8502"/>
    <cellStyle name="40% - Акцент5 2 2 2" xfId="1773"/>
    <cellStyle name="40% - Акцент5 2 2 20" xfId="8647"/>
    <cellStyle name="40% - Акцент5 2 2 21" xfId="8849"/>
    <cellStyle name="40% - Акцент5 2 2 22" xfId="9093"/>
    <cellStyle name="40% - Акцент5 2 2 23" xfId="9181"/>
    <cellStyle name="40% - Акцент5 2 2 24" xfId="9313"/>
    <cellStyle name="40% - Акцент5 2 2 25" xfId="9403"/>
    <cellStyle name="40% - Акцент5 2 2 26" xfId="9492"/>
    <cellStyle name="40% - Акцент5 2 2 27" xfId="9576"/>
    <cellStyle name="40% - Акцент5 2 2 28" xfId="9266"/>
    <cellStyle name="40% - Акцент5 2 2 29" xfId="9704"/>
    <cellStyle name="40% - Акцент5 2 2 3" xfId="4749"/>
    <cellStyle name="40% - Акцент5 2 2 30" xfId="9985"/>
    <cellStyle name="40% - Акцент5 2 2 31" xfId="10766"/>
    <cellStyle name="40% - Акцент5 2 2 32" xfId="11092"/>
    <cellStyle name="40% - Акцент5 2 2 33" xfId="11327"/>
    <cellStyle name="40% - Акцент5 2 2 34" xfId="11562"/>
    <cellStyle name="40% - Акцент5 2 2 35" xfId="11797"/>
    <cellStyle name="40% - Акцент5 2 2 36" xfId="12032"/>
    <cellStyle name="40% - Акцент5 2 2 37" xfId="12267"/>
    <cellStyle name="40% - Акцент5 2 2 38" xfId="12502"/>
    <cellStyle name="40% - Акцент5 2 2 39" xfId="12737"/>
    <cellStyle name="40% - Акцент5 2 2 4" xfId="5653"/>
    <cellStyle name="40% - Акцент5 2 2 40" xfId="12972"/>
    <cellStyle name="40% - Акцент5 2 2 41" xfId="13207"/>
    <cellStyle name="40% - Акцент5 2 2 42" xfId="13442"/>
    <cellStyle name="40% - Акцент5 2 2 43" xfId="13677"/>
    <cellStyle name="40% - Акцент5 2 2 44" xfId="13911"/>
    <cellStyle name="40% - Акцент5 2 2 45" xfId="14137"/>
    <cellStyle name="40% - Акцент5 2 2 46" xfId="14363"/>
    <cellStyle name="40% - Акцент5 2 2 47" xfId="14583"/>
    <cellStyle name="40% - Акцент5 2 2 48" xfId="14804"/>
    <cellStyle name="40% - Акцент5 2 2 49" xfId="15000"/>
    <cellStyle name="40% - Акцент5 2 2 5" xfId="5978"/>
    <cellStyle name="40% - Акцент5 2 2 50" xfId="15196"/>
    <cellStyle name="40% - Акцент5 2 2 51" xfId="15340"/>
    <cellStyle name="40% - Акцент5 2 2 52" xfId="15539"/>
    <cellStyle name="40% - Акцент5 2 2 53" xfId="15617"/>
    <cellStyle name="40% - Акцент5 2 2 54" xfId="15693"/>
    <cellStyle name="40% - Акцент5 2 2 6" xfId="5603"/>
    <cellStyle name="40% - Акцент5 2 2 7" xfId="6038"/>
    <cellStyle name="40% - Акцент5 2 2 8" xfId="5506"/>
    <cellStyle name="40% - Акцент5 2 2 9" xfId="6170"/>
    <cellStyle name="40% - Акцент5 2 20" xfId="6796"/>
    <cellStyle name="40% — акцент5 2 20" xfId="8848"/>
    <cellStyle name="40% - Акцент5 2 21" xfId="6997"/>
    <cellStyle name="40% — акцент5 2 21" xfId="9092"/>
    <cellStyle name="40% - Акцент5 2 22" xfId="7441"/>
    <cellStyle name="40% — акцент5 2 22" xfId="9182"/>
    <cellStyle name="40% - Акцент5 2 23" xfId="7668"/>
    <cellStyle name="40% — акцент5 2 23" xfId="9314"/>
    <cellStyle name="40% - Акцент5 2 24" xfId="7890"/>
    <cellStyle name="40% — акцент5 2 24" xfId="9404"/>
    <cellStyle name="40% - Акцент5 2 25" xfId="8111"/>
    <cellStyle name="40% — акцент5 2 25" xfId="9493"/>
    <cellStyle name="40% - Акцент5 2 26" xfId="8308"/>
    <cellStyle name="40% — акцент5 2 26" xfId="9577"/>
    <cellStyle name="40% - Акцент5 2 27" xfId="8505"/>
    <cellStyle name="40% — акцент5 2 27" xfId="9267"/>
    <cellStyle name="40% - Акцент5 2 28" xfId="8650"/>
    <cellStyle name="40% — акцент5 2 28" xfId="9705"/>
    <cellStyle name="40% - Акцент5 2 29" xfId="8847"/>
    <cellStyle name="40% — акцент5 2 29" xfId="9983"/>
    <cellStyle name="40% - Акцент5 2 3" xfId="1774"/>
    <cellStyle name="40% — акцент5 2 3" xfId="5651"/>
    <cellStyle name="40% - Акцент5 2 3 10" xfId="6575"/>
    <cellStyle name="40% - Акцент5 2 3 11" xfId="6782"/>
    <cellStyle name="40% - Акцент5 2 3 12" xfId="6993"/>
    <cellStyle name="40% - Акцент5 2 3 13" xfId="7437"/>
    <cellStyle name="40% - Акцент5 2 3 14" xfId="7664"/>
    <cellStyle name="40% - Акцент5 2 3 15" xfId="7886"/>
    <cellStyle name="40% - Акцент5 2 3 16" xfId="8107"/>
    <cellStyle name="40% - Акцент5 2 3 17" xfId="8304"/>
    <cellStyle name="40% - Акцент5 2 3 18" xfId="8501"/>
    <cellStyle name="40% - Акцент5 2 3 19" xfId="8646"/>
    <cellStyle name="40% - Акцент5 2 3 2" xfId="1775"/>
    <cellStyle name="40% - Акцент5 2 3 20" xfId="9986"/>
    <cellStyle name="40% - Акцент5 2 3 21" xfId="10767"/>
    <cellStyle name="40% - Акцент5 2 3 22" xfId="11091"/>
    <cellStyle name="40% - Акцент5 2 3 23" xfId="11326"/>
    <cellStyle name="40% - Акцент5 2 3 24" xfId="11561"/>
    <cellStyle name="40% - Акцент5 2 3 25" xfId="11796"/>
    <cellStyle name="40% - Акцент5 2 3 26" xfId="12031"/>
    <cellStyle name="40% - Акцент5 2 3 27" xfId="12266"/>
    <cellStyle name="40% - Акцент5 2 3 28" xfId="12501"/>
    <cellStyle name="40% - Акцент5 2 3 29" xfId="12736"/>
    <cellStyle name="40% - Акцент5 2 3 3" xfId="4750"/>
    <cellStyle name="40% - Акцент5 2 3 30" xfId="12971"/>
    <cellStyle name="40% - Акцент5 2 3 31" xfId="13206"/>
    <cellStyle name="40% - Акцент5 2 3 32" xfId="13441"/>
    <cellStyle name="40% - Акцент5 2 3 33" xfId="13676"/>
    <cellStyle name="40% - Акцент5 2 3 34" xfId="13910"/>
    <cellStyle name="40% - Акцент5 2 3 35" xfId="14136"/>
    <cellStyle name="40% - Акцент5 2 3 36" xfId="14362"/>
    <cellStyle name="40% - Акцент5 2 3 37" xfId="14582"/>
    <cellStyle name="40% - Акцент5 2 3 38" xfId="14803"/>
    <cellStyle name="40% - Акцент5 2 3 39" xfId="14999"/>
    <cellStyle name="40% - Акцент5 2 3 4" xfId="5977"/>
    <cellStyle name="40% - Акцент5 2 3 40" xfId="15195"/>
    <cellStyle name="40% - Акцент5 2 3 41" xfId="15339"/>
    <cellStyle name="40% - Акцент5 2 3 5" xfId="5604"/>
    <cellStyle name="40% - Акцент5 2 3 6" xfId="6037"/>
    <cellStyle name="40% - Акцент5 2 3 7" xfId="5508"/>
    <cellStyle name="40% - Акцент5 2 3 8" xfId="6169"/>
    <cellStyle name="40% - Акцент5 2 3 9" xfId="6420"/>
    <cellStyle name="40% - Акцент5 2 30" xfId="9091"/>
    <cellStyle name="40% — акцент5 2 30" xfId="10764"/>
    <cellStyle name="40% - Акцент5 2 31" xfId="9183"/>
    <cellStyle name="40% — акцент5 2 31" xfId="11094"/>
    <cellStyle name="40% - Акцент5 2 32" xfId="9315"/>
    <cellStyle name="40% — акцент5 2 32" xfId="11329"/>
    <cellStyle name="40% - Акцент5 2 33" xfId="9405"/>
    <cellStyle name="40% — акцент5 2 33" xfId="11564"/>
    <cellStyle name="40% - Акцент5 2 34" xfId="9494"/>
    <cellStyle name="40% — акцент5 2 34" xfId="11799"/>
    <cellStyle name="40% - Акцент5 2 35" xfId="9578"/>
    <cellStyle name="40% — акцент5 2 35" xfId="12034"/>
    <cellStyle name="40% - Акцент5 2 36" xfId="9268"/>
    <cellStyle name="40% — акцент5 2 36" xfId="12269"/>
    <cellStyle name="40% - Акцент5 2 37" xfId="9706"/>
    <cellStyle name="40% — акцент5 2 37" xfId="12504"/>
    <cellStyle name="40% - Акцент5 2 38" xfId="9982"/>
    <cellStyle name="40% — акцент5 2 38" xfId="12739"/>
    <cellStyle name="40% - Акцент5 2 39" xfId="10763"/>
    <cellStyle name="40% — акцент5 2 39" xfId="12974"/>
    <cellStyle name="40% - Акцент5 2 4" xfId="1776"/>
    <cellStyle name="40% — акцент5 2 4" xfId="5980"/>
    <cellStyle name="40% - Акцент5 2 4 10" xfId="6989"/>
    <cellStyle name="40% - Акцент5 2 4 11" xfId="7436"/>
    <cellStyle name="40% - Акцент5 2 4 12" xfId="7663"/>
    <cellStyle name="40% - Акцент5 2 4 13" xfId="7885"/>
    <cellStyle name="40% - Акцент5 2 4 14" xfId="8106"/>
    <cellStyle name="40% - Акцент5 2 4 15" xfId="8303"/>
    <cellStyle name="40% - Акцент5 2 4 16" xfId="8500"/>
    <cellStyle name="40% - Акцент5 2 4 17" xfId="8645"/>
    <cellStyle name="40% - Акцент5 2 4 18" xfId="9987"/>
    <cellStyle name="40% - Акцент5 2 4 19" xfId="10768"/>
    <cellStyle name="40% - Акцент5 2 4 2" xfId="4751"/>
    <cellStyle name="40% - Акцент5 2 4 20" xfId="11090"/>
    <cellStyle name="40% - Акцент5 2 4 21" xfId="11325"/>
    <cellStyle name="40% - Акцент5 2 4 22" xfId="11560"/>
    <cellStyle name="40% - Акцент5 2 4 23" xfId="11795"/>
    <cellStyle name="40% - Акцент5 2 4 24" xfId="12030"/>
    <cellStyle name="40% - Акцент5 2 4 25" xfId="12265"/>
    <cellStyle name="40% - Акцент5 2 4 26" xfId="12500"/>
    <cellStyle name="40% - Акцент5 2 4 27" xfId="12735"/>
    <cellStyle name="40% - Акцент5 2 4 28" xfId="12970"/>
    <cellStyle name="40% - Акцент5 2 4 29" xfId="13205"/>
    <cellStyle name="40% - Акцент5 2 4 3" xfId="5608"/>
    <cellStyle name="40% - Акцент5 2 4 30" xfId="13440"/>
    <cellStyle name="40% - Акцент5 2 4 31" xfId="13675"/>
    <cellStyle name="40% - Акцент5 2 4 32" xfId="13909"/>
    <cellStyle name="40% - Акцент5 2 4 33" xfId="14135"/>
    <cellStyle name="40% - Акцент5 2 4 34" xfId="14361"/>
    <cellStyle name="40% - Акцент5 2 4 35" xfId="14581"/>
    <cellStyle name="40% - Акцент5 2 4 36" xfId="14802"/>
    <cellStyle name="40% - Акцент5 2 4 37" xfId="14998"/>
    <cellStyle name="40% - Акцент5 2 4 38" xfId="15194"/>
    <cellStyle name="40% - Акцент5 2 4 39" xfId="15338"/>
    <cellStyle name="40% - Акцент5 2 4 4" xfId="6036"/>
    <cellStyle name="40% - Акцент5 2 4 5" xfId="5509"/>
    <cellStyle name="40% - Акцент5 2 4 6" xfId="6167"/>
    <cellStyle name="40% - Акцент5 2 4 7" xfId="6419"/>
    <cellStyle name="40% - Акцент5 2 4 8" xfId="6574"/>
    <cellStyle name="40% - Акцент5 2 4 9" xfId="6780"/>
    <cellStyle name="40% - Акцент5 2 40" xfId="11095"/>
    <cellStyle name="40% — акцент5 2 40" xfId="13209"/>
    <cellStyle name="40% - Акцент5 2 41" xfId="11330"/>
    <cellStyle name="40% — акцент5 2 41" xfId="13444"/>
    <cellStyle name="40% - Акцент5 2 42" xfId="11565"/>
    <cellStyle name="40% — акцент5 2 42" xfId="13679"/>
    <cellStyle name="40% - Акцент5 2 43" xfId="11800"/>
    <cellStyle name="40% — акцент5 2 43" xfId="13913"/>
    <cellStyle name="40% - Акцент5 2 44" xfId="12035"/>
    <cellStyle name="40% — акцент5 2 44" xfId="14139"/>
    <cellStyle name="40% - Акцент5 2 45" xfId="12270"/>
    <cellStyle name="40% — акцент5 2 45" xfId="14365"/>
    <cellStyle name="40% - Акцент5 2 46" xfId="12505"/>
    <cellStyle name="40% — акцент5 2 46" xfId="14585"/>
    <cellStyle name="40% - Акцент5 2 47" xfId="12740"/>
    <cellStyle name="40% — акцент5 2 47" xfId="14806"/>
    <cellStyle name="40% - Акцент5 2 48" xfId="12975"/>
    <cellStyle name="40% — акцент5 2 48" xfId="15002"/>
    <cellStyle name="40% - Акцент5 2 49" xfId="13210"/>
    <cellStyle name="40% — акцент5 2 49" xfId="15198"/>
    <cellStyle name="40% - Акцент5 2 5" xfId="1777"/>
    <cellStyle name="40% — акцент5 2 5" xfId="5601"/>
    <cellStyle name="40% - Акцент5 2 5 10" xfId="7435"/>
    <cellStyle name="40% - Акцент5 2 5 11" xfId="7662"/>
    <cellStyle name="40% - Акцент5 2 5 12" xfId="7884"/>
    <cellStyle name="40% - Акцент5 2 5 13" xfId="8105"/>
    <cellStyle name="40% - Акцент5 2 5 14" xfId="8302"/>
    <cellStyle name="40% - Акцент5 2 5 15" xfId="8499"/>
    <cellStyle name="40% - Акцент5 2 5 16" xfId="8644"/>
    <cellStyle name="40% - Акцент5 2 5 17" xfId="9988"/>
    <cellStyle name="40% - Акцент5 2 5 18" xfId="10769"/>
    <cellStyle name="40% - Акцент5 2 5 19" xfId="11089"/>
    <cellStyle name="40% - Акцент5 2 5 2" xfId="4752"/>
    <cellStyle name="40% - Акцент5 2 5 20" xfId="11324"/>
    <cellStyle name="40% - Акцент5 2 5 21" xfId="11559"/>
    <cellStyle name="40% - Акцент5 2 5 22" xfId="11794"/>
    <cellStyle name="40% - Акцент5 2 5 23" xfId="12029"/>
    <cellStyle name="40% - Акцент5 2 5 24" xfId="12264"/>
    <cellStyle name="40% - Акцент5 2 5 25" xfId="12499"/>
    <cellStyle name="40% - Акцент5 2 5 26" xfId="12734"/>
    <cellStyle name="40% - Акцент5 2 5 27" xfId="12969"/>
    <cellStyle name="40% - Акцент5 2 5 28" xfId="13204"/>
    <cellStyle name="40% - Акцент5 2 5 29" xfId="13439"/>
    <cellStyle name="40% - Акцент5 2 5 3" xfId="6034"/>
    <cellStyle name="40% - Акцент5 2 5 30" xfId="13674"/>
    <cellStyle name="40% - Акцент5 2 5 31" xfId="13908"/>
    <cellStyle name="40% - Акцент5 2 5 32" xfId="14134"/>
    <cellStyle name="40% - Акцент5 2 5 33" xfId="14360"/>
    <cellStyle name="40% - Акцент5 2 5 34" xfId="14580"/>
    <cellStyle name="40% - Акцент5 2 5 35" xfId="14801"/>
    <cellStyle name="40% - Акцент5 2 5 36" xfId="14997"/>
    <cellStyle name="40% - Акцент5 2 5 37" xfId="15193"/>
    <cellStyle name="40% - Акцент5 2 5 38" xfId="15337"/>
    <cellStyle name="40% - Акцент5 2 5 4" xfId="5510"/>
    <cellStyle name="40% - Акцент5 2 5 5" xfId="6166"/>
    <cellStyle name="40% - Акцент5 2 5 6" xfId="6415"/>
    <cellStyle name="40% - Акцент5 2 5 7" xfId="6572"/>
    <cellStyle name="40% - Акцент5 2 5 8" xfId="6779"/>
    <cellStyle name="40% - Акцент5 2 5 9" xfId="6979"/>
    <cellStyle name="40% - Акцент5 2 50" xfId="13445"/>
    <cellStyle name="40% — акцент5 2 50" xfId="15342"/>
    <cellStyle name="40% - Акцент5 2 51" xfId="13680"/>
    <cellStyle name="40% — акцент5 2 51" xfId="15538"/>
    <cellStyle name="40% - Акцент5 2 52" xfId="13914"/>
    <cellStyle name="40% — акцент5 2 52" xfId="15618"/>
    <cellStyle name="40% - Акцент5 2 53" xfId="14140"/>
    <cellStyle name="40% — акцент5 2 53" xfId="15694"/>
    <cellStyle name="40% - Акцент5 2 54" xfId="14366"/>
    <cellStyle name="40% - Акцент5 2 55" xfId="14586"/>
    <cellStyle name="40% - Акцент5 2 56" xfId="14807"/>
    <cellStyle name="40% - Акцент5 2 57" xfId="15003"/>
    <cellStyle name="40% - Акцент5 2 58" xfId="15199"/>
    <cellStyle name="40% - Акцент5 2 59" xfId="15343"/>
    <cellStyle name="40% - Акцент5 2 6" xfId="1778"/>
    <cellStyle name="40% — акцент5 2 6" xfId="6040"/>
    <cellStyle name="40% - Акцент5 2 6 10" xfId="7661"/>
    <cellStyle name="40% - Акцент5 2 6 11" xfId="7883"/>
    <cellStyle name="40% - Акцент5 2 6 12" xfId="8104"/>
    <cellStyle name="40% - Акцент5 2 6 13" xfId="8301"/>
    <cellStyle name="40% - Акцент5 2 6 14" xfId="8498"/>
    <cellStyle name="40% - Акцент5 2 6 15" xfId="8643"/>
    <cellStyle name="40% - Акцент5 2 6 16" xfId="9989"/>
    <cellStyle name="40% - Акцент5 2 6 17" xfId="10770"/>
    <cellStyle name="40% - Акцент5 2 6 18" xfId="11088"/>
    <cellStyle name="40% - Акцент5 2 6 19" xfId="11323"/>
    <cellStyle name="40% - Акцент5 2 6 2" xfId="4753"/>
    <cellStyle name="40% - Акцент5 2 6 20" xfId="11558"/>
    <cellStyle name="40% - Акцент5 2 6 21" xfId="11793"/>
    <cellStyle name="40% - Акцент5 2 6 22" xfId="12028"/>
    <cellStyle name="40% - Акцент5 2 6 23" xfId="12263"/>
    <cellStyle name="40% - Акцент5 2 6 24" xfId="12498"/>
    <cellStyle name="40% - Акцент5 2 6 25" xfId="12733"/>
    <cellStyle name="40% - Акцент5 2 6 26" xfId="12968"/>
    <cellStyle name="40% - Акцент5 2 6 27" xfId="13203"/>
    <cellStyle name="40% - Акцент5 2 6 28" xfId="13438"/>
    <cellStyle name="40% - Акцент5 2 6 29" xfId="13673"/>
    <cellStyle name="40% - Акцент5 2 6 3" xfId="5511"/>
    <cellStyle name="40% - Акцент5 2 6 30" xfId="13907"/>
    <cellStyle name="40% - Акцент5 2 6 31" xfId="14133"/>
    <cellStyle name="40% - Акцент5 2 6 32" xfId="14359"/>
    <cellStyle name="40% - Акцент5 2 6 33" xfId="14579"/>
    <cellStyle name="40% - Акцент5 2 6 34" xfId="14800"/>
    <cellStyle name="40% - Акцент5 2 6 35" xfId="14996"/>
    <cellStyle name="40% - Акцент5 2 6 36" xfId="15192"/>
    <cellStyle name="40% - Акцент5 2 6 37" xfId="15336"/>
    <cellStyle name="40% - Акцент5 2 6 4" xfId="6162"/>
    <cellStyle name="40% - Акцент5 2 6 5" xfId="6409"/>
    <cellStyle name="40% - Акцент5 2 6 6" xfId="6571"/>
    <cellStyle name="40% - Акцент5 2 6 7" xfId="6778"/>
    <cellStyle name="40% - Акцент5 2 6 8" xfId="6978"/>
    <cellStyle name="40% - Акцент5 2 6 9" xfId="7434"/>
    <cellStyle name="40% - Акцент5 2 60" xfId="15537"/>
    <cellStyle name="40% - Акцент5 2 61" xfId="15619"/>
    <cellStyle name="40% - Акцент5 2 62" xfId="15695"/>
    <cellStyle name="40% - Акцент5 2 7" xfId="1779"/>
    <cellStyle name="40% — акцент5 2 7" xfId="5504"/>
    <cellStyle name="40% - Акцент5 2 7 10" xfId="7882"/>
    <cellStyle name="40% - Акцент5 2 7 11" xfId="8103"/>
    <cellStyle name="40% - Акцент5 2 7 12" xfId="8300"/>
    <cellStyle name="40% - Акцент5 2 7 13" xfId="8497"/>
    <cellStyle name="40% - Акцент5 2 7 14" xfId="8642"/>
    <cellStyle name="40% - Акцент5 2 7 15" xfId="9990"/>
    <cellStyle name="40% - Акцент5 2 7 16" xfId="10771"/>
    <cellStyle name="40% - Акцент5 2 7 17" xfId="11087"/>
    <cellStyle name="40% - Акцент5 2 7 18" xfId="11322"/>
    <cellStyle name="40% - Акцент5 2 7 19" xfId="11557"/>
    <cellStyle name="40% - Акцент5 2 7 2" xfId="4754"/>
    <cellStyle name="40% - Акцент5 2 7 20" xfId="11792"/>
    <cellStyle name="40% - Акцент5 2 7 21" xfId="12027"/>
    <cellStyle name="40% - Акцент5 2 7 22" xfId="12262"/>
    <cellStyle name="40% - Акцент5 2 7 23" xfId="12497"/>
    <cellStyle name="40% - Акцент5 2 7 24" xfId="12732"/>
    <cellStyle name="40% - Акцент5 2 7 25" xfId="12967"/>
    <cellStyle name="40% - Акцент5 2 7 26" xfId="13202"/>
    <cellStyle name="40% - Акцент5 2 7 27" xfId="13437"/>
    <cellStyle name="40% - Акцент5 2 7 28" xfId="13672"/>
    <cellStyle name="40% - Акцент5 2 7 29" xfId="13906"/>
    <cellStyle name="40% - Акцент5 2 7 3" xfId="6152"/>
    <cellStyle name="40% - Акцент5 2 7 30" xfId="14132"/>
    <cellStyle name="40% - Акцент5 2 7 31" xfId="14358"/>
    <cellStyle name="40% - Акцент5 2 7 32" xfId="14578"/>
    <cellStyle name="40% - Акцент5 2 7 33" xfId="14799"/>
    <cellStyle name="40% - Акцент5 2 7 34" xfId="14995"/>
    <cellStyle name="40% - Акцент5 2 7 35" xfId="15191"/>
    <cellStyle name="40% - Акцент5 2 7 36" xfId="15335"/>
    <cellStyle name="40% - Акцент5 2 7 4" xfId="6408"/>
    <cellStyle name="40% - Акцент5 2 7 5" xfId="6570"/>
    <cellStyle name="40% - Акцент5 2 7 6" xfId="6777"/>
    <cellStyle name="40% - Акцент5 2 7 7" xfId="6977"/>
    <cellStyle name="40% - Акцент5 2 7 8" xfId="7433"/>
    <cellStyle name="40% - Акцент5 2 7 9" xfId="7660"/>
    <cellStyle name="40% - Акцент5 2 8" xfId="1780"/>
    <cellStyle name="40% — акцент5 2 8" xfId="6172"/>
    <cellStyle name="40% - Акцент5 2 8 10" xfId="8102"/>
    <cellStyle name="40% - Акцент5 2 8 11" xfId="8299"/>
    <cellStyle name="40% - Акцент5 2 8 12" xfId="8496"/>
    <cellStyle name="40% - Акцент5 2 8 13" xfId="8641"/>
    <cellStyle name="40% - Акцент5 2 8 14" xfId="9991"/>
    <cellStyle name="40% - Акцент5 2 8 15" xfId="10772"/>
    <cellStyle name="40% - Акцент5 2 8 16" xfId="11086"/>
    <cellStyle name="40% - Акцент5 2 8 17" xfId="11321"/>
    <cellStyle name="40% - Акцент5 2 8 18" xfId="11556"/>
    <cellStyle name="40% - Акцент5 2 8 19" xfId="11791"/>
    <cellStyle name="40% - Акцент5 2 8 2" xfId="4755"/>
    <cellStyle name="40% - Акцент5 2 8 20" xfId="12026"/>
    <cellStyle name="40% - Акцент5 2 8 21" xfId="12261"/>
    <cellStyle name="40% - Акцент5 2 8 22" xfId="12496"/>
    <cellStyle name="40% - Акцент5 2 8 23" xfId="12731"/>
    <cellStyle name="40% - Акцент5 2 8 24" xfId="12966"/>
    <cellStyle name="40% - Акцент5 2 8 25" xfId="13201"/>
    <cellStyle name="40% - Акцент5 2 8 26" xfId="13436"/>
    <cellStyle name="40% - Акцент5 2 8 27" xfId="13671"/>
    <cellStyle name="40% - Акцент5 2 8 28" xfId="13905"/>
    <cellStyle name="40% - Акцент5 2 8 29" xfId="14131"/>
    <cellStyle name="40% - Акцент5 2 8 3" xfId="6407"/>
    <cellStyle name="40% - Акцент5 2 8 30" xfId="14357"/>
    <cellStyle name="40% - Акцент5 2 8 31" xfId="14577"/>
    <cellStyle name="40% - Акцент5 2 8 32" xfId="14798"/>
    <cellStyle name="40% - Акцент5 2 8 33" xfId="14994"/>
    <cellStyle name="40% - Акцент5 2 8 34" xfId="15190"/>
    <cellStyle name="40% - Акцент5 2 8 35" xfId="15334"/>
    <cellStyle name="40% - Акцент5 2 8 4" xfId="6569"/>
    <cellStyle name="40% - Акцент5 2 8 5" xfId="6776"/>
    <cellStyle name="40% - Акцент5 2 8 6" xfId="6976"/>
    <cellStyle name="40% - Акцент5 2 8 7" xfId="7432"/>
    <cellStyle name="40% - Акцент5 2 8 8" xfId="7659"/>
    <cellStyle name="40% - Акцент5 2 8 9" xfId="7881"/>
    <cellStyle name="40% - Акцент5 2 9" xfId="1781"/>
    <cellStyle name="40% — акцент5 2 9" xfId="6423"/>
    <cellStyle name="40% - Акцент5 2 9 10" xfId="8298"/>
    <cellStyle name="40% - Акцент5 2 9 11" xfId="8495"/>
    <cellStyle name="40% - Акцент5 2 9 12" xfId="8640"/>
    <cellStyle name="40% - Акцент5 2 9 13" xfId="9992"/>
    <cellStyle name="40% - Акцент5 2 9 14" xfId="10773"/>
    <cellStyle name="40% - Акцент5 2 9 15" xfId="11085"/>
    <cellStyle name="40% - Акцент5 2 9 16" xfId="11320"/>
    <cellStyle name="40% - Акцент5 2 9 17" xfId="11555"/>
    <cellStyle name="40% - Акцент5 2 9 18" xfId="11790"/>
    <cellStyle name="40% - Акцент5 2 9 19" xfId="12025"/>
    <cellStyle name="40% - Акцент5 2 9 2" xfId="4756"/>
    <cellStyle name="40% - Акцент5 2 9 20" xfId="12260"/>
    <cellStyle name="40% - Акцент5 2 9 21" xfId="12495"/>
    <cellStyle name="40% - Акцент5 2 9 22" xfId="12730"/>
    <cellStyle name="40% - Акцент5 2 9 23" xfId="12965"/>
    <cellStyle name="40% - Акцент5 2 9 24" xfId="13200"/>
    <cellStyle name="40% - Акцент5 2 9 25" xfId="13435"/>
    <cellStyle name="40% - Акцент5 2 9 26" xfId="13670"/>
    <cellStyle name="40% - Акцент5 2 9 27" xfId="13904"/>
    <cellStyle name="40% - Акцент5 2 9 28" xfId="14130"/>
    <cellStyle name="40% - Акцент5 2 9 29" xfId="14356"/>
    <cellStyle name="40% - Акцент5 2 9 3" xfId="6568"/>
    <cellStyle name="40% - Акцент5 2 9 30" xfId="14576"/>
    <cellStyle name="40% - Акцент5 2 9 31" xfId="14797"/>
    <cellStyle name="40% - Акцент5 2 9 32" xfId="14993"/>
    <cellStyle name="40% - Акцент5 2 9 33" xfId="15189"/>
    <cellStyle name="40% - Акцент5 2 9 34" xfId="15333"/>
    <cellStyle name="40% - Акцент5 2 9 4" xfId="6775"/>
    <cellStyle name="40% - Акцент5 2 9 5" xfId="6975"/>
    <cellStyle name="40% - Акцент5 2 9 6" xfId="7431"/>
    <cellStyle name="40% - Акцент5 2 9 7" xfId="7658"/>
    <cellStyle name="40% - Акцент5 2 9 8" xfId="7880"/>
    <cellStyle name="40% - Акцент5 2 9 9" xfId="8101"/>
    <cellStyle name="40% - Акцент5 2_46EE.2011(v1.0)" xfId="1782"/>
    <cellStyle name="40% — акцент5 20" xfId="1783"/>
    <cellStyle name="40% — акцент5 21" xfId="1784"/>
    <cellStyle name="40% — акцент5 22" xfId="4745"/>
    <cellStyle name="40% — акцент5 23" xfId="5649"/>
    <cellStyle name="40% — акцент5 24" xfId="5982"/>
    <cellStyle name="40% — акцент5 25" xfId="5599"/>
    <cellStyle name="40% — акцент5 26" xfId="6044"/>
    <cellStyle name="40% — акцент5 27" xfId="5501"/>
    <cellStyle name="40% — акцент5 28" xfId="6174"/>
    <cellStyle name="40% — акцент5 29" xfId="6425"/>
    <cellStyle name="40% - Акцент5 3" xfId="1785"/>
    <cellStyle name="40% — акцент5 3" xfId="1786"/>
    <cellStyle name="40% - Акцент5 3 10" xfId="1787"/>
    <cellStyle name="40% - Акцент5 3 10 2" xfId="4758"/>
    <cellStyle name="40% - Акцент5 3 10 3" xfId="9994"/>
    <cellStyle name="40% - Акцент5 3 11" xfId="1788"/>
    <cellStyle name="40% - Акцент5 3 12" xfId="4757"/>
    <cellStyle name="40% - Акцент5 3 13" xfId="5661"/>
    <cellStyle name="40% - Акцент5 3 14" xfId="5970"/>
    <cellStyle name="40% - Акцент5 3 15" xfId="5615"/>
    <cellStyle name="40% - Акцент5 3 16" xfId="6029"/>
    <cellStyle name="40% - Акцент5 3 17" xfId="5525"/>
    <cellStyle name="40% - Акцент5 3 18" xfId="6149"/>
    <cellStyle name="40% - Акцент5 3 19" xfId="6404"/>
    <cellStyle name="40% - Акцент5 3 2" xfId="1789"/>
    <cellStyle name="40% - Акцент5 3 2 2" xfId="1790"/>
    <cellStyle name="40% - Акцент5 3 2 3" xfId="4759"/>
    <cellStyle name="40% - Акцент5 3 2 4" xfId="8851"/>
    <cellStyle name="40% - Акцент5 3 20" xfId="6567"/>
    <cellStyle name="40% - Акцент5 3 21" xfId="6774"/>
    <cellStyle name="40% - Акцент5 3 22" xfId="6974"/>
    <cellStyle name="40% - Акцент5 3 23" xfId="7430"/>
    <cellStyle name="40% - Акцент5 3 24" xfId="7657"/>
    <cellStyle name="40% - Акцент5 3 25" xfId="7879"/>
    <cellStyle name="40% - Акцент5 3 26" xfId="8100"/>
    <cellStyle name="40% - Акцент5 3 27" xfId="8297"/>
    <cellStyle name="40% - Акцент5 3 28" xfId="8494"/>
    <cellStyle name="40% - Акцент5 3 29" xfId="8639"/>
    <cellStyle name="40% - Акцент5 3 3" xfId="1791"/>
    <cellStyle name="40% - Акцент5 3 3 2" xfId="1792"/>
    <cellStyle name="40% - Акцент5 3 3 3" xfId="4760"/>
    <cellStyle name="40% - Акцент5 3 3 4" xfId="9996"/>
    <cellStyle name="40% - Акцент5 3 30" xfId="8850"/>
    <cellStyle name="40% - Акцент5 3 31" xfId="9094"/>
    <cellStyle name="40% - Акцент5 3 32" xfId="9180"/>
    <cellStyle name="40% - Акцент5 3 33" xfId="9312"/>
    <cellStyle name="40% - Акцент5 3 34" xfId="9402"/>
    <cellStyle name="40% - Акцент5 3 35" xfId="9491"/>
    <cellStyle name="40% - Акцент5 3 36" xfId="9575"/>
    <cellStyle name="40% - Акцент5 3 37" xfId="9265"/>
    <cellStyle name="40% - Акцент5 3 38" xfId="9703"/>
    <cellStyle name="40% - Акцент5 3 39" xfId="9993"/>
    <cellStyle name="40% - Акцент5 3 4" xfId="1793"/>
    <cellStyle name="40% - Акцент5 3 4 2" xfId="4761"/>
    <cellStyle name="40% - Акцент5 3 4 3" xfId="9997"/>
    <cellStyle name="40% - Акцент5 3 40" xfId="10774"/>
    <cellStyle name="40% - Акцент5 3 41" xfId="11084"/>
    <cellStyle name="40% - Акцент5 3 42" xfId="11319"/>
    <cellStyle name="40% - Акцент5 3 43" xfId="11554"/>
    <cellStyle name="40% - Акцент5 3 44" xfId="11789"/>
    <cellStyle name="40% - Акцент5 3 45" xfId="12024"/>
    <cellStyle name="40% - Акцент5 3 46" xfId="12259"/>
    <cellStyle name="40% - Акцент5 3 47" xfId="12494"/>
    <cellStyle name="40% - Акцент5 3 48" xfId="12729"/>
    <cellStyle name="40% - Акцент5 3 49" xfId="12964"/>
    <cellStyle name="40% - Акцент5 3 5" xfId="1794"/>
    <cellStyle name="40% - Акцент5 3 5 2" xfId="4762"/>
    <cellStyle name="40% - Акцент5 3 5 3" xfId="9998"/>
    <cellStyle name="40% - Акцент5 3 50" xfId="13199"/>
    <cellStyle name="40% - Акцент5 3 51" xfId="13434"/>
    <cellStyle name="40% - Акцент5 3 52" xfId="13669"/>
    <cellStyle name="40% - Акцент5 3 53" xfId="13903"/>
    <cellStyle name="40% - Акцент5 3 54" xfId="14129"/>
    <cellStyle name="40% - Акцент5 3 55" xfId="14355"/>
    <cellStyle name="40% - Акцент5 3 56" xfId="14575"/>
    <cellStyle name="40% - Акцент5 3 57" xfId="14796"/>
    <cellStyle name="40% - Акцент5 3 58" xfId="14992"/>
    <cellStyle name="40% - Акцент5 3 59" xfId="15188"/>
    <cellStyle name="40% - Акцент5 3 6" xfId="1795"/>
    <cellStyle name="40% - Акцент5 3 6 2" xfId="4763"/>
    <cellStyle name="40% - Акцент5 3 6 3" xfId="9999"/>
    <cellStyle name="40% - Акцент5 3 60" xfId="15332"/>
    <cellStyle name="40% - Акцент5 3 61" xfId="15540"/>
    <cellStyle name="40% - Акцент5 3 62" xfId="15616"/>
    <cellStyle name="40% - Акцент5 3 63" xfId="15692"/>
    <cellStyle name="40% - Акцент5 3 7" xfId="1796"/>
    <cellStyle name="40% - Акцент5 3 7 2" xfId="4764"/>
    <cellStyle name="40% - Акцент5 3 7 3" xfId="10000"/>
    <cellStyle name="40% - Акцент5 3 8" xfId="1797"/>
    <cellStyle name="40% - Акцент5 3 8 2" xfId="4765"/>
    <cellStyle name="40% - Акцент5 3 8 3" xfId="10001"/>
    <cellStyle name="40% - Акцент5 3 9" xfId="1798"/>
    <cellStyle name="40% - Акцент5 3 9 2" xfId="4766"/>
    <cellStyle name="40% - Акцент5 3 9 3" xfId="10002"/>
    <cellStyle name="40% - Акцент5 3_46EE.2011(v1.0)" xfId="1799"/>
    <cellStyle name="40% — акцент5 30" xfId="6589"/>
    <cellStyle name="40% — акцент5 31" xfId="6797"/>
    <cellStyle name="40% — акцент5 32" xfId="6998"/>
    <cellStyle name="40% — акцент5 33" xfId="7442"/>
    <cellStyle name="40% — акцент5 34" xfId="7669"/>
    <cellStyle name="40% — акцент5 35" xfId="7891"/>
    <cellStyle name="40% — акцент5 36" xfId="8112"/>
    <cellStyle name="40% — акцент5 37" xfId="8309"/>
    <cellStyle name="40% — акцент5 38" xfId="8506"/>
    <cellStyle name="40% — акцент5 39" xfId="8651"/>
    <cellStyle name="40% - Акцент5 4" xfId="1800"/>
    <cellStyle name="40% — акцент5 4" xfId="1801"/>
    <cellStyle name="40% - Акцент5 4 2" xfId="1802"/>
    <cellStyle name="40% - Акцент5 4 2 2" xfId="1803"/>
    <cellStyle name="40% - Акцент5 4 3" xfId="1804"/>
    <cellStyle name="40% - Акцент5 4 3 2" xfId="1805"/>
    <cellStyle name="40% - Акцент5 4_46EE.2011(v1.0)" xfId="1806"/>
    <cellStyle name="40% — акцент5 40" xfId="8846"/>
    <cellStyle name="40% — акцент5 41" xfId="9090"/>
    <cellStyle name="40% — акцент5 42" xfId="9184"/>
    <cellStyle name="40% — акцент5 43" xfId="9316"/>
    <cellStyle name="40% — акцент5 44" xfId="9406"/>
    <cellStyle name="40% — акцент5 45" xfId="9495"/>
    <cellStyle name="40% — акцент5 46" xfId="9579"/>
    <cellStyle name="40% — акцент5 47" xfId="9269"/>
    <cellStyle name="40% — акцент5 48" xfId="9707"/>
    <cellStyle name="40% — акцент5 49" xfId="9981"/>
    <cellStyle name="40% - Акцент5 5" xfId="1807"/>
    <cellStyle name="40% — акцент5 5" xfId="1808"/>
    <cellStyle name="40% - Акцент5 5 2" xfId="1809"/>
    <cellStyle name="40% - Акцент5 5 2 2" xfId="1810"/>
    <cellStyle name="40% - Акцент5 5 3" xfId="1811"/>
    <cellStyle name="40% - Акцент5 5 3 2" xfId="1812"/>
    <cellStyle name="40% - Акцент5 5_46EE.2011(v1.0)" xfId="1813"/>
    <cellStyle name="40% — акцент5 50" xfId="10762"/>
    <cellStyle name="40% — акцент5 51" xfId="11096"/>
    <cellStyle name="40% — акцент5 52" xfId="11331"/>
    <cellStyle name="40% — акцент5 53" xfId="11566"/>
    <cellStyle name="40% — акцент5 54" xfId="11801"/>
    <cellStyle name="40% — акцент5 55" xfId="12036"/>
    <cellStyle name="40% — акцент5 56" xfId="12271"/>
    <cellStyle name="40% — акцент5 57" xfId="12506"/>
    <cellStyle name="40% — акцент5 58" xfId="12741"/>
    <cellStyle name="40% — акцент5 59" xfId="12976"/>
    <cellStyle name="40% - Акцент5 6" xfId="1814"/>
    <cellStyle name="40% — акцент5 6" xfId="1815"/>
    <cellStyle name="40% - Акцент5 6 2" xfId="1816"/>
    <cellStyle name="40% - Акцент5 6 2 2" xfId="1817"/>
    <cellStyle name="40% - Акцент5 6 3" xfId="1818"/>
    <cellStyle name="40% - Акцент5 6 3 2" xfId="1819"/>
    <cellStyle name="40% - Акцент5 6_46EE.2011(v1.0)" xfId="1820"/>
    <cellStyle name="40% — акцент5 60" xfId="13211"/>
    <cellStyle name="40% — акцент5 61" xfId="13446"/>
    <cellStyle name="40% — акцент5 62" xfId="13681"/>
    <cellStyle name="40% — акцент5 63" xfId="13915"/>
    <cellStyle name="40% — акцент5 64" xfId="14141"/>
    <cellStyle name="40% — акцент5 65" xfId="14367"/>
    <cellStyle name="40% — акцент5 66" xfId="14587"/>
    <cellStyle name="40% — акцент5 67" xfId="14808"/>
    <cellStyle name="40% — акцент5 68" xfId="15004"/>
    <cellStyle name="40% — акцент5 69" xfId="15200"/>
    <cellStyle name="40% - Акцент5 7" xfId="1821"/>
    <cellStyle name="40% — акцент5 7" xfId="1822"/>
    <cellStyle name="40% - Акцент5 7 2" xfId="1823"/>
    <cellStyle name="40% - Акцент5 7 2 2" xfId="1824"/>
    <cellStyle name="40% - Акцент5 7 3" xfId="1825"/>
    <cellStyle name="40% - Акцент5 7 3 2" xfId="1826"/>
    <cellStyle name="40% - Акцент5 7_46EE.2011(v1.0)" xfId="1827"/>
    <cellStyle name="40% — акцент5 70" xfId="15344"/>
    <cellStyle name="40% — акцент5 71" xfId="15536"/>
    <cellStyle name="40% — акцент5 72" xfId="15620"/>
    <cellStyle name="40% — акцент5 73" xfId="15696"/>
    <cellStyle name="40% - Акцент5 8" xfId="1828"/>
    <cellStyle name="40% — акцент5 8" xfId="1829"/>
    <cellStyle name="40% - Акцент5 8 2" xfId="1830"/>
    <cellStyle name="40% - Акцент5 8 2 2" xfId="1831"/>
    <cellStyle name="40% - Акцент5 8 3" xfId="1832"/>
    <cellStyle name="40% - Акцент5 8 3 2" xfId="1833"/>
    <cellStyle name="40% - Акцент5 8 4" xfId="1834"/>
    <cellStyle name="40% - Акцент5 8_46EE.2011(v1.0)" xfId="1835"/>
    <cellStyle name="40% - Акцент5 9" xfId="1836"/>
    <cellStyle name="40% — акцент5 9" xfId="1837"/>
    <cellStyle name="40% - Акцент5 9 2" xfId="1838"/>
    <cellStyle name="40% - Акцент5 9 2 2" xfId="1839"/>
    <cellStyle name="40% - Акцент5 9 3" xfId="1840"/>
    <cellStyle name="40% - Акцент5 9 3 2" xfId="1841"/>
    <cellStyle name="40% - Акцент5 9 4" xfId="1842"/>
    <cellStyle name="40% - Акцент5 9_46EE.2011(v1.0)" xfId="1843"/>
    <cellStyle name="40% — акцент5_Расчет тарифа на тэ 2015 СЛФ" xfId="1844"/>
    <cellStyle name="40% — акцент6" xfId="1845"/>
    <cellStyle name="40% - Акцент6 10" xfId="1846"/>
    <cellStyle name="40% — акцент6 10" xfId="1847"/>
    <cellStyle name="40% - Акцент6 10 2" xfId="1848"/>
    <cellStyle name="40% - Акцент6 11" xfId="1849"/>
    <cellStyle name="40% — акцент6 11" xfId="1850"/>
    <cellStyle name="40% - Акцент6 11 2" xfId="1851"/>
    <cellStyle name="40% — акцент6 12" xfId="1852"/>
    <cellStyle name="40% — акцент6 13" xfId="1853"/>
    <cellStyle name="40% — акцент6 14" xfId="1854"/>
    <cellStyle name="40% — акцент6 15" xfId="1855"/>
    <cellStyle name="40% — акцент6 16" xfId="1856"/>
    <cellStyle name="40% — акцент6 17" xfId="1857"/>
    <cellStyle name="40% — акцент6 18" xfId="1858"/>
    <cellStyle name="40% — акцент6 19" xfId="1859"/>
    <cellStyle name="40% - Акцент6 2" xfId="1860"/>
    <cellStyle name="40% — акцент6 2" xfId="1861"/>
    <cellStyle name="40% - Акцент6 2 10" xfId="1862"/>
    <cellStyle name="40% — акцент6 2 10" xfId="6545"/>
    <cellStyle name="40% - Акцент6 2 10 10" xfId="8265"/>
    <cellStyle name="40% - Акцент6 2 10 11" xfId="8462"/>
    <cellStyle name="40% - Акцент6 2 10 12" xfId="10006"/>
    <cellStyle name="40% - Акцент6 2 10 13" xfId="10787"/>
    <cellStyle name="40% - Акцент6 2 10 14" xfId="11071"/>
    <cellStyle name="40% - Акцент6 2 10 15" xfId="10558"/>
    <cellStyle name="40% - Акцент6 2 10 16" xfId="11279"/>
    <cellStyle name="40% - Акцент6 2 10 17" xfId="11514"/>
    <cellStyle name="40% - Акцент6 2 10 18" xfId="11749"/>
    <cellStyle name="40% - Акцент6 2 10 19" xfId="11984"/>
    <cellStyle name="40% - Акцент6 2 10 2" xfId="4770"/>
    <cellStyle name="40% - Акцент6 2 10 20" xfId="12219"/>
    <cellStyle name="40% - Акцент6 2 10 21" xfId="12454"/>
    <cellStyle name="40% - Акцент6 2 10 22" xfId="12689"/>
    <cellStyle name="40% - Акцент6 2 10 23" xfId="12924"/>
    <cellStyle name="40% - Акцент6 2 10 24" xfId="13159"/>
    <cellStyle name="40% - Акцент6 2 10 25" xfId="13394"/>
    <cellStyle name="40% - Акцент6 2 10 26" xfId="13629"/>
    <cellStyle name="40% - Акцент6 2 10 27" xfId="13863"/>
    <cellStyle name="40% - Акцент6 2 10 28" xfId="14092"/>
    <cellStyle name="40% - Акцент6 2 10 29" xfId="14320"/>
    <cellStyle name="40% - Акцент6 2 10 3" xfId="6749"/>
    <cellStyle name="40% - Акцент6 2 10 30" xfId="14541"/>
    <cellStyle name="40% - Акцент6 2 10 31" xfId="14761"/>
    <cellStyle name="40% - Акцент6 2 10 32" xfId="14961"/>
    <cellStyle name="40% - Акцент6 2 10 33" xfId="15157"/>
    <cellStyle name="40% - Акцент6 2 10 4" xfId="6949"/>
    <cellStyle name="40% - Акцент6 2 10 5" xfId="7180"/>
    <cellStyle name="40% - Акцент6 2 10 6" xfId="7393"/>
    <cellStyle name="40% - Акцент6 2 10 7" xfId="7620"/>
    <cellStyle name="40% - Акцент6 2 10 8" xfId="7843"/>
    <cellStyle name="40% - Акцент6 2 10 9" xfId="8065"/>
    <cellStyle name="40% - Акцент6 2 11" xfId="4768"/>
    <cellStyle name="40% — акцент6 2 11" xfId="6750"/>
    <cellStyle name="40% - Акцент6 2 12" xfId="5672"/>
    <cellStyle name="40% — акцент6 2 12" xfId="6950"/>
    <cellStyle name="40% - Акцент6 2 13" xfId="5959"/>
    <cellStyle name="40% — акцент6 2 13" xfId="7181"/>
    <cellStyle name="40% - Акцент6 2 14" xfId="5630"/>
    <cellStyle name="40% — акцент6 2 14" xfId="7394"/>
    <cellStyle name="40% - Акцент6 2 15" xfId="6012"/>
    <cellStyle name="40% — акцент6 2 15" xfId="7621"/>
    <cellStyle name="40% - Акцент6 2 16" xfId="5538"/>
    <cellStyle name="40% — акцент6 2 16" xfId="7844"/>
    <cellStyle name="40% - Акцент6 2 17" xfId="6123"/>
    <cellStyle name="40% — акцент6 2 17" xfId="8066"/>
    <cellStyle name="40% - Акцент6 2 18" xfId="6262"/>
    <cellStyle name="40% — акцент6 2 18" xfId="8266"/>
    <cellStyle name="40% - Акцент6 2 19" xfId="6546"/>
    <cellStyle name="40% — акцент6 2 19" xfId="8463"/>
    <cellStyle name="40% - Акцент6 2 2" xfId="1863"/>
    <cellStyle name="40% — акцент6 2 2" xfId="4769"/>
    <cellStyle name="40% - Акцент6 2 2 10" xfId="6257"/>
    <cellStyle name="40% - Акцент6 2 2 11" xfId="6543"/>
    <cellStyle name="40% - Акцент6 2 2 12" xfId="6745"/>
    <cellStyle name="40% - Акцент6 2 2 13" xfId="6945"/>
    <cellStyle name="40% - Акцент6 2 2 14" xfId="7179"/>
    <cellStyle name="40% - Акцент6 2 2 15" xfId="7392"/>
    <cellStyle name="40% - Акцент6 2 2 16" xfId="7619"/>
    <cellStyle name="40% - Акцент6 2 2 17" xfId="7842"/>
    <cellStyle name="40% - Акцент6 2 2 18" xfId="8064"/>
    <cellStyle name="40% - Акцент6 2 2 19" xfId="8264"/>
    <cellStyle name="40% - Акцент6 2 2 2" xfId="1864"/>
    <cellStyle name="40% - Акцент6 2 2 20" xfId="8461"/>
    <cellStyle name="40% - Акцент6 2 2 21" xfId="8855"/>
    <cellStyle name="40% - Акцент6 2 2 22" xfId="9099"/>
    <cellStyle name="40% - Акцент6 2 2 23" xfId="9175"/>
    <cellStyle name="40% - Акцент6 2 2 24" xfId="9308"/>
    <cellStyle name="40% - Акцент6 2 2 25" xfId="9398"/>
    <cellStyle name="40% - Акцент6 2 2 26" xfId="9487"/>
    <cellStyle name="40% - Акцент6 2 2 27" xfId="9572"/>
    <cellStyle name="40% - Акцент6 2 2 28" xfId="9261"/>
    <cellStyle name="40% - Акцент6 2 2 29" xfId="9700"/>
    <cellStyle name="40% - Акцент6 2 2 3" xfId="4771"/>
    <cellStyle name="40% - Акцент6 2 2 30" xfId="10007"/>
    <cellStyle name="40% - Акцент6 2 2 31" xfId="10788"/>
    <cellStyle name="40% - Акцент6 2 2 32" xfId="11070"/>
    <cellStyle name="40% - Акцент6 2 2 33" xfId="10551"/>
    <cellStyle name="40% - Акцент6 2 2 34" xfId="11278"/>
    <cellStyle name="40% - Акцент6 2 2 35" xfId="11513"/>
    <cellStyle name="40% - Акцент6 2 2 36" xfId="11748"/>
    <cellStyle name="40% - Акцент6 2 2 37" xfId="11983"/>
    <cellStyle name="40% - Акцент6 2 2 38" xfId="12218"/>
    <cellStyle name="40% - Акцент6 2 2 39" xfId="12453"/>
    <cellStyle name="40% - Акцент6 2 2 4" xfId="5675"/>
    <cellStyle name="40% - Акцент6 2 2 40" xfId="12688"/>
    <cellStyle name="40% - Акцент6 2 2 41" xfId="12923"/>
    <cellStyle name="40% - Акцент6 2 2 42" xfId="13158"/>
    <cellStyle name="40% - Акцент6 2 2 43" xfId="13393"/>
    <cellStyle name="40% - Акцент6 2 2 44" xfId="13628"/>
    <cellStyle name="40% - Акцент6 2 2 45" xfId="13862"/>
    <cellStyle name="40% - Акцент6 2 2 46" xfId="14091"/>
    <cellStyle name="40% - Акцент6 2 2 47" xfId="14319"/>
    <cellStyle name="40% - Акцент6 2 2 48" xfId="14540"/>
    <cellStyle name="40% - Акцент6 2 2 49" xfId="14760"/>
    <cellStyle name="40% - Акцент6 2 2 5" xfId="5956"/>
    <cellStyle name="40% - Акцент6 2 2 50" xfId="14960"/>
    <cellStyle name="40% - Акцент6 2 2 51" xfId="15156"/>
    <cellStyle name="40% - Акцент6 2 2 52" xfId="15545"/>
    <cellStyle name="40% - Акцент6 2 2 53" xfId="15613"/>
    <cellStyle name="40% - Акцент6 2 2 54" xfId="15689"/>
    <cellStyle name="40% - Акцент6 2 2 6" xfId="5634"/>
    <cellStyle name="40% - Акцент6 2 2 7" xfId="6009"/>
    <cellStyle name="40% - Акцент6 2 2 8" xfId="5548"/>
    <cellStyle name="40% - Акцент6 2 2 9" xfId="6119"/>
    <cellStyle name="40% - Акцент6 2 20" xfId="6751"/>
    <cellStyle name="40% — акцент6 2 20" xfId="8854"/>
    <cellStyle name="40% - Акцент6 2 21" xfId="6951"/>
    <cellStyle name="40% — акцент6 2 21" xfId="9098"/>
    <cellStyle name="40% - Акцент6 2 22" xfId="7182"/>
    <cellStyle name="40% — акцент6 2 22" xfId="9176"/>
    <cellStyle name="40% - Акцент6 2 23" xfId="7395"/>
    <cellStyle name="40% — акцент6 2 23" xfId="9244"/>
    <cellStyle name="40% - Акцент6 2 24" xfId="7622"/>
    <cellStyle name="40% — акцент6 2 24" xfId="9378"/>
    <cellStyle name="40% - Акцент6 2 25" xfId="7845"/>
    <cellStyle name="40% — акцент6 2 25" xfId="9467"/>
    <cellStyle name="40% - Акцент6 2 26" xfId="8067"/>
    <cellStyle name="40% — акцент6 2 26" xfId="9555"/>
    <cellStyle name="40% - Акцент6 2 27" xfId="8267"/>
    <cellStyle name="40% — акцент6 2 27" xfId="9262"/>
    <cellStyle name="40% - Акцент6 2 28" xfId="8464"/>
    <cellStyle name="40% — акцент6 2 28" xfId="9666"/>
    <cellStyle name="40% - Акцент6 2 29" xfId="8853"/>
    <cellStyle name="40% — акцент6 2 29" xfId="10005"/>
    <cellStyle name="40% - Акцент6 2 3" xfId="1865"/>
    <cellStyle name="40% — акцент6 2 3" xfId="5673"/>
    <cellStyle name="40% - Акцент6 2 3 10" xfId="6542"/>
    <cellStyle name="40% - Акцент6 2 3 11" xfId="6737"/>
    <cellStyle name="40% - Акцент6 2 3 12" xfId="6934"/>
    <cellStyle name="40% - Акцент6 2 3 13" xfId="7178"/>
    <cellStyle name="40% - Акцент6 2 3 14" xfId="7391"/>
    <cellStyle name="40% - Акцент6 2 3 15" xfId="7618"/>
    <cellStyle name="40% - Акцент6 2 3 16" xfId="7841"/>
    <cellStyle name="40% - Акцент6 2 3 17" xfId="8063"/>
    <cellStyle name="40% - Акцент6 2 3 18" xfId="8263"/>
    <cellStyle name="40% - Акцент6 2 3 19" xfId="8460"/>
    <cellStyle name="40% - Акцент6 2 3 2" xfId="1866"/>
    <cellStyle name="40% - Акцент6 2 3 20" xfId="10008"/>
    <cellStyle name="40% - Акцент6 2 3 21" xfId="10789"/>
    <cellStyle name="40% - Акцент6 2 3 22" xfId="11069"/>
    <cellStyle name="40% - Акцент6 2 3 23" xfId="10550"/>
    <cellStyle name="40% - Акцент6 2 3 24" xfId="11277"/>
    <cellStyle name="40% - Акцент6 2 3 25" xfId="11512"/>
    <cellStyle name="40% - Акцент6 2 3 26" xfId="11747"/>
    <cellStyle name="40% - Акцент6 2 3 27" xfId="11982"/>
    <cellStyle name="40% - Акцент6 2 3 28" xfId="12217"/>
    <cellStyle name="40% - Акцент6 2 3 29" xfId="12452"/>
    <cellStyle name="40% - Акцент6 2 3 3" xfId="4772"/>
    <cellStyle name="40% - Акцент6 2 3 30" xfId="12687"/>
    <cellStyle name="40% - Акцент6 2 3 31" xfId="12922"/>
    <cellStyle name="40% - Акцент6 2 3 32" xfId="13157"/>
    <cellStyle name="40% - Акцент6 2 3 33" xfId="13392"/>
    <cellStyle name="40% - Акцент6 2 3 34" xfId="13627"/>
    <cellStyle name="40% - Акцент6 2 3 35" xfId="13861"/>
    <cellStyle name="40% - Акцент6 2 3 36" xfId="14090"/>
    <cellStyle name="40% - Акцент6 2 3 37" xfId="14318"/>
    <cellStyle name="40% - Акцент6 2 3 38" xfId="14539"/>
    <cellStyle name="40% - Акцент6 2 3 39" xfId="14759"/>
    <cellStyle name="40% - Акцент6 2 3 4" xfId="5955"/>
    <cellStyle name="40% - Акцент6 2 3 40" xfId="14959"/>
    <cellStyle name="40% - Акцент6 2 3 41" xfId="15155"/>
    <cellStyle name="40% - Акцент6 2 3 5" xfId="5635"/>
    <cellStyle name="40% - Акцент6 2 3 6" xfId="6008"/>
    <cellStyle name="40% - Акцент6 2 3 7" xfId="5553"/>
    <cellStyle name="40% - Акцент6 2 3 8" xfId="6117"/>
    <cellStyle name="40% - Акцент6 2 3 9" xfId="6256"/>
    <cellStyle name="40% - Акцент6 2 30" xfId="9097"/>
    <cellStyle name="40% — акцент6 2 30" xfId="10786"/>
    <cellStyle name="40% - Акцент6 2 31" xfId="9177"/>
    <cellStyle name="40% — акцент6 2 31" xfId="11072"/>
    <cellStyle name="40% - Акцент6 2 32" xfId="9309"/>
    <cellStyle name="40% — акцент6 2 32" xfId="10559"/>
    <cellStyle name="40% - Акцент6 2 33" xfId="9399"/>
    <cellStyle name="40% — акцент6 2 33" xfId="11280"/>
    <cellStyle name="40% - Акцент6 2 34" xfId="9488"/>
    <cellStyle name="40% — акцент6 2 34" xfId="11515"/>
    <cellStyle name="40% - Акцент6 2 35" xfId="9573"/>
    <cellStyle name="40% — акцент6 2 35" xfId="11750"/>
    <cellStyle name="40% - Акцент6 2 36" xfId="9263"/>
    <cellStyle name="40% — акцент6 2 36" xfId="11985"/>
    <cellStyle name="40% - Акцент6 2 37" xfId="9701"/>
    <cellStyle name="40% — акцент6 2 37" xfId="12220"/>
    <cellStyle name="40% - Акцент6 2 38" xfId="10004"/>
    <cellStyle name="40% — акцент6 2 38" xfId="12455"/>
    <cellStyle name="40% - Акцент6 2 39" xfId="10785"/>
    <cellStyle name="40% — акцент6 2 39" xfId="12690"/>
    <cellStyle name="40% - Акцент6 2 4" xfId="1867"/>
    <cellStyle name="40% — акцент6 2 4" xfId="5958"/>
    <cellStyle name="40% - Акцент6 2 4 10" xfId="6933"/>
    <cellStyle name="40% - Акцент6 2 4 11" xfId="7177"/>
    <cellStyle name="40% - Акцент6 2 4 12" xfId="7390"/>
    <cellStyle name="40% - Акцент6 2 4 13" xfId="7617"/>
    <cellStyle name="40% - Акцент6 2 4 14" xfId="7840"/>
    <cellStyle name="40% - Акцент6 2 4 15" xfId="8062"/>
    <cellStyle name="40% - Акцент6 2 4 16" xfId="8262"/>
    <cellStyle name="40% - Акцент6 2 4 17" xfId="8459"/>
    <cellStyle name="40% - Акцент6 2 4 18" xfId="10009"/>
    <cellStyle name="40% - Акцент6 2 4 19" xfId="10790"/>
    <cellStyle name="40% - Акцент6 2 4 2" xfId="4773"/>
    <cellStyle name="40% - Акцент6 2 4 20" xfId="11068"/>
    <cellStyle name="40% - Акцент6 2 4 21" xfId="10549"/>
    <cellStyle name="40% - Акцент6 2 4 22" xfId="11276"/>
    <cellStyle name="40% - Акцент6 2 4 23" xfId="11511"/>
    <cellStyle name="40% - Акцент6 2 4 24" xfId="11746"/>
    <cellStyle name="40% - Акцент6 2 4 25" xfId="11981"/>
    <cellStyle name="40% - Акцент6 2 4 26" xfId="12216"/>
    <cellStyle name="40% - Акцент6 2 4 27" xfId="12451"/>
    <cellStyle name="40% - Акцент6 2 4 28" xfId="12686"/>
    <cellStyle name="40% - Акцент6 2 4 29" xfId="12921"/>
    <cellStyle name="40% - Акцент6 2 4 3" xfId="5636"/>
    <cellStyle name="40% - Акцент6 2 4 30" xfId="13156"/>
    <cellStyle name="40% - Акцент6 2 4 31" xfId="13391"/>
    <cellStyle name="40% - Акцент6 2 4 32" xfId="13626"/>
    <cellStyle name="40% - Акцент6 2 4 33" xfId="13860"/>
    <cellStyle name="40% - Акцент6 2 4 34" xfId="14089"/>
    <cellStyle name="40% - Акцент6 2 4 35" xfId="14317"/>
    <cellStyle name="40% - Акцент6 2 4 36" xfId="14538"/>
    <cellStyle name="40% - Акцент6 2 4 37" xfId="14758"/>
    <cellStyle name="40% - Акцент6 2 4 38" xfId="14958"/>
    <cellStyle name="40% - Акцент6 2 4 39" xfId="15154"/>
    <cellStyle name="40% - Акцент6 2 4 4" xfId="6007"/>
    <cellStyle name="40% - Акцент6 2 4 5" xfId="5554"/>
    <cellStyle name="40% - Акцент6 2 4 6" xfId="6116"/>
    <cellStyle name="40% - Акцент6 2 4 7" xfId="6255"/>
    <cellStyle name="40% - Акцент6 2 4 8" xfId="6538"/>
    <cellStyle name="40% - Акцент6 2 4 9" xfId="6735"/>
    <cellStyle name="40% - Акцент6 2 40" xfId="11073"/>
    <cellStyle name="40% — акцент6 2 40" xfId="12925"/>
    <cellStyle name="40% - Акцент6 2 41" xfId="10560"/>
    <cellStyle name="40% — акцент6 2 41" xfId="13160"/>
    <cellStyle name="40% - Акцент6 2 42" xfId="11281"/>
    <cellStyle name="40% — акцент6 2 42" xfId="13395"/>
    <cellStyle name="40% - Акцент6 2 43" xfId="11516"/>
    <cellStyle name="40% — акцент6 2 43" xfId="13630"/>
    <cellStyle name="40% - Акцент6 2 44" xfId="11751"/>
    <cellStyle name="40% — акцент6 2 44" xfId="13864"/>
    <cellStyle name="40% - Акцент6 2 45" xfId="11986"/>
    <cellStyle name="40% — акцент6 2 45" xfId="14093"/>
    <cellStyle name="40% - Акцент6 2 46" xfId="12221"/>
    <cellStyle name="40% — акцент6 2 46" xfId="14321"/>
    <cellStyle name="40% - Акцент6 2 47" xfId="12456"/>
    <cellStyle name="40% — акцент6 2 47" xfId="14542"/>
    <cellStyle name="40% - Акцент6 2 48" xfId="12691"/>
    <cellStyle name="40% — акцент6 2 48" xfId="14762"/>
    <cellStyle name="40% - Акцент6 2 49" xfId="12926"/>
    <cellStyle name="40% — акцент6 2 49" xfId="14962"/>
    <cellStyle name="40% - Акцент6 2 5" xfId="1868"/>
    <cellStyle name="40% — акцент6 2 5" xfId="5632"/>
    <cellStyle name="40% - Акцент6 2 5 10" xfId="7176"/>
    <cellStyle name="40% - Акцент6 2 5 11" xfId="7389"/>
    <cellStyle name="40% - Акцент6 2 5 12" xfId="7616"/>
    <cellStyle name="40% - Акцент6 2 5 13" xfId="7839"/>
    <cellStyle name="40% - Акцент6 2 5 14" xfId="8061"/>
    <cellStyle name="40% - Акцент6 2 5 15" xfId="8261"/>
    <cellStyle name="40% - Акцент6 2 5 16" xfId="8458"/>
    <cellStyle name="40% - Акцент6 2 5 17" xfId="10010"/>
    <cellStyle name="40% - Акцент6 2 5 18" xfId="10791"/>
    <cellStyle name="40% - Акцент6 2 5 19" xfId="11067"/>
    <cellStyle name="40% - Акцент6 2 5 2" xfId="4774"/>
    <cellStyle name="40% - Акцент6 2 5 20" xfId="10542"/>
    <cellStyle name="40% - Акцент6 2 5 21" xfId="11275"/>
    <cellStyle name="40% - Акцент6 2 5 22" xfId="11510"/>
    <cellStyle name="40% - Акцент6 2 5 23" xfId="11745"/>
    <cellStyle name="40% - Акцент6 2 5 24" xfId="11980"/>
    <cellStyle name="40% - Акцент6 2 5 25" xfId="12215"/>
    <cellStyle name="40% - Акцент6 2 5 26" xfId="12450"/>
    <cellStyle name="40% - Акцент6 2 5 27" xfId="12685"/>
    <cellStyle name="40% - Акцент6 2 5 28" xfId="12920"/>
    <cellStyle name="40% - Акцент6 2 5 29" xfId="13155"/>
    <cellStyle name="40% - Акцент6 2 5 3" xfId="6006"/>
    <cellStyle name="40% - Акцент6 2 5 30" xfId="13390"/>
    <cellStyle name="40% - Акцент6 2 5 31" xfId="13625"/>
    <cellStyle name="40% - Акцент6 2 5 32" xfId="13859"/>
    <cellStyle name="40% - Акцент6 2 5 33" xfId="14088"/>
    <cellStyle name="40% - Акцент6 2 5 34" xfId="14316"/>
    <cellStyle name="40% - Акцент6 2 5 35" xfId="14537"/>
    <cellStyle name="40% - Акцент6 2 5 36" xfId="14757"/>
    <cellStyle name="40% - Акцент6 2 5 37" xfId="14957"/>
    <cellStyle name="40% - Акцент6 2 5 38" xfId="15153"/>
    <cellStyle name="40% - Акцент6 2 5 4" xfId="5555"/>
    <cellStyle name="40% - Акцент6 2 5 5" xfId="6115"/>
    <cellStyle name="40% - Акцент6 2 5 6" xfId="6254"/>
    <cellStyle name="40% - Акцент6 2 5 7" xfId="6531"/>
    <cellStyle name="40% - Акцент6 2 5 8" xfId="6734"/>
    <cellStyle name="40% - Акцент6 2 5 9" xfId="6932"/>
    <cellStyle name="40% - Акцент6 2 50" xfId="13161"/>
    <cellStyle name="40% — акцент6 2 50" xfId="15158"/>
    <cellStyle name="40% - Акцент6 2 51" xfId="13396"/>
    <cellStyle name="40% — акцент6 2 51" xfId="15544"/>
    <cellStyle name="40% - Акцент6 2 52" xfId="13631"/>
    <cellStyle name="40% — акцент6 2 52" xfId="15476"/>
    <cellStyle name="40% - Акцент6 2 53" xfId="13865"/>
    <cellStyle name="40% — акцент6 2 53" xfId="15672"/>
    <cellStyle name="40% - Акцент6 2 54" xfId="14094"/>
    <cellStyle name="40% - Акцент6 2 55" xfId="14322"/>
    <cellStyle name="40% - Акцент6 2 56" xfId="14543"/>
    <cellStyle name="40% - Акцент6 2 57" xfId="14763"/>
    <cellStyle name="40% - Акцент6 2 58" xfId="14963"/>
    <cellStyle name="40% - Акцент6 2 59" xfId="15172"/>
    <cellStyle name="40% - Акцент6 2 6" xfId="1869"/>
    <cellStyle name="40% — акцент6 2 6" xfId="6011"/>
    <cellStyle name="40% - Акцент6 2 6 10" xfId="7388"/>
    <cellStyle name="40% - Акцент6 2 6 11" xfId="7615"/>
    <cellStyle name="40% - Акцент6 2 6 12" xfId="7838"/>
    <cellStyle name="40% - Акцент6 2 6 13" xfId="8060"/>
    <cellStyle name="40% - Акцент6 2 6 14" xfId="8260"/>
    <cellStyle name="40% - Акцент6 2 6 15" xfId="8457"/>
    <cellStyle name="40% - Акцент6 2 6 16" xfId="10011"/>
    <cellStyle name="40% - Акцент6 2 6 17" xfId="10792"/>
    <cellStyle name="40% - Акцент6 2 6 18" xfId="11066"/>
    <cellStyle name="40% - Акцент6 2 6 19" xfId="10541"/>
    <cellStyle name="40% - Акцент6 2 6 2" xfId="4775"/>
    <cellStyle name="40% - Акцент6 2 6 20" xfId="11274"/>
    <cellStyle name="40% - Акцент6 2 6 21" xfId="11509"/>
    <cellStyle name="40% - Акцент6 2 6 22" xfId="11744"/>
    <cellStyle name="40% - Акцент6 2 6 23" xfId="11979"/>
    <cellStyle name="40% - Акцент6 2 6 24" xfId="12214"/>
    <cellStyle name="40% - Акцент6 2 6 25" xfId="12449"/>
    <cellStyle name="40% - Акцент6 2 6 26" xfId="12684"/>
    <cellStyle name="40% - Акцент6 2 6 27" xfId="12919"/>
    <cellStyle name="40% - Акцент6 2 6 28" xfId="13154"/>
    <cellStyle name="40% - Акцент6 2 6 29" xfId="13389"/>
    <cellStyle name="40% - Акцент6 2 6 3" xfId="5556"/>
    <cellStyle name="40% - Акцент6 2 6 30" xfId="13624"/>
    <cellStyle name="40% - Акцент6 2 6 31" xfId="13858"/>
    <cellStyle name="40% - Акцент6 2 6 32" xfId="14087"/>
    <cellStyle name="40% - Акцент6 2 6 33" xfId="14315"/>
    <cellStyle name="40% - Акцент6 2 6 34" xfId="14536"/>
    <cellStyle name="40% - Акцент6 2 6 35" xfId="14756"/>
    <cellStyle name="40% - Акцент6 2 6 36" xfId="14956"/>
    <cellStyle name="40% - Акцент6 2 6 37" xfId="15152"/>
    <cellStyle name="40% - Акцент6 2 6 4" xfId="6114"/>
    <cellStyle name="40% - Акцент6 2 6 5" xfId="6253"/>
    <cellStyle name="40% - Акцент6 2 6 6" xfId="6399"/>
    <cellStyle name="40% - Акцент6 2 6 7" xfId="6733"/>
    <cellStyle name="40% - Акцент6 2 6 8" xfId="6931"/>
    <cellStyle name="40% - Акцент6 2 6 9" xfId="7175"/>
    <cellStyle name="40% - Акцент6 2 60" xfId="15543"/>
    <cellStyle name="40% - Акцент6 2 61" xfId="15614"/>
    <cellStyle name="40% - Акцент6 2 62" xfId="15690"/>
    <cellStyle name="40% - Акцент6 2 7" xfId="1870"/>
    <cellStyle name="40% — акцент6 2 7" xfId="5542"/>
    <cellStyle name="40% - Акцент6 2 7 10" xfId="7614"/>
    <cellStyle name="40% - Акцент6 2 7 11" xfId="7837"/>
    <cellStyle name="40% - Акцент6 2 7 12" xfId="8059"/>
    <cellStyle name="40% - Акцент6 2 7 13" xfId="8259"/>
    <cellStyle name="40% - Акцент6 2 7 14" xfId="8456"/>
    <cellStyle name="40% - Акцент6 2 7 15" xfId="10012"/>
    <cellStyle name="40% - Акцент6 2 7 16" xfId="10793"/>
    <cellStyle name="40% - Акцент6 2 7 17" xfId="11065"/>
    <cellStyle name="40% - Акцент6 2 7 18" xfId="10540"/>
    <cellStyle name="40% - Акцент6 2 7 19" xfId="11273"/>
    <cellStyle name="40% - Акцент6 2 7 2" xfId="4776"/>
    <cellStyle name="40% - Акцент6 2 7 20" xfId="11508"/>
    <cellStyle name="40% - Акцент6 2 7 21" xfId="11743"/>
    <cellStyle name="40% - Акцент6 2 7 22" xfId="11978"/>
    <cellStyle name="40% - Акцент6 2 7 23" xfId="12213"/>
    <cellStyle name="40% - Акцент6 2 7 24" xfId="12448"/>
    <cellStyle name="40% - Акцент6 2 7 25" xfId="12683"/>
    <cellStyle name="40% - Акцент6 2 7 26" xfId="12918"/>
    <cellStyle name="40% - Акцент6 2 7 27" xfId="13153"/>
    <cellStyle name="40% - Акцент6 2 7 28" xfId="13388"/>
    <cellStyle name="40% - Акцент6 2 7 29" xfId="13623"/>
    <cellStyle name="40% - Акцент6 2 7 3" xfId="6110"/>
    <cellStyle name="40% - Акцент6 2 7 30" xfId="13857"/>
    <cellStyle name="40% - Акцент6 2 7 31" xfId="14086"/>
    <cellStyle name="40% - Акцент6 2 7 32" xfId="14314"/>
    <cellStyle name="40% - Акцент6 2 7 33" xfId="14535"/>
    <cellStyle name="40% - Акцент6 2 7 34" xfId="14755"/>
    <cellStyle name="40% - Акцент6 2 7 35" xfId="14942"/>
    <cellStyle name="40% - Акцент6 2 7 36" xfId="15151"/>
    <cellStyle name="40% - Акцент6 2 7 4" xfId="6252"/>
    <cellStyle name="40% - Акцент6 2 7 5" xfId="6393"/>
    <cellStyle name="40% - Акцент6 2 7 6" xfId="6732"/>
    <cellStyle name="40% - Акцент6 2 7 7" xfId="6930"/>
    <cellStyle name="40% - Акцент6 2 7 8" xfId="7174"/>
    <cellStyle name="40% - Акцент6 2 7 9" xfId="7387"/>
    <cellStyle name="40% - Акцент6 2 8" xfId="1871"/>
    <cellStyle name="40% — акцент6 2 8" xfId="6122"/>
    <cellStyle name="40% - Акцент6 2 8 10" xfId="7823"/>
    <cellStyle name="40% - Акцент6 2 8 11" xfId="8045"/>
    <cellStyle name="40% - Акцент6 2 8 12" xfId="8245"/>
    <cellStyle name="40% - Акцент6 2 8 13" xfId="8442"/>
    <cellStyle name="40% - Акцент6 2 8 14" xfId="10013"/>
    <cellStyle name="40% - Акцент6 2 8 15" xfId="10794"/>
    <cellStyle name="40% - Акцент6 2 8 16" xfId="11064"/>
    <cellStyle name="40% - Акцент6 2 8 17" xfId="10526"/>
    <cellStyle name="40% - Акцент6 2 8 18" xfId="11259"/>
    <cellStyle name="40% - Акцент6 2 8 19" xfId="11494"/>
    <cellStyle name="40% - Акцент6 2 8 2" xfId="4777"/>
    <cellStyle name="40% - Акцент6 2 8 20" xfId="11729"/>
    <cellStyle name="40% - Акцент6 2 8 21" xfId="11964"/>
    <cellStyle name="40% - Акцент6 2 8 22" xfId="12199"/>
    <cellStyle name="40% - Акцент6 2 8 23" xfId="12434"/>
    <cellStyle name="40% - Акцент6 2 8 24" xfId="12669"/>
    <cellStyle name="40% - Акцент6 2 8 25" xfId="12904"/>
    <cellStyle name="40% - Акцент6 2 8 26" xfId="13139"/>
    <cellStyle name="40% - Акцент6 2 8 27" xfId="13374"/>
    <cellStyle name="40% - Акцент6 2 8 28" xfId="13609"/>
    <cellStyle name="40% - Акцент6 2 8 29" xfId="13843"/>
    <cellStyle name="40% - Акцент6 2 8 3" xfId="6251"/>
    <cellStyle name="40% - Акцент6 2 8 30" xfId="14072"/>
    <cellStyle name="40% - Акцент6 2 8 31" xfId="14300"/>
    <cellStyle name="40% - Акцент6 2 8 32" xfId="14521"/>
    <cellStyle name="40% - Акцент6 2 8 33" xfId="14741"/>
    <cellStyle name="40% - Акцент6 2 8 34" xfId="14941"/>
    <cellStyle name="40% - Акцент6 2 8 35" xfId="15150"/>
    <cellStyle name="40% - Акцент6 2 8 4" xfId="6392"/>
    <cellStyle name="40% - Акцент6 2 8 5" xfId="6731"/>
    <cellStyle name="40% - Акцент6 2 8 6" xfId="6929"/>
    <cellStyle name="40% - Акцент6 2 8 7" xfId="7160"/>
    <cellStyle name="40% - Акцент6 2 8 8" xfId="7373"/>
    <cellStyle name="40% - Акцент6 2 8 9" xfId="7600"/>
    <cellStyle name="40% - Акцент6 2 9" xfId="1872"/>
    <cellStyle name="40% — акцент6 2 9" xfId="6260"/>
    <cellStyle name="40% - Акцент6 2 9 10" xfId="8044"/>
    <cellStyle name="40% - Акцент6 2 9 11" xfId="8244"/>
    <cellStyle name="40% - Акцент6 2 9 12" xfId="8441"/>
    <cellStyle name="40% - Акцент6 2 9 13" xfId="10014"/>
    <cellStyle name="40% - Акцент6 2 9 14" xfId="10795"/>
    <cellStyle name="40% - Акцент6 2 9 15" xfId="11063"/>
    <cellStyle name="40% - Акцент6 2 9 16" xfId="10525"/>
    <cellStyle name="40% - Акцент6 2 9 17" xfId="11258"/>
    <cellStyle name="40% - Акцент6 2 9 18" xfId="11493"/>
    <cellStyle name="40% - Акцент6 2 9 19" xfId="11728"/>
    <cellStyle name="40% - Акцент6 2 9 2" xfId="4778"/>
    <cellStyle name="40% - Акцент6 2 9 20" xfId="11963"/>
    <cellStyle name="40% - Акцент6 2 9 21" xfId="12198"/>
    <cellStyle name="40% - Акцент6 2 9 22" xfId="12433"/>
    <cellStyle name="40% - Акцент6 2 9 23" xfId="12668"/>
    <cellStyle name="40% - Акцент6 2 9 24" xfId="12903"/>
    <cellStyle name="40% - Акцент6 2 9 25" xfId="13138"/>
    <cellStyle name="40% - Акцент6 2 9 26" xfId="13373"/>
    <cellStyle name="40% - Акцент6 2 9 27" xfId="13608"/>
    <cellStyle name="40% - Акцент6 2 9 28" xfId="13842"/>
    <cellStyle name="40% - Акцент6 2 9 29" xfId="14071"/>
    <cellStyle name="40% - Акцент6 2 9 3" xfId="6391"/>
    <cellStyle name="40% - Акцент6 2 9 30" xfId="14299"/>
    <cellStyle name="40% - Акцент6 2 9 31" xfId="14520"/>
    <cellStyle name="40% - Акцент6 2 9 32" xfId="14740"/>
    <cellStyle name="40% - Акцент6 2 9 33" xfId="14940"/>
    <cellStyle name="40% - Акцент6 2 9 34" xfId="15136"/>
    <cellStyle name="40% - Акцент6 2 9 4" xfId="6730"/>
    <cellStyle name="40% - Акцент6 2 9 5" xfId="6928"/>
    <cellStyle name="40% - Акцент6 2 9 6" xfId="7159"/>
    <cellStyle name="40% - Акцент6 2 9 7" xfId="7372"/>
    <cellStyle name="40% - Акцент6 2 9 8" xfId="7599"/>
    <cellStyle name="40% - Акцент6 2 9 9" xfId="7822"/>
    <cellStyle name="40% - Акцент6 2_46EE.2011(v1.0)" xfId="1873"/>
    <cellStyle name="40% — акцент6 20" xfId="1874"/>
    <cellStyle name="40% — акцент6 21" xfId="1875"/>
    <cellStyle name="40% — акцент6 22" xfId="4767"/>
    <cellStyle name="40% — акцент6 23" xfId="5671"/>
    <cellStyle name="40% — акцент6 24" xfId="5960"/>
    <cellStyle name="40% — акцент6 25" xfId="5626"/>
    <cellStyle name="40% — акцент6 26" xfId="6014"/>
    <cellStyle name="40% — акцент6 27" xfId="5537"/>
    <cellStyle name="40% — акцент6 28" xfId="6129"/>
    <cellStyle name="40% — акцент6 29" xfId="6263"/>
    <cellStyle name="40% - Акцент6 3" xfId="1876"/>
    <cellStyle name="40% — акцент6 3" xfId="1877"/>
    <cellStyle name="40% - Акцент6 3 10" xfId="1878"/>
    <cellStyle name="40% - Акцент6 3 10 2" xfId="4780"/>
    <cellStyle name="40% - Акцент6 3 10 3" xfId="10016"/>
    <cellStyle name="40% - Акцент6 3 11" xfId="1879"/>
    <cellStyle name="40% - Акцент6 3 12" xfId="4779"/>
    <cellStyle name="40% - Акцент6 3 13" xfId="5683"/>
    <cellStyle name="40% - Акцент6 3 14" xfId="5948"/>
    <cellStyle name="40% - Акцент6 3 15" xfId="5643"/>
    <cellStyle name="40% - Акцент6 3 16" xfId="5997"/>
    <cellStyle name="40% - Акцент6 3 17" xfId="5564"/>
    <cellStyle name="40% - Акцент6 3 18" xfId="6105"/>
    <cellStyle name="40% - Акцент6 3 19" xfId="6234"/>
    <cellStyle name="40% - Акцент6 3 2" xfId="1880"/>
    <cellStyle name="40% - Акцент6 3 2 2" xfId="1881"/>
    <cellStyle name="40% - Акцент6 3 2 3" xfId="4781"/>
    <cellStyle name="40% - Акцент6 3 2 4" xfId="8857"/>
    <cellStyle name="40% - Акцент6 3 20" xfId="6389"/>
    <cellStyle name="40% - Акцент6 3 21" xfId="6729"/>
    <cellStyle name="40% - Акцент6 3 22" xfId="6927"/>
    <cellStyle name="40% - Акцент6 3 23" xfId="7158"/>
    <cellStyle name="40% - Акцент6 3 24" xfId="7371"/>
    <cellStyle name="40% - Акцент6 3 25" xfId="7598"/>
    <cellStyle name="40% - Акцент6 3 26" xfId="7821"/>
    <cellStyle name="40% - Акцент6 3 27" xfId="8043"/>
    <cellStyle name="40% - Акцент6 3 28" xfId="8243"/>
    <cellStyle name="40% - Акцент6 3 29" xfId="8440"/>
    <cellStyle name="40% - Акцент6 3 3" xfId="1882"/>
    <cellStyle name="40% - Акцент6 3 3 2" xfId="1883"/>
    <cellStyle name="40% - Акцент6 3 3 3" xfId="4782"/>
    <cellStyle name="40% - Акцент6 3 3 4" xfId="10018"/>
    <cellStyle name="40% - Акцент6 3 30" xfId="8856"/>
    <cellStyle name="40% - Акцент6 3 31" xfId="9100"/>
    <cellStyle name="40% - Акцент6 3 32" xfId="9174"/>
    <cellStyle name="40% - Акцент6 3 33" xfId="9307"/>
    <cellStyle name="40% - Акцент6 3 34" xfId="9397"/>
    <cellStyle name="40% - Акцент6 3 35" xfId="9486"/>
    <cellStyle name="40% - Акцент6 3 36" xfId="9571"/>
    <cellStyle name="40% - Акцент6 3 37" xfId="9260"/>
    <cellStyle name="40% - Акцент6 3 38" xfId="9699"/>
    <cellStyle name="40% - Акцент6 3 39" xfId="10015"/>
    <cellStyle name="40% - Акцент6 3 4" xfId="1884"/>
    <cellStyle name="40% - Акцент6 3 4 2" xfId="4783"/>
    <cellStyle name="40% - Акцент6 3 4 3" xfId="10019"/>
    <cellStyle name="40% - Акцент6 3 40" xfId="10796"/>
    <cellStyle name="40% - Акцент6 3 41" xfId="11062"/>
    <cellStyle name="40% - Акцент6 3 42" xfId="10524"/>
    <cellStyle name="40% - Акцент6 3 43" xfId="11257"/>
    <cellStyle name="40% - Акцент6 3 44" xfId="11492"/>
    <cellStyle name="40% - Акцент6 3 45" xfId="11727"/>
    <cellStyle name="40% - Акцент6 3 46" xfId="11962"/>
    <cellStyle name="40% - Акцент6 3 47" xfId="12197"/>
    <cellStyle name="40% - Акцент6 3 48" xfId="12432"/>
    <cellStyle name="40% - Акцент6 3 49" xfId="12667"/>
    <cellStyle name="40% - Акцент6 3 5" xfId="1885"/>
    <cellStyle name="40% - Акцент6 3 5 2" xfId="4784"/>
    <cellStyle name="40% - Акцент6 3 5 3" xfId="10020"/>
    <cellStyle name="40% - Акцент6 3 50" xfId="12902"/>
    <cellStyle name="40% - Акцент6 3 51" xfId="13137"/>
    <cellStyle name="40% - Акцент6 3 52" xfId="13372"/>
    <cellStyle name="40% - Акцент6 3 53" xfId="13607"/>
    <cellStyle name="40% - Акцент6 3 54" xfId="13841"/>
    <cellStyle name="40% - Акцент6 3 55" xfId="14070"/>
    <cellStyle name="40% - Акцент6 3 56" xfId="14298"/>
    <cellStyle name="40% - Акцент6 3 57" xfId="14519"/>
    <cellStyle name="40% - Акцент6 3 58" xfId="14739"/>
    <cellStyle name="40% - Акцент6 3 59" xfId="14939"/>
    <cellStyle name="40% - Акцент6 3 6" xfId="1886"/>
    <cellStyle name="40% - Акцент6 3 6 2" xfId="4785"/>
    <cellStyle name="40% - Акцент6 3 6 3" xfId="10021"/>
    <cellStyle name="40% - Акцент6 3 60" xfId="15135"/>
    <cellStyle name="40% - Акцент6 3 61" xfId="15546"/>
    <cellStyle name="40% - Акцент6 3 62" xfId="15612"/>
    <cellStyle name="40% - Акцент6 3 63" xfId="15688"/>
    <cellStyle name="40% - Акцент6 3 7" xfId="1887"/>
    <cellStyle name="40% - Акцент6 3 7 2" xfId="4786"/>
    <cellStyle name="40% - Акцент6 3 7 3" xfId="10022"/>
    <cellStyle name="40% - Акцент6 3 8" xfId="1888"/>
    <cellStyle name="40% - Акцент6 3 8 2" xfId="4787"/>
    <cellStyle name="40% - Акцент6 3 8 3" xfId="10023"/>
    <cellStyle name="40% - Акцент6 3 9" xfId="1889"/>
    <cellStyle name="40% - Акцент6 3 9 2" xfId="4788"/>
    <cellStyle name="40% - Акцент6 3 9 3" xfId="10024"/>
    <cellStyle name="40% - Акцент6 3_46EE.2011(v1.0)" xfId="1890"/>
    <cellStyle name="40% — акцент6 30" xfId="6547"/>
    <cellStyle name="40% — акцент6 31" xfId="6752"/>
    <cellStyle name="40% — акцент6 32" xfId="6952"/>
    <cellStyle name="40% — акцент6 33" xfId="7196"/>
    <cellStyle name="40% — акцент6 34" xfId="7409"/>
    <cellStyle name="40% — акцент6 35" xfId="7636"/>
    <cellStyle name="40% — акцент6 36" xfId="7859"/>
    <cellStyle name="40% — акцент6 37" xfId="8081"/>
    <cellStyle name="40% — акцент6 38" xfId="8281"/>
    <cellStyle name="40% — акцент6 39" xfId="8478"/>
    <cellStyle name="40% - Акцент6 4" xfId="1891"/>
    <cellStyle name="40% — акцент6 4" xfId="1892"/>
    <cellStyle name="40% - Акцент6 4 2" xfId="1893"/>
    <cellStyle name="40% - Акцент6 4 2 2" xfId="1894"/>
    <cellStyle name="40% - Акцент6 4 3" xfId="1895"/>
    <cellStyle name="40% - Акцент6 4 3 2" xfId="1896"/>
    <cellStyle name="40% - Акцент6 4_46EE.2011(v1.0)" xfId="1897"/>
    <cellStyle name="40% — акцент6 40" xfId="8852"/>
    <cellStyle name="40% — акцент6 41" xfId="9096"/>
    <cellStyle name="40% — акцент6 42" xfId="9178"/>
    <cellStyle name="40% — акцент6 43" xfId="9310"/>
    <cellStyle name="40% — акцент6 44" xfId="9400"/>
    <cellStyle name="40% — акцент6 45" xfId="9489"/>
    <cellStyle name="40% — акцент6 46" xfId="9574"/>
    <cellStyle name="40% — акцент6 47" xfId="9264"/>
    <cellStyle name="40% — акцент6 48" xfId="9702"/>
    <cellStyle name="40% — акцент6 49" xfId="10003"/>
    <cellStyle name="40% - Акцент6 5" xfId="1898"/>
    <cellStyle name="40% — акцент6 5" xfId="1899"/>
    <cellStyle name="40% - Акцент6 5 2" xfId="1900"/>
    <cellStyle name="40% - Акцент6 5 2 2" xfId="1901"/>
    <cellStyle name="40% - Акцент6 5 3" xfId="1902"/>
    <cellStyle name="40% - Акцент6 5 3 2" xfId="1903"/>
    <cellStyle name="40% - Акцент6 5_46EE.2011(v1.0)" xfId="1904"/>
    <cellStyle name="40% — акцент6 50" xfId="10784"/>
    <cellStyle name="40% — акцент6 51" xfId="11074"/>
    <cellStyle name="40% — акцент6 52" xfId="10597"/>
    <cellStyle name="40% — акцент6 53" xfId="11295"/>
    <cellStyle name="40% — акцент6 54" xfId="11530"/>
    <cellStyle name="40% — акцент6 55" xfId="11765"/>
    <cellStyle name="40% — акцент6 56" xfId="12000"/>
    <cellStyle name="40% — акцент6 57" xfId="12235"/>
    <cellStyle name="40% — акцент6 58" xfId="12470"/>
    <cellStyle name="40% — акцент6 59" xfId="12705"/>
    <cellStyle name="40% - Акцент6 6" xfId="1905"/>
    <cellStyle name="40% — акцент6 6" xfId="1906"/>
    <cellStyle name="40% - Акцент6 6 2" xfId="1907"/>
    <cellStyle name="40% - Акцент6 6 2 2" xfId="1908"/>
    <cellStyle name="40% - Акцент6 6 3" xfId="1909"/>
    <cellStyle name="40% - Акцент6 6 3 2" xfId="1910"/>
    <cellStyle name="40% - Акцент6 6_46EE.2011(v1.0)" xfId="1911"/>
    <cellStyle name="40% — акцент6 60" xfId="12940"/>
    <cellStyle name="40% — акцент6 61" xfId="13175"/>
    <cellStyle name="40% — акцент6 62" xfId="13410"/>
    <cellStyle name="40% — акцент6 63" xfId="13645"/>
    <cellStyle name="40% — акцент6 64" xfId="13879"/>
    <cellStyle name="40% — акцент6 65" xfId="14108"/>
    <cellStyle name="40% — акцент6 66" xfId="14336"/>
    <cellStyle name="40% — акцент6 67" xfId="14557"/>
    <cellStyle name="40% — акцент6 68" xfId="14777"/>
    <cellStyle name="40% — акцент6 69" xfId="14964"/>
    <cellStyle name="40% - Акцент6 7" xfId="1912"/>
    <cellStyle name="40% — акцент6 7" xfId="1913"/>
    <cellStyle name="40% - Акцент6 7 2" xfId="1914"/>
    <cellStyle name="40% - Акцент6 7 2 2" xfId="1915"/>
    <cellStyle name="40% - Акцент6 7 3" xfId="1916"/>
    <cellStyle name="40% - Акцент6 7 3 2" xfId="1917"/>
    <cellStyle name="40% - Акцент6 7_46EE.2011(v1.0)" xfId="1918"/>
    <cellStyle name="40% — акцент6 70" xfId="15173"/>
    <cellStyle name="40% — акцент6 71" xfId="15542"/>
    <cellStyle name="40% — акцент6 72" xfId="15615"/>
    <cellStyle name="40% — акцент6 73" xfId="15691"/>
    <cellStyle name="40% - Акцент6 8" xfId="1919"/>
    <cellStyle name="40% — акцент6 8" xfId="1920"/>
    <cellStyle name="40% - Акцент6 8 2" xfId="1921"/>
    <cellStyle name="40% - Акцент6 8 2 2" xfId="1922"/>
    <cellStyle name="40% - Акцент6 8 3" xfId="1923"/>
    <cellStyle name="40% - Акцент6 8 3 2" xfId="1924"/>
    <cellStyle name="40% - Акцент6 8 4" xfId="1925"/>
    <cellStyle name="40% - Акцент6 8_46EE.2011(v1.0)" xfId="1926"/>
    <cellStyle name="40% - Акцент6 9" xfId="1927"/>
    <cellStyle name="40% — акцент6 9" xfId="1928"/>
    <cellStyle name="40% - Акцент6 9 2" xfId="1929"/>
    <cellStyle name="40% - Акцент6 9 2 2" xfId="1930"/>
    <cellStyle name="40% - Акцент6 9 3" xfId="1931"/>
    <cellStyle name="40% - Акцент6 9 3 2" xfId="1932"/>
    <cellStyle name="40% - Акцент6 9 4" xfId="1933"/>
    <cellStyle name="40% - Акцент6 9_46EE.2011(v1.0)" xfId="1934"/>
    <cellStyle name="40% — акцент6_Расчет тарифа на тэ 2015 СЛФ" xfId="1935"/>
    <cellStyle name="60% - Accent1" xfId="1936"/>
    <cellStyle name="60% - Accent2" xfId="1937"/>
    <cellStyle name="60% - Accent3" xfId="1938"/>
    <cellStyle name="60% - Accent4" xfId="1939"/>
    <cellStyle name="60% - Accent5" xfId="1940"/>
    <cellStyle name="60% - Accent6" xfId="1941"/>
    <cellStyle name="60% — акцент1" xfId="1942"/>
    <cellStyle name="60% - Акцент1 10" xfId="1943"/>
    <cellStyle name="60% — акцент1 10" xfId="1944"/>
    <cellStyle name="60% — акцент1 11" xfId="1945"/>
    <cellStyle name="60% — акцент1 12" xfId="1946"/>
    <cellStyle name="60% — акцент1 13" xfId="1947"/>
    <cellStyle name="60% — акцент1 14" xfId="1948"/>
    <cellStyle name="60% — акцент1 15" xfId="1949"/>
    <cellStyle name="60% — акцент1 16" xfId="1950"/>
    <cellStyle name="60% — акцент1 17" xfId="1951"/>
    <cellStyle name="60% — акцент1 18" xfId="1952"/>
    <cellStyle name="60% — акцент1 19" xfId="1953"/>
    <cellStyle name="60% - Акцент1 2" xfId="1954"/>
    <cellStyle name="60% — акцент1 2" xfId="1955"/>
    <cellStyle name="60% - Акцент1 2 10" xfId="1956"/>
    <cellStyle name="60% — акцент1 2 10" xfId="6359"/>
    <cellStyle name="60% - Акцент1 2 10 10" xfId="8225"/>
    <cellStyle name="60% - Акцент1 2 10 11" xfId="8422"/>
    <cellStyle name="60% - Акцент1 2 10 12" xfId="10028"/>
    <cellStyle name="60% - Акцент1 2 10 13" xfId="10809"/>
    <cellStyle name="60% - Акцент1 2 10 14" xfId="11049"/>
    <cellStyle name="60% - Акцент1 2 10 15" xfId="10451"/>
    <cellStyle name="60% - Акцент1 2 10 16" xfId="11230"/>
    <cellStyle name="60% - Акцент1 2 10 17" xfId="11465"/>
    <cellStyle name="60% - Акцент1 2 10 18" xfId="11700"/>
    <cellStyle name="60% - Акцент1 2 10 19" xfId="11935"/>
    <cellStyle name="60% - Акцент1 2 10 2" xfId="4792"/>
    <cellStyle name="60% - Акцент1 2 10 20" xfId="12170"/>
    <cellStyle name="60% - Акцент1 2 10 21" xfId="12405"/>
    <cellStyle name="60% - Акцент1 2 10 22" xfId="12640"/>
    <cellStyle name="60% - Акцент1 2 10 23" xfId="12875"/>
    <cellStyle name="60% - Акцент1 2 10 24" xfId="13110"/>
    <cellStyle name="60% - Акцент1 2 10 25" xfId="13345"/>
    <cellStyle name="60% - Акцент1 2 10 26" xfId="13580"/>
    <cellStyle name="60% - Акцент1 2 10 27" xfId="13814"/>
    <cellStyle name="60% - Акцент1 2 10 28" xfId="14043"/>
    <cellStyle name="60% - Акцент1 2 10 29" xfId="14271"/>
    <cellStyle name="60% - Акцент1 2 10 3" xfId="6705"/>
    <cellStyle name="60% - Акцент1 2 10 30" xfId="14492"/>
    <cellStyle name="60% - Акцент1 2 10 31" xfId="14712"/>
    <cellStyle name="60% - Акцент1 2 10 32" xfId="14921"/>
    <cellStyle name="60% - Акцент1 2 10 33" xfId="15117"/>
    <cellStyle name="60% - Акцент1 2 10 4" xfId="6890"/>
    <cellStyle name="60% - Акцент1 2 10 5" xfId="7131"/>
    <cellStyle name="60% - Акцент1 2 10 6" xfId="7344"/>
    <cellStyle name="60% - Акцент1 2 10 7" xfId="7571"/>
    <cellStyle name="60% - Акцент1 2 10 8" xfId="7794"/>
    <cellStyle name="60% - Акцент1 2 10 9" xfId="8016"/>
    <cellStyle name="60% - Акцент1 2 11" xfId="4790"/>
    <cellStyle name="60% — акцент1 2 11" xfId="6706"/>
    <cellStyle name="60% - Акцент1 2 12" xfId="5694"/>
    <cellStyle name="60% — акцент1 2 12" xfId="6900"/>
    <cellStyle name="60% - Акцент1 2 13" xfId="5937"/>
    <cellStyle name="60% — акцент1 2 13" xfId="7132"/>
    <cellStyle name="60% - Акцент1 2 14" xfId="5658"/>
    <cellStyle name="60% — акцент1 2 14" xfId="7345"/>
    <cellStyle name="60% - Акцент1 2 15" xfId="5985"/>
    <cellStyle name="60% — акцент1 2 15" xfId="7572"/>
    <cellStyle name="60% - Акцент1 2 16" xfId="5582"/>
    <cellStyle name="60% — акцент1 2 16" xfId="7795"/>
    <cellStyle name="60% - Акцент1 2 17" xfId="6080"/>
    <cellStyle name="60% — акцент1 2 17" xfId="8017"/>
    <cellStyle name="60% - Акцент1 2 18" xfId="6216"/>
    <cellStyle name="60% — акцент1 2 18" xfId="8226"/>
    <cellStyle name="60% - Акцент1 2 19" xfId="6360"/>
    <cellStyle name="60% — акцент1 2 19" xfId="8423"/>
    <cellStyle name="60% - Акцент1 2 2" xfId="1957"/>
    <cellStyle name="60% — акцент1 2 2" xfId="4791"/>
    <cellStyle name="60% - Акцент1 2 2 10" xfId="5346"/>
    <cellStyle name="60% - Акцент1 2 2 11" xfId="6350"/>
    <cellStyle name="60% - Акцент1 2 2 12" xfId="6701"/>
    <cellStyle name="60% - Акцент1 2 2 13" xfId="6889"/>
    <cellStyle name="60% - Акцент1 2 2 14" xfId="7130"/>
    <cellStyle name="60% - Акцент1 2 2 15" xfId="7343"/>
    <cellStyle name="60% - Акцент1 2 2 16" xfId="7570"/>
    <cellStyle name="60% - Акцент1 2 2 17" xfId="7793"/>
    <cellStyle name="60% - Акцент1 2 2 18" xfId="8015"/>
    <cellStyle name="60% - Акцент1 2 2 19" xfId="8224"/>
    <cellStyle name="60% - Акцент1 2 2 2" xfId="1958"/>
    <cellStyle name="60% - Акцент1 2 2 20" xfId="8421"/>
    <cellStyle name="60% - Акцент1 2 2 21" xfId="8861"/>
    <cellStyle name="60% - Акцент1 2 2 22" xfId="9105"/>
    <cellStyle name="60% - Акцент1 2 2 23" xfId="9169"/>
    <cellStyle name="60% - Акцент1 2 2 24" xfId="9302"/>
    <cellStyle name="60% - Акцент1 2 2 25" xfId="9393"/>
    <cellStyle name="60% - Акцент1 2 2 26" xfId="9481"/>
    <cellStyle name="60% - Акцент1 2 2 27" xfId="9567"/>
    <cellStyle name="60% - Акцент1 2 2 28" xfId="9256"/>
    <cellStyle name="60% - Акцент1 2 2 29" xfId="9695"/>
    <cellStyle name="60% - Акцент1 2 2 3" xfId="4793"/>
    <cellStyle name="60% - Акцент1 2 2 30" xfId="10029"/>
    <cellStyle name="60% - Акцент1 2 2 31" xfId="10810"/>
    <cellStyle name="60% - Акцент1 2 2 32" xfId="11048"/>
    <cellStyle name="60% - Акцент1 2 2 33" xfId="10443"/>
    <cellStyle name="60% - Акцент1 2 2 34" xfId="11229"/>
    <cellStyle name="60% - Акцент1 2 2 35" xfId="11464"/>
    <cellStyle name="60% - Акцент1 2 2 36" xfId="11699"/>
    <cellStyle name="60% - Акцент1 2 2 37" xfId="11934"/>
    <cellStyle name="60% - Акцент1 2 2 38" xfId="12169"/>
    <cellStyle name="60% - Акцент1 2 2 39" xfId="12404"/>
    <cellStyle name="60% - Акцент1 2 2 4" xfId="5697"/>
    <cellStyle name="60% - Акцент1 2 2 40" xfId="12639"/>
    <cellStyle name="60% - Акцент1 2 2 41" xfId="12874"/>
    <cellStyle name="60% - Акцент1 2 2 42" xfId="13109"/>
    <cellStyle name="60% - Акцент1 2 2 43" xfId="13344"/>
    <cellStyle name="60% - Акцент1 2 2 44" xfId="13579"/>
    <cellStyle name="60% - Акцент1 2 2 45" xfId="13813"/>
    <cellStyle name="60% - Акцент1 2 2 46" xfId="14042"/>
    <cellStyle name="60% - Акцент1 2 2 47" xfId="14270"/>
    <cellStyle name="60% - Акцент1 2 2 48" xfId="14491"/>
    <cellStyle name="60% - Акцент1 2 2 49" xfId="14711"/>
    <cellStyle name="60% - Акцент1 2 2 5" xfId="5934"/>
    <cellStyle name="60% - Акцент1 2 2 50" xfId="14920"/>
    <cellStyle name="60% - Акцент1 2 2 51" xfId="15116"/>
    <cellStyle name="60% - Акцент1 2 2 52" xfId="15550"/>
    <cellStyle name="60% - Акцент1 2 2 53" xfId="15608"/>
    <cellStyle name="60% - Акцент1 2 2 54" xfId="15684"/>
    <cellStyle name="60% - Акцент1 2 2 6" xfId="5662"/>
    <cellStyle name="60% - Акцент1 2 2 7" xfId="5979"/>
    <cellStyle name="60% - Акцент1 2 2 8" xfId="5590"/>
    <cellStyle name="60% - Акцент1 2 2 9" xfId="6076"/>
    <cellStyle name="60% - Акцент1 2 20" xfId="6707"/>
    <cellStyle name="60% — акцент1 2 20" xfId="8860"/>
    <cellStyle name="60% - Акцент1 2 21" xfId="6904"/>
    <cellStyle name="60% — акцент1 2 21" xfId="9104"/>
    <cellStyle name="60% - Акцент1 2 22" xfId="7133"/>
    <cellStyle name="60% — акцент1 2 22" xfId="9170"/>
    <cellStyle name="60% - Акцент1 2 23" xfId="7346"/>
    <cellStyle name="60% — акцент1 2 23" xfId="9303"/>
    <cellStyle name="60% - Акцент1 2 24" xfId="7573"/>
    <cellStyle name="60% — акцент1 2 24" xfId="9394"/>
    <cellStyle name="60% - Акцент1 2 25" xfId="7796"/>
    <cellStyle name="60% — акцент1 2 25" xfId="9482"/>
    <cellStyle name="60% - Акцент1 2 26" xfId="8018"/>
    <cellStyle name="60% — акцент1 2 26" xfId="9568"/>
    <cellStyle name="60% - Акцент1 2 27" xfId="8227"/>
    <cellStyle name="60% — акцент1 2 27" xfId="9257"/>
    <cellStyle name="60% - Акцент1 2 28" xfId="8424"/>
    <cellStyle name="60% — акцент1 2 28" xfId="9696"/>
    <cellStyle name="60% - Акцент1 2 29" xfId="8859"/>
    <cellStyle name="60% — акцент1 2 29" xfId="10027"/>
    <cellStyle name="60% - Акцент1 2 3" xfId="1959"/>
    <cellStyle name="60% — акцент1 2 3" xfId="5695"/>
    <cellStyle name="60% - Акцент1 2 3 10" xfId="6693"/>
    <cellStyle name="60% - Акцент1 2 3 11" xfId="6888"/>
    <cellStyle name="60% - Акцент1 2 3 12" xfId="7129"/>
    <cellStyle name="60% - Акцент1 2 3 13" xfId="7342"/>
    <cellStyle name="60% - Акцент1 2 3 14" xfId="7569"/>
    <cellStyle name="60% - Акцент1 2 3 15" xfId="7792"/>
    <cellStyle name="60% - Акцент1 2 3 16" xfId="8014"/>
    <cellStyle name="60% - Акцент1 2 3 17" xfId="8223"/>
    <cellStyle name="60% - Акцент1 2 3 18" xfId="8420"/>
    <cellStyle name="60% - Акцент1 2 3 19" xfId="10030"/>
    <cellStyle name="60% - Акцент1 2 3 2" xfId="4794"/>
    <cellStyle name="60% - Акцент1 2 3 20" xfId="10811"/>
    <cellStyle name="60% - Акцент1 2 3 21" xfId="11047"/>
    <cellStyle name="60% - Акцент1 2 3 22" xfId="10441"/>
    <cellStyle name="60% - Акцент1 2 3 23" xfId="11228"/>
    <cellStyle name="60% - Акцент1 2 3 24" xfId="11463"/>
    <cellStyle name="60% - Акцент1 2 3 25" xfId="11698"/>
    <cellStyle name="60% - Акцент1 2 3 26" xfId="11933"/>
    <cellStyle name="60% - Акцент1 2 3 27" xfId="12168"/>
    <cellStyle name="60% - Акцент1 2 3 28" xfId="12403"/>
    <cellStyle name="60% - Акцент1 2 3 29" xfId="12638"/>
    <cellStyle name="60% - Акцент1 2 3 3" xfId="5933"/>
    <cellStyle name="60% - Акцент1 2 3 30" xfId="12873"/>
    <cellStyle name="60% - Акцент1 2 3 31" xfId="13108"/>
    <cellStyle name="60% - Акцент1 2 3 32" xfId="13343"/>
    <cellStyle name="60% - Акцент1 2 3 33" xfId="13578"/>
    <cellStyle name="60% - Акцент1 2 3 34" xfId="13812"/>
    <cellStyle name="60% - Акцент1 2 3 35" xfId="14041"/>
    <cellStyle name="60% - Акцент1 2 3 36" xfId="14269"/>
    <cellStyle name="60% - Акцент1 2 3 37" xfId="14490"/>
    <cellStyle name="60% - Акцент1 2 3 38" xfId="14710"/>
    <cellStyle name="60% - Акцент1 2 3 39" xfId="14906"/>
    <cellStyle name="60% - Акцент1 2 3 4" xfId="5663"/>
    <cellStyle name="60% - Акцент1 2 3 40" xfId="15115"/>
    <cellStyle name="60% - Акцент1 2 3 5" xfId="5976"/>
    <cellStyle name="60% - Акцент1 2 3 6" xfId="5591"/>
    <cellStyle name="60% - Акцент1 2 3 7" xfId="6075"/>
    <cellStyle name="60% - Акцент1 2 3 8" xfId="5345"/>
    <cellStyle name="60% - Акцент1 2 3 9" xfId="6349"/>
    <cellStyle name="60% - Акцент1 2 30" xfId="9103"/>
    <cellStyle name="60% — акцент1 2 30" xfId="10808"/>
    <cellStyle name="60% - Акцент1 2 31" xfId="9171"/>
    <cellStyle name="60% — акцент1 2 31" xfId="11050"/>
    <cellStyle name="60% - Акцент1 2 32" xfId="9304"/>
    <cellStyle name="60% — акцент1 2 32" xfId="10452"/>
    <cellStyle name="60% - Акцент1 2 33" xfId="9395"/>
    <cellStyle name="60% — акцент1 2 33" xfId="11231"/>
    <cellStyle name="60% - Акцент1 2 34" xfId="9483"/>
    <cellStyle name="60% — акцент1 2 34" xfId="11466"/>
    <cellStyle name="60% - Акцент1 2 35" xfId="9569"/>
    <cellStyle name="60% — акцент1 2 35" xfId="11701"/>
    <cellStyle name="60% - Акцент1 2 36" xfId="9258"/>
    <cellStyle name="60% — акцент1 2 36" xfId="11936"/>
    <cellStyle name="60% - Акцент1 2 37" xfId="9697"/>
    <cellStyle name="60% — акцент1 2 37" xfId="12171"/>
    <cellStyle name="60% - Акцент1 2 38" xfId="10026"/>
    <cellStyle name="60% — акцент1 2 38" xfId="12406"/>
    <cellStyle name="60% - Акцент1 2 39" xfId="10807"/>
    <cellStyle name="60% — акцент1 2 39" xfId="12641"/>
    <cellStyle name="60% - Акцент1 2 4" xfId="1960"/>
    <cellStyle name="60% — акцент1 2 4" xfId="5936"/>
    <cellStyle name="60% - Акцент1 2 4 10" xfId="6887"/>
    <cellStyle name="60% - Акцент1 2 4 11" xfId="7115"/>
    <cellStyle name="60% - Акцент1 2 4 12" xfId="7328"/>
    <cellStyle name="60% - Акцент1 2 4 13" xfId="7555"/>
    <cellStyle name="60% - Акцент1 2 4 14" xfId="7778"/>
    <cellStyle name="60% - Акцент1 2 4 15" xfId="8000"/>
    <cellStyle name="60% - Акцент1 2 4 16" xfId="8209"/>
    <cellStyle name="60% - Акцент1 2 4 17" xfId="8406"/>
    <cellStyle name="60% - Акцент1 2 4 18" xfId="10031"/>
    <cellStyle name="60% - Акцент1 2 4 19" xfId="10812"/>
    <cellStyle name="60% - Акцент1 2 4 2" xfId="4795"/>
    <cellStyle name="60% - Акцент1 2 4 20" xfId="11046"/>
    <cellStyle name="60% - Акцент1 2 4 21" xfId="10380"/>
    <cellStyle name="60% - Акцент1 2 4 22" xfId="11214"/>
    <cellStyle name="60% - Акцент1 2 4 23" xfId="11449"/>
    <cellStyle name="60% - Акцент1 2 4 24" xfId="11684"/>
    <cellStyle name="60% - Акцент1 2 4 25" xfId="11919"/>
    <cellStyle name="60% - Акцент1 2 4 26" xfId="12154"/>
    <cellStyle name="60% - Акцент1 2 4 27" xfId="12389"/>
    <cellStyle name="60% - Акцент1 2 4 28" xfId="12624"/>
    <cellStyle name="60% - Акцент1 2 4 29" xfId="12859"/>
    <cellStyle name="60% - Акцент1 2 4 3" xfId="5664"/>
    <cellStyle name="60% - Акцент1 2 4 30" xfId="13094"/>
    <cellStyle name="60% - Акцент1 2 4 31" xfId="13329"/>
    <cellStyle name="60% - Акцент1 2 4 32" xfId="13564"/>
    <cellStyle name="60% - Акцент1 2 4 33" xfId="13798"/>
    <cellStyle name="60% - Акцент1 2 4 34" xfId="14027"/>
    <cellStyle name="60% - Акцент1 2 4 35" xfId="14255"/>
    <cellStyle name="60% - Акцент1 2 4 36" xfId="14476"/>
    <cellStyle name="60% - Акцент1 2 4 37" xfId="14696"/>
    <cellStyle name="60% - Акцент1 2 4 38" xfId="14905"/>
    <cellStyle name="60% - Акцент1 2 4 39" xfId="15114"/>
    <cellStyle name="60% - Акцент1 2 4 4" xfId="5975"/>
    <cellStyle name="60% - Акцент1 2 4 5" xfId="5592"/>
    <cellStyle name="60% - Акцент1 2 4 6" xfId="6071"/>
    <cellStyle name="60% - Акцент1 2 4 7" xfId="5342"/>
    <cellStyle name="60% - Акцент1 2 4 8" xfId="6348"/>
    <cellStyle name="60% - Акцент1 2 4 9" xfId="6691"/>
    <cellStyle name="60% - Акцент1 2 40" xfId="11051"/>
    <cellStyle name="60% — акцент1 2 40" xfId="12876"/>
    <cellStyle name="60% - Акцент1 2 41" xfId="10454"/>
    <cellStyle name="60% — акцент1 2 41" xfId="13111"/>
    <cellStyle name="60% - Акцент1 2 42" xfId="11232"/>
    <cellStyle name="60% — акцент1 2 42" xfId="13346"/>
    <cellStyle name="60% - Акцент1 2 43" xfId="11467"/>
    <cellStyle name="60% — акцент1 2 43" xfId="13581"/>
    <cellStyle name="60% - Акцент1 2 44" xfId="11702"/>
    <cellStyle name="60% — акцент1 2 44" xfId="13815"/>
    <cellStyle name="60% - Акцент1 2 45" xfId="11937"/>
    <cellStyle name="60% — акцент1 2 45" xfId="14044"/>
    <cellStyle name="60% - Акцент1 2 46" xfId="12172"/>
    <cellStyle name="60% — акцент1 2 46" xfId="14272"/>
    <cellStyle name="60% - Акцент1 2 47" xfId="12407"/>
    <cellStyle name="60% — акцент1 2 47" xfId="14493"/>
    <cellStyle name="60% - Акцент1 2 48" xfId="12642"/>
    <cellStyle name="60% — акцент1 2 48" xfId="14713"/>
    <cellStyle name="60% - Акцент1 2 49" xfId="12877"/>
    <cellStyle name="60% — акцент1 2 49" xfId="14922"/>
    <cellStyle name="60% - Акцент1 2 5" xfId="1961"/>
    <cellStyle name="60% — акцент1 2 5" xfId="5659"/>
    <cellStyle name="60% - Акцент1 2 5 10" xfId="7114"/>
    <cellStyle name="60% - Акцент1 2 5 11" xfId="7327"/>
    <cellStyle name="60% - Акцент1 2 5 12" xfId="7554"/>
    <cellStyle name="60% - Акцент1 2 5 13" xfId="7777"/>
    <cellStyle name="60% - Акцент1 2 5 14" xfId="7999"/>
    <cellStyle name="60% - Акцент1 2 5 15" xfId="8208"/>
    <cellStyle name="60% - Акцент1 2 5 16" xfId="8405"/>
    <cellStyle name="60% - Акцент1 2 5 17" xfId="10032"/>
    <cellStyle name="60% - Акцент1 2 5 18" xfId="10813"/>
    <cellStyle name="60% - Акцент1 2 5 19" xfId="11045"/>
    <cellStyle name="60% - Акцент1 2 5 2" xfId="4796"/>
    <cellStyle name="60% - Акцент1 2 5 20" xfId="10378"/>
    <cellStyle name="60% - Акцент1 2 5 21" xfId="11213"/>
    <cellStyle name="60% - Акцент1 2 5 22" xfId="11448"/>
    <cellStyle name="60% - Акцент1 2 5 23" xfId="11683"/>
    <cellStyle name="60% - Акцент1 2 5 24" xfId="11918"/>
    <cellStyle name="60% - Акцент1 2 5 25" xfId="12153"/>
    <cellStyle name="60% - Акцент1 2 5 26" xfId="12388"/>
    <cellStyle name="60% - Акцент1 2 5 27" xfId="12623"/>
    <cellStyle name="60% - Акцент1 2 5 28" xfId="12858"/>
    <cellStyle name="60% - Акцент1 2 5 29" xfId="13093"/>
    <cellStyle name="60% - Акцент1 2 5 3" xfId="5974"/>
    <cellStyle name="60% - Акцент1 2 5 30" xfId="13328"/>
    <cellStyle name="60% - Акцент1 2 5 31" xfId="13563"/>
    <cellStyle name="60% - Акцент1 2 5 32" xfId="13797"/>
    <cellStyle name="60% - Акцент1 2 5 33" xfId="14026"/>
    <cellStyle name="60% - Акцент1 2 5 34" xfId="14254"/>
    <cellStyle name="60% - Акцент1 2 5 35" xfId="14475"/>
    <cellStyle name="60% - Акцент1 2 5 36" xfId="14695"/>
    <cellStyle name="60% - Акцент1 2 5 37" xfId="14904"/>
    <cellStyle name="60% - Акцент1 2 5 38" xfId="15100"/>
    <cellStyle name="60% - Акцент1 2 5 4" xfId="5593"/>
    <cellStyle name="60% - Акцент1 2 5 5" xfId="6062"/>
    <cellStyle name="60% - Акцент1 2 5 6" xfId="5339"/>
    <cellStyle name="60% - Акцент1 2 5 7" xfId="6347"/>
    <cellStyle name="60% - Акцент1 2 5 8" xfId="6690"/>
    <cellStyle name="60% - Акцент1 2 5 9" xfId="6886"/>
    <cellStyle name="60% - Акцент1 2 50" xfId="13112"/>
    <cellStyle name="60% — акцент1 2 50" xfId="15118"/>
    <cellStyle name="60% - Акцент1 2 51" xfId="13347"/>
    <cellStyle name="60% — акцент1 2 51" xfId="15549"/>
    <cellStyle name="60% - Акцент1 2 52" xfId="13582"/>
    <cellStyle name="60% — акцент1 2 52" xfId="15609"/>
    <cellStyle name="60% - Акцент1 2 53" xfId="13816"/>
    <cellStyle name="60% — акцент1 2 53" xfId="15685"/>
    <cellStyle name="60% - Акцент1 2 54" xfId="14045"/>
    <cellStyle name="60% - Акцент1 2 55" xfId="14273"/>
    <cellStyle name="60% - Акцент1 2 56" xfId="14494"/>
    <cellStyle name="60% - Акцент1 2 57" xfId="14714"/>
    <cellStyle name="60% - Акцент1 2 58" xfId="14923"/>
    <cellStyle name="60% - Акцент1 2 59" xfId="15119"/>
    <cellStyle name="60% - Акцент1 2 6" xfId="1962"/>
    <cellStyle name="60% — акцент1 2 6" xfId="5984"/>
    <cellStyle name="60% - Акцент1 2 6 10" xfId="7326"/>
    <cellStyle name="60% - Акцент1 2 6 11" xfId="7553"/>
    <cellStyle name="60% - Акцент1 2 6 12" xfId="7776"/>
    <cellStyle name="60% - Акцент1 2 6 13" xfId="7998"/>
    <cellStyle name="60% - Акцент1 2 6 14" xfId="8207"/>
    <cellStyle name="60% - Акцент1 2 6 15" xfId="8404"/>
    <cellStyle name="60% - Акцент1 2 6 16" xfId="10033"/>
    <cellStyle name="60% - Акцент1 2 6 17" xfId="10814"/>
    <cellStyle name="60% - Акцент1 2 6 18" xfId="11044"/>
    <cellStyle name="60% - Акцент1 2 6 19" xfId="10370"/>
    <cellStyle name="60% - Акцент1 2 6 2" xfId="4797"/>
    <cellStyle name="60% - Акцент1 2 6 20" xfId="11212"/>
    <cellStyle name="60% - Акцент1 2 6 21" xfId="11447"/>
    <cellStyle name="60% - Акцент1 2 6 22" xfId="11682"/>
    <cellStyle name="60% - Акцент1 2 6 23" xfId="11917"/>
    <cellStyle name="60% - Акцент1 2 6 24" xfId="12152"/>
    <cellStyle name="60% - Акцент1 2 6 25" xfId="12387"/>
    <cellStyle name="60% - Акцент1 2 6 26" xfId="12622"/>
    <cellStyle name="60% - Акцент1 2 6 27" xfId="12857"/>
    <cellStyle name="60% - Акцент1 2 6 28" xfId="13092"/>
    <cellStyle name="60% - Акцент1 2 6 29" xfId="13327"/>
    <cellStyle name="60% - Акцент1 2 6 3" xfId="5594"/>
    <cellStyle name="60% - Акцент1 2 6 30" xfId="13562"/>
    <cellStyle name="60% - Акцент1 2 6 31" xfId="13796"/>
    <cellStyle name="60% - Акцент1 2 6 32" xfId="14025"/>
    <cellStyle name="60% - Акцент1 2 6 33" xfId="14253"/>
    <cellStyle name="60% - Акцент1 2 6 34" xfId="14474"/>
    <cellStyle name="60% - Акцент1 2 6 35" xfId="14694"/>
    <cellStyle name="60% - Акцент1 2 6 36" xfId="14903"/>
    <cellStyle name="60% - Акцент1 2 6 37" xfId="15099"/>
    <cellStyle name="60% - Акцент1 2 6 4" xfId="6061"/>
    <cellStyle name="60% - Акцент1 2 6 5" xfId="5337"/>
    <cellStyle name="60% - Акцент1 2 6 6" xfId="6342"/>
    <cellStyle name="60% - Акцент1 2 6 7" xfId="6689"/>
    <cellStyle name="60% - Акцент1 2 6 8" xfId="6885"/>
    <cellStyle name="60% - Акцент1 2 6 9" xfId="7113"/>
    <cellStyle name="60% - Акцент1 2 60" xfId="15548"/>
    <cellStyle name="60% - Акцент1 2 61" xfId="15610"/>
    <cellStyle name="60% - Акцент1 2 62" xfId="15686"/>
    <cellStyle name="60% - Акцент1 2 7" xfId="1963"/>
    <cellStyle name="60% — акцент1 2 7" xfId="5586"/>
    <cellStyle name="60% - Акцент1 2 7 10" xfId="7552"/>
    <cellStyle name="60% - Акцент1 2 7 11" xfId="7775"/>
    <cellStyle name="60% - Акцент1 2 7 12" xfId="7997"/>
    <cellStyle name="60% - Акцент1 2 7 13" xfId="8206"/>
    <cellStyle name="60% - Акцент1 2 7 14" xfId="8403"/>
    <cellStyle name="60% - Акцент1 2 7 15" xfId="10034"/>
    <cellStyle name="60% - Акцент1 2 7 16" xfId="10815"/>
    <cellStyle name="60% - Акцент1 2 7 17" xfId="11043"/>
    <cellStyle name="60% - Акцент1 2 7 18" xfId="10368"/>
    <cellStyle name="60% - Акцент1 2 7 19" xfId="11211"/>
    <cellStyle name="60% - Акцент1 2 7 2" xfId="4798"/>
    <cellStyle name="60% - Акцент1 2 7 20" xfId="11446"/>
    <cellStyle name="60% - Акцент1 2 7 21" xfId="11681"/>
    <cellStyle name="60% - Акцент1 2 7 22" xfId="11916"/>
    <cellStyle name="60% - Акцент1 2 7 23" xfId="12151"/>
    <cellStyle name="60% - Акцент1 2 7 24" xfId="12386"/>
    <cellStyle name="60% - Акцент1 2 7 25" xfId="12621"/>
    <cellStyle name="60% - Акцент1 2 7 26" xfId="12856"/>
    <cellStyle name="60% - Акцент1 2 7 27" xfId="13091"/>
    <cellStyle name="60% - Акцент1 2 7 28" xfId="13326"/>
    <cellStyle name="60% - Акцент1 2 7 29" xfId="13561"/>
    <cellStyle name="60% - Акцент1 2 7 3" xfId="6060"/>
    <cellStyle name="60% - Акцент1 2 7 30" xfId="13795"/>
    <cellStyle name="60% - Акцент1 2 7 31" xfId="14024"/>
    <cellStyle name="60% - Акцент1 2 7 32" xfId="14252"/>
    <cellStyle name="60% - Акцент1 2 7 33" xfId="14473"/>
    <cellStyle name="60% - Акцент1 2 7 34" xfId="14693"/>
    <cellStyle name="60% - Акцент1 2 7 35" xfId="14902"/>
    <cellStyle name="60% - Акцент1 2 7 36" xfId="15098"/>
    <cellStyle name="60% - Акцент1 2 7 4" xfId="5336"/>
    <cellStyle name="60% - Акцент1 2 7 5" xfId="6328"/>
    <cellStyle name="60% - Акцент1 2 7 6" xfId="6688"/>
    <cellStyle name="60% - Акцент1 2 7 7" xfId="6884"/>
    <cellStyle name="60% - Акцент1 2 7 8" xfId="7112"/>
    <cellStyle name="60% - Акцент1 2 7 9" xfId="7325"/>
    <cellStyle name="60% - Акцент1 2 8" xfId="1964"/>
    <cellStyle name="60% — акцент1 2 8" xfId="6078"/>
    <cellStyle name="60% - Акцент1 2 8 10" xfId="7774"/>
    <cellStyle name="60% - Акцент1 2 8 11" xfId="7996"/>
    <cellStyle name="60% - Акцент1 2 8 12" xfId="8205"/>
    <cellStyle name="60% - Акцент1 2 8 13" xfId="8402"/>
    <cellStyle name="60% - Акцент1 2 8 14" xfId="10035"/>
    <cellStyle name="60% - Акцент1 2 8 15" xfId="10816"/>
    <cellStyle name="60% - Акцент1 2 8 16" xfId="11042"/>
    <cellStyle name="60% - Акцент1 2 8 17" xfId="10367"/>
    <cellStyle name="60% - Акцент1 2 8 18" xfId="11210"/>
    <cellStyle name="60% - Акцент1 2 8 19" xfId="11445"/>
    <cellStyle name="60% - Акцент1 2 8 2" xfId="4799"/>
    <cellStyle name="60% - Акцент1 2 8 20" xfId="11680"/>
    <cellStyle name="60% - Акцент1 2 8 21" xfId="11915"/>
    <cellStyle name="60% - Акцент1 2 8 22" xfId="12150"/>
    <cellStyle name="60% - Акцент1 2 8 23" xfId="12385"/>
    <cellStyle name="60% - Акцент1 2 8 24" xfId="12620"/>
    <cellStyle name="60% - Акцент1 2 8 25" xfId="12855"/>
    <cellStyle name="60% - Акцент1 2 8 26" xfId="13090"/>
    <cellStyle name="60% - Акцент1 2 8 27" xfId="13325"/>
    <cellStyle name="60% - Акцент1 2 8 28" xfId="13560"/>
    <cellStyle name="60% - Акцент1 2 8 29" xfId="13794"/>
    <cellStyle name="60% - Акцент1 2 8 3" xfId="5335"/>
    <cellStyle name="60% - Акцент1 2 8 30" xfId="14023"/>
    <cellStyle name="60% - Акцент1 2 8 31" xfId="14251"/>
    <cellStyle name="60% - Акцент1 2 8 32" xfId="14472"/>
    <cellStyle name="60% - Акцент1 2 8 33" xfId="14692"/>
    <cellStyle name="60% - Акцент1 2 8 34" xfId="14901"/>
    <cellStyle name="60% - Акцент1 2 8 35" xfId="15097"/>
    <cellStyle name="60% - Акцент1 2 8 4" xfId="6327"/>
    <cellStyle name="60% - Акцент1 2 8 5" xfId="6687"/>
    <cellStyle name="60% - Акцент1 2 8 6" xfId="6883"/>
    <cellStyle name="60% - Акцент1 2 8 7" xfId="7111"/>
    <cellStyle name="60% - Акцент1 2 8 8" xfId="7324"/>
    <cellStyle name="60% - Акцент1 2 8 9" xfId="7551"/>
    <cellStyle name="60% - Акцент1 2 9" xfId="1965"/>
    <cellStyle name="60% — акцент1 2 9" xfId="6210"/>
    <cellStyle name="60% - Акцент1 2 9 10" xfId="7995"/>
    <cellStyle name="60% - Акцент1 2 9 11" xfId="8204"/>
    <cellStyle name="60% - Акцент1 2 9 12" xfId="8401"/>
    <cellStyle name="60% - Акцент1 2 9 13" xfId="10036"/>
    <cellStyle name="60% - Акцент1 2 9 14" xfId="10817"/>
    <cellStyle name="60% - Акцент1 2 9 15" xfId="11041"/>
    <cellStyle name="60% - Акцент1 2 9 16" xfId="10359"/>
    <cellStyle name="60% - Акцент1 2 9 17" xfId="11209"/>
    <cellStyle name="60% - Акцент1 2 9 18" xfId="11444"/>
    <cellStyle name="60% - Акцент1 2 9 19" xfId="11679"/>
    <cellStyle name="60% - Акцент1 2 9 2" xfId="4800"/>
    <cellStyle name="60% - Акцент1 2 9 20" xfId="11914"/>
    <cellStyle name="60% - Акцент1 2 9 21" xfId="12149"/>
    <cellStyle name="60% - Акцент1 2 9 22" xfId="12384"/>
    <cellStyle name="60% - Акцент1 2 9 23" xfId="12619"/>
    <cellStyle name="60% - Акцент1 2 9 24" xfId="12854"/>
    <cellStyle name="60% - Акцент1 2 9 25" xfId="13089"/>
    <cellStyle name="60% - Акцент1 2 9 26" xfId="13324"/>
    <cellStyle name="60% - Акцент1 2 9 27" xfId="13559"/>
    <cellStyle name="60% - Акцент1 2 9 28" xfId="13793"/>
    <cellStyle name="60% - Акцент1 2 9 29" xfId="14022"/>
    <cellStyle name="60% - Акцент1 2 9 3" xfId="6325"/>
    <cellStyle name="60% - Акцент1 2 9 30" xfId="14250"/>
    <cellStyle name="60% - Акцент1 2 9 31" xfId="14471"/>
    <cellStyle name="60% - Акцент1 2 9 32" xfId="14691"/>
    <cellStyle name="60% - Акцент1 2 9 33" xfId="14900"/>
    <cellStyle name="60% - Акцент1 2 9 34" xfId="15096"/>
    <cellStyle name="60% - Акцент1 2 9 4" xfId="6686"/>
    <cellStyle name="60% - Акцент1 2 9 5" xfId="6882"/>
    <cellStyle name="60% - Акцент1 2 9 6" xfId="7110"/>
    <cellStyle name="60% - Акцент1 2 9 7" xfId="7323"/>
    <cellStyle name="60% - Акцент1 2 9 8" xfId="7550"/>
    <cellStyle name="60% - Акцент1 2 9 9" xfId="7773"/>
    <cellStyle name="60% - Акцент1 2_МФ тепловой баланс 2015 дубль 3" xfId="1966"/>
    <cellStyle name="60% — акцент1 20" xfId="1967"/>
    <cellStyle name="60% — акцент1 21" xfId="1968"/>
    <cellStyle name="60% — акцент1 22" xfId="4789"/>
    <cellStyle name="60% — акцент1 23" xfId="5693"/>
    <cellStyle name="60% — акцент1 24" xfId="5938"/>
    <cellStyle name="60% — акцент1 25" xfId="5657"/>
    <cellStyle name="60% — акцент1 26" xfId="5986"/>
    <cellStyle name="60% — акцент1 27" xfId="5581"/>
    <cellStyle name="60% — акцент1 28" xfId="6081"/>
    <cellStyle name="60% — акцент1 29" xfId="6217"/>
    <cellStyle name="60% - Акцент1 3" xfId="1969"/>
    <cellStyle name="60% — акцент1 3" xfId="1970"/>
    <cellStyle name="60% - Акцент1 3 10" xfId="1971"/>
    <cellStyle name="60% - Акцент1 3 10 2" xfId="4802"/>
    <cellStyle name="60% - Акцент1 3 10 3" xfId="10038"/>
    <cellStyle name="60% - Акцент1 3 11" xfId="1972"/>
    <cellStyle name="60% - Акцент1 3 12" xfId="4801"/>
    <cellStyle name="60% - Акцент1 3 13" xfId="5705"/>
    <cellStyle name="60% - Акцент1 3 14" xfId="5926"/>
    <cellStyle name="60% - Акцент1 3 15" xfId="5670"/>
    <cellStyle name="60% - Акцент1 3 16" xfId="5968"/>
    <cellStyle name="60% - Акцент1 3 17" xfId="5602"/>
    <cellStyle name="60% - Акцент1 3 18" xfId="6055"/>
    <cellStyle name="60% - Акцент1 3 19" xfId="5333"/>
    <cellStyle name="60% - Акцент1 3 2" xfId="1973"/>
    <cellStyle name="60% - Акцент1 3 2 2" xfId="4803"/>
    <cellStyle name="60% - Акцент1 3 2 3" xfId="8863"/>
    <cellStyle name="60% - Акцент1 3 20" xfId="6323"/>
    <cellStyle name="60% - Акцент1 3 21" xfId="6685"/>
    <cellStyle name="60% - Акцент1 3 22" xfId="6878"/>
    <cellStyle name="60% - Акцент1 3 23" xfId="7109"/>
    <cellStyle name="60% - Акцент1 3 24" xfId="7322"/>
    <cellStyle name="60% - Акцент1 3 25" xfId="7549"/>
    <cellStyle name="60% - Акцент1 3 26" xfId="7772"/>
    <cellStyle name="60% - Акцент1 3 27" xfId="7994"/>
    <cellStyle name="60% - Акцент1 3 28" xfId="8203"/>
    <cellStyle name="60% - Акцент1 3 29" xfId="8400"/>
    <cellStyle name="60% - Акцент1 3 3" xfId="1974"/>
    <cellStyle name="60% - Акцент1 3 3 2" xfId="4804"/>
    <cellStyle name="60% - Акцент1 3 3 3" xfId="10040"/>
    <cellStyle name="60% - Акцент1 3 30" xfId="8862"/>
    <cellStyle name="60% - Акцент1 3 31" xfId="9106"/>
    <cellStyle name="60% - Акцент1 3 32" xfId="9168"/>
    <cellStyle name="60% - Акцент1 3 33" xfId="9301"/>
    <cellStyle name="60% - Акцент1 3 34" xfId="9392"/>
    <cellStyle name="60% - Акцент1 3 35" xfId="9480"/>
    <cellStyle name="60% - Акцент1 3 36" xfId="9566"/>
    <cellStyle name="60% - Акцент1 3 37" xfId="9255"/>
    <cellStyle name="60% - Акцент1 3 38" xfId="9694"/>
    <cellStyle name="60% - Акцент1 3 39" xfId="10037"/>
    <cellStyle name="60% - Акцент1 3 4" xfId="1975"/>
    <cellStyle name="60% - Акцент1 3 4 2" xfId="4805"/>
    <cellStyle name="60% - Акцент1 3 4 3" xfId="10041"/>
    <cellStyle name="60% - Акцент1 3 40" xfId="10818"/>
    <cellStyle name="60% - Акцент1 3 41" xfId="11040"/>
    <cellStyle name="60% - Акцент1 3 42" xfId="10357"/>
    <cellStyle name="60% - Акцент1 3 43" xfId="11208"/>
    <cellStyle name="60% - Акцент1 3 44" xfId="11443"/>
    <cellStyle name="60% - Акцент1 3 45" xfId="11678"/>
    <cellStyle name="60% - Акцент1 3 46" xfId="11913"/>
    <cellStyle name="60% - Акцент1 3 47" xfId="12148"/>
    <cellStyle name="60% - Акцент1 3 48" xfId="12383"/>
    <cellStyle name="60% - Акцент1 3 49" xfId="12618"/>
    <cellStyle name="60% - Акцент1 3 5" xfId="1976"/>
    <cellStyle name="60% - Акцент1 3 5 2" xfId="4806"/>
    <cellStyle name="60% - Акцент1 3 5 3" xfId="10042"/>
    <cellStyle name="60% - Акцент1 3 50" xfId="12853"/>
    <cellStyle name="60% - Акцент1 3 51" xfId="13088"/>
    <cellStyle name="60% - Акцент1 3 52" xfId="13323"/>
    <cellStyle name="60% - Акцент1 3 53" xfId="13558"/>
    <cellStyle name="60% - Акцент1 3 54" xfId="13792"/>
    <cellStyle name="60% - Акцент1 3 55" xfId="14021"/>
    <cellStyle name="60% - Акцент1 3 56" xfId="14249"/>
    <cellStyle name="60% - Акцент1 3 57" xfId="14470"/>
    <cellStyle name="60% - Акцент1 3 58" xfId="14690"/>
    <cellStyle name="60% - Акцент1 3 59" xfId="14899"/>
    <cellStyle name="60% - Акцент1 3 6" xfId="1977"/>
    <cellStyle name="60% - Акцент1 3 6 2" xfId="4807"/>
    <cellStyle name="60% - Акцент1 3 6 3" xfId="10043"/>
    <cellStyle name="60% - Акцент1 3 60" xfId="15095"/>
    <cellStyle name="60% - Акцент1 3 61" xfId="15551"/>
    <cellStyle name="60% - Акцент1 3 62" xfId="15607"/>
    <cellStyle name="60% - Акцент1 3 63" xfId="15683"/>
    <cellStyle name="60% - Акцент1 3 7" xfId="1978"/>
    <cellStyle name="60% - Акцент1 3 7 2" xfId="4808"/>
    <cellStyle name="60% - Акцент1 3 7 3" xfId="10044"/>
    <cellStyle name="60% - Акцент1 3 8" xfId="1979"/>
    <cellStyle name="60% - Акцент1 3 8 2" xfId="4809"/>
    <cellStyle name="60% - Акцент1 3 8 3" xfId="10045"/>
    <cellStyle name="60% - Акцент1 3 9" xfId="1980"/>
    <cellStyle name="60% - Акцент1 3 9 2" xfId="4810"/>
    <cellStyle name="60% - Акцент1 3 9 3" xfId="10046"/>
    <cellStyle name="60% - Акцент1 3_МФ тепловой баланс 2015 дубль 3" xfId="1981"/>
    <cellStyle name="60% — акцент1 30" xfId="6361"/>
    <cellStyle name="60% — акцент1 31" xfId="6708"/>
    <cellStyle name="60% — акцент1 32" xfId="6905"/>
    <cellStyle name="60% — акцент1 33" xfId="7134"/>
    <cellStyle name="60% — акцент1 34" xfId="7347"/>
    <cellStyle name="60% — акцент1 35" xfId="7574"/>
    <cellStyle name="60% — акцент1 36" xfId="7797"/>
    <cellStyle name="60% — акцент1 37" xfId="8019"/>
    <cellStyle name="60% — акцент1 38" xfId="8228"/>
    <cellStyle name="60% — акцент1 39" xfId="8425"/>
    <cellStyle name="60% - Акцент1 4" xfId="1982"/>
    <cellStyle name="60% — акцент1 4" xfId="1983"/>
    <cellStyle name="60% - Акцент1 4 2" xfId="1984"/>
    <cellStyle name="60% - Акцент1 4_МФ тепловой баланс 2015 дубль 3" xfId="1985"/>
    <cellStyle name="60% — акцент1 40" xfId="8858"/>
    <cellStyle name="60% — акцент1 41" xfId="9102"/>
    <cellStyle name="60% — акцент1 42" xfId="9172"/>
    <cellStyle name="60% — акцент1 43" xfId="9305"/>
    <cellStyle name="60% — акцент1 44" xfId="9396"/>
    <cellStyle name="60% — акцент1 45" xfId="9484"/>
    <cellStyle name="60% — акцент1 46" xfId="9570"/>
    <cellStyle name="60% — акцент1 47" xfId="9259"/>
    <cellStyle name="60% — акцент1 48" xfId="9698"/>
    <cellStyle name="60% — акцент1 49" xfId="10025"/>
    <cellStyle name="60% - Акцент1 5" xfId="1986"/>
    <cellStyle name="60% — акцент1 5" xfId="1987"/>
    <cellStyle name="60% - Акцент1 5 2" xfId="1988"/>
    <cellStyle name="60% - Акцент1 5_МФ тепловой баланс 2015 дубль 3" xfId="1989"/>
    <cellStyle name="60% — акцент1 50" xfId="10806"/>
    <cellStyle name="60% — акцент1 51" xfId="11052"/>
    <cellStyle name="60% — акцент1 52" xfId="10462"/>
    <cellStyle name="60% — акцент1 53" xfId="11233"/>
    <cellStyle name="60% — акцент1 54" xfId="11468"/>
    <cellStyle name="60% — акцент1 55" xfId="11703"/>
    <cellStyle name="60% — акцент1 56" xfId="11938"/>
    <cellStyle name="60% — акцент1 57" xfId="12173"/>
    <cellStyle name="60% — акцент1 58" xfId="12408"/>
    <cellStyle name="60% — акцент1 59" xfId="12643"/>
    <cellStyle name="60% - Акцент1 6" xfId="1990"/>
    <cellStyle name="60% — акцент1 6" xfId="1991"/>
    <cellStyle name="60% - Акцент1 6 2" xfId="1992"/>
    <cellStyle name="60% - Акцент1 6_МФ тепловой баланс 2015 дубль 3" xfId="1993"/>
    <cellStyle name="60% — акцент1 60" xfId="12878"/>
    <cellStyle name="60% — акцент1 61" xfId="13113"/>
    <cellStyle name="60% — акцент1 62" xfId="13348"/>
    <cellStyle name="60% — акцент1 63" xfId="13583"/>
    <cellStyle name="60% — акцент1 64" xfId="13817"/>
    <cellStyle name="60% — акцент1 65" xfId="14046"/>
    <cellStyle name="60% — акцент1 66" xfId="14274"/>
    <cellStyle name="60% — акцент1 67" xfId="14495"/>
    <cellStyle name="60% — акцент1 68" xfId="14715"/>
    <cellStyle name="60% — акцент1 69" xfId="14924"/>
    <cellStyle name="60% - Акцент1 7" xfId="1994"/>
    <cellStyle name="60% — акцент1 7" xfId="1995"/>
    <cellStyle name="60% - Акцент1 7 2" xfId="1996"/>
    <cellStyle name="60% - Акцент1 7_МФ тепловой баланс 2015 дубль 3" xfId="1997"/>
    <cellStyle name="60% — акцент1 70" xfId="15121"/>
    <cellStyle name="60% — акцент1 71" xfId="15547"/>
    <cellStyle name="60% — акцент1 72" xfId="15611"/>
    <cellStyle name="60% — акцент1 73" xfId="15687"/>
    <cellStyle name="60% - Акцент1 8" xfId="1998"/>
    <cellStyle name="60% — акцент1 8" xfId="1999"/>
    <cellStyle name="60% - Акцент1 8 2" xfId="2000"/>
    <cellStyle name="60% - Акцент1 9" xfId="2001"/>
    <cellStyle name="60% — акцент1 9" xfId="2002"/>
    <cellStyle name="60% - Акцент1 9 2" xfId="2003"/>
    <cellStyle name="60% — акцент2" xfId="2004"/>
    <cellStyle name="60% - Акцент2 10" xfId="2005"/>
    <cellStyle name="60% — акцент2 10" xfId="2006"/>
    <cellStyle name="60% — акцент2 11" xfId="2007"/>
    <cellStyle name="60% — акцент2 12" xfId="2008"/>
    <cellStyle name="60% — акцент2 13" xfId="2009"/>
    <cellStyle name="60% — акцент2 14" xfId="2010"/>
    <cellStyle name="60% — акцент2 15" xfId="2011"/>
    <cellStyle name="60% — акцент2 16" xfId="2012"/>
    <cellStyle name="60% — акцент2 17" xfId="2013"/>
    <cellStyle name="60% — акцент2 18" xfId="2014"/>
    <cellStyle name="60% — акцент2 19" xfId="2015"/>
    <cellStyle name="60% - Акцент2 2" xfId="2016"/>
    <cellStyle name="60% — акцент2 2" xfId="2017"/>
    <cellStyle name="60% - Акцент2 2 10" xfId="2018"/>
    <cellStyle name="60% — акцент2 2 10" xfId="6196"/>
    <cellStyle name="60% - Акцент2 2 10 10" xfId="8173"/>
    <cellStyle name="60% - Акцент2 2 10 11" xfId="8370"/>
    <cellStyle name="60% - Акцент2 2 10 12" xfId="10050"/>
    <cellStyle name="60% - Акцент2 2 10 13" xfId="10831"/>
    <cellStyle name="60% - Акцент2 2 10 14" xfId="11027"/>
    <cellStyle name="60% - Акцент2 2 10 15" xfId="10191"/>
    <cellStyle name="60% - Акцент2 2 10 16" xfId="11169"/>
    <cellStyle name="60% - Акцент2 2 10 17" xfId="11404"/>
    <cellStyle name="60% - Акцент2 2 10 18" xfId="11639"/>
    <cellStyle name="60% - Акцент2 2 10 19" xfId="11874"/>
    <cellStyle name="60% - Акцент2 2 10 2" xfId="4814"/>
    <cellStyle name="60% - Акцент2 2 10 20" xfId="12109"/>
    <cellStyle name="60% - Акцент2 2 10 21" xfId="12344"/>
    <cellStyle name="60% - Акцент2 2 10 22" xfId="12579"/>
    <cellStyle name="60% - Акцент2 2 10 23" xfId="12814"/>
    <cellStyle name="60% - Акцент2 2 10 24" xfId="13049"/>
    <cellStyle name="60% - Акцент2 2 10 25" xfId="13284"/>
    <cellStyle name="60% - Акцент2 2 10 26" xfId="13519"/>
    <cellStyle name="60% - Акцент2 2 10 27" xfId="13754"/>
    <cellStyle name="60% - Акцент2 2 10 28" xfId="13988"/>
    <cellStyle name="60% - Акцент2 2 10 29" xfId="14214"/>
    <cellStyle name="60% - Акцент2 2 10 3" xfId="6498"/>
    <cellStyle name="60% - Акцент2 2 10 30" xfId="14438"/>
    <cellStyle name="60% - Акцент2 2 10 31" xfId="14660"/>
    <cellStyle name="60% - Акцент2 2 10 32" xfId="14869"/>
    <cellStyle name="60% - Акцент2 2 10 33" xfId="15065"/>
    <cellStyle name="60% - Акцент2 2 10 4" xfId="6844"/>
    <cellStyle name="60% - Акцент2 2 10 5" xfId="7070"/>
    <cellStyle name="60% - Акцент2 2 10 6" xfId="7288"/>
    <cellStyle name="60% - Акцент2 2 10 7" xfId="7515"/>
    <cellStyle name="60% - Акцент2 2 10 8" xfId="7741"/>
    <cellStyle name="60% - Акцент2 2 10 9" xfId="7963"/>
    <cellStyle name="60% - Акцент2 2 11" xfId="4812"/>
    <cellStyle name="60% — акцент2 2 11" xfId="6504"/>
    <cellStyle name="60% - Акцент2 2 12" xfId="5716"/>
    <cellStyle name="60% — акцент2 2 12" xfId="6845"/>
    <cellStyle name="60% - Акцент2 2 13" xfId="5915"/>
    <cellStyle name="60% — акцент2 2 13" xfId="7071"/>
    <cellStyle name="60% - Акцент2 2 14" xfId="5686"/>
    <cellStyle name="60% — акцент2 2 14" xfId="7289"/>
    <cellStyle name="60% - Акцент2 2 15" xfId="5952"/>
    <cellStyle name="60% — акцент2 2 15" xfId="7516"/>
    <cellStyle name="60% - Акцент2 2 16" xfId="5622"/>
    <cellStyle name="60% — акцент2 2 16" xfId="7742"/>
    <cellStyle name="60% - Акцент2 2 17" xfId="6031"/>
    <cellStyle name="60% — акцент2 2 17" xfId="7964"/>
    <cellStyle name="60% - Акцент2 2 18" xfId="5486"/>
    <cellStyle name="60% — акцент2 2 18" xfId="8174"/>
    <cellStyle name="60% - Акцент2 2 19" xfId="6199"/>
    <cellStyle name="60% — акцент2 2 19" xfId="8371"/>
    <cellStyle name="60% - Акцент2 2 2" xfId="2019"/>
    <cellStyle name="60% — акцент2 2 2" xfId="4813"/>
    <cellStyle name="60% - Акцент2 2 2 10" xfId="5498"/>
    <cellStyle name="60% - Акцент2 2 2 11" xfId="6191"/>
    <cellStyle name="60% - Акцент2 2 2 12" xfId="6493"/>
    <cellStyle name="60% - Акцент2 2 2 13" xfId="6843"/>
    <cellStyle name="60% - Акцент2 2 2 14" xfId="7069"/>
    <cellStyle name="60% - Акцент2 2 2 15" xfId="7287"/>
    <cellStyle name="60% - Акцент2 2 2 16" xfId="7514"/>
    <cellStyle name="60% - Акцент2 2 2 17" xfId="7740"/>
    <cellStyle name="60% - Акцент2 2 2 18" xfId="7962"/>
    <cellStyle name="60% - Акцент2 2 2 19" xfId="8172"/>
    <cellStyle name="60% - Акцент2 2 2 2" xfId="2020"/>
    <cellStyle name="60% - Акцент2 2 2 20" xfId="8369"/>
    <cellStyle name="60% - Акцент2 2 2 21" xfId="8867"/>
    <cellStyle name="60% - Акцент2 2 2 22" xfId="9111"/>
    <cellStyle name="60% - Акцент2 2 2 23" xfId="9163"/>
    <cellStyle name="60% - Акцент2 2 2 24" xfId="9296"/>
    <cellStyle name="60% - Акцент2 2 2 25" xfId="9387"/>
    <cellStyle name="60% - Акцент2 2 2 26" xfId="9476"/>
    <cellStyle name="60% - Акцент2 2 2 27" xfId="9562"/>
    <cellStyle name="60% - Акцент2 2 2 28" xfId="9251"/>
    <cellStyle name="60% - Акцент2 2 2 29" xfId="9689"/>
    <cellStyle name="60% - Акцент2 2 2 3" xfId="4815"/>
    <cellStyle name="60% - Акцент2 2 2 30" xfId="10051"/>
    <cellStyle name="60% - Акцент2 2 2 31" xfId="10832"/>
    <cellStyle name="60% - Акцент2 2 2 32" xfId="11026"/>
    <cellStyle name="60% - Акцент2 2 2 33" xfId="10189"/>
    <cellStyle name="60% - Акцент2 2 2 34" xfId="11168"/>
    <cellStyle name="60% - Акцент2 2 2 35" xfId="11403"/>
    <cellStyle name="60% - Акцент2 2 2 36" xfId="11638"/>
    <cellStyle name="60% - Акцент2 2 2 37" xfId="11873"/>
    <cellStyle name="60% - Акцент2 2 2 38" xfId="12108"/>
    <cellStyle name="60% - Акцент2 2 2 39" xfId="12343"/>
    <cellStyle name="60% - Акцент2 2 2 4" xfId="5719"/>
    <cellStyle name="60% - Акцент2 2 2 40" xfId="12578"/>
    <cellStyle name="60% - Акцент2 2 2 41" xfId="12813"/>
    <cellStyle name="60% - Акцент2 2 2 42" xfId="13048"/>
    <cellStyle name="60% - Акцент2 2 2 43" xfId="13283"/>
    <cellStyle name="60% - Акцент2 2 2 44" xfId="13518"/>
    <cellStyle name="60% - Акцент2 2 2 45" xfId="13753"/>
    <cellStyle name="60% - Акцент2 2 2 46" xfId="13987"/>
    <cellStyle name="60% - Акцент2 2 2 47" xfId="14213"/>
    <cellStyle name="60% - Акцент2 2 2 48" xfId="14437"/>
    <cellStyle name="60% - Акцент2 2 2 49" xfId="14659"/>
    <cellStyle name="60% - Акцент2 2 2 5" xfId="5912"/>
    <cellStyle name="60% - Акцент2 2 2 50" xfId="14868"/>
    <cellStyle name="60% - Акцент2 2 2 51" xfId="15064"/>
    <cellStyle name="60% - Акцент2 2 2 52" xfId="15556"/>
    <cellStyle name="60% - Акцент2 2 2 53" xfId="15603"/>
    <cellStyle name="60% - Акцент2 2 2 54" xfId="15679"/>
    <cellStyle name="60% - Акцент2 2 2 6" xfId="5689"/>
    <cellStyle name="60% - Акцент2 2 2 7" xfId="5949"/>
    <cellStyle name="60% - Акцент2 2 2 8" xfId="5625"/>
    <cellStyle name="60% - Акцент2 2 2 9" xfId="6027"/>
    <cellStyle name="60% - Акцент2 2 20" xfId="6508"/>
    <cellStyle name="60% — акцент2 2 20" xfId="8866"/>
    <cellStyle name="60% - Акцент2 2 21" xfId="6846"/>
    <cellStyle name="60% — акцент2 2 21" xfId="9110"/>
    <cellStyle name="60% - Акцент2 2 22" xfId="7085"/>
    <cellStyle name="60% — акцент2 2 22" xfId="9164"/>
    <cellStyle name="60% - Акцент2 2 23" xfId="7303"/>
    <cellStyle name="60% — акцент2 2 23" xfId="9297"/>
    <cellStyle name="60% - Акцент2 2 24" xfId="7530"/>
    <cellStyle name="60% — акцент2 2 24" xfId="9388"/>
    <cellStyle name="60% - Акцент2 2 25" xfId="7756"/>
    <cellStyle name="60% — акцент2 2 25" xfId="9477"/>
    <cellStyle name="60% - Акцент2 2 26" xfId="7978"/>
    <cellStyle name="60% — акцент2 2 26" xfId="9563"/>
    <cellStyle name="60% - Акцент2 2 27" xfId="8188"/>
    <cellStyle name="60% — акцент2 2 27" xfId="9252"/>
    <cellStyle name="60% - Акцент2 2 28" xfId="8385"/>
    <cellStyle name="60% — акцент2 2 28" xfId="9690"/>
    <cellStyle name="60% - Акцент2 2 29" xfId="8865"/>
    <cellStyle name="60% — акцент2 2 29" xfId="10049"/>
    <cellStyle name="60% - Акцент2 2 3" xfId="2021"/>
    <cellStyle name="60% — акцент2 2 3" xfId="5717"/>
    <cellStyle name="60% - Акцент2 2 3 10" xfId="6482"/>
    <cellStyle name="60% - Акцент2 2 3 11" xfId="6842"/>
    <cellStyle name="60% - Акцент2 2 3 12" xfId="7068"/>
    <cellStyle name="60% - Акцент2 2 3 13" xfId="7286"/>
    <cellStyle name="60% - Акцент2 2 3 14" xfId="7513"/>
    <cellStyle name="60% - Акцент2 2 3 15" xfId="7739"/>
    <cellStyle name="60% - Акцент2 2 3 16" xfId="7961"/>
    <cellStyle name="60% - Акцент2 2 3 17" xfId="8171"/>
    <cellStyle name="60% - Акцент2 2 3 18" xfId="8368"/>
    <cellStyle name="60% - Акцент2 2 3 19" xfId="10052"/>
    <cellStyle name="60% - Акцент2 2 3 2" xfId="4816"/>
    <cellStyle name="60% - Акцент2 2 3 20" xfId="10833"/>
    <cellStyle name="60% - Акцент2 2 3 21" xfId="11025"/>
    <cellStyle name="60% - Акцент2 2 3 22" xfId="10181"/>
    <cellStyle name="60% - Акцент2 2 3 23" xfId="11167"/>
    <cellStyle name="60% - Акцент2 2 3 24" xfId="11402"/>
    <cellStyle name="60% - Акцент2 2 3 25" xfId="11637"/>
    <cellStyle name="60% - Акцент2 2 3 26" xfId="11872"/>
    <cellStyle name="60% - Акцент2 2 3 27" xfId="12107"/>
    <cellStyle name="60% - Акцент2 2 3 28" xfId="12342"/>
    <cellStyle name="60% - Акцент2 2 3 29" xfId="12577"/>
    <cellStyle name="60% - Акцент2 2 3 3" xfId="5911"/>
    <cellStyle name="60% - Акцент2 2 3 30" xfId="12812"/>
    <cellStyle name="60% - Акцент2 2 3 31" xfId="13047"/>
    <cellStyle name="60% - Акцент2 2 3 32" xfId="13282"/>
    <cellStyle name="60% - Акцент2 2 3 33" xfId="13517"/>
    <cellStyle name="60% - Акцент2 2 3 34" xfId="13752"/>
    <cellStyle name="60% - Акцент2 2 3 35" xfId="13986"/>
    <cellStyle name="60% - Акцент2 2 3 36" xfId="14212"/>
    <cellStyle name="60% - Акцент2 2 3 37" xfId="14436"/>
    <cellStyle name="60% - Акцент2 2 3 38" xfId="14658"/>
    <cellStyle name="60% - Акцент2 2 3 39" xfId="14867"/>
    <cellStyle name="60% - Акцент2 2 3 4" xfId="5690"/>
    <cellStyle name="60% - Акцент2 2 3 40" xfId="15063"/>
    <cellStyle name="60% - Акцент2 2 3 5" xfId="5947"/>
    <cellStyle name="60% - Акцент2 2 3 6" xfId="5633"/>
    <cellStyle name="60% - Акцент2 2 3 7" xfId="6026"/>
    <cellStyle name="60% - Акцент2 2 3 8" xfId="5500"/>
    <cellStyle name="60% - Акцент2 2 3 9" xfId="6185"/>
    <cellStyle name="60% - Акцент2 2 30" xfId="9109"/>
    <cellStyle name="60% — акцент2 2 30" xfId="10830"/>
    <cellStyle name="60% - Акцент2 2 31" xfId="9165"/>
    <cellStyle name="60% — акцент2 2 31" xfId="11028"/>
    <cellStyle name="60% - Акцент2 2 32" xfId="9298"/>
    <cellStyle name="60% — акцент2 2 32" xfId="10199"/>
    <cellStyle name="60% - Акцент2 2 33" xfId="9389"/>
    <cellStyle name="60% — акцент2 2 33" xfId="11170"/>
    <cellStyle name="60% - Акцент2 2 34" xfId="9478"/>
    <cellStyle name="60% — акцент2 2 34" xfId="11405"/>
    <cellStyle name="60% - Акцент2 2 35" xfId="9564"/>
    <cellStyle name="60% — акцент2 2 35" xfId="11640"/>
    <cellStyle name="60% - Акцент2 2 36" xfId="9253"/>
    <cellStyle name="60% — акцент2 2 36" xfId="11875"/>
    <cellStyle name="60% - Акцент2 2 37" xfId="9691"/>
    <cellStyle name="60% — акцент2 2 37" xfId="12110"/>
    <cellStyle name="60% - Акцент2 2 38" xfId="10048"/>
    <cellStyle name="60% — акцент2 2 38" xfId="12345"/>
    <cellStyle name="60% - Акцент2 2 39" xfId="10829"/>
    <cellStyle name="60% — акцент2 2 39" xfId="12580"/>
    <cellStyle name="60% - Акцент2 2 4" xfId="2022"/>
    <cellStyle name="60% — акцент2 2 4" xfId="5914"/>
    <cellStyle name="60% - Акцент2 2 4 10" xfId="6841"/>
    <cellStyle name="60% - Акцент2 2 4 11" xfId="7067"/>
    <cellStyle name="60% - Акцент2 2 4 12" xfId="7285"/>
    <cellStyle name="60% - Акцент2 2 4 13" xfId="7512"/>
    <cellStyle name="60% - Акцент2 2 4 14" xfId="7738"/>
    <cellStyle name="60% - Акцент2 2 4 15" xfId="7960"/>
    <cellStyle name="60% - Акцент2 2 4 16" xfId="8170"/>
    <cellStyle name="60% - Акцент2 2 4 17" xfId="8367"/>
    <cellStyle name="60% - Акцент2 2 4 18" xfId="10053"/>
    <cellStyle name="60% - Акцент2 2 4 19" xfId="10834"/>
    <cellStyle name="60% - Акцент2 2 4 2" xfId="4817"/>
    <cellStyle name="60% - Акцент2 2 4 20" xfId="11024"/>
    <cellStyle name="60% - Акцент2 2 4 21" xfId="10179"/>
    <cellStyle name="60% - Акцент2 2 4 22" xfId="11166"/>
    <cellStyle name="60% - Акцент2 2 4 23" xfId="11401"/>
    <cellStyle name="60% - Акцент2 2 4 24" xfId="11636"/>
    <cellStyle name="60% - Акцент2 2 4 25" xfId="11871"/>
    <cellStyle name="60% - Акцент2 2 4 26" xfId="12106"/>
    <cellStyle name="60% - Акцент2 2 4 27" xfId="12341"/>
    <cellStyle name="60% - Акцент2 2 4 28" xfId="12576"/>
    <cellStyle name="60% - Акцент2 2 4 29" xfId="12811"/>
    <cellStyle name="60% - Акцент2 2 4 3" xfId="5691"/>
    <cellStyle name="60% - Акцент2 2 4 30" xfId="13046"/>
    <cellStyle name="60% - Акцент2 2 4 31" xfId="13281"/>
    <cellStyle name="60% - Акцент2 2 4 32" xfId="13516"/>
    <cellStyle name="60% - Акцент2 2 4 33" xfId="13751"/>
    <cellStyle name="60% - Акцент2 2 4 34" xfId="13985"/>
    <cellStyle name="60% - Акцент2 2 4 35" xfId="14211"/>
    <cellStyle name="60% - Акцент2 2 4 36" xfId="14435"/>
    <cellStyle name="60% - Акцент2 2 4 37" xfId="14657"/>
    <cellStyle name="60% - Акцент2 2 4 38" xfId="14866"/>
    <cellStyle name="60% - Акцент2 2 4 39" xfId="15062"/>
    <cellStyle name="60% - Акцент2 2 4 4" xfId="5946"/>
    <cellStyle name="60% - Акцент2 2 4 5" xfId="5637"/>
    <cellStyle name="60% - Акцент2 2 4 6" xfId="6022"/>
    <cellStyle name="60% - Акцент2 2 4 7" xfId="5505"/>
    <cellStyle name="60% - Акцент2 2 4 8" xfId="6184"/>
    <cellStyle name="60% - Акцент2 2 4 9" xfId="6475"/>
    <cellStyle name="60% - Акцент2 2 40" xfId="11029"/>
    <cellStyle name="60% — акцент2 2 40" xfId="12815"/>
    <cellStyle name="60% - Акцент2 2 41" xfId="10254"/>
    <cellStyle name="60% — акцент2 2 41" xfId="13050"/>
    <cellStyle name="60% - Акцент2 2 42" xfId="11184"/>
    <cellStyle name="60% — акцент2 2 42" xfId="13285"/>
    <cellStyle name="60% - Акцент2 2 43" xfId="11419"/>
    <cellStyle name="60% — акцент2 2 43" xfId="13520"/>
    <cellStyle name="60% - Акцент2 2 44" xfId="11654"/>
    <cellStyle name="60% — акцент2 2 44" xfId="13755"/>
    <cellStyle name="60% - Акцент2 2 45" xfId="11889"/>
    <cellStyle name="60% — акцент2 2 45" xfId="13989"/>
    <cellStyle name="60% - Акцент2 2 46" xfId="12124"/>
    <cellStyle name="60% — акцент2 2 46" xfId="14215"/>
    <cellStyle name="60% - Акцент2 2 47" xfId="12359"/>
    <cellStyle name="60% — акцент2 2 47" xfId="14439"/>
    <cellStyle name="60% - Акцент2 2 48" xfId="12594"/>
    <cellStyle name="60% — акцент2 2 48" xfId="14661"/>
    <cellStyle name="60% - Акцент2 2 49" xfId="12829"/>
    <cellStyle name="60% — акцент2 2 49" xfId="14870"/>
    <cellStyle name="60% - Акцент2 2 5" xfId="2023"/>
    <cellStyle name="60% — акцент2 2 5" xfId="5687"/>
    <cellStyle name="60% - Акцент2 2 5 10" xfId="7066"/>
    <cellStyle name="60% - Акцент2 2 5 11" xfId="7284"/>
    <cellStyle name="60% - Акцент2 2 5 12" xfId="7511"/>
    <cellStyle name="60% - Акцент2 2 5 13" xfId="7737"/>
    <cellStyle name="60% - Акцент2 2 5 14" xfId="7959"/>
    <cellStyle name="60% - Акцент2 2 5 15" xfId="8169"/>
    <cellStyle name="60% - Акцент2 2 5 16" xfId="8366"/>
    <cellStyle name="60% - Акцент2 2 5 17" xfId="10054"/>
    <cellStyle name="60% - Акцент2 2 5 18" xfId="10835"/>
    <cellStyle name="60% - Акцент2 2 5 19" xfId="11023"/>
    <cellStyle name="60% - Акцент2 2 5 2" xfId="4818"/>
    <cellStyle name="60% - Акцент2 2 5 20" xfId="10178"/>
    <cellStyle name="60% - Акцент2 2 5 21" xfId="11165"/>
    <cellStyle name="60% - Акцент2 2 5 22" xfId="11400"/>
    <cellStyle name="60% - Акцент2 2 5 23" xfId="11635"/>
    <cellStyle name="60% - Акцент2 2 5 24" xfId="11870"/>
    <cellStyle name="60% - Акцент2 2 5 25" xfId="12105"/>
    <cellStyle name="60% - Акцент2 2 5 26" xfId="12340"/>
    <cellStyle name="60% - Акцент2 2 5 27" xfId="12575"/>
    <cellStyle name="60% - Акцент2 2 5 28" xfId="12810"/>
    <cellStyle name="60% - Акцент2 2 5 29" xfId="13045"/>
    <cellStyle name="60% - Акцент2 2 5 3" xfId="5945"/>
    <cellStyle name="60% - Акцент2 2 5 30" xfId="13280"/>
    <cellStyle name="60% - Акцент2 2 5 31" xfId="13515"/>
    <cellStyle name="60% - Акцент2 2 5 32" xfId="13750"/>
    <cellStyle name="60% - Акцент2 2 5 33" xfId="13984"/>
    <cellStyle name="60% - Акцент2 2 5 34" xfId="14210"/>
    <cellStyle name="60% - Акцент2 2 5 35" xfId="14434"/>
    <cellStyle name="60% - Акцент2 2 5 36" xfId="14656"/>
    <cellStyle name="60% - Акцент2 2 5 37" xfId="14865"/>
    <cellStyle name="60% - Акцент2 2 5 38" xfId="15061"/>
    <cellStyle name="60% - Акцент2 2 5 4" xfId="5638"/>
    <cellStyle name="60% - Акцент2 2 5 5" xfId="6019"/>
    <cellStyle name="60% - Акцент2 2 5 6" xfId="5512"/>
    <cellStyle name="60% - Акцент2 2 5 7" xfId="6183"/>
    <cellStyle name="60% - Акцент2 2 5 8" xfId="6474"/>
    <cellStyle name="60% - Акцент2 2 5 9" xfId="6840"/>
    <cellStyle name="60% - Акцент2 2 50" xfId="13064"/>
    <cellStyle name="60% — акцент2 2 50" xfId="15079"/>
    <cellStyle name="60% - Акцент2 2 51" xfId="13299"/>
    <cellStyle name="60% — акцент2 2 51" xfId="15555"/>
    <cellStyle name="60% - Акцент2 2 52" xfId="13534"/>
    <cellStyle name="60% — акцент2 2 52" xfId="15604"/>
    <cellStyle name="60% - Акцент2 2 53" xfId="13769"/>
    <cellStyle name="60% — акцент2 2 53" xfId="15680"/>
    <cellStyle name="60% - Акцент2 2 54" xfId="14003"/>
    <cellStyle name="60% - Акцент2 2 55" xfId="14229"/>
    <cellStyle name="60% - Акцент2 2 56" xfId="14453"/>
    <cellStyle name="60% - Акцент2 2 57" xfId="14675"/>
    <cellStyle name="60% - Акцент2 2 58" xfId="14871"/>
    <cellStyle name="60% - Акцент2 2 59" xfId="15080"/>
    <cellStyle name="60% - Акцент2 2 6" xfId="2024"/>
    <cellStyle name="60% — акцент2 2 6" xfId="5951"/>
    <cellStyle name="60% - Акцент2 2 6 10" xfId="7283"/>
    <cellStyle name="60% - Акцент2 2 6 11" xfId="7510"/>
    <cellStyle name="60% - Акцент2 2 6 12" xfId="7736"/>
    <cellStyle name="60% - Акцент2 2 6 13" xfId="7958"/>
    <cellStyle name="60% - Акцент2 2 6 14" xfId="8168"/>
    <cellStyle name="60% - Акцент2 2 6 15" xfId="8365"/>
    <cellStyle name="60% - Акцент2 2 6 16" xfId="10055"/>
    <cellStyle name="60% - Акцент2 2 6 17" xfId="10836"/>
    <cellStyle name="60% - Акцент2 2 6 18" xfId="11022"/>
    <cellStyle name="60% - Акцент2 2 6 19" xfId="10170"/>
    <cellStyle name="60% - Акцент2 2 6 2" xfId="4819"/>
    <cellStyle name="60% - Акцент2 2 6 20" xfId="11164"/>
    <cellStyle name="60% - Акцент2 2 6 21" xfId="11399"/>
    <cellStyle name="60% - Акцент2 2 6 22" xfId="11634"/>
    <cellStyle name="60% - Акцент2 2 6 23" xfId="11869"/>
    <cellStyle name="60% - Акцент2 2 6 24" xfId="12104"/>
    <cellStyle name="60% - Акцент2 2 6 25" xfId="12339"/>
    <cellStyle name="60% - Акцент2 2 6 26" xfId="12574"/>
    <cellStyle name="60% - Акцент2 2 6 27" xfId="12809"/>
    <cellStyle name="60% - Акцент2 2 6 28" xfId="13044"/>
    <cellStyle name="60% - Акцент2 2 6 29" xfId="13279"/>
    <cellStyle name="60% - Акцент2 2 6 3" xfId="5640"/>
    <cellStyle name="60% - Акцент2 2 6 30" xfId="13514"/>
    <cellStyle name="60% - Акцент2 2 6 31" xfId="13749"/>
    <cellStyle name="60% - Акцент2 2 6 32" xfId="13983"/>
    <cellStyle name="60% - Акцент2 2 6 33" xfId="14209"/>
    <cellStyle name="60% - Акцент2 2 6 34" xfId="14433"/>
    <cellStyle name="60% - Акцент2 2 6 35" xfId="14655"/>
    <cellStyle name="60% - Акцент2 2 6 36" xfId="14864"/>
    <cellStyle name="60% - Акцент2 2 6 37" xfId="15060"/>
    <cellStyle name="60% - Акцент2 2 6 4" xfId="6018"/>
    <cellStyle name="60% - Акцент2 2 6 5" xfId="5513"/>
    <cellStyle name="60% - Акцент2 2 6 6" xfId="6182"/>
    <cellStyle name="60% - Акцент2 2 6 7" xfId="6472"/>
    <cellStyle name="60% - Акцент2 2 6 8" xfId="6839"/>
    <cellStyle name="60% - Акцент2 2 6 9" xfId="7065"/>
    <cellStyle name="60% - Акцент2 2 60" xfId="15554"/>
    <cellStyle name="60% - Акцент2 2 61" xfId="15605"/>
    <cellStyle name="60% - Акцент2 2 62" xfId="15681"/>
    <cellStyle name="60% - Акцент2 2 7" xfId="2025"/>
    <cellStyle name="60% — акцент2 2 7" xfId="5623"/>
    <cellStyle name="60% - Акцент2 2 7 10" xfId="7509"/>
    <cellStyle name="60% - Акцент2 2 7 11" xfId="7735"/>
    <cellStyle name="60% - Акцент2 2 7 12" xfId="7957"/>
    <cellStyle name="60% - Акцент2 2 7 13" xfId="8167"/>
    <cellStyle name="60% - Акцент2 2 7 14" xfId="8364"/>
    <cellStyle name="60% - Акцент2 2 7 15" xfId="10056"/>
    <cellStyle name="60% - Акцент2 2 7 16" xfId="10837"/>
    <cellStyle name="60% - Акцент2 2 7 17" xfId="11021"/>
    <cellStyle name="60% - Акцент2 2 7 18" xfId="10168"/>
    <cellStyle name="60% - Акцент2 2 7 19" xfId="11163"/>
    <cellStyle name="60% - Акцент2 2 7 2" xfId="4820"/>
    <cellStyle name="60% - Акцент2 2 7 20" xfId="11398"/>
    <cellStyle name="60% - Акцент2 2 7 21" xfId="11633"/>
    <cellStyle name="60% - Акцент2 2 7 22" xfId="11868"/>
    <cellStyle name="60% - Акцент2 2 7 23" xfId="12103"/>
    <cellStyle name="60% - Акцент2 2 7 24" xfId="12338"/>
    <cellStyle name="60% - Акцент2 2 7 25" xfId="12573"/>
    <cellStyle name="60% - Акцент2 2 7 26" xfId="12808"/>
    <cellStyle name="60% - Акцент2 2 7 27" xfId="13043"/>
    <cellStyle name="60% - Акцент2 2 7 28" xfId="13278"/>
    <cellStyle name="60% - Акцент2 2 7 29" xfId="13513"/>
    <cellStyle name="60% - Акцент2 2 7 3" xfId="6017"/>
    <cellStyle name="60% - Акцент2 2 7 30" xfId="13748"/>
    <cellStyle name="60% - Акцент2 2 7 31" xfId="13982"/>
    <cellStyle name="60% - Акцент2 2 7 32" xfId="14208"/>
    <cellStyle name="60% - Акцент2 2 7 33" xfId="14432"/>
    <cellStyle name="60% - Акцент2 2 7 34" xfId="14654"/>
    <cellStyle name="60% - Акцент2 2 7 35" xfId="14863"/>
    <cellStyle name="60% - Акцент2 2 7 36" xfId="15059"/>
    <cellStyle name="60% - Акцент2 2 7 4" xfId="5520"/>
    <cellStyle name="60% - Акцент2 2 7 5" xfId="6177"/>
    <cellStyle name="60% - Акцент2 2 7 6" xfId="6471"/>
    <cellStyle name="60% - Акцент2 2 7 7" xfId="6671"/>
    <cellStyle name="60% - Акцент2 2 7 8" xfId="7064"/>
    <cellStyle name="60% - Акцент2 2 7 9" xfId="7282"/>
    <cellStyle name="60% - Акцент2 2 8" xfId="2026"/>
    <cellStyle name="60% — акцент2 2 8" xfId="6030"/>
    <cellStyle name="60% - Акцент2 2 8 10" xfId="7734"/>
    <cellStyle name="60% - Акцент2 2 8 11" xfId="7956"/>
    <cellStyle name="60% - Акцент2 2 8 12" xfId="8166"/>
    <cellStyle name="60% - Акцент2 2 8 13" xfId="8363"/>
    <cellStyle name="60% - Акцент2 2 8 14" xfId="10057"/>
    <cellStyle name="60% - Акцент2 2 8 15" xfId="10838"/>
    <cellStyle name="60% - Акцент2 2 8 16" xfId="11020"/>
    <cellStyle name="60% - Акцент2 2 8 17" xfId="10160"/>
    <cellStyle name="60% - Акцент2 2 8 18" xfId="11162"/>
    <cellStyle name="60% - Акцент2 2 8 19" xfId="11397"/>
    <cellStyle name="60% - Акцент2 2 8 2" xfId="4821"/>
    <cellStyle name="60% - Акцент2 2 8 20" xfId="11632"/>
    <cellStyle name="60% - Акцент2 2 8 21" xfId="11867"/>
    <cellStyle name="60% - Акцент2 2 8 22" xfId="12102"/>
    <cellStyle name="60% - Акцент2 2 8 23" xfId="12337"/>
    <cellStyle name="60% - Акцент2 2 8 24" xfId="12572"/>
    <cellStyle name="60% - Акцент2 2 8 25" xfId="12807"/>
    <cellStyle name="60% - Акцент2 2 8 26" xfId="13042"/>
    <cellStyle name="60% - Акцент2 2 8 27" xfId="13277"/>
    <cellStyle name="60% - Акцент2 2 8 28" xfId="13512"/>
    <cellStyle name="60% - Акцент2 2 8 29" xfId="13747"/>
    <cellStyle name="60% - Акцент2 2 8 3" xfId="5526"/>
    <cellStyle name="60% - Акцент2 2 8 30" xfId="13981"/>
    <cellStyle name="60% - Акцент2 2 8 31" xfId="14207"/>
    <cellStyle name="60% - Акцент2 2 8 32" xfId="14431"/>
    <cellStyle name="60% - Акцент2 2 8 33" xfId="14653"/>
    <cellStyle name="60% - Акцент2 2 8 34" xfId="14849"/>
    <cellStyle name="60% - Акцент2 2 8 35" xfId="15058"/>
    <cellStyle name="60% - Акцент2 2 8 4" xfId="6171"/>
    <cellStyle name="60% - Акцент2 2 8 5" xfId="6470"/>
    <cellStyle name="60% - Акцент2 2 8 6" xfId="6660"/>
    <cellStyle name="60% - Акцент2 2 8 7" xfId="7063"/>
    <cellStyle name="60% - Акцент2 2 8 8" xfId="7281"/>
    <cellStyle name="60% - Акцент2 2 8 9" xfId="7508"/>
    <cellStyle name="60% - Акцент2 2 9" xfId="2027"/>
    <cellStyle name="60% — акцент2 2 9" xfId="5490"/>
    <cellStyle name="60% - Акцент2 2 9 10" xfId="7942"/>
    <cellStyle name="60% - Акцент2 2 9 11" xfId="8152"/>
    <cellStyle name="60% - Акцент2 2 9 12" xfId="8349"/>
    <cellStyle name="60% - Акцент2 2 9 13" xfId="10058"/>
    <cellStyle name="60% - Акцент2 2 9 14" xfId="10839"/>
    <cellStyle name="60% - Акцент2 2 9 15" xfId="11019"/>
    <cellStyle name="60% - Акцент2 2 9 16" xfId="9907"/>
    <cellStyle name="60% - Акцент2 2 9 17" xfId="11148"/>
    <cellStyle name="60% - Акцент2 2 9 18" xfId="11383"/>
    <cellStyle name="60% - Акцент2 2 9 19" xfId="11618"/>
    <cellStyle name="60% - Акцент2 2 9 2" xfId="4822"/>
    <cellStyle name="60% - Акцент2 2 9 20" xfId="11853"/>
    <cellStyle name="60% - Акцент2 2 9 21" xfId="12088"/>
    <cellStyle name="60% - Акцент2 2 9 22" xfId="12323"/>
    <cellStyle name="60% - Акцент2 2 9 23" xfId="12558"/>
    <cellStyle name="60% - Акцент2 2 9 24" xfId="12793"/>
    <cellStyle name="60% - Акцент2 2 9 25" xfId="13028"/>
    <cellStyle name="60% - Акцент2 2 9 26" xfId="13263"/>
    <cellStyle name="60% - Акцент2 2 9 27" xfId="13498"/>
    <cellStyle name="60% - Акцент2 2 9 28" xfId="13733"/>
    <cellStyle name="60% - Акцент2 2 9 29" xfId="13967"/>
    <cellStyle name="60% - Акцент2 2 9 3" xfId="6151"/>
    <cellStyle name="60% - Акцент2 2 9 30" xfId="14193"/>
    <cellStyle name="60% - Акцент2 2 9 31" xfId="14417"/>
    <cellStyle name="60% - Акцент2 2 9 32" xfId="14639"/>
    <cellStyle name="60% - Акцент2 2 9 33" xfId="14848"/>
    <cellStyle name="60% - Акцент2 2 9 34" xfId="15057"/>
    <cellStyle name="60% - Акцент2 2 9 4" xfId="6469"/>
    <cellStyle name="60% - Акцент2 2 9 5" xfId="6641"/>
    <cellStyle name="60% - Акцент2 2 9 6" xfId="7049"/>
    <cellStyle name="60% - Акцент2 2 9 7" xfId="7267"/>
    <cellStyle name="60% - Акцент2 2 9 8" xfId="7494"/>
    <cellStyle name="60% - Акцент2 2 9 9" xfId="7720"/>
    <cellStyle name="60% - Акцент2 2_МФ тепловой баланс 2015 дубль 3" xfId="2028"/>
    <cellStyle name="60% — акцент2 20" xfId="2029"/>
    <cellStyle name="60% — акцент2 21" xfId="2030"/>
    <cellStyle name="60% — акцент2 22" xfId="4811"/>
    <cellStyle name="60% — акцент2 23" xfId="5715"/>
    <cellStyle name="60% — акцент2 24" xfId="5916"/>
    <cellStyle name="60% — акцент2 25" xfId="5685"/>
    <cellStyle name="60% — акцент2 26" xfId="5953"/>
    <cellStyle name="60% — акцент2 27" xfId="5621"/>
    <cellStyle name="60% — акцент2 28" xfId="6032"/>
    <cellStyle name="60% — акцент2 29" xfId="5484"/>
    <cellStyle name="60% - Акцент2 3" xfId="2031"/>
    <cellStyle name="60% — акцент2 3" xfId="2032"/>
    <cellStyle name="60% - Акцент2 3 10" xfId="2033"/>
    <cellStyle name="60% - Акцент2 3 10 2" xfId="4824"/>
    <cellStyle name="60% - Акцент2 3 10 3" xfId="10060"/>
    <cellStyle name="60% - Акцент2 3 11" xfId="2034"/>
    <cellStyle name="60% - Акцент2 3 12" xfId="4823"/>
    <cellStyle name="60% - Акцент2 3 13" xfId="5727"/>
    <cellStyle name="60% - Акцент2 3 14" xfId="5904"/>
    <cellStyle name="60% - Акцент2 3 15" xfId="5701"/>
    <cellStyle name="60% - Акцент2 3 16" xfId="5940"/>
    <cellStyle name="60% - Акцент2 3 17" xfId="5645"/>
    <cellStyle name="60% - Акцент2 3 18" xfId="6010"/>
    <cellStyle name="60% - Акцент2 3 19" xfId="5528"/>
    <cellStyle name="60% - Акцент2 3 2" xfId="2035"/>
    <cellStyle name="60% - Акцент2 3 2 2" xfId="4825"/>
    <cellStyle name="60% - Акцент2 3 2 3" xfId="8869"/>
    <cellStyle name="60% - Акцент2 3 20" xfId="6150"/>
    <cellStyle name="60% - Акцент2 3 21" xfId="6468"/>
    <cellStyle name="60% - Акцент2 3 22" xfId="6639"/>
    <cellStyle name="60% - Акцент2 3 23" xfId="7048"/>
    <cellStyle name="60% - Акцент2 3 24" xfId="7266"/>
    <cellStyle name="60% - Акцент2 3 25" xfId="7493"/>
    <cellStyle name="60% - Акцент2 3 26" xfId="7719"/>
    <cellStyle name="60% - Акцент2 3 27" xfId="7941"/>
    <cellStyle name="60% - Акцент2 3 28" xfId="8151"/>
    <cellStyle name="60% - Акцент2 3 29" xfId="8348"/>
    <cellStyle name="60% - Акцент2 3 3" xfId="2036"/>
    <cellStyle name="60% - Акцент2 3 3 2" xfId="4826"/>
    <cellStyle name="60% - Акцент2 3 3 3" xfId="10062"/>
    <cellStyle name="60% - Акцент2 3 30" xfId="8868"/>
    <cellStyle name="60% - Акцент2 3 31" xfId="9112"/>
    <cellStyle name="60% - Акцент2 3 32" xfId="9162"/>
    <cellStyle name="60% - Акцент2 3 33" xfId="9295"/>
    <cellStyle name="60% - Акцент2 3 34" xfId="9386"/>
    <cellStyle name="60% - Акцент2 3 35" xfId="9475"/>
    <cellStyle name="60% - Акцент2 3 36" xfId="9561"/>
    <cellStyle name="60% - Акцент2 3 37" xfId="9250"/>
    <cellStyle name="60% - Акцент2 3 38" xfId="9688"/>
    <cellStyle name="60% - Акцент2 3 39" xfId="10059"/>
    <cellStyle name="60% - Акцент2 3 4" xfId="2037"/>
    <cellStyle name="60% - Акцент2 3 4 2" xfId="4827"/>
    <cellStyle name="60% - Акцент2 3 4 3" xfId="10063"/>
    <cellStyle name="60% - Акцент2 3 40" xfId="10840"/>
    <cellStyle name="60% - Акцент2 3 41" xfId="11018"/>
    <cellStyle name="60% - Акцент2 3 42" xfId="9885"/>
    <cellStyle name="60% - Акцент2 3 43" xfId="11147"/>
    <cellStyle name="60% - Акцент2 3 44" xfId="11382"/>
    <cellStyle name="60% - Акцент2 3 45" xfId="11617"/>
    <cellStyle name="60% - Акцент2 3 46" xfId="11852"/>
    <cellStyle name="60% - Акцент2 3 47" xfId="12087"/>
    <cellStyle name="60% - Акцент2 3 48" xfId="12322"/>
    <cellStyle name="60% - Акцент2 3 49" xfId="12557"/>
    <cellStyle name="60% - Акцент2 3 5" xfId="2038"/>
    <cellStyle name="60% - Акцент2 3 5 2" xfId="4828"/>
    <cellStyle name="60% - Акцент2 3 5 3" xfId="10064"/>
    <cellStyle name="60% - Акцент2 3 50" xfId="12792"/>
    <cellStyle name="60% - Акцент2 3 51" xfId="13027"/>
    <cellStyle name="60% - Акцент2 3 52" xfId="13262"/>
    <cellStyle name="60% - Акцент2 3 53" xfId="13497"/>
    <cellStyle name="60% - Акцент2 3 54" xfId="13732"/>
    <cellStyle name="60% - Акцент2 3 55" xfId="13966"/>
    <cellStyle name="60% - Акцент2 3 56" xfId="14192"/>
    <cellStyle name="60% - Акцент2 3 57" xfId="14416"/>
    <cellStyle name="60% - Акцент2 3 58" xfId="14638"/>
    <cellStyle name="60% - Акцент2 3 59" xfId="14847"/>
    <cellStyle name="60% - Акцент2 3 6" xfId="2039"/>
    <cellStyle name="60% - Акцент2 3 6 2" xfId="4829"/>
    <cellStyle name="60% - Акцент2 3 6 3" xfId="10065"/>
    <cellStyle name="60% - Акцент2 3 60" xfId="15043"/>
    <cellStyle name="60% - Акцент2 3 61" xfId="15557"/>
    <cellStyle name="60% - Акцент2 3 62" xfId="15602"/>
    <cellStyle name="60% - Акцент2 3 63" xfId="15678"/>
    <cellStyle name="60% - Акцент2 3 7" xfId="2040"/>
    <cellStyle name="60% - Акцент2 3 7 2" xfId="4830"/>
    <cellStyle name="60% - Акцент2 3 7 3" xfId="10066"/>
    <cellStyle name="60% - Акцент2 3 8" xfId="2041"/>
    <cellStyle name="60% - Акцент2 3 8 2" xfId="4831"/>
    <cellStyle name="60% - Акцент2 3 8 3" xfId="10067"/>
    <cellStyle name="60% - Акцент2 3 9" xfId="2042"/>
    <cellStyle name="60% - Акцент2 3 9 2" xfId="4832"/>
    <cellStyle name="60% - Акцент2 3 9 3" xfId="10068"/>
    <cellStyle name="60% - Акцент2 3_МФ тепловой баланс 2015 дубль 3" xfId="2043"/>
    <cellStyle name="60% — акцент2 30" xfId="6296"/>
    <cellStyle name="60% — акцент2 31" xfId="6509"/>
    <cellStyle name="60% — акцент2 32" xfId="6856"/>
    <cellStyle name="60% — акцент2 33" xfId="7086"/>
    <cellStyle name="60% — акцент2 34" xfId="7304"/>
    <cellStyle name="60% — акцент2 35" xfId="7531"/>
    <cellStyle name="60% — акцент2 36" xfId="7757"/>
    <cellStyle name="60% — акцент2 37" xfId="7979"/>
    <cellStyle name="60% — акцент2 38" xfId="8189"/>
    <cellStyle name="60% — акцент2 39" xfId="8386"/>
    <cellStyle name="60% - Акцент2 4" xfId="2044"/>
    <cellStyle name="60% — акцент2 4" xfId="2045"/>
    <cellStyle name="60% - Акцент2 4 2" xfId="2046"/>
    <cellStyle name="60% - Акцент2 4_МФ тепловой баланс 2015 дубль 3" xfId="2047"/>
    <cellStyle name="60% — акцент2 40" xfId="8864"/>
    <cellStyle name="60% — акцент2 41" xfId="9108"/>
    <cellStyle name="60% — акцент2 42" xfId="9166"/>
    <cellStyle name="60% — акцент2 43" xfId="9299"/>
    <cellStyle name="60% — акцент2 44" xfId="9390"/>
    <cellStyle name="60% — акцент2 45" xfId="9479"/>
    <cellStyle name="60% — акцент2 46" xfId="9565"/>
    <cellStyle name="60% — акцент2 47" xfId="9254"/>
    <cellStyle name="60% — акцент2 48" xfId="9693"/>
    <cellStyle name="60% — акцент2 49" xfId="10047"/>
    <cellStyle name="60% - Акцент2 5" xfId="2048"/>
    <cellStyle name="60% — акцент2 5" xfId="2049"/>
    <cellStyle name="60% - Акцент2 5 2" xfId="2050"/>
    <cellStyle name="60% - Акцент2 5_МФ тепловой баланс 2015 дубль 3" xfId="2051"/>
    <cellStyle name="60% — акцент2 50" xfId="10828"/>
    <cellStyle name="60% — акцент2 51" xfId="11030"/>
    <cellStyle name="60% — акцент2 52" xfId="10262"/>
    <cellStyle name="60% — акцент2 53" xfId="11185"/>
    <cellStyle name="60% — акцент2 54" xfId="11420"/>
    <cellStyle name="60% — акцент2 55" xfId="11655"/>
    <cellStyle name="60% — акцент2 56" xfId="11890"/>
    <cellStyle name="60% — акцент2 57" xfId="12125"/>
    <cellStyle name="60% — акцент2 58" xfId="12360"/>
    <cellStyle name="60% — акцент2 59" xfId="12595"/>
    <cellStyle name="60% - Акцент2 6" xfId="2052"/>
    <cellStyle name="60% — акцент2 6" xfId="2053"/>
    <cellStyle name="60% - Акцент2 6 2" xfId="2054"/>
    <cellStyle name="60% - Акцент2 6_МФ тепловой баланс 2015 дубль 3" xfId="2055"/>
    <cellStyle name="60% — акцент2 60" xfId="12830"/>
    <cellStyle name="60% — акцент2 61" xfId="13065"/>
    <cellStyle name="60% — акцент2 62" xfId="13300"/>
    <cellStyle name="60% — акцент2 63" xfId="13535"/>
    <cellStyle name="60% — акцент2 64" xfId="13770"/>
    <cellStyle name="60% — акцент2 65" xfId="14004"/>
    <cellStyle name="60% — акцент2 66" xfId="14230"/>
    <cellStyle name="60% — акцент2 67" xfId="14454"/>
    <cellStyle name="60% — акцент2 68" xfId="14676"/>
    <cellStyle name="60% — акцент2 69" xfId="14885"/>
    <cellStyle name="60% - Акцент2 7" xfId="2056"/>
    <cellStyle name="60% — акцент2 7" xfId="2057"/>
    <cellStyle name="60% - Акцент2 7 2" xfId="2058"/>
    <cellStyle name="60% - Акцент2 7_МФ тепловой баланс 2015 дубль 3" xfId="2059"/>
    <cellStyle name="60% — акцент2 70" xfId="15081"/>
    <cellStyle name="60% — акцент2 71" xfId="15553"/>
    <cellStyle name="60% — акцент2 72" xfId="15606"/>
    <cellStyle name="60% — акцент2 73" xfId="15682"/>
    <cellStyle name="60% - Акцент2 8" xfId="2060"/>
    <cellStyle name="60% — акцент2 8" xfId="2061"/>
    <cellStyle name="60% - Акцент2 8 2" xfId="2062"/>
    <cellStyle name="60% - Акцент2 9" xfId="2063"/>
    <cellStyle name="60% — акцент2 9" xfId="2064"/>
    <cellStyle name="60% - Акцент2 9 2" xfId="2065"/>
    <cellStyle name="60% — акцент3" xfId="2066"/>
    <cellStyle name="60% - Акцент3 10" xfId="2067"/>
    <cellStyle name="60% — акцент3 10" xfId="2068"/>
    <cellStyle name="60% — акцент3 11" xfId="2069"/>
    <cellStyle name="60% — акцент3 12" xfId="2070"/>
    <cellStyle name="60% — акцент3 13" xfId="2071"/>
    <cellStyle name="60% — акцент3 14" xfId="2072"/>
    <cellStyle name="60% — акцент3 15" xfId="2073"/>
    <cellStyle name="60% — акцент3 16" xfId="2074"/>
    <cellStyle name="60% — акцент3 17" xfId="2075"/>
    <cellStyle name="60% — акцент3 18" xfId="2076"/>
    <cellStyle name="60% — акцент3 19" xfId="2077"/>
    <cellStyle name="60% - Акцент3 2" xfId="2078"/>
    <cellStyle name="60% — акцент3 2" xfId="2079"/>
    <cellStyle name="60% - Акцент3 2 10" xfId="2080"/>
    <cellStyle name="60% — акцент3 2 10" xfId="6106"/>
    <cellStyle name="60% - Акцент3 2 10 10" xfId="8134"/>
    <cellStyle name="60% - Акцент3 2 10 11" xfId="8331"/>
    <cellStyle name="60% - Акцент3 2 10 12" xfId="10072"/>
    <cellStyle name="60% - Акцент3 2 10 13" xfId="10853"/>
    <cellStyle name="60% - Акцент3 2 10 14" xfId="11005"/>
    <cellStyle name="60% - Акцент3 2 10 15" xfId="10736"/>
    <cellStyle name="60% - Акцент3 2 10 16" xfId="11121"/>
    <cellStyle name="60% - Акцент3 2 10 17" xfId="11356"/>
    <cellStyle name="60% - Акцент3 2 10 18" xfId="11591"/>
    <cellStyle name="60% - Акцент3 2 10 19" xfId="11826"/>
    <cellStyle name="60% - Акцент3 2 10 2" xfId="4836"/>
    <cellStyle name="60% - Акцент3 2 10 20" xfId="12061"/>
    <cellStyle name="60% - Акцент3 2 10 21" xfId="12296"/>
    <cellStyle name="60% - Акцент3 2 10 22" xfId="12531"/>
    <cellStyle name="60% - Акцент3 2 10 23" xfId="12766"/>
    <cellStyle name="60% - Акцент3 2 10 24" xfId="13001"/>
    <cellStyle name="60% - Акцент3 2 10 25" xfId="13236"/>
    <cellStyle name="60% - Акцент3 2 10 26" xfId="13471"/>
    <cellStyle name="60% - Акцент3 2 10 27" xfId="13706"/>
    <cellStyle name="60% - Акцент3 2 10 28" xfId="13940"/>
    <cellStyle name="60% - Акцент3 2 10 29" xfId="14166"/>
    <cellStyle name="60% - Акцент3 2 10 3" xfId="6426"/>
    <cellStyle name="60% - Акцент3 2 10 30" xfId="14392"/>
    <cellStyle name="60% - Акцент3 2 10 31" xfId="14612"/>
    <cellStyle name="60% - Акцент3 2 10 32" xfId="14830"/>
    <cellStyle name="60% - Акцент3 2 10 33" xfId="15026"/>
    <cellStyle name="60% - Акцент3 2 10 4" xfId="6595"/>
    <cellStyle name="60% - Акцент3 2 10 5" xfId="7022"/>
    <cellStyle name="60% - Акцент3 2 10 6" xfId="7240"/>
    <cellStyle name="60% - Акцент3 2 10 7" xfId="7467"/>
    <cellStyle name="60% - Акцент3 2 10 8" xfId="7694"/>
    <cellStyle name="60% - Акцент3 2 10 9" xfId="7916"/>
    <cellStyle name="60% - Акцент3 2 11" xfId="4834"/>
    <cellStyle name="60% — акцент3 2 11" xfId="6427"/>
    <cellStyle name="60% - Акцент3 2 12" xfId="5738"/>
    <cellStyle name="60% — акцент3 2 12" xfId="6597"/>
    <cellStyle name="60% - Акцент3 2 13" xfId="5893"/>
    <cellStyle name="60% — акцент3 2 13" xfId="7023"/>
    <cellStyle name="60% - Акцент3 2 14" xfId="5713"/>
    <cellStyle name="60% — акцент3 2 14" xfId="7241"/>
    <cellStyle name="60% - Акцент3 2 15" xfId="5923"/>
    <cellStyle name="60% — акцент3 2 15" xfId="7468"/>
    <cellStyle name="60% - Акцент3 2 16" xfId="5667"/>
    <cellStyle name="60% — акцент3 2 16" xfId="7695"/>
    <cellStyle name="60% - Акцент3 2 17" xfId="5989"/>
    <cellStyle name="60% — акцент3 2 17" xfId="7917"/>
    <cellStyle name="60% - Акцент3 2 18" xfId="5566"/>
    <cellStyle name="60% — акцент3 2 18" xfId="8135"/>
    <cellStyle name="60% - Акцент3 2 19" xfId="6107"/>
    <cellStyle name="60% — акцент3 2 19" xfId="8332"/>
    <cellStyle name="60% - Акцент3 2 2" xfId="2081"/>
    <cellStyle name="60% — акцент3 2 2" xfId="4835"/>
    <cellStyle name="60% - Акцент3 2 2 10" xfId="5569"/>
    <cellStyle name="60% - Акцент3 2 2 11" xfId="6099"/>
    <cellStyle name="60% - Акцент3 2 2 12" xfId="6422"/>
    <cellStyle name="60% - Акцент3 2 2 13" xfId="6594"/>
    <cellStyle name="60% - Акцент3 2 2 14" xfId="7021"/>
    <cellStyle name="60% - Акцент3 2 2 15" xfId="7239"/>
    <cellStyle name="60% - Акцент3 2 2 16" xfId="7466"/>
    <cellStyle name="60% - Акцент3 2 2 17" xfId="7693"/>
    <cellStyle name="60% - Акцент3 2 2 18" xfId="7915"/>
    <cellStyle name="60% - Акцент3 2 2 19" xfId="8133"/>
    <cellStyle name="60% - Акцент3 2 2 2" xfId="2082"/>
    <cellStyle name="60% - Акцент3 2 2 20" xfId="8330"/>
    <cellStyle name="60% - Акцент3 2 2 21" xfId="8873"/>
    <cellStyle name="60% - Акцент3 2 2 22" xfId="9116"/>
    <cellStyle name="60% - Акцент3 2 2 23" xfId="9157"/>
    <cellStyle name="60% - Акцент3 2 2 24" xfId="9290"/>
    <cellStyle name="60% - Акцент3 2 2 25" xfId="9381"/>
    <cellStyle name="60% - Акцент3 2 2 26" xfId="9470"/>
    <cellStyle name="60% - Акцент3 2 2 27" xfId="9557"/>
    <cellStyle name="60% - Акцент3 2 2 28" xfId="9246"/>
    <cellStyle name="60% - Акцент3 2 2 29" xfId="9684"/>
    <cellStyle name="60% - Акцент3 2 2 3" xfId="4837"/>
    <cellStyle name="60% - Акцент3 2 2 30" xfId="10073"/>
    <cellStyle name="60% - Акцент3 2 2 31" xfId="10854"/>
    <cellStyle name="60% - Акцент3 2 2 32" xfId="11004"/>
    <cellStyle name="60% - Акцент3 2 2 33" xfId="10737"/>
    <cellStyle name="60% - Акцент3 2 2 34" xfId="11120"/>
    <cellStyle name="60% - Акцент3 2 2 35" xfId="11355"/>
    <cellStyle name="60% - Акцент3 2 2 36" xfId="11590"/>
    <cellStyle name="60% - Акцент3 2 2 37" xfId="11825"/>
    <cellStyle name="60% - Акцент3 2 2 38" xfId="12060"/>
    <cellStyle name="60% - Акцент3 2 2 39" xfId="12295"/>
    <cellStyle name="60% - Акцент3 2 2 4" xfId="5741"/>
    <cellStyle name="60% - Акцент3 2 2 40" xfId="12530"/>
    <cellStyle name="60% - Акцент3 2 2 41" xfId="12765"/>
    <cellStyle name="60% - Акцент3 2 2 42" xfId="13000"/>
    <cellStyle name="60% - Акцент3 2 2 43" xfId="13235"/>
    <cellStyle name="60% - Акцент3 2 2 44" xfId="13470"/>
    <cellStyle name="60% - Акцент3 2 2 45" xfId="13705"/>
    <cellStyle name="60% - Акцент3 2 2 46" xfId="13939"/>
    <cellStyle name="60% - Акцент3 2 2 47" xfId="14165"/>
    <cellStyle name="60% - Акцент3 2 2 48" xfId="14391"/>
    <cellStyle name="60% - Акцент3 2 2 49" xfId="14611"/>
    <cellStyle name="60% - Акцент3 2 2 5" xfId="5890"/>
    <cellStyle name="60% - Акцент3 2 2 50" xfId="14829"/>
    <cellStyle name="60% - Акцент3 2 2 51" xfId="15025"/>
    <cellStyle name="60% - Акцент3 2 2 52" xfId="15562"/>
    <cellStyle name="60% - Акцент3 2 2 53" xfId="15598"/>
    <cellStyle name="60% - Акцент3 2 2 54" xfId="15674"/>
    <cellStyle name="60% - Акцент3 2 2 6" xfId="5720"/>
    <cellStyle name="60% - Акцент3 2 2 7" xfId="5920"/>
    <cellStyle name="60% - Акцент3 2 2 8" xfId="5674"/>
    <cellStyle name="60% - Акцент3 2 2 9" xfId="5983"/>
    <cellStyle name="60% - Акцент3 2 20" xfId="6429"/>
    <cellStyle name="60% — акцент3 2 20" xfId="8872"/>
    <cellStyle name="60% - Акцент3 2 21" xfId="6598"/>
    <cellStyle name="60% — акцент3 2 21" xfId="9115"/>
    <cellStyle name="60% - Акцент3 2 22" xfId="7024"/>
    <cellStyle name="60% — акцент3 2 22" xfId="9158"/>
    <cellStyle name="60% - Акцент3 2 23" xfId="7242"/>
    <cellStyle name="60% — акцент3 2 23" xfId="9291"/>
    <cellStyle name="60% - Акцент3 2 24" xfId="7469"/>
    <cellStyle name="60% — акцент3 2 24" xfId="9382"/>
    <cellStyle name="60% - Акцент3 2 25" xfId="7696"/>
    <cellStyle name="60% — акцент3 2 25" xfId="9471"/>
    <cellStyle name="60% - Акцент3 2 26" xfId="7918"/>
    <cellStyle name="60% — акцент3 2 26" xfId="9558"/>
    <cellStyle name="60% - Акцент3 2 27" xfId="8136"/>
    <cellStyle name="60% — акцент3 2 27" xfId="9247"/>
    <cellStyle name="60% - Акцент3 2 28" xfId="8333"/>
    <cellStyle name="60% — акцент3 2 28" xfId="9685"/>
    <cellStyle name="60% - Акцент3 2 29" xfId="8871"/>
    <cellStyle name="60% — акцент3 2 29" xfId="10071"/>
    <cellStyle name="60% - Акцент3 2 3" xfId="2083"/>
    <cellStyle name="60% — акцент3 2 3" xfId="5739"/>
    <cellStyle name="60% - Акцент3 2 3 10" xfId="6405"/>
    <cellStyle name="60% - Акцент3 2 3 11" xfId="6593"/>
    <cellStyle name="60% - Акцент3 2 3 12" xfId="7020"/>
    <cellStyle name="60% - Акцент3 2 3 13" xfId="7238"/>
    <cellStyle name="60% - Акцент3 2 3 14" xfId="7465"/>
    <cellStyle name="60% - Акцент3 2 3 15" xfId="7692"/>
    <cellStyle name="60% - Акцент3 2 3 16" xfId="7914"/>
    <cellStyle name="60% - Акцент3 2 3 17" xfId="8132"/>
    <cellStyle name="60% - Акцент3 2 3 18" xfId="8329"/>
    <cellStyle name="60% - Акцент3 2 3 19" xfId="10074"/>
    <cellStyle name="60% - Акцент3 2 3 2" xfId="4838"/>
    <cellStyle name="60% - Акцент3 2 3 20" xfId="10855"/>
    <cellStyle name="60% - Акцент3 2 3 21" xfId="11003"/>
    <cellStyle name="60% - Акцент3 2 3 22" xfId="10738"/>
    <cellStyle name="60% - Акцент3 2 3 23" xfId="11119"/>
    <cellStyle name="60% - Акцент3 2 3 24" xfId="11354"/>
    <cellStyle name="60% - Акцент3 2 3 25" xfId="11589"/>
    <cellStyle name="60% - Акцент3 2 3 26" xfId="11824"/>
    <cellStyle name="60% - Акцент3 2 3 27" xfId="12059"/>
    <cellStyle name="60% - Акцент3 2 3 28" xfId="12294"/>
    <cellStyle name="60% - Акцент3 2 3 29" xfId="12529"/>
    <cellStyle name="60% - Акцент3 2 3 3" xfId="5889"/>
    <cellStyle name="60% - Акцент3 2 3 30" xfId="12764"/>
    <cellStyle name="60% - Акцент3 2 3 31" xfId="12999"/>
    <cellStyle name="60% - Акцент3 2 3 32" xfId="13234"/>
    <cellStyle name="60% - Акцент3 2 3 33" xfId="13469"/>
    <cellStyle name="60% - Акцент3 2 3 34" xfId="13704"/>
    <cellStyle name="60% - Акцент3 2 3 35" xfId="13938"/>
    <cellStyle name="60% - Акцент3 2 3 36" xfId="14164"/>
    <cellStyle name="60% - Акцент3 2 3 37" xfId="14390"/>
    <cellStyle name="60% - Акцент3 2 3 38" xfId="14610"/>
    <cellStyle name="60% - Акцент3 2 3 39" xfId="14828"/>
    <cellStyle name="60% - Акцент3 2 3 4" xfId="5721"/>
    <cellStyle name="60% - Акцент3 2 3 40" xfId="15024"/>
    <cellStyle name="60% - Акцент3 2 3 5" xfId="5919"/>
    <cellStyle name="60% - Акцент3 2 3 6" xfId="5676"/>
    <cellStyle name="60% - Акцент3 2 3 7" xfId="5973"/>
    <cellStyle name="60% - Акцент3 2 3 8" xfId="5570"/>
    <cellStyle name="60% - Акцент3 2 3 9" xfId="6094"/>
    <cellStyle name="60% - Акцент3 2 30" xfId="9114"/>
    <cellStyle name="60% — акцент3 2 30" xfId="10852"/>
    <cellStyle name="60% - Акцент3 2 31" xfId="9159"/>
    <cellStyle name="60% — акцент3 2 31" xfId="11006"/>
    <cellStyle name="60% - Акцент3 2 32" xfId="9292"/>
    <cellStyle name="60% — акцент3 2 32" xfId="10735"/>
    <cellStyle name="60% - Акцент3 2 33" xfId="9383"/>
    <cellStyle name="60% — акцент3 2 33" xfId="11122"/>
    <cellStyle name="60% - Акцент3 2 34" xfId="9472"/>
    <cellStyle name="60% — акцент3 2 34" xfId="11357"/>
    <cellStyle name="60% - Акцент3 2 35" xfId="9559"/>
    <cellStyle name="60% — акцент3 2 35" xfId="11592"/>
    <cellStyle name="60% - Акцент3 2 36" xfId="9248"/>
    <cellStyle name="60% — акцент3 2 36" xfId="11827"/>
    <cellStyle name="60% - Акцент3 2 37" xfId="9686"/>
    <cellStyle name="60% — акцент3 2 37" xfId="12062"/>
    <cellStyle name="60% - Акцент3 2 38" xfId="10070"/>
    <cellStyle name="60% — акцент3 2 38" xfId="12297"/>
    <cellStyle name="60% - Акцент3 2 39" xfId="10851"/>
    <cellStyle name="60% — акцент3 2 39" xfId="12532"/>
    <cellStyle name="60% - Акцент3 2 4" xfId="2084"/>
    <cellStyle name="60% — акцент3 2 4" xfId="5892"/>
    <cellStyle name="60% - Акцент3 2 4 10" xfId="6591"/>
    <cellStyle name="60% - Акцент3 2 4 11" xfId="7019"/>
    <cellStyle name="60% - Акцент3 2 4 12" xfId="7237"/>
    <cellStyle name="60% - Акцент3 2 4 13" xfId="7464"/>
    <cellStyle name="60% - Акцент3 2 4 14" xfId="7691"/>
    <cellStyle name="60% - Акцент3 2 4 15" xfId="7913"/>
    <cellStyle name="60% - Акцент3 2 4 16" xfId="8131"/>
    <cellStyle name="60% - Акцент3 2 4 17" xfId="8328"/>
    <cellStyle name="60% - Акцент3 2 4 18" xfId="10075"/>
    <cellStyle name="60% - Акцент3 2 4 19" xfId="10856"/>
    <cellStyle name="60% - Акцент3 2 4 2" xfId="4839"/>
    <cellStyle name="60% - Акцент3 2 4 20" xfId="11002"/>
    <cellStyle name="60% - Акцент3 2 4 21" xfId="10739"/>
    <cellStyle name="60% - Акцент3 2 4 22" xfId="11118"/>
    <cellStyle name="60% - Акцент3 2 4 23" xfId="11353"/>
    <cellStyle name="60% - Акцент3 2 4 24" xfId="11588"/>
    <cellStyle name="60% - Акцент3 2 4 25" xfId="11823"/>
    <cellStyle name="60% - Акцент3 2 4 26" xfId="12058"/>
    <cellStyle name="60% - Акцент3 2 4 27" xfId="12293"/>
    <cellStyle name="60% - Акцент3 2 4 28" xfId="12528"/>
    <cellStyle name="60% - Акцент3 2 4 29" xfId="12763"/>
    <cellStyle name="60% - Акцент3 2 4 3" xfId="5722"/>
    <cellStyle name="60% - Акцент3 2 4 30" xfId="12998"/>
    <cellStyle name="60% - Акцент3 2 4 31" xfId="13233"/>
    <cellStyle name="60% - Акцент3 2 4 32" xfId="13468"/>
    <cellStyle name="60% - Акцент3 2 4 33" xfId="13703"/>
    <cellStyle name="60% - Акцент3 2 4 34" xfId="13937"/>
    <cellStyle name="60% - Акцент3 2 4 35" xfId="14163"/>
    <cellStyle name="60% - Акцент3 2 4 36" xfId="14389"/>
    <cellStyle name="60% - Акцент3 2 4 37" xfId="14609"/>
    <cellStyle name="60% - Акцент3 2 4 38" xfId="14815"/>
    <cellStyle name="60% - Акцент3 2 4 39" xfId="15023"/>
    <cellStyle name="60% - Акцент3 2 4 4" xfId="5918"/>
    <cellStyle name="60% - Акцент3 2 4 5" xfId="5677"/>
    <cellStyle name="60% - Акцент3 2 4 6" xfId="5972"/>
    <cellStyle name="60% - Акцент3 2 4 7" xfId="5571"/>
    <cellStyle name="60% - Акцент3 2 4 8" xfId="6093"/>
    <cellStyle name="60% - Акцент3 2 4 9" xfId="6290"/>
    <cellStyle name="60% - Акцент3 2 40" xfId="11007"/>
    <cellStyle name="60% — акцент3 2 40" xfId="12767"/>
    <cellStyle name="60% - Акцент3 2 41" xfId="10734"/>
    <cellStyle name="60% — акцент3 2 41" xfId="13002"/>
    <cellStyle name="60% - Акцент3 2 42" xfId="11123"/>
    <cellStyle name="60% — акцент3 2 42" xfId="13237"/>
    <cellStyle name="60% - Акцент3 2 43" xfId="11358"/>
    <cellStyle name="60% — акцент3 2 43" xfId="13472"/>
    <cellStyle name="60% - Акцент3 2 44" xfId="11593"/>
    <cellStyle name="60% — акцент3 2 44" xfId="13707"/>
    <cellStyle name="60% - Акцент3 2 45" xfId="11828"/>
    <cellStyle name="60% — акцент3 2 45" xfId="13941"/>
    <cellStyle name="60% - Акцент3 2 46" xfId="12063"/>
    <cellStyle name="60% — акцент3 2 46" xfId="14167"/>
    <cellStyle name="60% - Акцент3 2 47" xfId="12298"/>
    <cellStyle name="60% — акцент3 2 47" xfId="14393"/>
    <cellStyle name="60% - Акцент3 2 48" xfId="12533"/>
    <cellStyle name="60% — акцент3 2 48" xfId="14613"/>
    <cellStyle name="60% - Акцент3 2 49" xfId="12768"/>
    <cellStyle name="60% — акцент3 2 49" xfId="14831"/>
    <cellStyle name="60% - Акцент3 2 5" xfId="2085"/>
    <cellStyle name="60% — акцент3 2 5" xfId="5714"/>
    <cellStyle name="60% - Акцент3 2 5 10" xfId="6817"/>
    <cellStyle name="60% - Акцент3 2 5 11" xfId="7224"/>
    <cellStyle name="60% - Акцент3 2 5 12" xfId="7451"/>
    <cellStyle name="60% - Акцент3 2 5 13" xfId="7678"/>
    <cellStyle name="60% - Акцент3 2 5 14" xfId="7900"/>
    <cellStyle name="60% - Акцент3 2 5 15" xfId="8118"/>
    <cellStyle name="60% - Акцент3 2 5 16" xfId="8315"/>
    <cellStyle name="60% - Акцент3 2 5 17" xfId="10076"/>
    <cellStyle name="60% - Акцент3 2 5 18" xfId="10857"/>
    <cellStyle name="60% - Акцент3 2 5 19" xfId="11001"/>
    <cellStyle name="60% - Акцент3 2 5 2" xfId="4840"/>
    <cellStyle name="60% - Акцент3 2 5 20" xfId="10753"/>
    <cellStyle name="60% - Акцент3 2 5 21" xfId="11105"/>
    <cellStyle name="60% - Акцент3 2 5 22" xfId="11340"/>
    <cellStyle name="60% - Акцент3 2 5 23" xfId="11575"/>
    <cellStyle name="60% - Акцент3 2 5 24" xfId="11810"/>
    <cellStyle name="60% - Акцент3 2 5 25" xfId="12045"/>
    <cellStyle name="60% - Акцент3 2 5 26" xfId="12280"/>
    <cellStyle name="60% - Акцент3 2 5 27" xfId="12515"/>
    <cellStyle name="60% - Акцент3 2 5 28" xfId="12750"/>
    <cellStyle name="60% - Акцент3 2 5 29" xfId="12985"/>
    <cellStyle name="60% - Акцент3 2 5 3" xfId="5917"/>
    <cellStyle name="60% - Акцент3 2 5 30" xfId="13220"/>
    <cellStyle name="60% - Акцент3 2 5 31" xfId="13455"/>
    <cellStyle name="60% - Акцент3 2 5 32" xfId="13690"/>
    <cellStyle name="60% - Акцент3 2 5 33" xfId="13924"/>
    <cellStyle name="60% - Акцент3 2 5 34" xfId="14150"/>
    <cellStyle name="60% - Акцент3 2 5 35" xfId="14376"/>
    <cellStyle name="60% - Акцент3 2 5 36" xfId="14596"/>
    <cellStyle name="60% - Акцент3 2 5 37" xfId="14814"/>
    <cellStyle name="60% - Акцент3 2 5 38" xfId="15022"/>
    <cellStyle name="60% - Акцент3 2 5 4" xfId="5678"/>
    <cellStyle name="60% - Акцент3 2 5 5" xfId="5971"/>
    <cellStyle name="60% - Акцент3 2 5 6" xfId="5576"/>
    <cellStyle name="60% - Акцент3 2 5 7" xfId="6092"/>
    <cellStyle name="60% - Акцент3 2 5 8" xfId="6286"/>
    <cellStyle name="60% - Акцент3 2 5 9" xfId="6590"/>
    <cellStyle name="60% - Акцент3 2 50" xfId="13003"/>
    <cellStyle name="60% — акцент3 2 50" xfId="15027"/>
    <cellStyle name="60% - Акцент3 2 51" xfId="13238"/>
    <cellStyle name="60% — акцент3 2 51" xfId="15561"/>
    <cellStyle name="60% - Акцент3 2 52" xfId="13473"/>
    <cellStyle name="60% — акцент3 2 52" xfId="15599"/>
    <cellStyle name="60% - Акцент3 2 53" xfId="13708"/>
    <cellStyle name="60% — акцент3 2 53" xfId="15675"/>
    <cellStyle name="60% - Акцент3 2 54" xfId="13942"/>
    <cellStyle name="60% - Акцент3 2 55" xfId="14168"/>
    <cellStyle name="60% - Акцент3 2 56" xfId="14394"/>
    <cellStyle name="60% - Акцент3 2 57" xfId="14614"/>
    <cellStyle name="60% - Акцент3 2 58" xfId="14832"/>
    <cellStyle name="60% - Акцент3 2 59" xfId="15028"/>
    <cellStyle name="60% - Акцент3 2 6" xfId="2086"/>
    <cellStyle name="60% — акцент3 2 6" xfId="5922"/>
    <cellStyle name="60% - Акцент3 2 6 10" xfId="7223"/>
    <cellStyle name="60% - Акцент3 2 6 11" xfId="7450"/>
    <cellStyle name="60% - Акцент3 2 6 12" xfId="7677"/>
    <cellStyle name="60% - Акцент3 2 6 13" xfId="7899"/>
    <cellStyle name="60% - Акцент3 2 6 14" xfId="8117"/>
    <cellStyle name="60% - Акцент3 2 6 15" xfId="8314"/>
    <cellStyle name="60% - Акцент3 2 6 16" xfId="10077"/>
    <cellStyle name="60% - Акцент3 2 6 17" xfId="10858"/>
    <cellStyle name="60% - Акцент3 2 6 18" xfId="11000"/>
    <cellStyle name="60% - Акцент3 2 6 19" xfId="10754"/>
    <cellStyle name="60% - Акцент3 2 6 2" xfId="4841"/>
    <cellStyle name="60% - Акцент3 2 6 20" xfId="11104"/>
    <cellStyle name="60% - Акцент3 2 6 21" xfId="11339"/>
    <cellStyle name="60% - Акцент3 2 6 22" xfId="11574"/>
    <cellStyle name="60% - Акцент3 2 6 23" xfId="11809"/>
    <cellStyle name="60% - Акцент3 2 6 24" xfId="12044"/>
    <cellStyle name="60% - Акцент3 2 6 25" xfId="12279"/>
    <cellStyle name="60% - Акцент3 2 6 26" xfId="12514"/>
    <cellStyle name="60% - Акцент3 2 6 27" xfId="12749"/>
    <cellStyle name="60% - Акцент3 2 6 28" xfId="12984"/>
    <cellStyle name="60% - Акцент3 2 6 29" xfId="13219"/>
    <cellStyle name="60% - Акцент3 2 6 3" xfId="5679"/>
    <cellStyle name="60% - Акцент3 2 6 30" xfId="13454"/>
    <cellStyle name="60% - Акцент3 2 6 31" xfId="13689"/>
    <cellStyle name="60% - Акцент3 2 6 32" xfId="13923"/>
    <cellStyle name="60% - Акцент3 2 6 33" xfId="14149"/>
    <cellStyle name="60% - Акцент3 2 6 34" xfId="14375"/>
    <cellStyle name="60% - Акцент3 2 6 35" xfId="14595"/>
    <cellStyle name="60% - Акцент3 2 6 36" xfId="14813"/>
    <cellStyle name="60% - Акцент3 2 6 37" xfId="15009"/>
    <cellStyle name="60% - Акцент3 2 6 4" xfId="5969"/>
    <cellStyle name="60% - Акцент3 2 6 5" xfId="5579"/>
    <cellStyle name="60% - Акцент3 2 6 6" xfId="6088"/>
    <cellStyle name="60% - Акцент3 2 6 7" xfId="6285"/>
    <cellStyle name="60% - Акцент3 2 6 8" xfId="6586"/>
    <cellStyle name="60% - Акцент3 2 6 9" xfId="6816"/>
    <cellStyle name="60% - Акцент3 2 60" xfId="15560"/>
    <cellStyle name="60% - Акцент3 2 61" xfId="15600"/>
    <cellStyle name="60% - Акцент3 2 62" xfId="15676"/>
    <cellStyle name="60% - Акцент3 2 7" xfId="2087"/>
    <cellStyle name="60% — акцент3 2 7" xfId="5668"/>
    <cellStyle name="60% - Акцент3 2 7 10" xfId="7449"/>
    <cellStyle name="60% - Акцент3 2 7 11" xfId="7676"/>
    <cellStyle name="60% - Акцент3 2 7 12" xfId="7898"/>
    <cellStyle name="60% - Акцент3 2 7 13" xfId="8116"/>
    <cellStyle name="60% - Акцент3 2 7 14" xfId="8313"/>
    <cellStyle name="60% - Акцент3 2 7 15" xfId="10078"/>
    <cellStyle name="60% - Акцент3 2 7 16" xfId="10859"/>
    <cellStyle name="60% - Акцент3 2 7 17" xfId="10999"/>
    <cellStyle name="60% - Акцент3 2 7 18" xfId="10755"/>
    <cellStyle name="60% - Акцент3 2 7 19" xfId="11103"/>
    <cellStyle name="60% - Акцент3 2 7 2" xfId="4842"/>
    <cellStyle name="60% - Акцент3 2 7 20" xfId="11338"/>
    <cellStyle name="60% - Акцент3 2 7 21" xfId="11573"/>
    <cellStyle name="60% - Акцент3 2 7 22" xfId="11808"/>
    <cellStyle name="60% - Акцент3 2 7 23" xfId="12043"/>
    <cellStyle name="60% - Акцент3 2 7 24" xfId="12278"/>
    <cellStyle name="60% - Акцент3 2 7 25" xfId="12513"/>
    <cellStyle name="60% - Акцент3 2 7 26" xfId="12748"/>
    <cellStyle name="60% - Акцент3 2 7 27" xfId="12983"/>
    <cellStyle name="60% - Акцент3 2 7 28" xfId="13218"/>
    <cellStyle name="60% - Акцент3 2 7 29" xfId="13453"/>
    <cellStyle name="60% - Акцент3 2 7 3" xfId="5967"/>
    <cellStyle name="60% - Акцент3 2 7 30" xfId="13688"/>
    <cellStyle name="60% - Акцент3 2 7 31" xfId="13922"/>
    <cellStyle name="60% - Акцент3 2 7 32" xfId="14148"/>
    <cellStyle name="60% - Акцент3 2 7 33" xfId="14374"/>
    <cellStyle name="60% - Акцент3 2 7 34" xfId="14594"/>
    <cellStyle name="60% - Акцент3 2 7 35" xfId="14812"/>
    <cellStyle name="60% - Акцент3 2 7 36" xfId="15008"/>
    <cellStyle name="60% - Акцент3 2 7 4" xfId="5580"/>
    <cellStyle name="60% - Акцент3 2 7 5" xfId="6084"/>
    <cellStyle name="60% - Акцент3 2 7 6" xfId="6284"/>
    <cellStyle name="60% - Акцент3 2 7 7" xfId="6566"/>
    <cellStyle name="60% - Акцент3 2 7 8" xfId="6812"/>
    <cellStyle name="60% - Акцент3 2 7 9" xfId="7222"/>
    <cellStyle name="60% - Акцент3 2 8" xfId="2088"/>
    <cellStyle name="60% — акцент3 2 8" xfId="5988"/>
    <cellStyle name="60% - Акцент3 2 8 10" xfId="7675"/>
    <cellStyle name="60% - Акцент3 2 8 11" xfId="7897"/>
    <cellStyle name="60% - Акцент3 2 8 12" xfId="8115"/>
    <cellStyle name="60% - Акцент3 2 8 13" xfId="8312"/>
    <cellStyle name="60% - Акцент3 2 8 14" xfId="10079"/>
    <cellStyle name="60% - Акцент3 2 8 15" xfId="10860"/>
    <cellStyle name="60% - Акцент3 2 8 16" xfId="10998"/>
    <cellStyle name="60% - Акцент3 2 8 17" xfId="10756"/>
    <cellStyle name="60% - Акцент3 2 8 18" xfId="11102"/>
    <cellStyle name="60% - Акцент3 2 8 19" xfId="11337"/>
    <cellStyle name="60% - Акцент3 2 8 2" xfId="4843"/>
    <cellStyle name="60% - Акцент3 2 8 20" xfId="11572"/>
    <cellStyle name="60% - Акцент3 2 8 21" xfId="11807"/>
    <cellStyle name="60% - Акцент3 2 8 22" xfId="12042"/>
    <cellStyle name="60% - Акцент3 2 8 23" xfId="12277"/>
    <cellStyle name="60% - Акцент3 2 8 24" xfId="12512"/>
    <cellStyle name="60% - Акцент3 2 8 25" xfId="12747"/>
    <cellStyle name="60% - Акцент3 2 8 26" xfId="12982"/>
    <cellStyle name="60% - Акцент3 2 8 27" xfId="13217"/>
    <cellStyle name="60% - Акцент3 2 8 28" xfId="13452"/>
    <cellStyle name="60% - Акцент3 2 8 29" xfId="13687"/>
    <cellStyle name="60% - Акцент3 2 8 3" xfId="5589"/>
    <cellStyle name="60% - Акцент3 2 8 30" xfId="13921"/>
    <cellStyle name="60% - Акцент3 2 8 31" xfId="14147"/>
    <cellStyle name="60% - Акцент3 2 8 32" xfId="14373"/>
    <cellStyle name="60% - Акцент3 2 8 33" xfId="14593"/>
    <cellStyle name="60% - Акцент3 2 8 34" xfId="14811"/>
    <cellStyle name="60% - Акцент3 2 8 35" xfId="15007"/>
    <cellStyle name="60% - Акцент3 2 8 4" xfId="6083"/>
    <cellStyle name="60% - Акцент3 2 8 5" xfId="6283"/>
    <cellStyle name="60% - Акцент3 2 8 6" xfId="6565"/>
    <cellStyle name="60% - Акцент3 2 8 7" xfId="6804"/>
    <cellStyle name="60% - Акцент3 2 8 8" xfId="7221"/>
    <cellStyle name="60% - Акцент3 2 8 9" xfId="7448"/>
    <cellStyle name="60% - Акцент3 2 9" xfId="2089"/>
    <cellStyle name="60% — акцент3 2 9" xfId="5567"/>
    <cellStyle name="60% - Акцент3 2 9 10" xfId="7896"/>
    <cellStyle name="60% - Акцент3 2 9 11" xfId="8114"/>
    <cellStyle name="60% - Акцент3 2 9 12" xfId="8311"/>
    <cellStyle name="60% - Акцент3 2 9 13" xfId="10080"/>
    <cellStyle name="60% - Акцент3 2 9 14" xfId="10861"/>
    <cellStyle name="60% - Акцент3 2 9 15" xfId="10997"/>
    <cellStyle name="60% - Акцент3 2 9 16" xfId="10757"/>
    <cellStyle name="60% - Акцент3 2 9 17" xfId="11101"/>
    <cellStyle name="60% - Акцент3 2 9 18" xfId="11336"/>
    <cellStyle name="60% - Акцент3 2 9 19" xfId="11571"/>
    <cellStyle name="60% - Акцент3 2 9 2" xfId="4844"/>
    <cellStyle name="60% - Акцент3 2 9 20" xfId="11806"/>
    <cellStyle name="60% - Акцент3 2 9 21" xfId="12041"/>
    <cellStyle name="60% - Акцент3 2 9 22" xfId="12276"/>
    <cellStyle name="60% - Акцент3 2 9 23" xfId="12511"/>
    <cellStyle name="60% - Акцент3 2 9 24" xfId="12746"/>
    <cellStyle name="60% - Акцент3 2 9 25" xfId="12981"/>
    <cellStyle name="60% - Акцент3 2 9 26" xfId="13216"/>
    <cellStyle name="60% - Акцент3 2 9 27" xfId="13451"/>
    <cellStyle name="60% - Акцент3 2 9 28" xfId="13686"/>
    <cellStyle name="60% - Акцент3 2 9 29" xfId="13920"/>
    <cellStyle name="60% - Акцент3 2 9 3" xfId="6082"/>
    <cellStyle name="60% - Акцент3 2 9 30" xfId="14146"/>
    <cellStyle name="60% - Акцент3 2 9 31" xfId="14372"/>
    <cellStyle name="60% - Акцент3 2 9 32" xfId="14592"/>
    <cellStyle name="60% - Акцент3 2 9 33" xfId="14810"/>
    <cellStyle name="60% - Акцент3 2 9 34" xfId="15006"/>
    <cellStyle name="60% - Акцент3 2 9 4" xfId="6282"/>
    <cellStyle name="60% - Акцент3 2 9 5" xfId="6564"/>
    <cellStyle name="60% - Акцент3 2 9 6" xfId="6802"/>
    <cellStyle name="60% - Акцент3 2 9 7" xfId="7220"/>
    <cellStyle name="60% - Акцент3 2 9 8" xfId="7447"/>
    <cellStyle name="60% - Акцент3 2 9 9" xfId="7674"/>
    <cellStyle name="60% - Акцент3 2_МФ тепловой баланс 2015 дубль 3" xfId="2090"/>
    <cellStyle name="60% — акцент3 20" xfId="2091"/>
    <cellStyle name="60% — акцент3 21" xfId="2092"/>
    <cellStyle name="60% — акцент3 22" xfId="4833"/>
    <cellStyle name="60% — акцент3 23" xfId="5737"/>
    <cellStyle name="60% — акцент3 24" xfId="5894"/>
    <cellStyle name="60% — акцент3 25" xfId="5712"/>
    <cellStyle name="60% — акцент3 26" xfId="5924"/>
    <cellStyle name="60% — акцент3 27" xfId="5666"/>
    <cellStyle name="60% — акцент3 28" xfId="5990"/>
    <cellStyle name="60% — акцент3 29" xfId="5560"/>
    <cellStyle name="60% - Акцент3 3" xfId="2093"/>
    <cellStyle name="60% — акцент3 3" xfId="2094"/>
    <cellStyle name="60% - Акцент3 3 10" xfId="2095"/>
    <cellStyle name="60% - Акцент3 3 10 2" xfId="4846"/>
    <cellStyle name="60% - Акцент3 3 10 3" xfId="10082"/>
    <cellStyle name="60% - Акцент3 3 11" xfId="2096"/>
    <cellStyle name="60% - Акцент3 3 12" xfId="4845"/>
    <cellStyle name="60% - Акцент3 3 13" xfId="5749"/>
    <cellStyle name="60% - Акцент3 3 14" xfId="5882"/>
    <cellStyle name="60% - Акцент3 3 15" xfId="5729"/>
    <cellStyle name="60% - Акцент3 3 16" xfId="5907"/>
    <cellStyle name="60% - Акцент3 3 17" xfId="5684"/>
    <cellStyle name="60% - Акцент3 3 18" xfId="5964"/>
    <cellStyle name="60% - Акцент3 3 19" xfId="5597"/>
    <cellStyle name="60% - Акцент3 3 2" xfId="2097"/>
    <cellStyle name="60% - Акцент3 3 2 2" xfId="4847"/>
    <cellStyle name="60% - Акцент3 3 2 3" xfId="8875"/>
    <cellStyle name="60% - Акцент3 3 20" xfId="6077"/>
    <cellStyle name="60% - Акцент3 3 21" xfId="6280"/>
    <cellStyle name="60% - Акцент3 3 22" xfId="6560"/>
    <cellStyle name="60% - Акцент3 3 23" xfId="6801"/>
    <cellStyle name="60% - Акцент3 3 24" xfId="7011"/>
    <cellStyle name="60% - Акцент3 3 25" xfId="7446"/>
    <cellStyle name="60% - Акцент3 3 26" xfId="7673"/>
    <cellStyle name="60% - Акцент3 3 27" xfId="7895"/>
    <cellStyle name="60% - Акцент3 3 28" xfId="8113"/>
    <cellStyle name="60% - Акцент3 3 29" xfId="8310"/>
    <cellStyle name="60% - Акцент3 3 3" xfId="2098"/>
    <cellStyle name="60% - Акцент3 3 3 2" xfId="4848"/>
    <cellStyle name="60% - Акцент3 3 3 3" xfId="10084"/>
    <cellStyle name="60% - Акцент3 3 30" xfId="8874"/>
    <cellStyle name="60% - Акцент3 3 31" xfId="9117"/>
    <cellStyle name="60% - Акцент3 3 32" xfId="9156"/>
    <cellStyle name="60% - Акцент3 3 33" xfId="9289"/>
    <cellStyle name="60% - Акцент3 3 34" xfId="9380"/>
    <cellStyle name="60% - Акцент3 3 35" xfId="9469"/>
    <cellStyle name="60% - Акцент3 3 36" xfId="9556"/>
    <cellStyle name="60% - Акцент3 3 37" xfId="8993"/>
    <cellStyle name="60% - Акцент3 3 38" xfId="9683"/>
    <cellStyle name="60% - Акцент3 3 39" xfId="10081"/>
    <cellStyle name="60% - Акцент3 3 4" xfId="2099"/>
    <cellStyle name="60% - Акцент3 3 4 2" xfId="4849"/>
    <cellStyle name="60% - Акцент3 3 4 3" xfId="10085"/>
    <cellStyle name="60% - Акцент3 3 40" xfId="10862"/>
    <cellStyle name="60% - Акцент3 3 41" xfId="10996"/>
    <cellStyle name="60% - Акцент3 3 42" xfId="10758"/>
    <cellStyle name="60% - Акцент3 3 43" xfId="11100"/>
    <cellStyle name="60% - Акцент3 3 44" xfId="11335"/>
    <cellStyle name="60% - Акцент3 3 45" xfId="11570"/>
    <cellStyle name="60% - Акцент3 3 46" xfId="11805"/>
    <cellStyle name="60% - Акцент3 3 47" xfId="12040"/>
    <cellStyle name="60% - Акцент3 3 48" xfId="12275"/>
    <cellStyle name="60% - Акцент3 3 49" xfId="12510"/>
    <cellStyle name="60% - Акцент3 3 5" xfId="2100"/>
    <cellStyle name="60% - Акцент3 3 5 2" xfId="4850"/>
    <cellStyle name="60% - Акцент3 3 5 3" xfId="10086"/>
    <cellStyle name="60% - Акцент3 3 50" xfId="12745"/>
    <cellStyle name="60% - Акцент3 3 51" xfId="12980"/>
    <cellStyle name="60% - Акцент3 3 52" xfId="13215"/>
    <cellStyle name="60% - Акцент3 3 53" xfId="13450"/>
    <cellStyle name="60% - Акцент3 3 54" xfId="13685"/>
    <cellStyle name="60% - Акцент3 3 55" xfId="13919"/>
    <cellStyle name="60% - Акцент3 3 56" xfId="14145"/>
    <cellStyle name="60% - Акцент3 3 57" xfId="14371"/>
    <cellStyle name="60% - Акцент3 3 58" xfId="14591"/>
    <cellStyle name="60% - Акцент3 3 59" xfId="14809"/>
    <cellStyle name="60% - Акцент3 3 6" xfId="2101"/>
    <cellStyle name="60% - Акцент3 3 6 2" xfId="4851"/>
    <cellStyle name="60% - Акцент3 3 6 3" xfId="10087"/>
    <cellStyle name="60% - Акцент3 3 60" xfId="15005"/>
    <cellStyle name="60% - Акцент3 3 61" xfId="15563"/>
    <cellStyle name="60% - Акцент3 3 62" xfId="15597"/>
    <cellStyle name="60% - Акцент3 3 63" xfId="15673"/>
    <cellStyle name="60% - Акцент3 3 7" xfId="2102"/>
    <cellStyle name="60% - Акцент3 3 7 2" xfId="4852"/>
    <cellStyle name="60% - Акцент3 3 7 3" xfId="10088"/>
    <cellStyle name="60% - Акцент3 3 8" xfId="2103"/>
    <cellStyle name="60% - Акцент3 3 8 2" xfId="4853"/>
    <cellStyle name="60% - Акцент3 3 8 3" xfId="10089"/>
    <cellStyle name="60% - Акцент3 3 9" xfId="2104"/>
    <cellStyle name="60% - Акцент3 3 9 2" xfId="4854"/>
    <cellStyle name="60% - Акцент3 3 9 3" xfId="10090"/>
    <cellStyle name="60% - Акцент3 3_МФ тепловой баланс 2015 дубль 3" xfId="2105"/>
    <cellStyle name="60% — акцент3 30" xfId="6121"/>
    <cellStyle name="60% — акцент3 31" xfId="6430"/>
    <cellStyle name="60% — акцент3 32" xfId="6605"/>
    <cellStyle name="60% — акцент3 33" xfId="7025"/>
    <cellStyle name="60% — акцент3 34" xfId="7243"/>
    <cellStyle name="60% — акцент3 35" xfId="7470"/>
    <cellStyle name="60% — акцент3 36" xfId="7697"/>
    <cellStyle name="60% — акцент3 37" xfId="7919"/>
    <cellStyle name="60% — акцент3 38" xfId="8137"/>
    <cellStyle name="60% — акцент3 39" xfId="8334"/>
    <cellStyle name="60% - Акцент3 4" xfId="2106"/>
    <cellStyle name="60% — акцент3 4" xfId="2107"/>
    <cellStyle name="60% - Акцент3 4 2" xfId="2108"/>
    <cellStyle name="60% - Акцент3 4_МФ тепловой баланс 2015 дубль 3" xfId="2109"/>
    <cellStyle name="60% — акцент3 40" xfId="8870"/>
    <cellStyle name="60% — акцент3 41" xfId="9113"/>
    <cellStyle name="60% — акцент3 42" xfId="9160"/>
    <cellStyle name="60% — акцент3 43" xfId="9293"/>
    <cellStyle name="60% — акцент3 44" xfId="9384"/>
    <cellStyle name="60% — акцент3 45" xfId="9473"/>
    <cellStyle name="60% — акцент3 46" xfId="9560"/>
    <cellStyle name="60% — акцент3 47" xfId="9249"/>
    <cellStyle name="60% — акцент3 48" xfId="9687"/>
    <cellStyle name="60% — акцент3 49" xfId="10069"/>
    <cellStyle name="60% - Акцент3 5" xfId="2110"/>
    <cellStyle name="60% — акцент3 5" xfId="2111"/>
    <cellStyle name="60% - Акцент3 5 2" xfId="2112"/>
    <cellStyle name="60% - Акцент3 5_МФ тепловой баланс 2015 дубль 3" xfId="2113"/>
    <cellStyle name="60% — акцент3 50" xfId="10850"/>
    <cellStyle name="60% — акцент3 51" xfId="11008"/>
    <cellStyle name="60% — акцент3 52" xfId="10733"/>
    <cellStyle name="60% — акцент3 53" xfId="11124"/>
    <cellStyle name="60% — акцент3 54" xfId="11359"/>
    <cellStyle name="60% — акцент3 55" xfId="11594"/>
    <cellStyle name="60% — акцент3 56" xfId="11829"/>
    <cellStyle name="60% — акцент3 57" xfId="12064"/>
    <cellStyle name="60% — акцент3 58" xfId="12299"/>
    <cellStyle name="60% — акцент3 59" xfId="12534"/>
    <cellStyle name="60% - Акцент3 6" xfId="2114"/>
    <cellStyle name="60% — акцент3 6" xfId="2115"/>
    <cellStyle name="60% - Акцент3 6 2" xfId="2116"/>
    <cellStyle name="60% - Акцент3 6_МФ тепловой баланс 2015 дубль 3" xfId="2117"/>
    <cellStyle name="60% — акцент3 60" xfId="12769"/>
    <cellStyle name="60% — акцент3 61" xfId="13004"/>
    <cellStyle name="60% — акцент3 62" xfId="13239"/>
    <cellStyle name="60% — акцент3 63" xfId="13474"/>
    <cellStyle name="60% — акцент3 64" xfId="13709"/>
    <cellStyle name="60% — акцент3 65" xfId="13943"/>
    <cellStyle name="60% — акцент3 66" xfId="14169"/>
    <cellStyle name="60% — акцент3 67" xfId="14395"/>
    <cellStyle name="60% — акцент3 68" xfId="14615"/>
    <cellStyle name="60% — акцент3 69" xfId="14833"/>
    <cellStyle name="60% - Акцент3 7" xfId="2118"/>
    <cellStyle name="60% — акцент3 7" xfId="2119"/>
    <cellStyle name="60% - Акцент3 7 2" xfId="2120"/>
    <cellStyle name="60% - Акцент3 7_МФ тепловой баланс 2015 дубль 3" xfId="2121"/>
    <cellStyle name="60% — акцент3 70" xfId="15029"/>
    <cellStyle name="60% — акцент3 71" xfId="15559"/>
    <cellStyle name="60% — акцент3 72" xfId="15601"/>
    <cellStyle name="60% — акцент3 73" xfId="15677"/>
    <cellStyle name="60% - Акцент3 8" xfId="2122"/>
    <cellStyle name="60% — акцент3 8" xfId="2123"/>
    <cellStyle name="60% - Акцент3 8 2" xfId="2124"/>
    <cellStyle name="60% - Акцент3 9" xfId="2125"/>
    <cellStyle name="60% — акцент3 9" xfId="2126"/>
    <cellStyle name="60% - Акцент3 9 2" xfId="2127"/>
    <cellStyle name="60% — акцент4" xfId="2128"/>
    <cellStyle name="60% - Акцент4 10" xfId="2129"/>
    <cellStyle name="60% — акцент4 10" xfId="2130"/>
    <cellStyle name="60% — акцент4 11" xfId="2131"/>
    <cellStyle name="60% — акцент4 12" xfId="2132"/>
    <cellStyle name="60% — акцент4 13" xfId="2133"/>
    <cellStyle name="60% — акцент4 14" xfId="2134"/>
    <cellStyle name="60% — акцент4 15" xfId="2135"/>
    <cellStyle name="60% — акцент4 16" xfId="2136"/>
    <cellStyle name="60% — акцент4 17" xfId="2137"/>
    <cellStyle name="60% — акцент4 18" xfId="2138"/>
    <cellStyle name="60% — акцент4 19" xfId="2139"/>
    <cellStyle name="60% - Акцент4 2" xfId="2140"/>
    <cellStyle name="60% — акцент4 2" xfId="2141"/>
    <cellStyle name="60% - Акцент4 2 10" xfId="2142"/>
    <cellStyle name="60% — акцент4 2 10" xfId="6028"/>
    <cellStyle name="60% - Акцент4 2 10 10" xfId="7820"/>
    <cellStyle name="60% - Акцент4 2 10 11" xfId="8042"/>
    <cellStyle name="60% - Акцент4 2 10 12" xfId="10094"/>
    <cellStyle name="60% - Акцент4 2 10 13" xfId="10875"/>
    <cellStyle name="60% - Акцент4 2 10 14" xfId="10983"/>
    <cellStyle name="60% - Акцент4 2 10 15" xfId="10797"/>
    <cellStyle name="60% - Акцент4 2 10 16" xfId="11061"/>
    <cellStyle name="60% - Акцент4 2 10 17" xfId="10523"/>
    <cellStyle name="60% - Акцент4 2 10 18" xfId="11256"/>
    <cellStyle name="60% - Акцент4 2 10 19" xfId="11491"/>
    <cellStyle name="60% - Акцент4 2 10 2" xfId="4858"/>
    <cellStyle name="60% - Акцент4 2 10 20" xfId="11726"/>
    <cellStyle name="60% - Акцент4 2 10 21" xfId="11961"/>
    <cellStyle name="60% - Акцент4 2 10 22" xfId="12196"/>
    <cellStyle name="60% - Акцент4 2 10 23" xfId="12431"/>
    <cellStyle name="60% - Акцент4 2 10 24" xfId="12666"/>
    <cellStyle name="60% - Акцент4 2 10 25" xfId="12901"/>
    <cellStyle name="60% - Акцент4 2 10 26" xfId="13136"/>
    <cellStyle name="60% - Акцент4 2 10 27" xfId="13371"/>
    <cellStyle name="60% - Акцент4 2 10 28" xfId="13606"/>
    <cellStyle name="60% - Акцент4 2 10 29" xfId="13840"/>
    <cellStyle name="60% - Акцент4 2 10 3" xfId="6218"/>
    <cellStyle name="60% - Акцент4 2 10 30" xfId="14069"/>
    <cellStyle name="60% - Акцент4 2 10 31" xfId="14297"/>
    <cellStyle name="60% - Акцент4 2 10 32" xfId="14517"/>
    <cellStyle name="60% - Акцент4 2 10 33" xfId="14778"/>
    <cellStyle name="60% - Акцент4 2 10 4" xfId="6365"/>
    <cellStyle name="60% - Акцент4 2 10 5" xfId="6728"/>
    <cellStyle name="60% - Акцент4 2 10 6" xfId="6926"/>
    <cellStyle name="60% - Акцент4 2 10 7" xfId="7157"/>
    <cellStyle name="60% - Акцент4 2 10 8" xfId="7370"/>
    <cellStyle name="60% - Акцент4 2 10 9" xfId="7597"/>
    <cellStyle name="60% - Акцент4 2 11" xfId="4856"/>
    <cellStyle name="60% — акцент4 2 11" xfId="6219"/>
    <cellStyle name="60% - Акцент4 2 12" xfId="5760"/>
    <cellStyle name="60% — акцент4 2 12" xfId="6377"/>
    <cellStyle name="60% - Акцент4 2 13" xfId="5871"/>
    <cellStyle name="60% — акцент4 2 13" xfId="6753"/>
    <cellStyle name="60% - Акцент4 2 14" xfId="5744"/>
    <cellStyle name="60% — акцент4 2 14" xfId="6953"/>
    <cellStyle name="60% - Акцент4 2 15" xfId="5895"/>
    <cellStyle name="60% — акцент4 2 15" xfId="7197"/>
    <cellStyle name="60% - Акцент4 2 16" xfId="5707"/>
    <cellStyle name="60% — акцент4 2 16" xfId="7410"/>
    <cellStyle name="60% - Акцент4 2 17" xfId="5939"/>
    <cellStyle name="60% — акцент4 2 17" xfId="7637"/>
    <cellStyle name="60% - Акцент4 2 18" xfId="5624"/>
    <cellStyle name="60% — акцент4 2 18" xfId="7860"/>
    <cellStyle name="60% - Акцент4 2 19" xfId="6033"/>
    <cellStyle name="60% — акцент4 2 19" xfId="8082"/>
    <cellStyle name="60% - Акцент4 2 2" xfId="2143"/>
    <cellStyle name="60% — акцент4 2 2" xfId="4857"/>
    <cellStyle name="60% - Акцент4 2 2 10" xfId="5644"/>
    <cellStyle name="60% - Акцент4 2 2 11" xfId="6015"/>
    <cellStyle name="60% - Акцент4 2 2 12" xfId="5350"/>
    <cellStyle name="60% - Акцент4 2 2 13" xfId="6364"/>
    <cellStyle name="60% - Акцент4 2 2 14" xfId="6727"/>
    <cellStyle name="60% - Акцент4 2 2 15" xfId="6922"/>
    <cellStyle name="60% - Акцент4 2 2 16" xfId="7156"/>
    <cellStyle name="60% - Акцент4 2 2 17" xfId="7369"/>
    <cellStyle name="60% - Акцент4 2 2 18" xfId="7596"/>
    <cellStyle name="60% - Акцент4 2 2 19" xfId="7819"/>
    <cellStyle name="60% - Акцент4 2 2 2" xfId="2144"/>
    <cellStyle name="60% - Акцент4 2 2 20" xfId="8041"/>
    <cellStyle name="60% - Акцент4 2 2 21" xfId="8879"/>
    <cellStyle name="60% - Акцент4 2 2 22" xfId="9122"/>
    <cellStyle name="60% - Акцент4 2 2 23" xfId="9151"/>
    <cellStyle name="60% - Акцент4 2 2 24" xfId="9284"/>
    <cellStyle name="60% - Акцент4 2 2 25" xfId="9221"/>
    <cellStyle name="60% - Акцент4 2 2 26" xfId="9353"/>
    <cellStyle name="60% - Акцент4 2 2 27" xfId="9442"/>
    <cellStyle name="60% - Акцент4 2 2 28" xfId="9066"/>
    <cellStyle name="60% - Акцент4 2 2 29" xfId="9679"/>
    <cellStyle name="60% - Акцент4 2 2 3" xfId="4859"/>
    <cellStyle name="60% - Акцент4 2 2 30" xfId="10095"/>
    <cellStyle name="60% - Акцент4 2 2 31" xfId="10876"/>
    <cellStyle name="60% - Акцент4 2 2 32" xfId="10982"/>
    <cellStyle name="60% - Акцент4 2 2 33" xfId="10798"/>
    <cellStyle name="60% - Акцент4 2 2 34" xfId="11060"/>
    <cellStyle name="60% - Акцент4 2 2 35" xfId="10522"/>
    <cellStyle name="60% - Акцент4 2 2 36" xfId="11255"/>
    <cellStyle name="60% - Акцент4 2 2 37" xfId="11490"/>
    <cellStyle name="60% - Акцент4 2 2 38" xfId="11725"/>
    <cellStyle name="60% - Акцент4 2 2 39" xfId="11960"/>
    <cellStyle name="60% - Акцент4 2 2 4" xfId="5763"/>
    <cellStyle name="60% - Акцент4 2 2 40" xfId="12195"/>
    <cellStyle name="60% - Акцент4 2 2 41" xfId="12430"/>
    <cellStyle name="60% - Акцент4 2 2 42" xfId="12665"/>
    <cellStyle name="60% - Акцент4 2 2 43" xfId="12900"/>
    <cellStyle name="60% - Акцент4 2 2 44" xfId="13135"/>
    <cellStyle name="60% - Акцент4 2 2 45" xfId="13370"/>
    <cellStyle name="60% - Акцент4 2 2 46" xfId="13605"/>
    <cellStyle name="60% - Акцент4 2 2 47" xfId="13839"/>
    <cellStyle name="60% - Акцент4 2 2 48" xfId="14068"/>
    <cellStyle name="60% - Акцент4 2 2 49" xfId="14296"/>
    <cellStyle name="60% - Акцент4 2 2 5" xfId="5868"/>
    <cellStyle name="60% - Акцент4 2 2 50" xfId="14516"/>
    <cellStyle name="60% - Акцент4 2 2 51" xfId="14738"/>
    <cellStyle name="60% - Акцент4 2 2 52" xfId="15568"/>
    <cellStyle name="60% - Акцент4 2 2 53" xfId="15593"/>
    <cellStyle name="60% - Акцент4 2 2 54" xfId="15500"/>
    <cellStyle name="60% - Акцент4 2 2 6" xfId="5747"/>
    <cellStyle name="60% - Акцент4 2 2 7" xfId="5887"/>
    <cellStyle name="60% - Акцент4 2 2 8" xfId="5710"/>
    <cellStyle name="60% - Акцент4 2 2 9" xfId="5931"/>
    <cellStyle name="60% - Акцент4 2 20" xfId="6220"/>
    <cellStyle name="60% — акцент4 2 20" xfId="8878"/>
    <cellStyle name="60% - Акцент4 2 21" xfId="6384"/>
    <cellStyle name="60% — акцент4 2 21" xfId="9121"/>
    <cellStyle name="60% - Акцент4 2 22" xfId="6754"/>
    <cellStyle name="60% — акцент4 2 22" xfId="9152"/>
    <cellStyle name="60% - Акцент4 2 23" xfId="6954"/>
    <cellStyle name="60% — акцент4 2 23" xfId="9285"/>
    <cellStyle name="60% - Акцент4 2 24" xfId="7198"/>
    <cellStyle name="60% — акцент4 2 24" xfId="9226"/>
    <cellStyle name="60% - Акцент4 2 25" xfId="7411"/>
    <cellStyle name="60% — акцент4 2 25" xfId="9360"/>
    <cellStyle name="60% - Акцент4 2 26" xfId="7638"/>
    <cellStyle name="60% — акцент4 2 26" xfId="9449"/>
    <cellStyle name="60% - Акцент4 2 27" xfId="7861"/>
    <cellStyle name="60% — акцент4 2 27" xfId="9060"/>
    <cellStyle name="60% - Акцент4 2 28" xfId="8083"/>
    <cellStyle name="60% — акцент4 2 28" xfId="9680"/>
    <cellStyle name="60% - Акцент4 2 29" xfId="8877"/>
    <cellStyle name="60% — акцент4 2 29" xfId="10093"/>
    <cellStyle name="60% - Акцент4 2 3" xfId="2145"/>
    <cellStyle name="60% — акцент4 2 3" xfId="5761"/>
    <cellStyle name="60% - Акцент4 2 3 10" xfId="5334"/>
    <cellStyle name="60% - Акцент4 2 3 11" xfId="6362"/>
    <cellStyle name="60% - Акцент4 2 3 12" xfId="6723"/>
    <cellStyle name="60% - Акцент4 2 3 13" xfId="6912"/>
    <cellStyle name="60% - Акцент4 2 3 14" xfId="7155"/>
    <cellStyle name="60% - Акцент4 2 3 15" xfId="7368"/>
    <cellStyle name="60% - Акцент4 2 3 16" xfId="7595"/>
    <cellStyle name="60% - Акцент4 2 3 17" xfId="7818"/>
    <cellStyle name="60% - Акцент4 2 3 18" xfId="8040"/>
    <cellStyle name="60% - Акцент4 2 3 19" xfId="10096"/>
    <cellStyle name="60% - Акцент4 2 3 2" xfId="4860"/>
    <cellStyle name="60% - Акцент4 2 3 20" xfId="10877"/>
    <cellStyle name="60% - Акцент4 2 3 21" xfId="10981"/>
    <cellStyle name="60% - Акцент4 2 3 22" xfId="10799"/>
    <cellStyle name="60% - Акцент4 2 3 23" xfId="11059"/>
    <cellStyle name="60% - Акцент4 2 3 24" xfId="10521"/>
    <cellStyle name="60% - Акцент4 2 3 25" xfId="11254"/>
    <cellStyle name="60% - Акцент4 2 3 26" xfId="11489"/>
    <cellStyle name="60% - Акцент4 2 3 27" xfId="11724"/>
    <cellStyle name="60% - Акцент4 2 3 28" xfId="11959"/>
    <cellStyle name="60% - Акцент4 2 3 29" xfId="12194"/>
    <cellStyle name="60% - Акцент4 2 3 3" xfId="5867"/>
    <cellStyle name="60% - Акцент4 2 3 30" xfId="12429"/>
    <cellStyle name="60% - Акцент4 2 3 31" xfId="12664"/>
    <cellStyle name="60% - Акцент4 2 3 32" xfId="12899"/>
    <cellStyle name="60% - Акцент4 2 3 33" xfId="13134"/>
    <cellStyle name="60% - Акцент4 2 3 34" xfId="13369"/>
    <cellStyle name="60% - Акцент4 2 3 35" xfId="13604"/>
    <cellStyle name="60% - Акцент4 2 3 36" xfId="13838"/>
    <cellStyle name="60% - Акцент4 2 3 37" xfId="14067"/>
    <cellStyle name="60% - Акцент4 2 3 38" xfId="14295"/>
    <cellStyle name="60% - Акцент4 2 3 39" xfId="14515"/>
    <cellStyle name="60% - Акцент4 2 3 4" xfId="5748"/>
    <cellStyle name="60% - Акцент4 2 3 40" xfId="14737"/>
    <cellStyle name="60% - Акцент4 2 3 5" xfId="5886"/>
    <cellStyle name="60% - Акцент4 2 3 6" xfId="5711"/>
    <cellStyle name="60% - Акцент4 2 3 7" xfId="5930"/>
    <cellStyle name="60% - Акцент4 2 3 8" xfId="5646"/>
    <cellStyle name="60% - Акцент4 2 3 9" xfId="6005"/>
    <cellStyle name="60% - Акцент4 2 30" xfId="9120"/>
    <cellStyle name="60% — акцент4 2 30" xfId="10874"/>
    <cellStyle name="60% - Акцент4 2 31" xfId="9153"/>
    <cellStyle name="60% — акцент4 2 31" xfId="10984"/>
    <cellStyle name="60% - Акцент4 2 32" xfId="9286"/>
    <cellStyle name="60% — акцент4 2 32" xfId="10783"/>
    <cellStyle name="60% - Акцент4 2 33" xfId="9232"/>
    <cellStyle name="60% — акцент4 2 33" xfId="11075"/>
    <cellStyle name="60% - Акцент4 2 34" xfId="9366"/>
    <cellStyle name="60% — акцент4 2 34" xfId="10605"/>
    <cellStyle name="60% - Акцент4 2 35" xfId="9455"/>
    <cellStyle name="60% — акцент4 2 35" xfId="11296"/>
    <cellStyle name="60% - Акцент4 2 36" xfId="9054"/>
    <cellStyle name="60% — акцент4 2 36" xfId="11531"/>
    <cellStyle name="60% - Акцент4 2 37" xfId="9681"/>
    <cellStyle name="60% — акцент4 2 37" xfId="11766"/>
    <cellStyle name="60% - Акцент4 2 38" xfId="10092"/>
    <cellStyle name="60% — акцент4 2 38" xfId="12001"/>
    <cellStyle name="60% - Акцент4 2 39" xfId="10873"/>
    <cellStyle name="60% — акцент4 2 39" xfId="12236"/>
    <cellStyle name="60% - Акцент4 2 4" xfId="2146"/>
    <cellStyle name="60% — акцент4 2 4" xfId="5870"/>
    <cellStyle name="60% - Акцент4 2 4 10" xfId="6355"/>
    <cellStyle name="60% - Акцент4 2 4 11" xfId="6715"/>
    <cellStyle name="60% - Акцент4 2 4 12" xfId="6911"/>
    <cellStyle name="60% - Акцент4 2 4 13" xfId="7154"/>
    <cellStyle name="60% - Акцент4 2 4 14" xfId="7367"/>
    <cellStyle name="60% - Акцент4 2 4 15" xfId="7594"/>
    <cellStyle name="60% - Акцент4 2 4 16" xfId="7817"/>
    <cellStyle name="60% - Акцент4 2 4 17" xfId="8039"/>
    <cellStyle name="60% - Акцент4 2 4 18" xfId="10097"/>
    <cellStyle name="60% - Акцент4 2 4 19" xfId="10878"/>
    <cellStyle name="60% - Акцент4 2 4 2" xfId="4861"/>
    <cellStyle name="60% - Акцент4 2 4 20" xfId="10980"/>
    <cellStyle name="60% - Акцент4 2 4 21" xfId="10800"/>
    <cellStyle name="60% - Акцент4 2 4 22" xfId="11058"/>
    <cellStyle name="60% - Акцент4 2 4 23" xfId="10520"/>
    <cellStyle name="60% - Акцент4 2 4 24" xfId="11253"/>
    <cellStyle name="60% - Акцент4 2 4 25" xfId="11488"/>
    <cellStyle name="60% - Акцент4 2 4 26" xfId="11723"/>
    <cellStyle name="60% - Акцент4 2 4 27" xfId="11958"/>
    <cellStyle name="60% - Акцент4 2 4 28" xfId="12193"/>
    <cellStyle name="60% - Акцент4 2 4 29" xfId="12428"/>
    <cellStyle name="60% - Акцент4 2 4 3" xfId="5750"/>
    <cellStyle name="60% - Акцент4 2 4 30" xfId="12663"/>
    <cellStyle name="60% - Акцент4 2 4 31" xfId="12898"/>
    <cellStyle name="60% - Акцент4 2 4 32" xfId="13133"/>
    <cellStyle name="60% - Акцент4 2 4 33" xfId="13368"/>
    <cellStyle name="60% - Акцент4 2 4 34" xfId="13603"/>
    <cellStyle name="60% - Акцент4 2 4 35" xfId="13837"/>
    <cellStyle name="60% - Акцент4 2 4 36" xfId="14066"/>
    <cellStyle name="60% - Акцент4 2 4 37" xfId="14294"/>
    <cellStyle name="60% - Акцент4 2 4 38" xfId="14514"/>
    <cellStyle name="60% - Акцент4 2 4 39" xfId="14736"/>
    <cellStyle name="60% - Акцент4 2 4 4" xfId="5885"/>
    <cellStyle name="60% - Акцент4 2 4 5" xfId="5718"/>
    <cellStyle name="60% - Акцент4 2 4 6" xfId="5929"/>
    <cellStyle name="60% - Акцент4 2 4 7" xfId="5647"/>
    <cellStyle name="60% - Акцент4 2 4 8" xfId="6004"/>
    <cellStyle name="60% - Акцент4 2 4 9" xfId="5329"/>
    <cellStyle name="60% - Акцент4 2 40" xfId="10985"/>
    <cellStyle name="60% — акцент4 2 40" xfId="12471"/>
    <cellStyle name="60% - Акцент4 2 41" xfId="10782"/>
    <cellStyle name="60% — акцент4 2 41" xfId="12706"/>
    <cellStyle name="60% - Акцент4 2 42" xfId="11076"/>
    <cellStyle name="60% — акцент4 2 42" xfId="12941"/>
    <cellStyle name="60% - Акцент4 2 43" xfId="10607"/>
    <cellStyle name="60% — акцент4 2 43" xfId="13176"/>
    <cellStyle name="60% - Акцент4 2 44" xfId="11297"/>
    <cellStyle name="60% — акцент4 2 44" xfId="13411"/>
    <cellStyle name="60% - Акцент4 2 45" xfId="11532"/>
    <cellStyle name="60% — акцент4 2 45" xfId="13646"/>
    <cellStyle name="60% - Акцент4 2 46" xfId="11767"/>
    <cellStyle name="60% — акцент4 2 46" xfId="13880"/>
    <cellStyle name="60% - Акцент4 2 47" xfId="12002"/>
    <cellStyle name="60% — акцент4 2 47" xfId="14109"/>
    <cellStyle name="60% - Акцент4 2 48" xfId="12237"/>
    <cellStyle name="60% — акцент4 2 48" xfId="14337"/>
    <cellStyle name="60% - Акцент4 2 49" xfId="12472"/>
    <cellStyle name="60% — акцент4 2 49" xfId="14518"/>
    <cellStyle name="60% - Акцент4 2 5" xfId="2147"/>
    <cellStyle name="60% — акцент4 2 5" xfId="5745"/>
    <cellStyle name="60% - Акцент4 2 5 10" xfId="6713"/>
    <cellStyle name="60% - Акцент4 2 5 11" xfId="6910"/>
    <cellStyle name="60% - Акцент4 2 5 12" xfId="7153"/>
    <cellStyle name="60% - Акцент4 2 5 13" xfId="7366"/>
    <cellStyle name="60% - Акцент4 2 5 14" xfId="7593"/>
    <cellStyle name="60% - Акцент4 2 5 15" xfId="7816"/>
    <cellStyle name="60% - Акцент4 2 5 16" xfId="8038"/>
    <cellStyle name="60% - Акцент4 2 5 17" xfId="10098"/>
    <cellStyle name="60% - Акцент4 2 5 18" xfId="10879"/>
    <cellStyle name="60% - Акцент4 2 5 19" xfId="10979"/>
    <cellStyle name="60% - Акцент4 2 5 2" xfId="4862"/>
    <cellStyle name="60% - Акцент4 2 5 20" xfId="10801"/>
    <cellStyle name="60% - Акцент4 2 5 21" xfId="11057"/>
    <cellStyle name="60% - Акцент4 2 5 22" xfId="10519"/>
    <cellStyle name="60% - Акцент4 2 5 23" xfId="11252"/>
    <cellStyle name="60% - Акцент4 2 5 24" xfId="11487"/>
    <cellStyle name="60% - Акцент4 2 5 25" xfId="11722"/>
    <cellStyle name="60% - Акцент4 2 5 26" xfId="11957"/>
    <cellStyle name="60% - Акцент4 2 5 27" xfId="12192"/>
    <cellStyle name="60% - Акцент4 2 5 28" xfId="12427"/>
    <cellStyle name="60% - Акцент4 2 5 29" xfId="12662"/>
    <cellStyle name="60% - Акцент4 2 5 3" xfId="5884"/>
    <cellStyle name="60% - Акцент4 2 5 30" xfId="12897"/>
    <cellStyle name="60% - Акцент4 2 5 31" xfId="13132"/>
    <cellStyle name="60% - Акцент4 2 5 32" xfId="13367"/>
    <cellStyle name="60% - Акцент4 2 5 33" xfId="13602"/>
    <cellStyle name="60% - Акцент4 2 5 34" xfId="13836"/>
    <cellStyle name="60% - Акцент4 2 5 35" xfId="14065"/>
    <cellStyle name="60% - Акцент4 2 5 36" xfId="14293"/>
    <cellStyle name="60% - Акцент4 2 5 37" xfId="14513"/>
    <cellStyle name="60% - Акцент4 2 5 38" xfId="14735"/>
    <cellStyle name="60% - Акцент4 2 5 4" xfId="5723"/>
    <cellStyle name="60% - Акцент4 2 5 5" xfId="5928"/>
    <cellStyle name="60% - Акцент4 2 5 6" xfId="5648"/>
    <cellStyle name="60% - Акцент4 2 5 7" xfId="6000"/>
    <cellStyle name="60% - Акцент4 2 5 8" xfId="5327"/>
    <cellStyle name="60% - Акцент4 2 5 9" xfId="6322"/>
    <cellStyle name="60% - Акцент4 2 50" xfId="12707"/>
    <cellStyle name="60% — акцент4 2 50" xfId="14779"/>
    <cellStyle name="60% - Акцент4 2 51" xfId="12942"/>
    <cellStyle name="60% — акцент4 2 51" xfId="15567"/>
    <cellStyle name="60% - Акцент4 2 52" xfId="13177"/>
    <cellStyle name="60% — акцент4 2 52" xfId="15594"/>
    <cellStyle name="60% - Акцент4 2 53" xfId="13412"/>
    <cellStyle name="60% — акцент4 2 53" xfId="15494"/>
    <cellStyle name="60% - Акцент4 2 54" xfId="13647"/>
    <cellStyle name="60% - Акцент4 2 55" xfId="13881"/>
    <cellStyle name="60% - Акцент4 2 56" xfId="14110"/>
    <cellStyle name="60% - Акцент4 2 57" xfId="14338"/>
    <cellStyle name="60% - Акцент4 2 58" xfId="14558"/>
    <cellStyle name="60% - Акцент4 2 59" xfId="14780"/>
    <cellStyle name="60% - Акцент4 2 6" xfId="2148"/>
    <cellStyle name="60% — акцент4 2 6" xfId="5891"/>
    <cellStyle name="60% - Акцент4 2 6 10" xfId="6909"/>
    <cellStyle name="60% - Акцент4 2 6 11" xfId="7152"/>
    <cellStyle name="60% - Акцент4 2 6 12" xfId="7365"/>
    <cellStyle name="60% - Акцент4 2 6 13" xfId="7592"/>
    <cellStyle name="60% - Акцент4 2 6 14" xfId="7815"/>
    <cellStyle name="60% - Акцент4 2 6 15" xfId="8037"/>
    <cellStyle name="60% - Акцент4 2 6 16" xfId="10099"/>
    <cellStyle name="60% - Акцент4 2 6 17" xfId="10880"/>
    <cellStyle name="60% - Акцент4 2 6 18" xfId="10978"/>
    <cellStyle name="60% - Акцент4 2 6 19" xfId="10802"/>
    <cellStyle name="60% - Акцент4 2 6 2" xfId="4863"/>
    <cellStyle name="60% - Акцент4 2 6 20" xfId="11056"/>
    <cellStyle name="60% - Акцент4 2 6 21" xfId="10518"/>
    <cellStyle name="60% - Акцент4 2 6 22" xfId="11251"/>
    <cellStyle name="60% - Акцент4 2 6 23" xfId="11486"/>
    <cellStyle name="60% - Акцент4 2 6 24" xfId="11721"/>
    <cellStyle name="60% - Акцент4 2 6 25" xfId="11956"/>
    <cellStyle name="60% - Акцент4 2 6 26" xfId="12191"/>
    <cellStyle name="60% - Акцент4 2 6 27" xfId="12426"/>
    <cellStyle name="60% - Акцент4 2 6 28" xfId="12661"/>
    <cellStyle name="60% - Акцент4 2 6 29" xfId="12896"/>
    <cellStyle name="60% - Акцент4 2 6 3" xfId="5724"/>
    <cellStyle name="60% - Акцент4 2 6 30" xfId="13131"/>
    <cellStyle name="60% - Акцент4 2 6 31" xfId="13366"/>
    <cellStyle name="60% - Акцент4 2 6 32" xfId="13601"/>
    <cellStyle name="60% - Акцент4 2 6 33" xfId="13835"/>
    <cellStyle name="60% - Акцент4 2 6 34" xfId="14064"/>
    <cellStyle name="60% - Акцент4 2 6 35" xfId="14292"/>
    <cellStyle name="60% - Акцент4 2 6 36" xfId="14499"/>
    <cellStyle name="60% - Акцент4 2 6 37" xfId="14734"/>
    <cellStyle name="60% - Акцент4 2 6 4" xfId="5927"/>
    <cellStyle name="60% - Акцент4 2 6 5" xfId="5652"/>
    <cellStyle name="60% - Акцент4 2 6 6" xfId="5357"/>
    <cellStyle name="60% - Акцент4 2 6 7" xfId="5316"/>
    <cellStyle name="60% - Акцент4 2 6 8" xfId="6321"/>
    <cellStyle name="60% - Акцент4 2 6 9" xfId="6712"/>
    <cellStyle name="60% - Акцент4 2 60" xfId="15566"/>
    <cellStyle name="60% - Акцент4 2 61" xfId="15595"/>
    <cellStyle name="60% - Акцент4 2 62" xfId="15488"/>
    <cellStyle name="60% - Акцент4 2 7" xfId="2149"/>
    <cellStyle name="60% — акцент4 2 7" xfId="5708"/>
    <cellStyle name="60% - Акцент4 2 7 10" xfId="7138"/>
    <cellStyle name="60% - Акцент4 2 7 11" xfId="7351"/>
    <cellStyle name="60% - Акцент4 2 7 12" xfId="7578"/>
    <cellStyle name="60% - Акцент4 2 7 13" xfId="7801"/>
    <cellStyle name="60% - Акцент4 2 7 14" xfId="8023"/>
    <cellStyle name="60% - Акцент4 2 7 15" xfId="10100"/>
    <cellStyle name="60% - Акцент4 2 7 16" xfId="10881"/>
    <cellStyle name="60% - Акцент4 2 7 17" xfId="10977"/>
    <cellStyle name="60% - Акцент4 2 7 18" xfId="10803"/>
    <cellStyle name="60% - Акцент4 2 7 19" xfId="11055"/>
    <cellStyle name="60% - Акцент4 2 7 2" xfId="4864"/>
    <cellStyle name="60% - Акцент4 2 7 20" xfId="10473"/>
    <cellStyle name="60% - Акцент4 2 7 21" xfId="11237"/>
    <cellStyle name="60% - Акцент4 2 7 22" xfId="11472"/>
    <cellStyle name="60% - Акцент4 2 7 23" xfId="11707"/>
    <cellStyle name="60% - Акцент4 2 7 24" xfId="11942"/>
    <cellStyle name="60% - Акцент4 2 7 25" xfId="12177"/>
    <cellStyle name="60% - Акцент4 2 7 26" xfId="12412"/>
    <cellStyle name="60% - Акцент4 2 7 27" xfId="12647"/>
    <cellStyle name="60% - Акцент4 2 7 28" xfId="12882"/>
    <cellStyle name="60% - Акцент4 2 7 29" xfId="13117"/>
    <cellStyle name="60% - Акцент4 2 7 3" xfId="5925"/>
    <cellStyle name="60% - Акцент4 2 7 30" xfId="13352"/>
    <cellStyle name="60% - Акцент4 2 7 31" xfId="13587"/>
    <cellStyle name="60% - Акцент4 2 7 32" xfId="13821"/>
    <cellStyle name="60% - Акцент4 2 7 33" xfId="14050"/>
    <cellStyle name="60% - Акцент4 2 7 34" xfId="14278"/>
    <cellStyle name="60% - Акцент4 2 7 35" xfId="14498"/>
    <cellStyle name="60% - Акцент4 2 7 36" xfId="14733"/>
    <cellStyle name="60% - Акцент4 2 7 4" xfId="5654"/>
    <cellStyle name="60% - Акцент4 2 7 5" xfId="5996"/>
    <cellStyle name="60% - Акцент4 2 7 6" xfId="5307"/>
    <cellStyle name="60% - Акцент4 2 7 7" xfId="6319"/>
    <cellStyle name="60% - Акцент4 2 7 8" xfId="6711"/>
    <cellStyle name="60% - Акцент4 2 7 9" xfId="6908"/>
    <cellStyle name="60% - Акцент4 2 8" xfId="2150"/>
    <cellStyle name="60% — акцент4 2 8" xfId="5935"/>
    <cellStyle name="60% - Акцент4 2 8 10" xfId="7350"/>
    <cellStyle name="60% - Акцент4 2 8 11" xfId="7577"/>
    <cellStyle name="60% - Акцент4 2 8 12" xfId="7800"/>
    <cellStyle name="60% - Акцент4 2 8 13" xfId="8022"/>
    <cellStyle name="60% - Акцент4 2 8 14" xfId="10101"/>
    <cellStyle name="60% - Акцент4 2 8 15" xfId="10882"/>
    <cellStyle name="60% - Акцент4 2 8 16" xfId="10976"/>
    <cellStyle name="60% - Акцент4 2 8 17" xfId="10804"/>
    <cellStyle name="60% - Акцент4 2 8 18" xfId="11054"/>
    <cellStyle name="60% - Акцент4 2 8 19" xfId="10472"/>
    <cellStyle name="60% - Акцент4 2 8 2" xfId="4865"/>
    <cellStyle name="60% - Акцент4 2 8 20" xfId="11236"/>
    <cellStyle name="60% - Акцент4 2 8 21" xfId="11471"/>
    <cellStyle name="60% - Акцент4 2 8 22" xfId="11706"/>
    <cellStyle name="60% - Акцент4 2 8 23" xfId="11941"/>
    <cellStyle name="60% - Акцент4 2 8 24" xfId="12176"/>
    <cellStyle name="60% - Акцент4 2 8 25" xfId="12411"/>
    <cellStyle name="60% - Акцент4 2 8 26" xfId="12646"/>
    <cellStyle name="60% - Акцент4 2 8 27" xfId="12881"/>
    <cellStyle name="60% - Акцент4 2 8 28" xfId="13116"/>
    <cellStyle name="60% - Акцент4 2 8 29" xfId="13351"/>
    <cellStyle name="60% - Акцент4 2 8 3" xfId="5655"/>
    <cellStyle name="60% - Акцент4 2 8 30" xfId="13586"/>
    <cellStyle name="60% - Акцент4 2 8 31" xfId="13820"/>
    <cellStyle name="60% - Акцент4 2 8 32" xfId="14049"/>
    <cellStyle name="60% - Акцент4 2 8 33" xfId="14277"/>
    <cellStyle name="60% - Акцент4 2 8 34" xfId="14497"/>
    <cellStyle name="60% - Акцент4 2 8 35" xfId="14719"/>
    <cellStyle name="60% - Акцент4 2 8 4" xfId="5995"/>
    <cellStyle name="60% - Акцент4 2 8 5" xfId="5305"/>
    <cellStyle name="60% - Акцент4 2 8 6" xfId="6318"/>
    <cellStyle name="60% - Акцент4 2 8 7" xfId="6710"/>
    <cellStyle name="60% - Акцент4 2 8 8" xfId="6907"/>
    <cellStyle name="60% - Акцент4 2 8 9" xfId="7137"/>
    <cellStyle name="60% - Акцент4 2 9" xfId="2151"/>
    <cellStyle name="60% — акцент4 2 9" xfId="5641"/>
    <cellStyle name="60% - Акцент4 2 9 10" xfId="7576"/>
    <cellStyle name="60% - Акцент4 2 9 11" xfId="7799"/>
    <cellStyle name="60% - Акцент4 2 9 12" xfId="8021"/>
    <cellStyle name="60% - Акцент4 2 9 13" xfId="10102"/>
    <cellStyle name="60% - Акцент4 2 9 14" xfId="10883"/>
    <cellStyle name="60% - Акцент4 2 9 15" xfId="10975"/>
    <cellStyle name="60% - Акцент4 2 9 16" xfId="10805"/>
    <cellStyle name="60% - Акцент4 2 9 17" xfId="11053"/>
    <cellStyle name="60% - Акцент4 2 9 18" xfId="10464"/>
    <cellStyle name="60% - Акцент4 2 9 19" xfId="11235"/>
    <cellStyle name="60% - Акцент4 2 9 2" xfId="4866"/>
    <cellStyle name="60% - Акцент4 2 9 20" xfId="11470"/>
    <cellStyle name="60% - Акцент4 2 9 21" xfId="11705"/>
    <cellStyle name="60% - Акцент4 2 9 22" xfId="11940"/>
    <cellStyle name="60% - Акцент4 2 9 23" xfId="12175"/>
    <cellStyle name="60% - Акцент4 2 9 24" xfId="12410"/>
    <cellStyle name="60% - Акцент4 2 9 25" xfId="12645"/>
    <cellStyle name="60% - Акцент4 2 9 26" xfId="12880"/>
    <cellStyle name="60% - Акцент4 2 9 27" xfId="13115"/>
    <cellStyle name="60% - Акцент4 2 9 28" xfId="13350"/>
    <cellStyle name="60% - Акцент4 2 9 29" xfId="13585"/>
    <cellStyle name="60% - Акцент4 2 9 3" xfId="5994"/>
    <cellStyle name="60% - Акцент4 2 9 30" xfId="13819"/>
    <cellStyle name="60% - Акцент4 2 9 31" xfId="14048"/>
    <cellStyle name="60% - Акцент4 2 9 32" xfId="14276"/>
    <cellStyle name="60% - Акцент4 2 9 33" xfId="14469"/>
    <cellStyle name="60% - Акцент4 2 9 34" xfId="14718"/>
    <cellStyle name="60% - Акцент4 2 9 4" xfId="5304"/>
    <cellStyle name="60% - Акцент4 2 9 5" xfId="6317"/>
    <cellStyle name="60% - Акцент4 2 9 6" xfId="6709"/>
    <cellStyle name="60% - Акцент4 2 9 7" xfId="6906"/>
    <cellStyle name="60% - Акцент4 2 9 8" xfId="7136"/>
    <cellStyle name="60% - Акцент4 2 9 9" xfId="7349"/>
    <cellStyle name="60% - Акцент4 2_МФ тепловой баланс 2015 дубль 3" xfId="2152"/>
    <cellStyle name="60% — акцент4 20" xfId="2153"/>
    <cellStyle name="60% — акцент4 21" xfId="2154"/>
    <cellStyle name="60% — акцент4 22" xfId="4855"/>
    <cellStyle name="60% — акцент4 23" xfId="5759"/>
    <cellStyle name="60% — акцент4 24" xfId="5872"/>
    <cellStyle name="60% — акцент4 25" xfId="5743"/>
    <cellStyle name="60% — акцент4 26" xfId="5896"/>
    <cellStyle name="60% — акцент4 27" xfId="5706"/>
    <cellStyle name="60% — акцент4 28" xfId="5941"/>
    <cellStyle name="60% — акцент4 29" xfId="5620"/>
    <cellStyle name="60% - Акцент4 3" xfId="2155"/>
    <cellStyle name="60% — акцент4 3" xfId="2156"/>
    <cellStyle name="60% - Акцент4 3 10" xfId="2157"/>
    <cellStyle name="60% - Акцент4 3 10 2" xfId="4868"/>
    <cellStyle name="60% - Акцент4 3 10 3" xfId="10104"/>
    <cellStyle name="60% - Акцент4 3 11" xfId="2158"/>
    <cellStyle name="60% - Акцент4 3 12" xfId="4867"/>
    <cellStyle name="60% - Акцент4 3 13" xfId="5769"/>
    <cellStyle name="60% - Акцент4 3 14" xfId="5860"/>
    <cellStyle name="60% - Акцент4 3 15" xfId="5756"/>
    <cellStyle name="60% - Акцент4 3 16" xfId="5878"/>
    <cellStyle name="60% - Акцент4 3 17" xfId="5730"/>
    <cellStyle name="60% - Акцент4 3 18" xfId="5910"/>
    <cellStyle name="60% - Акцент4 3 19" xfId="5660"/>
    <cellStyle name="60% - Акцент4 3 2" xfId="2159"/>
    <cellStyle name="60% - Акцент4 3 2 2" xfId="4869"/>
    <cellStyle name="60% - Акцент4 3 2 3" xfId="8881"/>
    <cellStyle name="60% - Акцент4 3 20" xfId="5993"/>
    <cellStyle name="60% - Акцент4 3 21" xfId="5279"/>
    <cellStyle name="60% - Акцент4 3 22" xfId="6316"/>
    <cellStyle name="60% - Акцент4 3 23" xfId="6684"/>
    <cellStyle name="60% - Акцент4 3 24" xfId="6868"/>
    <cellStyle name="60% - Акцент4 3 25" xfId="7108"/>
    <cellStyle name="60% - Акцент4 3 26" xfId="7321"/>
    <cellStyle name="60% - Акцент4 3 27" xfId="7548"/>
    <cellStyle name="60% - Акцент4 3 28" xfId="7771"/>
    <cellStyle name="60% - Акцент4 3 29" xfId="7993"/>
    <cellStyle name="60% - Акцент4 3 3" xfId="2160"/>
    <cellStyle name="60% - Акцент4 3 3 2" xfId="4870"/>
    <cellStyle name="60% - Акцент4 3 3 3" xfId="10106"/>
    <cellStyle name="60% - Акцент4 3 30" xfId="8880"/>
    <cellStyle name="60% - Акцент4 3 31" xfId="9123"/>
    <cellStyle name="60% - Акцент4 3 32" xfId="9150"/>
    <cellStyle name="60% - Акцент4 3 33" xfId="9283"/>
    <cellStyle name="60% - Акцент4 3 34" xfId="9215"/>
    <cellStyle name="60% - Акцент4 3 35" xfId="9347"/>
    <cellStyle name="60% - Акцент4 3 36" xfId="9436"/>
    <cellStyle name="60% - Акцент4 3 37" xfId="9072"/>
    <cellStyle name="60% - Акцент4 3 38" xfId="9678"/>
    <cellStyle name="60% - Акцент4 3 39" xfId="10103"/>
    <cellStyle name="60% - Акцент4 3 4" xfId="2161"/>
    <cellStyle name="60% - Акцент4 3 4 2" xfId="4871"/>
    <cellStyle name="60% - Акцент4 3 4 3" xfId="10107"/>
    <cellStyle name="60% - Акцент4 3 40" xfId="10884"/>
    <cellStyle name="60% - Акцент4 3 41" xfId="10974"/>
    <cellStyle name="60% - Акцент4 3 42" xfId="10819"/>
    <cellStyle name="60% - Акцент4 3 43" xfId="11039"/>
    <cellStyle name="60% - Акцент4 3 44" xfId="10349"/>
    <cellStyle name="60% - Акцент4 3 45" xfId="11207"/>
    <cellStyle name="60% - Акцент4 3 46" xfId="11442"/>
    <cellStyle name="60% - Акцент4 3 47" xfId="11677"/>
    <cellStyle name="60% - Акцент4 3 48" xfId="11912"/>
    <cellStyle name="60% - Акцент4 3 49" xfId="12147"/>
    <cellStyle name="60% - Акцент4 3 5" xfId="2162"/>
    <cellStyle name="60% - Акцент4 3 5 2" xfId="4872"/>
    <cellStyle name="60% - Акцент4 3 5 3" xfId="10108"/>
    <cellStyle name="60% - Акцент4 3 50" xfId="12382"/>
    <cellStyle name="60% - Акцент4 3 51" xfId="12617"/>
    <cellStyle name="60% - Акцент4 3 52" xfId="12852"/>
    <cellStyle name="60% - Акцент4 3 53" xfId="13087"/>
    <cellStyle name="60% - Акцент4 3 54" xfId="13322"/>
    <cellStyle name="60% - Акцент4 3 55" xfId="13557"/>
    <cellStyle name="60% - Акцент4 3 56" xfId="13791"/>
    <cellStyle name="60% - Акцент4 3 57" xfId="14020"/>
    <cellStyle name="60% - Акцент4 3 58" xfId="14248"/>
    <cellStyle name="60% - Акцент4 3 59" xfId="14468"/>
    <cellStyle name="60% - Акцент4 3 6" xfId="2163"/>
    <cellStyle name="60% - Акцент4 3 6 2" xfId="4873"/>
    <cellStyle name="60% - Акцент4 3 6 3" xfId="10109"/>
    <cellStyle name="60% - Акцент4 3 60" xfId="14717"/>
    <cellStyle name="60% - Акцент4 3 61" xfId="15569"/>
    <cellStyle name="60% - Акцент4 3 62" xfId="15592"/>
    <cellStyle name="60% - Акцент4 3 63" xfId="15506"/>
    <cellStyle name="60% - Акцент4 3 7" xfId="2164"/>
    <cellStyle name="60% - Акцент4 3 7 2" xfId="4874"/>
    <cellStyle name="60% - Акцент4 3 7 3" xfId="10110"/>
    <cellStyle name="60% - Акцент4 3 8" xfId="2165"/>
    <cellStyle name="60% - Акцент4 3 8 2" xfId="4875"/>
    <cellStyle name="60% - Акцент4 3 8 3" xfId="10111"/>
    <cellStyle name="60% - Акцент4 3 9" xfId="2166"/>
    <cellStyle name="60% - Акцент4 3 9 2" xfId="4876"/>
    <cellStyle name="60% - Акцент4 3 9 3" xfId="10112"/>
    <cellStyle name="60% - Акцент4 3_МФ тепловой баланс 2015 дубль 3" xfId="2167"/>
    <cellStyle name="60% — акцент4 30" xfId="6039"/>
    <cellStyle name="60% — акцент4 31" xfId="6224"/>
    <cellStyle name="60% — акцент4 32" xfId="6385"/>
    <cellStyle name="60% — акцент4 33" xfId="6756"/>
    <cellStyle name="60% — акцент4 34" xfId="6955"/>
    <cellStyle name="60% — акцент4 35" xfId="7199"/>
    <cellStyle name="60% — акцент4 36" xfId="7412"/>
    <cellStyle name="60% — акцент4 37" xfId="7639"/>
    <cellStyle name="60% — акцент4 38" xfId="7862"/>
    <cellStyle name="60% — акцент4 39" xfId="8084"/>
    <cellStyle name="60% - Акцент4 4" xfId="2168"/>
    <cellStyle name="60% — акцент4 4" xfId="2169"/>
    <cellStyle name="60% - Акцент4 4 2" xfId="2170"/>
    <cellStyle name="60% - Акцент4 4_МФ тепловой баланс 2015 дубль 3" xfId="2171"/>
    <cellStyle name="60% — акцент4 40" xfId="8876"/>
    <cellStyle name="60% — акцент4 41" xfId="9119"/>
    <cellStyle name="60% — акцент4 42" xfId="9154"/>
    <cellStyle name="60% — акцент4 43" xfId="9287"/>
    <cellStyle name="60% — акцент4 44" xfId="9238"/>
    <cellStyle name="60% — акцент4 45" xfId="9372"/>
    <cellStyle name="60% — акцент4 46" xfId="9461"/>
    <cellStyle name="60% — акцент4 47" xfId="8982"/>
    <cellStyle name="60% — акцент4 48" xfId="9682"/>
    <cellStyle name="60% — акцент4 49" xfId="10091"/>
    <cellStyle name="60% - Акцент4 5" xfId="2172"/>
    <cellStyle name="60% — акцент4 5" xfId="2173"/>
    <cellStyle name="60% - Акцент4 5 2" xfId="2174"/>
    <cellStyle name="60% - Акцент4 5_МФ тепловой баланс 2015 дубль 3" xfId="2175"/>
    <cellStyle name="60% — акцент4 50" xfId="10872"/>
    <cellStyle name="60% — акцент4 51" xfId="10986"/>
    <cellStyle name="60% — акцент4 52" xfId="10781"/>
    <cellStyle name="60% — акцент4 53" xfId="11077"/>
    <cellStyle name="60% — акцент4 54" xfId="10615"/>
    <cellStyle name="60% — акцент4 55" xfId="11298"/>
    <cellStyle name="60% — акцент4 56" xfId="11533"/>
    <cellStyle name="60% — акцент4 57" xfId="11768"/>
    <cellStyle name="60% — акцент4 58" xfId="12003"/>
    <cellStyle name="60% — акцент4 59" xfId="12238"/>
    <cellStyle name="60% - Акцент4 6" xfId="2176"/>
    <cellStyle name="60% — акцент4 6" xfId="2177"/>
    <cellStyle name="60% - Акцент4 6 2" xfId="2178"/>
    <cellStyle name="60% - Акцент4 6_МФ тепловой баланс 2015 дубль 3" xfId="2179"/>
    <cellStyle name="60% — акцент4 60" xfId="12473"/>
    <cellStyle name="60% — акцент4 61" xfId="12708"/>
    <cellStyle name="60% — акцент4 62" xfId="12943"/>
    <cellStyle name="60% — акцент4 63" xfId="13178"/>
    <cellStyle name="60% — акцент4 64" xfId="13413"/>
    <cellStyle name="60% — акцент4 65" xfId="13648"/>
    <cellStyle name="60% — акцент4 66" xfId="13882"/>
    <cellStyle name="60% — акцент4 67" xfId="14111"/>
    <cellStyle name="60% — акцент4 68" xfId="14339"/>
    <cellStyle name="60% — акцент4 69" xfId="14559"/>
    <cellStyle name="60% - Акцент4 7" xfId="2180"/>
    <cellStyle name="60% — акцент4 7" xfId="2181"/>
    <cellStyle name="60% - Акцент4 7 2" xfId="2182"/>
    <cellStyle name="60% - Акцент4 7_МФ тепловой баланс 2015 дубль 3" xfId="2183"/>
    <cellStyle name="60% — акцент4 70" xfId="14781"/>
    <cellStyle name="60% — акцент4 71" xfId="15565"/>
    <cellStyle name="60% — акцент4 72" xfId="15596"/>
    <cellStyle name="60% — акцент4 73" xfId="15482"/>
    <cellStyle name="60% - Акцент4 8" xfId="2184"/>
    <cellStyle name="60% — акцент4 8" xfId="2185"/>
    <cellStyle name="60% - Акцент4 8 2" xfId="2186"/>
    <cellStyle name="60% - Акцент4 9" xfId="2187"/>
    <cellStyle name="60% — акцент4 9" xfId="2188"/>
    <cellStyle name="60% - Акцент4 9 2" xfId="2189"/>
    <cellStyle name="60% — акцент5" xfId="2190"/>
    <cellStyle name="60% - Акцент5 10" xfId="2191"/>
    <cellStyle name="60% — акцент5 10" xfId="2192"/>
    <cellStyle name="60% — акцент5 11" xfId="2193"/>
    <cellStyle name="60% — акцент5 12" xfId="2194"/>
    <cellStyle name="60% — акцент5 13" xfId="2195"/>
    <cellStyle name="60% — акцент5 14" xfId="2196"/>
    <cellStyle name="60% — акцент5 15" xfId="2197"/>
    <cellStyle name="60% — акцент5 16" xfId="2198"/>
    <cellStyle name="60% — акцент5 17" xfId="2199"/>
    <cellStyle name="60% — акцент5 18" xfId="2200"/>
    <cellStyle name="60% — акцент5 19" xfId="2201"/>
    <cellStyle name="60% - Акцент5 2" xfId="2202"/>
    <cellStyle name="60% — акцент5 2" xfId="2203"/>
    <cellStyle name="60% - Акцент5 2 10" xfId="2204"/>
    <cellStyle name="60% — акцент5 2 10" xfId="5943"/>
    <cellStyle name="60% - Акцент5 2 10 10" xfId="7715"/>
    <cellStyle name="60% - Акцент5 2 10 11" xfId="7937"/>
    <cellStyle name="60% - Акцент5 2 10 12" xfId="10116"/>
    <cellStyle name="60% - Акцент5 2 10 13" xfId="10897"/>
    <cellStyle name="60% - Акцент5 2 10 14" xfId="10961"/>
    <cellStyle name="60% - Акцент5 2 10 15" xfId="10845"/>
    <cellStyle name="60% - Акцент5 2 10 16" xfId="11013"/>
    <cellStyle name="60% - Акцент5 2 10 17" xfId="9775"/>
    <cellStyle name="60% - Акцент5 2 10 18" xfId="11142"/>
    <cellStyle name="60% - Акцент5 2 10 19" xfId="11377"/>
    <cellStyle name="60% - Акцент5 2 10 2" xfId="4880"/>
    <cellStyle name="60% - Акцент5 2 10 20" xfId="11612"/>
    <cellStyle name="60% - Акцент5 2 10 21" xfId="11847"/>
    <cellStyle name="60% - Акцент5 2 10 22" xfId="12082"/>
    <cellStyle name="60% - Акцент5 2 10 23" xfId="12317"/>
    <cellStyle name="60% - Акцент5 2 10 24" xfId="12552"/>
    <cellStyle name="60% - Акцент5 2 10 25" xfId="12787"/>
    <cellStyle name="60% - Акцент5 2 10 26" xfId="13022"/>
    <cellStyle name="60% - Акцент5 2 10 27" xfId="13257"/>
    <cellStyle name="60% - Акцент5 2 10 28" xfId="13492"/>
    <cellStyle name="60% - Акцент5 2 10 29" xfId="13727"/>
    <cellStyle name="60% - Акцент5 2 10 3" xfId="5559"/>
    <cellStyle name="60% - Акцент5 2 10 30" xfId="13961"/>
    <cellStyle name="60% - Акцент5 2 10 31" xfId="14187"/>
    <cellStyle name="60% - Акцент5 2 10 32" xfId="14412"/>
    <cellStyle name="60% - Акцент5 2 10 33" xfId="14634"/>
    <cellStyle name="60% - Акцент5 2 10 4" xfId="6138"/>
    <cellStyle name="60% - Акцент5 2 10 5" xfId="6443"/>
    <cellStyle name="60% - Акцент5 2 10 6" xfId="6634"/>
    <cellStyle name="60% - Акцент5 2 10 7" xfId="7043"/>
    <cellStyle name="60% - Акцент5 2 10 8" xfId="7261"/>
    <cellStyle name="60% - Акцент5 2 10 9" xfId="7488"/>
    <cellStyle name="60% - Акцент5 2 11" xfId="4878"/>
    <cellStyle name="60% — акцент5 2 11" xfId="5557"/>
    <cellStyle name="60% - Акцент5 2 12" xfId="5779"/>
    <cellStyle name="60% — акцент5 2 12" xfId="6139"/>
    <cellStyle name="60% - Акцент5 2 13" xfId="5849"/>
    <cellStyle name="60% — акцент5 2 13" xfId="6445"/>
    <cellStyle name="60% - Акцент5 2 14" xfId="5770"/>
    <cellStyle name="60% — акцент5 2 14" xfId="6635"/>
    <cellStyle name="60% - Акцент5 2 15" xfId="5862"/>
    <cellStyle name="60% — акцент5 2 15" xfId="7044"/>
    <cellStyle name="60% - Акцент5 2 16" xfId="5752"/>
    <cellStyle name="60% — акцент5 2 16" xfId="7262"/>
    <cellStyle name="60% - Акцент5 2 17" xfId="5897"/>
    <cellStyle name="60% — акцент5 2 17" xfId="7489"/>
    <cellStyle name="60% - Акцент5 2 18" xfId="5700"/>
    <cellStyle name="60% — акцент5 2 18" xfId="7716"/>
    <cellStyle name="60% - Акцент5 2 19" xfId="5944"/>
    <cellStyle name="60% — акцент5 2 19" xfId="7938"/>
    <cellStyle name="60% - Акцент5 2 2" xfId="2205"/>
    <cellStyle name="60% — акцент5 2 2" xfId="4879"/>
    <cellStyle name="60% - Акцент5 2 2 10" xfId="5704"/>
    <cellStyle name="60% - Акцент5 2 2 11" xfId="5932"/>
    <cellStyle name="60% - Акцент5 2 2 12" xfId="5568"/>
    <cellStyle name="60% - Акцент5 2 2 13" xfId="6104"/>
    <cellStyle name="60% - Акцент5 2 2 14" xfId="6442"/>
    <cellStyle name="60% - Акцент5 2 2 15" xfId="6633"/>
    <cellStyle name="60% - Акцент5 2 2 16" xfId="7042"/>
    <cellStyle name="60% - Акцент5 2 2 17" xfId="7260"/>
    <cellStyle name="60% - Акцент5 2 2 18" xfId="7487"/>
    <cellStyle name="60% - Акцент5 2 2 19" xfId="7714"/>
    <cellStyle name="60% - Акцент5 2 2 2" xfId="2206"/>
    <cellStyle name="60% - Акцент5 2 2 20" xfId="7936"/>
    <cellStyle name="60% - Акцент5 2 2 21" xfId="8885"/>
    <cellStyle name="60% - Акцент5 2 2 22" xfId="9128"/>
    <cellStyle name="60% - Акцент5 2 2 23" xfId="9145"/>
    <cellStyle name="60% - Акцент5 2 2 24" xfId="9278"/>
    <cellStyle name="60% - Акцент5 2 2 25" xfId="9185"/>
    <cellStyle name="60% - Акцент5 2 2 26" xfId="9317"/>
    <cellStyle name="60% - Акцент5 2 2 27" xfId="9407"/>
    <cellStyle name="60% - Акцент5 2 2 28" xfId="9101"/>
    <cellStyle name="60% - Акцент5 2 2 29" xfId="9674"/>
    <cellStyle name="60% - Акцент5 2 2 3" xfId="4881"/>
    <cellStyle name="60% - Акцент5 2 2 30" xfId="10117"/>
    <cellStyle name="60% - Акцент5 2 2 31" xfId="10898"/>
    <cellStyle name="60% - Акцент5 2 2 32" xfId="10960"/>
    <cellStyle name="60% - Акцент5 2 2 33" xfId="10846"/>
    <cellStyle name="60% - Акцент5 2 2 34" xfId="11012"/>
    <cellStyle name="60% - Акцент5 2 2 35" xfId="10716"/>
    <cellStyle name="60% - Акцент5 2 2 36" xfId="11141"/>
    <cellStyle name="60% - Акцент5 2 2 37" xfId="11376"/>
    <cellStyle name="60% - Акцент5 2 2 38" xfId="11611"/>
    <cellStyle name="60% - Акцент5 2 2 39" xfId="11846"/>
    <cellStyle name="60% - Акцент5 2 2 4" xfId="5782"/>
    <cellStyle name="60% - Акцент5 2 2 40" xfId="12081"/>
    <cellStyle name="60% - Акцент5 2 2 41" xfId="12316"/>
    <cellStyle name="60% - Акцент5 2 2 42" xfId="12551"/>
    <cellStyle name="60% - Акцент5 2 2 43" xfId="12786"/>
    <cellStyle name="60% - Акцент5 2 2 44" xfId="13021"/>
    <cellStyle name="60% - Акцент5 2 2 45" xfId="13256"/>
    <cellStyle name="60% - Акцент5 2 2 46" xfId="13491"/>
    <cellStyle name="60% - Акцент5 2 2 47" xfId="13726"/>
    <cellStyle name="60% - Акцент5 2 2 48" xfId="13960"/>
    <cellStyle name="60% - Акцент5 2 2 49" xfId="14186"/>
    <cellStyle name="60% - Акцент5 2 2 5" xfId="5846"/>
    <cellStyle name="60% - Акцент5 2 2 50" xfId="14411"/>
    <cellStyle name="60% - Акцент5 2 2 51" xfId="14633"/>
    <cellStyle name="60% - Акцент5 2 2 52" xfId="15574"/>
    <cellStyle name="60% - Акцент5 2 2 53" xfId="15588"/>
    <cellStyle name="60% - Акцент5 2 2 54" xfId="15535"/>
    <cellStyle name="60% - Акцент5 2 2 6" xfId="5773"/>
    <cellStyle name="60% - Акцент5 2 2 7" xfId="5858"/>
    <cellStyle name="60% - Акцент5 2 2 8" xfId="5755"/>
    <cellStyle name="60% - Акцент5 2 2 9" xfId="5881"/>
    <cellStyle name="60% - Акцент5 2 20" xfId="5544"/>
    <cellStyle name="60% — акцент5 2 20" xfId="8884"/>
    <cellStyle name="60% - Акцент5 2 21" xfId="6140"/>
    <cellStyle name="60% — акцент5 2 21" xfId="9127"/>
    <cellStyle name="60% - Акцент5 2 22" xfId="6454"/>
    <cellStyle name="60% — акцент5 2 22" xfId="9146"/>
    <cellStyle name="60% - Акцент5 2 23" xfId="6636"/>
    <cellStyle name="60% — акцент5 2 23" xfId="9279"/>
    <cellStyle name="60% - Акцент5 2 24" xfId="7045"/>
    <cellStyle name="60% — акцент5 2 24" xfId="9191"/>
    <cellStyle name="60% - Акцент5 2 25" xfId="7263"/>
    <cellStyle name="60% — акцент5 2 25" xfId="9323"/>
    <cellStyle name="60% - Акцент5 2 26" xfId="7490"/>
    <cellStyle name="60% — акцент5 2 26" xfId="9413"/>
    <cellStyle name="60% - Акцент5 2 27" xfId="7717"/>
    <cellStyle name="60% — акцент5 2 27" xfId="9095"/>
    <cellStyle name="60% - Акцент5 2 28" xfId="7939"/>
    <cellStyle name="60% — акцент5 2 28" xfId="9675"/>
    <cellStyle name="60% - Акцент5 2 29" xfId="8883"/>
    <cellStyle name="60% — акцент5 2 29" xfId="10115"/>
    <cellStyle name="60% - Акцент5 2 3" xfId="2207"/>
    <cellStyle name="60% — акцент5 2 3" xfId="5780"/>
    <cellStyle name="60% - Акцент5 2 3 10" xfId="5596"/>
    <cellStyle name="60% - Акцент5 2 3 11" xfId="6059"/>
    <cellStyle name="60% - Акцент5 2 3 12" xfId="6441"/>
    <cellStyle name="60% - Акцент5 2 3 13" xfId="6632"/>
    <cellStyle name="60% - Акцент5 2 3 14" xfId="7041"/>
    <cellStyle name="60% - Акцент5 2 3 15" xfId="7259"/>
    <cellStyle name="60% - Акцент5 2 3 16" xfId="7486"/>
    <cellStyle name="60% - Акцент5 2 3 17" xfId="7713"/>
    <cellStyle name="60% - Акцент5 2 3 18" xfId="7935"/>
    <cellStyle name="60% - Акцент5 2 3 19" xfId="10118"/>
    <cellStyle name="60% - Акцент5 2 3 2" xfId="4882"/>
    <cellStyle name="60% - Акцент5 2 3 20" xfId="10899"/>
    <cellStyle name="60% - Акцент5 2 3 21" xfId="10959"/>
    <cellStyle name="60% - Акцент5 2 3 22" xfId="10847"/>
    <cellStyle name="60% - Акцент5 2 3 23" xfId="11011"/>
    <cellStyle name="60% - Акцент5 2 3 24" xfId="10717"/>
    <cellStyle name="60% - Акцент5 2 3 25" xfId="11140"/>
    <cellStyle name="60% - Акцент5 2 3 26" xfId="11375"/>
    <cellStyle name="60% - Акцент5 2 3 27" xfId="11610"/>
    <cellStyle name="60% - Акцент5 2 3 28" xfId="11845"/>
    <cellStyle name="60% - Акцент5 2 3 29" xfId="12080"/>
    <cellStyle name="60% - Акцент5 2 3 3" xfId="5845"/>
    <cellStyle name="60% - Акцент5 2 3 30" xfId="12315"/>
    <cellStyle name="60% - Акцент5 2 3 31" xfId="12550"/>
    <cellStyle name="60% - Акцент5 2 3 32" xfId="12785"/>
    <cellStyle name="60% - Акцент5 2 3 33" xfId="13020"/>
    <cellStyle name="60% - Акцент5 2 3 34" xfId="13255"/>
    <cellStyle name="60% - Акцент5 2 3 35" xfId="13490"/>
    <cellStyle name="60% - Акцент5 2 3 36" xfId="13725"/>
    <cellStyle name="60% - Акцент5 2 3 37" xfId="13959"/>
    <cellStyle name="60% - Акцент5 2 3 38" xfId="14185"/>
    <cellStyle name="60% - Акцент5 2 3 39" xfId="14397"/>
    <cellStyle name="60% - Акцент5 2 3 4" xfId="5774"/>
    <cellStyle name="60% - Акцент5 2 3 40" xfId="14632"/>
    <cellStyle name="60% - Акцент5 2 3 5" xfId="5857"/>
    <cellStyle name="60% - Акцент5 2 3 6" xfId="5757"/>
    <cellStyle name="60% - Акцент5 2 3 7" xfId="5880"/>
    <cellStyle name="60% - Акцент5 2 3 8" xfId="5709"/>
    <cellStyle name="60% - Акцент5 2 3 9" xfId="5921"/>
    <cellStyle name="60% - Акцент5 2 30" xfId="9126"/>
    <cellStyle name="60% — акцент5 2 30" xfId="10896"/>
    <cellStyle name="60% - Акцент5 2 31" xfId="9147"/>
    <cellStyle name="60% — акцент5 2 31" xfId="10962"/>
    <cellStyle name="60% - Акцент5 2 32" xfId="9280"/>
    <cellStyle name="60% — акцент5 2 32" xfId="10844"/>
    <cellStyle name="60% - Акцент5 2 33" xfId="9197"/>
    <cellStyle name="60% — акцент5 2 33" xfId="11014"/>
    <cellStyle name="60% - Акцент5 2 34" xfId="9329"/>
    <cellStyle name="60% — акцент5 2 34" xfId="9797"/>
    <cellStyle name="60% - Акцент5 2 35" xfId="9419"/>
    <cellStyle name="60% — акцент5 2 35" xfId="11143"/>
    <cellStyle name="60% - Акцент5 2 36" xfId="9089"/>
    <cellStyle name="60% — акцент5 2 36" xfId="11378"/>
    <cellStyle name="60% - Акцент5 2 37" xfId="9676"/>
    <cellStyle name="60% — акцент5 2 37" xfId="11613"/>
    <cellStyle name="60% - Акцент5 2 38" xfId="10114"/>
    <cellStyle name="60% — акцент5 2 38" xfId="11848"/>
    <cellStyle name="60% - Акцент5 2 39" xfId="10895"/>
    <cellStyle name="60% — акцент5 2 39" xfId="12083"/>
    <cellStyle name="60% - Акцент5 2 4" xfId="2208"/>
    <cellStyle name="60% — акцент5 2 4" xfId="5848"/>
    <cellStyle name="60% - Акцент5 2 4 10" xfId="6056"/>
    <cellStyle name="60% - Акцент5 2 4 11" xfId="6437"/>
    <cellStyle name="60% - Акцент5 2 4 12" xfId="6620"/>
    <cellStyle name="60% - Акцент5 2 4 13" xfId="7027"/>
    <cellStyle name="60% - Акцент5 2 4 14" xfId="7245"/>
    <cellStyle name="60% - Акцент5 2 4 15" xfId="7472"/>
    <cellStyle name="60% - Акцент5 2 4 16" xfId="7699"/>
    <cellStyle name="60% - Акцент5 2 4 17" xfId="7921"/>
    <cellStyle name="60% - Акцент5 2 4 18" xfId="10119"/>
    <cellStyle name="60% - Акцент5 2 4 19" xfId="10900"/>
    <cellStyle name="60% - Акцент5 2 4 2" xfId="4883"/>
    <cellStyle name="60% - Акцент5 2 4 20" xfId="10958"/>
    <cellStyle name="60% - Акцент5 2 4 21" xfId="10848"/>
    <cellStyle name="60% - Акцент5 2 4 22" xfId="11010"/>
    <cellStyle name="60% - Акцент5 2 4 23" xfId="10731"/>
    <cellStyle name="60% - Акцент5 2 4 24" xfId="11126"/>
    <cellStyle name="60% - Акцент5 2 4 25" xfId="11361"/>
    <cellStyle name="60% - Акцент5 2 4 26" xfId="11596"/>
    <cellStyle name="60% - Акцент5 2 4 27" xfId="11831"/>
    <cellStyle name="60% - Акцент5 2 4 28" xfId="12066"/>
    <cellStyle name="60% - Акцент5 2 4 29" xfId="12301"/>
    <cellStyle name="60% - Акцент5 2 4 3" xfId="5775"/>
    <cellStyle name="60% - Акцент5 2 4 30" xfId="12536"/>
    <cellStyle name="60% - Акцент5 2 4 31" xfId="12771"/>
    <cellStyle name="60% - Акцент5 2 4 32" xfId="13006"/>
    <cellStyle name="60% - Акцент5 2 4 33" xfId="13241"/>
    <cellStyle name="60% - Акцент5 2 4 34" xfId="13476"/>
    <cellStyle name="60% - Акцент5 2 4 35" xfId="13711"/>
    <cellStyle name="60% - Акцент5 2 4 36" xfId="13945"/>
    <cellStyle name="60% - Акцент5 2 4 37" xfId="14171"/>
    <cellStyle name="60% - Акцент5 2 4 38" xfId="14396"/>
    <cellStyle name="60% - Акцент5 2 4 39" xfId="14631"/>
    <cellStyle name="60% - Акцент5 2 4 4" xfId="5856"/>
    <cellStyle name="60% - Акцент5 2 4 5" xfId="5758"/>
    <cellStyle name="60% - Акцент5 2 4 6" xfId="5879"/>
    <cellStyle name="60% - Акцент5 2 4 7" xfId="5725"/>
    <cellStyle name="60% - Акцент5 2 4 8" xfId="5913"/>
    <cellStyle name="60% - Акцент5 2 4 9" xfId="5598"/>
    <cellStyle name="60% - Акцент5 2 40" xfId="10963"/>
    <cellStyle name="60% — акцент5 2 40" xfId="12318"/>
    <cellStyle name="60% - Акцент5 2 41" xfId="10843"/>
    <cellStyle name="60% — акцент5 2 41" xfId="12553"/>
    <cellStyle name="60% - Акцент5 2 42" xfId="11015"/>
    <cellStyle name="60% — акцент5 2 42" xfId="12788"/>
    <cellStyle name="60% - Акцент5 2 43" xfId="9819"/>
    <cellStyle name="60% — акцент5 2 43" xfId="13023"/>
    <cellStyle name="60% - Акцент5 2 44" xfId="11144"/>
    <cellStyle name="60% — акцент5 2 44" xfId="13258"/>
    <cellStyle name="60% - Акцент5 2 45" xfId="11379"/>
    <cellStyle name="60% — акцент5 2 45" xfId="13493"/>
    <cellStyle name="60% - Акцент5 2 46" xfId="11614"/>
    <cellStyle name="60% — акцент5 2 46" xfId="13728"/>
    <cellStyle name="60% - Акцент5 2 47" xfId="11849"/>
    <cellStyle name="60% — акцент5 2 47" xfId="13962"/>
    <cellStyle name="60% - Акцент5 2 48" xfId="12084"/>
    <cellStyle name="60% — акцент5 2 48" xfId="14188"/>
    <cellStyle name="60% - Акцент5 2 49" xfId="12319"/>
    <cellStyle name="60% — акцент5 2 49" xfId="14413"/>
    <cellStyle name="60% - Акцент5 2 5" xfId="2209"/>
    <cellStyle name="60% — акцент5 2 5" xfId="5771"/>
    <cellStyle name="60% - Акцент5 2 5 10" xfId="6431"/>
    <cellStyle name="60% - Акцент5 2 5 11" xfId="6609"/>
    <cellStyle name="60% - Акцент5 2 5 12" xfId="7026"/>
    <cellStyle name="60% - Акцент5 2 5 13" xfId="7244"/>
    <cellStyle name="60% - Акцент5 2 5 14" xfId="7471"/>
    <cellStyle name="60% - Акцент5 2 5 15" xfId="7698"/>
    <cellStyle name="60% - Акцент5 2 5 16" xfId="7920"/>
    <cellStyle name="60% - Акцент5 2 5 17" xfId="10120"/>
    <cellStyle name="60% - Акцент5 2 5 18" xfId="10901"/>
    <cellStyle name="60% - Акцент5 2 5 19" xfId="10957"/>
    <cellStyle name="60% - Акцент5 2 5 2" xfId="4884"/>
    <cellStyle name="60% - Акцент5 2 5 20" xfId="10849"/>
    <cellStyle name="60% - Акцент5 2 5 21" xfId="11009"/>
    <cellStyle name="60% - Акцент5 2 5 22" xfId="10732"/>
    <cellStyle name="60% - Акцент5 2 5 23" xfId="11125"/>
    <cellStyle name="60% - Акцент5 2 5 24" xfId="11360"/>
    <cellStyle name="60% - Акцент5 2 5 25" xfId="11595"/>
    <cellStyle name="60% - Акцент5 2 5 26" xfId="11830"/>
    <cellStyle name="60% - Акцент5 2 5 27" xfId="12065"/>
    <cellStyle name="60% - Акцент5 2 5 28" xfId="12300"/>
    <cellStyle name="60% - Акцент5 2 5 29" xfId="12535"/>
    <cellStyle name="60% - Акцент5 2 5 3" xfId="5855"/>
    <cellStyle name="60% - Акцент5 2 5 30" xfId="12770"/>
    <cellStyle name="60% - Акцент5 2 5 31" xfId="13005"/>
    <cellStyle name="60% - Акцент5 2 5 32" xfId="13240"/>
    <cellStyle name="60% - Акцент5 2 5 33" xfId="13475"/>
    <cellStyle name="60% - Акцент5 2 5 34" xfId="13710"/>
    <cellStyle name="60% - Акцент5 2 5 35" xfId="13944"/>
    <cellStyle name="60% - Акцент5 2 5 36" xfId="14170"/>
    <cellStyle name="60% - Акцент5 2 5 37" xfId="14370"/>
    <cellStyle name="60% - Акцент5 2 5 38" xfId="14617"/>
    <cellStyle name="60% - Акцент5 2 5 4" xfId="5762"/>
    <cellStyle name="60% - Акцент5 2 5 5" xfId="5877"/>
    <cellStyle name="60% - Акцент5 2 5 6" xfId="5726"/>
    <cellStyle name="60% - Акцент5 2 5 7" xfId="5909"/>
    <cellStyle name="60% - Акцент5 2 5 8" xfId="5610"/>
    <cellStyle name="60% - Акцент5 2 5 9" xfId="6054"/>
    <cellStyle name="60% - Акцент5 2 50" xfId="12554"/>
    <cellStyle name="60% — акцент5 2 50" xfId="14635"/>
    <cellStyle name="60% - Акцент5 2 51" xfId="12789"/>
    <cellStyle name="60% — акцент5 2 51" xfId="15573"/>
    <cellStyle name="60% - Акцент5 2 52" xfId="13024"/>
    <cellStyle name="60% — акцент5 2 52" xfId="15589"/>
    <cellStyle name="60% - Акцент5 2 53" xfId="13259"/>
    <cellStyle name="60% — акцент5 2 53" xfId="15529"/>
    <cellStyle name="60% - Акцент5 2 54" xfId="13494"/>
    <cellStyle name="60% - Акцент5 2 55" xfId="13729"/>
    <cellStyle name="60% - Акцент5 2 56" xfId="13963"/>
    <cellStyle name="60% - Акцент5 2 57" xfId="14189"/>
    <cellStyle name="60% - Акцент5 2 58" xfId="14414"/>
    <cellStyle name="60% - Акцент5 2 59" xfId="14636"/>
    <cellStyle name="60% - Акцент5 2 6" xfId="2210"/>
    <cellStyle name="60% — акцент5 2 6" xfId="5861"/>
    <cellStyle name="60% - Акцент5 2 6 10" xfId="6553"/>
    <cellStyle name="60% - Акцент5 2 6 11" xfId="6800"/>
    <cellStyle name="60% - Акцент5 2 6 12" xfId="7001"/>
    <cellStyle name="60% - Акцент5 2 6 13" xfId="7445"/>
    <cellStyle name="60% - Акцент5 2 6 14" xfId="7672"/>
    <cellStyle name="60% - Акцент5 2 6 15" xfId="7894"/>
    <cellStyle name="60% - Акцент5 2 6 16" xfId="10121"/>
    <cellStyle name="60% - Акцент5 2 6 17" xfId="10902"/>
    <cellStyle name="60% - Акцент5 2 6 18" xfId="10956"/>
    <cellStyle name="60% - Акцент5 2 6 19" xfId="10863"/>
    <cellStyle name="60% - Акцент5 2 6 2" xfId="4885"/>
    <cellStyle name="60% - Акцент5 2 6 20" xfId="10995"/>
    <cellStyle name="60% - Акцент5 2 6 21" xfId="10759"/>
    <cellStyle name="60% - Акцент5 2 6 22" xfId="11099"/>
    <cellStyle name="60% - Акцент5 2 6 23" xfId="11334"/>
    <cellStyle name="60% - Акцент5 2 6 24" xfId="11569"/>
    <cellStyle name="60% - Акцент5 2 6 25" xfId="11804"/>
    <cellStyle name="60% - Акцент5 2 6 26" xfId="12039"/>
    <cellStyle name="60% - Акцент5 2 6 27" xfId="12274"/>
    <cellStyle name="60% - Акцент5 2 6 28" xfId="12509"/>
    <cellStyle name="60% - Акцент5 2 6 29" xfId="12744"/>
    <cellStyle name="60% - Акцент5 2 6 3" xfId="5764"/>
    <cellStyle name="60% - Акцент5 2 6 30" xfId="12979"/>
    <cellStyle name="60% - Акцент5 2 6 31" xfId="13214"/>
    <cellStyle name="60% - Акцент5 2 6 32" xfId="13449"/>
    <cellStyle name="60% - Акцент5 2 6 33" xfId="13684"/>
    <cellStyle name="60% - Акцент5 2 6 34" xfId="13918"/>
    <cellStyle name="60% - Акцент5 2 6 35" xfId="14144"/>
    <cellStyle name="60% - Акцент5 2 6 36" xfId="14369"/>
    <cellStyle name="60% - Акцент5 2 6 37" xfId="14616"/>
    <cellStyle name="60% - Акцент5 2 6 4" xfId="5876"/>
    <cellStyle name="60% - Акцент5 2 6 5" xfId="5728"/>
    <cellStyle name="60% - Акцент5 2 6 6" xfId="5908"/>
    <cellStyle name="60% - Акцент5 2 6 7" xfId="5611"/>
    <cellStyle name="60% - Акцент5 2 6 8" xfId="6053"/>
    <cellStyle name="60% - Акцент5 2 6 9" xfId="6276"/>
    <cellStyle name="60% - Акцент5 2 60" xfId="15572"/>
    <cellStyle name="60% - Акцент5 2 61" xfId="15590"/>
    <cellStyle name="60% - Акцент5 2 62" xfId="15523"/>
    <cellStyle name="60% - Акцент5 2 7" xfId="2211"/>
    <cellStyle name="60% — акцент5 2 7" xfId="5753"/>
    <cellStyle name="60% - Акцент5 2 7 10" xfId="6799"/>
    <cellStyle name="60% - Акцент5 2 7 11" xfId="7000"/>
    <cellStyle name="60% - Акцент5 2 7 12" xfId="7444"/>
    <cellStyle name="60% - Акцент5 2 7 13" xfId="7671"/>
    <cellStyle name="60% - Акцент5 2 7 14" xfId="7893"/>
    <cellStyle name="60% - Акцент5 2 7 15" xfId="10122"/>
    <cellStyle name="60% - Акцент5 2 7 16" xfId="10903"/>
    <cellStyle name="60% - Акцент5 2 7 17" xfId="10955"/>
    <cellStyle name="60% - Акцент5 2 7 18" xfId="10864"/>
    <cellStyle name="60% - Акцент5 2 7 19" xfId="10994"/>
    <cellStyle name="60% - Акцент5 2 7 2" xfId="4886"/>
    <cellStyle name="60% - Акцент5 2 7 20" xfId="10760"/>
    <cellStyle name="60% - Акцент5 2 7 21" xfId="11098"/>
    <cellStyle name="60% - Акцент5 2 7 22" xfId="11333"/>
    <cellStyle name="60% - Акцент5 2 7 23" xfId="11568"/>
    <cellStyle name="60% - Акцент5 2 7 24" xfId="11803"/>
    <cellStyle name="60% - Акцент5 2 7 25" xfId="12038"/>
    <cellStyle name="60% - Акцент5 2 7 26" xfId="12273"/>
    <cellStyle name="60% - Акцент5 2 7 27" xfId="12508"/>
    <cellStyle name="60% - Акцент5 2 7 28" xfId="12743"/>
    <cellStyle name="60% - Акцент5 2 7 29" xfId="12978"/>
    <cellStyle name="60% - Акцент5 2 7 3" xfId="5875"/>
    <cellStyle name="60% - Акцент5 2 7 30" xfId="13213"/>
    <cellStyle name="60% - Акцент5 2 7 31" xfId="13448"/>
    <cellStyle name="60% - Акцент5 2 7 32" xfId="13683"/>
    <cellStyle name="60% - Акцент5 2 7 33" xfId="13917"/>
    <cellStyle name="60% - Акцент5 2 7 34" xfId="14143"/>
    <cellStyle name="60% - Акцент5 2 7 35" xfId="14368"/>
    <cellStyle name="60% - Акцент5 2 7 36" xfId="14590"/>
    <cellStyle name="60% - Акцент5 2 7 4" xfId="5731"/>
    <cellStyle name="60% - Акцент5 2 7 5" xfId="5906"/>
    <cellStyle name="60% - Акцент5 2 7 6" xfId="5612"/>
    <cellStyle name="60% - Акцент5 2 7 7" xfId="6052"/>
    <cellStyle name="60% - Акцент5 2 7 8" xfId="6264"/>
    <cellStyle name="60% - Акцент5 2 7 9" xfId="6552"/>
    <cellStyle name="60% - Акцент5 2 8" xfId="2212"/>
    <cellStyle name="60% — акцент5 2 8" xfId="5888"/>
    <cellStyle name="60% - Акцент5 2 8 10" xfId="6999"/>
    <cellStyle name="60% - Акцент5 2 8 11" xfId="7443"/>
    <cellStyle name="60% - Акцент5 2 8 12" xfId="7670"/>
    <cellStyle name="60% - Акцент5 2 8 13" xfId="7892"/>
    <cellStyle name="60% - Акцент5 2 8 14" xfId="10123"/>
    <cellStyle name="60% - Акцент5 2 8 15" xfId="10904"/>
    <cellStyle name="60% - Акцент5 2 8 16" xfId="10954"/>
    <cellStyle name="60% - Акцент5 2 8 17" xfId="10865"/>
    <cellStyle name="60% - Акцент5 2 8 18" xfId="10993"/>
    <cellStyle name="60% - Акцент5 2 8 19" xfId="10761"/>
    <cellStyle name="60% - Акцент5 2 8 2" xfId="4887"/>
    <cellStyle name="60% - Акцент5 2 8 20" xfId="11097"/>
    <cellStyle name="60% - Акцент5 2 8 21" xfId="11332"/>
    <cellStyle name="60% - Акцент5 2 8 22" xfId="11567"/>
    <cellStyle name="60% - Акцент5 2 8 23" xfId="11802"/>
    <cellStyle name="60% - Акцент5 2 8 24" xfId="12037"/>
    <cellStyle name="60% - Акцент5 2 8 25" xfId="12272"/>
    <cellStyle name="60% - Акцент5 2 8 26" xfId="12507"/>
    <cellStyle name="60% - Акцент5 2 8 27" xfId="12742"/>
    <cellStyle name="60% - Акцент5 2 8 28" xfId="12977"/>
    <cellStyle name="60% - Акцент5 2 8 29" xfId="13212"/>
    <cellStyle name="60% - Акцент5 2 8 3" xfId="5732"/>
    <cellStyle name="60% - Акцент5 2 8 30" xfId="13447"/>
    <cellStyle name="60% - Акцент5 2 8 31" xfId="13682"/>
    <cellStyle name="60% - Акцент5 2 8 32" xfId="13916"/>
    <cellStyle name="60% - Акцент5 2 8 33" xfId="14142"/>
    <cellStyle name="60% - Акцент5 2 8 34" xfId="14354"/>
    <cellStyle name="60% - Акцент5 2 8 35" xfId="14589"/>
    <cellStyle name="60% - Акцент5 2 8 4" xfId="5905"/>
    <cellStyle name="60% - Акцент5 2 8 5" xfId="5613"/>
    <cellStyle name="60% - Акцент5 2 8 6" xfId="6051"/>
    <cellStyle name="60% - Акцент5 2 8 7" xfId="6258"/>
    <cellStyle name="60% - Акцент5 2 8 8" xfId="6550"/>
    <cellStyle name="60% - Акцент5 2 8 9" xfId="6798"/>
    <cellStyle name="60% - Акцент5 2 9" xfId="2213"/>
    <cellStyle name="60% — акцент5 2 9" xfId="5702"/>
    <cellStyle name="60% - Акцент5 2 9 10" xfId="7429"/>
    <cellStyle name="60% - Акцент5 2 9 11" xfId="7656"/>
    <cellStyle name="60% - Акцент5 2 9 12" xfId="7878"/>
    <cellStyle name="60% - Акцент5 2 9 13" xfId="10124"/>
    <cellStyle name="60% - Акцент5 2 9 14" xfId="10905"/>
    <cellStyle name="60% - Акцент5 2 9 15" xfId="10953"/>
    <cellStyle name="60% - Акцент5 2 9 16" xfId="10866"/>
    <cellStyle name="60% - Акцент5 2 9 17" xfId="10992"/>
    <cellStyle name="60% - Акцент5 2 9 18" xfId="10775"/>
    <cellStyle name="60% - Акцент5 2 9 19" xfId="11083"/>
    <cellStyle name="60% - Акцент5 2 9 2" xfId="4888"/>
    <cellStyle name="60% - Акцент5 2 9 20" xfId="11318"/>
    <cellStyle name="60% - Акцент5 2 9 21" xfId="11553"/>
    <cellStyle name="60% - Акцент5 2 9 22" xfId="11788"/>
    <cellStyle name="60% - Акцент5 2 9 23" xfId="12023"/>
    <cellStyle name="60% - Акцент5 2 9 24" xfId="12258"/>
    <cellStyle name="60% - Акцент5 2 9 25" xfId="12493"/>
    <cellStyle name="60% - Акцент5 2 9 26" xfId="12728"/>
    <cellStyle name="60% - Акцент5 2 9 27" xfId="12963"/>
    <cellStyle name="60% - Акцент5 2 9 28" xfId="13198"/>
    <cellStyle name="60% - Акцент5 2 9 29" xfId="13433"/>
    <cellStyle name="60% - Акцент5 2 9 3" xfId="5903"/>
    <cellStyle name="60% - Акцент5 2 9 30" xfId="13668"/>
    <cellStyle name="60% - Акцент5 2 9 31" xfId="13902"/>
    <cellStyle name="60% - Акцент5 2 9 32" xfId="14128"/>
    <cellStyle name="60% - Акцент5 2 9 33" xfId="14113"/>
    <cellStyle name="60% - Акцент5 2 9 34" xfId="14588"/>
    <cellStyle name="60% - Акцент5 2 9 4" xfId="5614"/>
    <cellStyle name="60% - Акцент5 2 9 5" xfId="6050"/>
    <cellStyle name="60% - Акцент5 2 9 6" xfId="6241"/>
    <cellStyle name="60% - Акцент5 2 9 7" xfId="6549"/>
    <cellStyle name="60% - Акцент5 2 9 8" xfId="6773"/>
    <cellStyle name="60% - Акцент5 2 9 9" xfId="6973"/>
    <cellStyle name="60% - Акцент5 2_МФ тепловой баланс 2015 дубль 3" xfId="2214"/>
    <cellStyle name="60% — акцент5 20" xfId="2215"/>
    <cellStyle name="60% — акцент5 21" xfId="2216"/>
    <cellStyle name="60% — акцент5 22" xfId="4877"/>
    <cellStyle name="60% — акцент5 23" xfId="5778"/>
    <cellStyle name="60% — акцент5 24" xfId="5850"/>
    <cellStyle name="60% — акцент5 25" xfId="5768"/>
    <cellStyle name="60% — акцент5 26" xfId="5863"/>
    <cellStyle name="60% — акцент5 27" xfId="5751"/>
    <cellStyle name="60% — акцент5 28" xfId="5898"/>
    <cellStyle name="60% — акцент5 29" xfId="5699"/>
    <cellStyle name="60% - Акцент5 3" xfId="2217"/>
    <cellStyle name="60% — акцент5 3" xfId="2218"/>
    <cellStyle name="60% - Акцент5 3 10" xfId="2219"/>
    <cellStyle name="60% - Акцент5 3 10 2" xfId="4890"/>
    <cellStyle name="60% - Акцент5 3 10 3" xfId="10126"/>
    <cellStyle name="60% - Акцент5 3 11" xfId="2220"/>
    <cellStyle name="60% - Акцент5 3 12" xfId="4889"/>
    <cellStyle name="60% - Акцент5 3 13" xfId="5790"/>
    <cellStyle name="60% - Акцент5 3 14" xfId="5838"/>
    <cellStyle name="60% - Акцент5 3 15" xfId="5784"/>
    <cellStyle name="60% - Акцент5 3 16" xfId="5847"/>
    <cellStyle name="60% - Акцент5 3 17" xfId="5766"/>
    <cellStyle name="60% - Акцент5 3 18" xfId="5869"/>
    <cellStyle name="60% - Акцент5 3 19" xfId="5734"/>
    <cellStyle name="60% - Акцент5 3 2" xfId="2221"/>
    <cellStyle name="60% - Акцент5 3 2 2" xfId="4891"/>
    <cellStyle name="60% - Акцент5 3 2 3" xfId="8887"/>
    <cellStyle name="60% - Акцент5 3 20" xfId="5902"/>
    <cellStyle name="60% - Акцент5 3 21" xfId="5616"/>
    <cellStyle name="60% - Акцент5 3 22" xfId="6049"/>
    <cellStyle name="60% - Акцент5 3 23" xfId="6233"/>
    <cellStyle name="60% - Акцент5 3 24" xfId="6548"/>
    <cellStyle name="60% - Акцент5 3 25" xfId="6772"/>
    <cellStyle name="60% - Акцент5 3 26" xfId="6972"/>
    <cellStyle name="60% - Акцент5 3 27" xfId="7204"/>
    <cellStyle name="60% - Акцент5 3 28" xfId="7413"/>
    <cellStyle name="60% - Акцент5 3 29" xfId="7640"/>
    <cellStyle name="60% - Акцент5 3 3" xfId="2222"/>
    <cellStyle name="60% - Акцент5 3 3 2" xfId="4892"/>
    <cellStyle name="60% - Акцент5 3 3 3" xfId="10128"/>
    <cellStyle name="60% - Акцент5 3 30" xfId="8886"/>
    <cellStyle name="60% - Акцент5 3 31" xfId="9129"/>
    <cellStyle name="60% - Акцент5 3 32" xfId="9144"/>
    <cellStyle name="60% - Акцент5 3 33" xfId="9277"/>
    <cellStyle name="60% - Акцент5 3 34" xfId="9179"/>
    <cellStyle name="60% - Акцент5 3 35" xfId="9311"/>
    <cellStyle name="60% - Акцент5 3 36" xfId="9401"/>
    <cellStyle name="60% - Акцент5 3 37" xfId="9107"/>
    <cellStyle name="60% - Акцент5 3 38" xfId="9673"/>
    <cellStyle name="60% - Акцент5 3 39" xfId="10125"/>
    <cellStyle name="60% - Акцент5 3 4" xfId="2223"/>
    <cellStyle name="60% - Акцент5 3 4 2" xfId="4893"/>
    <cellStyle name="60% - Акцент5 3 4 3" xfId="10129"/>
    <cellStyle name="60% - Акцент5 3 40" xfId="10906"/>
    <cellStyle name="60% - Акцент5 3 41" xfId="10952"/>
    <cellStyle name="60% - Акцент5 3 42" xfId="10867"/>
    <cellStyle name="60% - Акцент5 3 43" xfId="10991"/>
    <cellStyle name="60% - Акцент5 3 44" xfId="10776"/>
    <cellStyle name="60% - Акцент5 3 45" xfId="11082"/>
    <cellStyle name="60% - Акцент5 3 46" xfId="10637"/>
    <cellStyle name="60% - Акцент5 3 47" xfId="11303"/>
    <cellStyle name="60% - Акцент5 3 48" xfId="11538"/>
    <cellStyle name="60% - Акцент5 3 49" xfId="11773"/>
    <cellStyle name="60% - Акцент5 3 5" xfId="2224"/>
    <cellStyle name="60% - Акцент5 3 5 2" xfId="4894"/>
    <cellStyle name="60% - Акцент5 3 5 3" xfId="10130"/>
    <cellStyle name="60% - Акцент5 3 50" xfId="12008"/>
    <cellStyle name="60% - Акцент5 3 51" xfId="12243"/>
    <cellStyle name="60% - Акцент5 3 52" xfId="12478"/>
    <cellStyle name="60% - Акцент5 3 53" xfId="12713"/>
    <cellStyle name="60% - Акцент5 3 54" xfId="12948"/>
    <cellStyle name="60% - Акцент5 3 55" xfId="13183"/>
    <cellStyle name="60% - Акцент5 3 56" xfId="13418"/>
    <cellStyle name="60% - Акцент5 3 57" xfId="13653"/>
    <cellStyle name="60% - Акцент5 3 58" xfId="13887"/>
    <cellStyle name="60% - Акцент5 3 59" xfId="14112"/>
    <cellStyle name="60% - Акцент5 3 6" xfId="2225"/>
    <cellStyle name="60% - Акцент5 3 6 2" xfId="4895"/>
    <cellStyle name="60% - Акцент5 3 6 3" xfId="10131"/>
    <cellStyle name="60% - Акцент5 3 60" xfId="14574"/>
    <cellStyle name="60% - Акцент5 3 61" xfId="15575"/>
    <cellStyle name="60% - Акцент5 3 62" xfId="15587"/>
    <cellStyle name="60% - Акцент5 3 63" xfId="15541"/>
    <cellStyle name="60% - Акцент5 3 7" xfId="2226"/>
    <cellStyle name="60% - Акцент5 3 7 2" xfId="4896"/>
    <cellStyle name="60% - Акцент5 3 7 3" xfId="10132"/>
    <cellStyle name="60% - Акцент5 3 8" xfId="2227"/>
    <cellStyle name="60% - Акцент5 3 8 2" xfId="4897"/>
    <cellStyle name="60% - Акцент5 3 8 3" xfId="10133"/>
    <cellStyle name="60% - Акцент5 3 9" xfId="2228"/>
    <cellStyle name="60% - Акцент5 3 9 2" xfId="4898"/>
    <cellStyle name="60% - Акцент5 3 9 3" xfId="10134"/>
    <cellStyle name="60% - Акцент5 3_МФ тепловой баланс 2015 дубль 3" xfId="2229"/>
    <cellStyle name="60% — акцент5 30" xfId="5950"/>
    <cellStyle name="60% — акцент5 31" xfId="5536"/>
    <cellStyle name="60% — акцент5 32" xfId="6141"/>
    <cellStyle name="60% — акцент5 33" xfId="6466"/>
    <cellStyle name="60% — акцент5 34" xfId="6637"/>
    <cellStyle name="60% — акцент5 35" xfId="7046"/>
    <cellStyle name="60% — акцент5 36" xfId="7264"/>
    <cellStyle name="60% — акцент5 37" xfId="7491"/>
    <cellStyle name="60% — акцент5 38" xfId="7718"/>
    <cellStyle name="60% — акцент5 39" xfId="7940"/>
    <cellStyle name="60% - Акцент5 4" xfId="2230"/>
    <cellStyle name="60% — акцент5 4" xfId="2231"/>
    <cellStyle name="60% - Акцент5 4 2" xfId="2232"/>
    <cellStyle name="60% - Акцент5 4_МФ тепловой баланс 2015 дубль 3" xfId="2233"/>
    <cellStyle name="60% — акцент5 40" xfId="8882"/>
    <cellStyle name="60% — акцент5 41" xfId="9125"/>
    <cellStyle name="60% — акцент5 42" xfId="9148"/>
    <cellStyle name="60% — акцент5 43" xfId="9281"/>
    <cellStyle name="60% — акцент5 44" xfId="9203"/>
    <cellStyle name="60% — акцент5 45" xfId="9335"/>
    <cellStyle name="60% — акцент5 46" xfId="9425"/>
    <cellStyle name="60% — акцент5 47" xfId="9083"/>
    <cellStyle name="60% — акцент5 48" xfId="9677"/>
    <cellStyle name="60% — акцент5 49" xfId="10113"/>
    <cellStyle name="60% - Акцент5 5" xfId="2234"/>
    <cellStyle name="60% — акцент5 5" xfId="2235"/>
    <cellStyle name="60% - Акцент5 5 2" xfId="2236"/>
    <cellStyle name="60% - Акцент5 5_МФ тепловой баланс 2015 дубль 3" xfId="2237"/>
    <cellStyle name="60% — акцент5 50" xfId="10894"/>
    <cellStyle name="60% — акцент5 51" xfId="10964"/>
    <cellStyle name="60% — акцент5 52" xfId="10842"/>
    <cellStyle name="60% — акцент5 53" xfId="11016"/>
    <cellStyle name="60% — акцент5 54" xfId="9841"/>
    <cellStyle name="60% — акцент5 55" xfId="11145"/>
    <cellStyle name="60% — акцент5 56" xfId="11380"/>
    <cellStyle name="60% — акцент5 57" xfId="11615"/>
    <cellStyle name="60% — акцент5 58" xfId="11850"/>
    <cellStyle name="60% — акцент5 59" xfId="12085"/>
    <cellStyle name="60% - Акцент5 6" xfId="2238"/>
    <cellStyle name="60% — акцент5 6" xfId="2239"/>
    <cellStyle name="60% - Акцент5 6 2" xfId="2240"/>
    <cellStyle name="60% - Акцент5 6_МФ тепловой баланс 2015 дубль 3" xfId="2241"/>
    <cellStyle name="60% — акцент5 60" xfId="12320"/>
    <cellStyle name="60% — акцент5 61" xfId="12555"/>
    <cellStyle name="60% — акцент5 62" xfId="12790"/>
    <cellStyle name="60% — акцент5 63" xfId="13025"/>
    <cellStyle name="60% — акцент5 64" xfId="13260"/>
    <cellStyle name="60% — акцент5 65" xfId="13495"/>
    <cellStyle name="60% — акцент5 66" xfId="13730"/>
    <cellStyle name="60% — акцент5 67" xfId="13964"/>
    <cellStyle name="60% — акцент5 68" xfId="14190"/>
    <cellStyle name="60% — акцент5 69" xfId="14415"/>
    <cellStyle name="60% - Акцент5 7" xfId="2242"/>
    <cellStyle name="60% — акцент5 7" xfId="2243"/>
    <cellStyle name="60% - Акцент5 7 2" xfId="2244"/>
    <cellStyle name="60% - Акцент5 7_МФ тепловой баланс 2015 дубль 3" xfId="2245"/>
    <cellStyle name="60% — акцент5 70" xfId="14637"/>
    <cellStyle name="60% — акцент5 71" xfId="15571"/>
    <cellStyle name="60% — акцент5 72" xfId="15591"/>
    <cellStyle name="60% — акцент5 73" xfId="15517"/>
    <cellStyle name="60% - Акцент5 8" xfId="2246"/>
    <cellStyle name="60% — акцент5 8" xfId="2247"/>
    <cellStyle name="60% - Акцент5 8 2" xfId="2248"/>
    <cellStyle name="60% - Акцент5 9" xfId="2249"/>
    <cellStyle name="60% — акцент5 9" xfId="2250"/>
    <cellStyle name="60% - Акцент5 9 2" xfId="2251"/>
    <cellStyle name="60% — акцент6" xfId="2252"/>
    <cellStyle name="60% - Акцент6 10" xfId="2253"/>
    <cellStyle name="60% — акцент6 10" xfId="2254"/>
    <cellStyle name="60% — акцент6 11" xfId="2255"/>
    <cellStyle name="60% — акцент6 12" xfId="2256"/>
    <cellStyle name="60% — акцент6 13" xfId="2257"/>
    <cellStyle name="60% — акцент6 14" xfId="2258"/>
    <cellStyle name="60% — акцент6 15" xfId="2259"/>
    <cellStyle name="60% — акцент6 16" xfId="2260"/>
    <cellStyle name="60% — акцент6 17" xfId="2261"/>
    <cellStyle name="60% — акцент6 18" xfId="2262"/>
    <cellStyle name="60% — акцент6 19" xfId="2263"/>
    <cellStyle name="60% - Акцент6 2" xfId="2264"/>
    <cellStyle name="60% — акцент6 2" xfId="2265"/>
    <cellStyle name="60% - Акцент6 2 10" xfId="2266"/>
    <cellStyle name="60% — акцент6 2 10" xfId="5853"/>
    <cellStyle name="60% - Акцент6 2 10 10" xfId="7265"/>
    <cellStyle name="60% - Акцент6 2 10 11" xfId="7492"/>
    <cellStyle name="60% - Акцент6 2 10 12" xfId="10138"/>
    <cellStyle name="60% - Акцент6 2 10 13" xfId="10919"/>
    <cellStyle name="60% - Акцент6 2 10 14" xfId="10939"/>
    <cellStyle name="60% - Акцент6 2 10 15" xfId="10893"/>
    <cellStyle name="60% - Акцент6 2 10 16" xfId="10965"/>
    <cellStyle name="60% - Акцент6 2 10 17" xfId="10841"/>
    <cellStyle name="60% - Акцент6 2 10 18" xfId="11017"/>
    <cellStyle name="60% - Акцент6 2 10 19" xfId="9863"/>
    <cellStyle name="60% - Акцент6 2 10 2" xfId="4902"/>
    <cellStyle name="60% - Акцент6 2 10 20" xfId="11146"/>
    <cellStyle name="60% - Акцент6 2 10 21" xfId="11381"/>
    <cellStyle name="60% - Акцент6 2 10 22" xfId="11616"/>
    <cellStyle name="60% - Акцент6 2 10 23" xfId="11851"/>
    <cellStyle name="60% - Акцент6 2 10 24" xfId="12086"/>
    <cellStyle name="60% - Акцент6 2 10 25" xfId="12321"/>
    <cellStyle name="60% - Акцент6 2 10 26" xfId="12556"/>
    <cellStyle name="60% - Акцент6 2 10 27" xfId="12791"/>
    <cellStyle name="60% - Акцент6 2 10 28" xfId="13026"/>
    <cellStyle name="60% - Акцент6 2 10 29" xfId="13261"/>
    <cellStyle name="60% - Акцент6 2 10 3" xfId="5698"/>
    <cellStyle name="60% - Акцент6 2 10 30" xfId="13496"/>
    <cellStyle name="60% - Акцент6 2 10 31" xfId="13731"/>
    <cellStyle name="60% - Акцент6 2 10 32" xfId="13652"/>
    <cellStyle name="60% - Акцент6 2 10 33" xfId="14231"/>
    <cellStyle name="60% - Акцент6 2 10 4" xfId="5901"/>
    <cellStyle name="60% - Акцент6 2 10 5" xfId="5535"/>
    <cellStyle name="60% - Акцент6 2 10 6" xfId="6142"/>
    <cellStyle name="60% - Акцент6 2 10 7" xfId="6467"/>
    <cellStyle name="60% - Акцент6 2 10 8" xfId="6638"/>
    <cellStyle name="60% - Акцент6 2 10 9" xfId="7047"/>
    <cellStyle name="60% - Акцент6 2 11" xfId="4900"/>
    <cellStyle name="60% — акцент6 2 11" xfId="5696"/>
    <cellStyle name="60% - Акцент6 2 12" xfId="5801"/>
    <cellStyle name="60% — акцент6 2 12" xfId="5942"/>
    <cellStyle name="60% - Акцент6 2 13" xfId="5827"/>
    <cellStyle name="60% — акцент6 2 13" xfId="5534"/>
    <cellStyle name="60% - Акцент6 2 14" xfId="5796"/>
    <cellStyle name="60% — акцент6 2 14" xfId="6143"/>
    <cellStyle name="60% - Акцент6 2 15" xfId="5833"/>
    <cellStyle name="60% — акцент6 2 15" xfId="6510"/>
    <cellStyle name="60% - Акцент6 2 16" xfId="5788"/>
    <cellStyle name="60% — акцент6 2 16" xfId="6860"/>
    <cellStyle name="60% - Акцент6 2 17" xfId="5842"/>
    <cellStyle name="60% — акцент6 2 17" xfId="7087"/>
    <cellStyle name="60% - Акцент6 2 18" xfId="5772"/>
    <cellStyle name="60% — акцент6 2 18" xfId="7305"/>
    <cellStyle name="60% - Акцент6 2 19" xfId="5854"/>
    <cellStyle name="60% — акцент6 2 19" xfId="7532"/>
    <cellStyle name="60% - Акцент6 2 2" xfId="2267"/>
    <cellStyle name="60% — акцент6 2 2" xfId="4901"/>
    <cellStyle name="60% - Акцент6 2 2 10" xfId="5777"/>
    <cellStyle name="60% - Акцент6 2 2 11" xfId="5851"/>
    <cellStyle name="60% - Акцент6 2 2 12" xfId="5703"/>
    <cellStyle name="60% - Акцент6 2 2 13" xfId="5900"/>
    <cellStyle name="60% - Акцент6 2 2 14" xfId="5618"/>
    <cellStyle name="60% - Акцент6 2 2 15" xfId="6048"/>
    <cellStyle name="60% - Акцент6 2 2 16" xfId="6232"/>
    <cellStyle name="60% - Акцент6 2 2 17" xfId="6544"/>
    <cellStyle name="60% - Акцент6 2 2 18" xfId="6768"/>
    <cellStyle name="60% - Акцент6 2 2 19" xfId="6971"/>
    <cellStyle name="60% - Акцент6 2 2 2" xfId="2268"/>
    <cellStyle name="60% - Акцент6 2 2 20" xfId="7203"/>
    <cellStyle name="60% - Акцент6 2 2 21" xfId="8891"/>
    <cellStyle name="60% - Акцент6 2 2 22" xfId="9134"/>
    <cellStyle name="60% - Акцент6 2 2 23" xfId="9139"/>
    <cellStyle name="60% - Акцент6 2 2 24" xfId="9272"/>
    <cellStyle name="60% - Акцент6 2 2 25" xfId="9149"/>
    <cellStyle name="60% - Акцент6 2 2 26" xfId="9282"/>
    <cellStyle name="60% - Акцент6 2 2 27" xfId="9209"/>
    <cellStyle name="60% - Акцент6 2 2 28" xfId="9136"/>
    <cellStyle name="60% - Акцент6 2 2 29" xfId="9669"/>
    <cellStyle name="60% - Акцент6 2 2 3" xfId="4903"/>
    <cellStyle name="60% - Акцент6 2 2 30" xfId="10139"/>
    <cellStyle name="60% - Акцент6 2 2 31" xfId="10920"/>
    <cellStyle name="60% - Акцент6 2 2 32" xfId="10938"/>
    <cellStyle name="60% - Акцент6 2 2 33" xfId="10907"/>
    <cellStyle name="60% - Акцент6 2 2 34" xfId="10951"/>
    <cellStyle name="60% - Акцент6 2 2 35" xfId="10868"/>
    <cellStyle name="60% - Акцент6 2 2 36" xfId="10990"/>
    <cellStyle name="60% - Акцент6 2 2 37" xfId="10777"/>
    <cellStyle name="60% - Акцент6 2 2 38" xfId="11081"/>
    <cellStyle name="60% - Акцент6 2 2 39" xfId="10628"/>
    <cellStyle name="60% - Акцент6 2 2 4" xfId="5804"/>
    <cellStyle name="60% - Акцент6 2 2 40" xfId="11302"/>
    <cellStyle name="60% - Акцент6 2 2 41" xfId="11537"/>
    <cellStyle name="60% - Акцент6 2 2 42" xfId="11772"/>
    <cellStyle name="60% - Акцент6 2 2 43" xfId="12007"/>
    <cellStyle name="60% - Акцент6 2 2 44" xfId="12242"/>
    <cellStyle name="60% - Акцент6 2 2 45" xfId="12477"/>
    <cellStyle name="60% - Акцент6 2 2 46" xfId="12712"/>
    <cellStyle name="60% - Акцент6 2 2 47" xfId="12947"/>
    <cellStyle name="60% - Акцент6 2 2 48" xfId="13182"/>
    <cellStyle name="60% - Акцент6 2 2 49" xfId="13417"/>
    <cellStyle name="60% - Акцент6 2 2 5" xfId="5824"/>
    <cellStyle name="60% - Акцент6 2 2 50" xfId="13651"/>
    <cellStyle name="60% - Акцент6 2 2 51" xfId="14191"/>
    <cellStyle name="60% - Акцент6 2 2 52" xfId="15580"/>
    <cellStyle name="60% - Акцент6 2 2 53" xfId="15583"/>
    <cellStyle name="60% - Акцент6 2 2 54" xfId="15570"/>
    <cellStyle name="60% - Акцент6 2 2 6" xfId="5799"/>
    <cellStyle name="60% - Акцент6 2 2 7" xfId="5830"/>
    <cellStyle name="60% - Акцент6 2 2 8" xfId="5792"/>
    <cellStyle name="60% - Акцент6 2 2 9" xfId="5839"/>
    <cellStyle name="60% - Акцент6 2 20" xfId="5692"/>
    <cellStyle name="60% — акцент6 2 20" xfId="8890"/>
    <cellStyle name="60% - Акцент6 2 21" xfId="5954"/>
    <cellStyle name="60% — акцент6 2 21" xfId="9133"/>
    <cellStyle name="60% - Акцент6 2 22" xfId="5533"/>
    <cellStyle name="60% — акцент6 2 22" xfId="9140"/>
    <cellStyle name="60% - Акцент6 2 23" xfId="6144"/>
    <cellStyle name="60% — акцент6 2 23" xfId="9273"/>
    <cellStyle name="60% - Акцент6 2 24" xfId="6511"/>
    <cellStyle name="60% — акцент6 2 24" xfId="9155"/>
    <cellStyle name="60% - Акцент6 2 25" xfId="6861"/>
    <cellStyle name="60% — акцент6 2 25" xfId="9288"/>
    <cellStyle name="60% - Акцент6 2 26" xfId="7088"/>
    <cellStyle name="60% — акцент6 2 26" xfId="9379"/>
    <cellStyle name="60% - Акцент6 2 27" xfId="7306"/>
    <cellStyle name="60% — акцент6 2 27" xfId="9130"/>
    <cellStyle name="60% - Акцент6 2 28" xfId="7533"/>
    <cellStyle name="60% — акцент6 2 28" xfId="9670"/>
    <cellStyle name="60% - Акцент6 2 29" xfId="8889"/>
    <cellStyle name="60% — акцент6 2 29" xfId="10137"/>
    <cellStyle name="60% - Акцент6 2 3" xfId="2269"/>
    <cellStyle name="60% — акцент6 2 3" xfId="5802"/>
    <cellStyle name="60% - Акцент6 2 3 10" xfId="5733"/>
    <cellStyle name="60% - Акцент6 2 3 11" xfId="5899"/>
    <cellStyle name="60% - Акцент6 2 3 12" xfId="5619"/>
    <cellStyle name="60% - Акцент6 2 3 13" xfId="6016"/>
    <cellStyle name="60% - Акцент6 2 3 14" xfId="6230"/>
    <cellStyle name="60% - Акцент6 2 3 15" xfId="6388"/>
    <cellStyle name="60% - Акцент6 2 3 16" xfId="6760"/>
    <cellStyle name="60% - Акцент6 2 3 17" xfId="6967"/>
    <cellStyle name="60% - Акцент6 2 3 18" xfId="7202"/>
    <cellStyle name="60% - Акцент6 2 3 19" xfId="10140"/>
    <cellStyle name="60% - Акцент6 2 3 2" xfId="4904"/>
    <cellStyle name="60% - Акцент6 2 3 20" xfId="10921"/>
    <cellStyle name="60% - Акцент6 2 3 21" xfId="10937"/>
    <cellStyle name="60% - Акцент6 2 3 22" xfId="10908"/>
    <cellStyle name="60% - Акцент6 2 3 23" xfId="10950"/>
    <cellStyle name="60% - Акцент6 2 3 24" xfId="10869"/>
    <cellStyle name="60% - Акцент6 2 3 25" xfId="10989"/>
    <cellStyle name="60% - Акцент6 2 3 26" xfId="10778"/>
    <cellStyle name="60% - Акцент6 2 3 27" xfId="11080"/>
    <cellStyle name="60% - Акцент6 2 3 28" xfId="10626"/>
    <cellStyle name="60% - Акцент6 2 3 29" xfId="11301"/>
    <cellStyle name="60% - Акцент6 2 3 3" xfId="5823"/>
    <cellStyle name="60% - Акцент6 2 3 30" xfId="11536"/>
    <cellStyle name="60% - Акцент6 2 3 31" xfId="11771"/>
    <cellStyle name="60% - Акцент6 2 3 32" xfId="12006"/>
    <cellStyle name="60% - Акцент6 2 3 33" xfId="12241"/>
    <cellStyle name="60% - Акцент6 2 3 34" xfId="12476"/>
    <cellStyle name="60% - Акцент6 2 3 35" xfId="12711"/>
    <cellStyle name="60% - Акцент6 2 3 36" xfId="12946"/>
    <cellStyle name="60% - Акцент6 2 3 37" xfId="13181"/>
    <cellStyle name="60% - Акцент6 2 3 38" xfId="13416"/>
    <cellStyle name="60% - Акцент6 2 3 39" xfId="13650"/>
    <cellStyle name="60% - Акцент6 2 3 4" xfId="5803"/>
    <cellStyle name="60% - Акцент6 2 3 40" xfId="13886"/>
    <cellStyle name="60% - Акцент6 2 3 5" xfId="5829"/>
    <cellStyle name="60% - Акцент6 2 3 6" xfId="5793"/>
    <cellStyle name="60% - Акцент6 2 3 7" xfId="5837"/>
    <cellStyle name="60% - Акцент6 2 3 8" xfId="5781"/>
    <cellStyle name="60% - Акцент6 2 3 9" xfId="5844"/>
    <cellStyle name="60% - Акцент6 2 30" xfId="9132"/>
    <cellStyle name="60% — акцент6 2 30" xfId="10918"/>
    <cellStyle name="60% - Акцент6 2 31" xfId="9141"/>
    <cellStyle name="60% — акцент6 2 31" xfId="10940"/>
    <cellStyle name="60% - Акцент6 2 32" xfId="9274"/>
    <cellStyle name="60% — акцент6 2 32" xfId="10892"/>
    <cellStyle name="60% - Акцент6 2 33" xfId="9161"/>
    <cellStyle name="60% — акцент6 2 33" xfId="10966"/>
    <cellStyle name="60% - Акцент6 2 34" xfId="9294"/>
    <cellStyle name="60% — акцент6 2 34" xfId="10827"/>
    <cellStyle name="60% - Акцент6 2 35" xfId="9385"/>
    <cellStyle name="60% — акцент6 2 35" xfId="11031"/>
    <cellStyle name="60% - Акцент6 2 36" xfId="9124"/>
    <cellStyle name="60% — акцент6 2 36" xfId="10263"/>
    <cellStyle name="60% - Акцент6 2 37" xfId="9671"/>
    <cellStyle name="60% — акцент6 2 37" xfId="11186"/>
    <cellStyle name="60% - Акцент6 2 38" xfId="10136"/>
    <cellStyle name="60% — акцент6 2 38" xfId="11421"/>
    <cellStyle name="60% - Акцент6 2 39" xfId="10917"/>
    <cellStyle name="60% — акцент6 2 39" xfId="11656"/>
    <cellStyle name="60% - Акцент6 2 4" xfId="2270"/>
    <cellStyle name="60% — акцент6 2 4" xfId="5826"/>
    <cellStyle name="60% - Акцент6 2 4 10" xfId="5883"/>
    <cellStyle name="60% - Акцент6 2 4 11" xfId="5642"/>
    <cellStyle name="60% - Акцент6 2 4 12" xfId="5991"/>
    <cellStyle name="60% - Акцент6 2 4 13" xfId="6229"/>
    <cellStyle name="60% - Акцент6 2 4 14" xfId="6387"/>
    <cellStyle name="60% - Акцент6 2 4 15" xfId="6758"/>
    <cellStyle name="60% - Акцент6 2 4 16" xfId="6957"/>
    <cellStyle name="60% - Акцент6 2 4 17" xfId="7201"/>
    <cellStyle name="60% - Акцент6 2 4 18" xfId="10141"/>
    <cellStyle name="60% - Акцент6 2 4 19" xfId="10922"/>
    <cellStyle name="60% - Акцент6 2 4 2" xfId="4905"/>
    <cellStyle name="60% - Акцент6 2 4 20" xfId="10936"/>
    <cellStyle name="60% - Акцент6 2 4 21" xfId="10909"/>
    <cellStyle name="60% - Акцент6 2 4 22" xfId="10949"/>
    <cellStyle name="60% - Акцент6 2 4 23" xfId="10870"/>
    <cellStyle name="60% - Акцент6 2 4 24" xfId="10988"/>
    <cellStyle name="60% - Акцент6 2 4 25" xfId="10779"/>
    <cellStyle name="60% - Акцент6 2 4 26" xfId="11079"/>
    <cellStyle name="60% - Акцент6 2 4 27" xfId="10618"/>
    <cellStyle name="60% - Акцент6 2 4 28" xfId="11300"/>
    <cellStyle name="60% - Акцент6 2 4 29" xfId="11535"/>
    <cellStyle name="60% - Акцент6 2 4 3" xfId="5805"/>
    <cellStyle name="60% - Акцент6 2 4 30" xfId="11770"/>
    <cellStyle name="60% - Акцент6 2 4 31" xfId="12005"/>
    <cellStyle name="60% - Акцент6 2 4 32" xfId="12240"/>
    <cellStyle name="60% - Акцент6 2 4 33" xfId="12475"/>
    <cellStyle name="60% - Акцент6 2 4 34" xfId="12710"/>
    <cellStyle name="60% - Акцент6 2 4 35" xfId="12945"/>
    <cellStyle name="60% - Акцент6 2 4 36" xfId="13180"/>
    <cellStyle name="60% - Акцент6 2 4 37" xfId="13415"/>
    <cellStyle name="60% - Акцент6 2 4 38" xfId="13649"/>
    <cellStyle name="60% - Акцент6 2 4 39" xfId="13885"/>
    <cellStyle name="60% - Акцент6 2 4 4" xfId="5825"/>
    <cellStyle name="60% - Акцент6 2 4 5" xfId="5794"/>
    <cellStyle name="60% - Акцент6 2 4 6" xfId="5836"/>
    <cellStyle name="60% - Акцент6 2 4 7" xfId="5783"/>
    <cellStyle name="60% - Акцент6 2 4 8" xfId="5840"/>
    <cellStyle name="60% - Акцент6 2 4 9" xfId="5735"/>
    <cellStyle name="60% - Акцент6 2 40" xfId="10941"/>
    <cellStyle name="60% — акцент6 2 40" xfId="11891"/>
    <cellStyle name="60% - Акцент6 2 41" xfId="10891"/>
    <cellStyle name="60% — акцент6 2 41" xfId="12126"/>
    <cellStyle name="60% - Акцент6 2 42" xfId="10967"/>
    <cellStyle name="60% — акцент6 2 42" xfId="12361"/>
    <cellStyle name="60% - Акцент6 2 43" xfId="10826"/>
    <cellStyle name="60% — акцент6 2 43" xfId="12596"/>
    <cellStyle name="60% - Акцент6 2 44" xfId="11032"/>
    <cellStyle name="60% — акцент6 2 44" xfId="12831"/>
    <cellStyle name="60% - Акцент6 2 45" xfId="10265"/>
    <cellStyle name="60% — акцент6 2 45" xfId="13066"/>
    <cellStyle name="60% - Акцент6 2 46" xfId="11187"/>
    <cellStyle name="60% — акцент6 2 46" xfId="13301"/>
    <cellStyle name="60% - Акцент6 2 47" xfId="11422"/>
    <cellStyle name="60% — акцент6 2 47" xfId="13536"/>
    <cellStyle name="60% - Акцент6 2 48" xfId="11657"/>
    <cellStyle name="60% — акцент6 2 48" xfId="13771"/>
    <cellStyle name="60% - Акцент6 2 49" xfId="11892"/>
    <cellStyle name="60% — акцент6 2 49" xfId="13965"/>
    <cellStyle name="60% - Акцент6 2 5" xfId="2271"/>
    <cellStyle name="60% — акцент6 2 5" xfId="5797"/>
    <cellStyle name="60% - Акцент6 2 5 10" xfId="5656"/>
    <cellStyle name="60% - Акцент6 2 5 11" xfId="5987"/>
    <cellStyle name="60% - Акцент6 2 5 12" xfId="6228"/>
    <cellStyle name="60% - Акцент6 2 5 13" xfId="6386"/>
    <cellStyle name="60% - Акцент6 2 5 14" xfId="6757"/>
    <cellStyle name="60% - Акцент6 2 5 15" xfId="6956"/>
    <cellStyle name="60% - Акцент6 2 5 16" xfId="7200"/>
    <cellStyle name="60% - Акцент6 2 5 17" xfId="10142"/>
    <cellStyle name="60% - Акцент6 2 5 18" xfId="10923"/>
    <cellStyle name="60% - Акцент6 2 5 19" xfId="10935"/>
    <cellStyle name="60% - Акцент6 2 5 2" xfId="4906"/>
    <cellStyle name="60% - Акцент6 2 5 20" xfId="10910"/>
    <cellStyle name="60% - Акцент6 2 5 21" xfId="10948"/>
    <cellStyle name="60% - Акцент6 2 5 22" xfId="10871"/>
    <cellStyle name="60% - Акцент6 2 5 23" xfId="10987"/>
    <cellStyle name="60% - Акцент6 2 5 24" xfId="10780"/>
    <cellStyle name="60% - Акцент6 2 5 25" xfId="11078"/>
    <cellStyle name="60% - Акцент6 2 5 26" xfId="10616"/>
    <cellStyle name="60% - Акцент6 2 5 27" xfId="11299"/>
    <cellStyle name="60% - Акцент6 2 5 28" xfId="11534"/>
    <cellStyle name="60% - Акцент6 2 5 29" xfId="11769"/>
    <cellStyle name="60% - Акцент6 2 5 3" xfId="5822"/>
    <cellStyle name="60% - Акцент6 2 5 30" xfId="12004"/>
    <cellStyle name="60% - Акцент6 2 5 31" xfId="12239"/>
    <cellStyle name="60% - Акцент6 2 5 32" xfId="12474"/>
    <cellStyle name="60% - Акцент6 2 5 33" xfId="12709"/>
    <cellStyle name="60% - Акцент6 2 5 34" xfId="12944"/>
    <cellStyle name="60% - Акцент6 2 5 35" xfId="13179"/>
    <cellStyle name="60% - Акцент6 2 5 36" xfId="13414"/>
    <cellStyle name="60% - Акцент6 2 5 37" xfId="13556"/>
    <cellStyle name="60% - Акцент6 2 5 38" xfId="13884"/>
    <cellStyle name="60% - Акцент6 2 5 4" xfId="5798"/>
    <cellStyle name="60% - Акцент6 2 5 5" xfId="5835"/>
    <cellStyle name="60% - Акцент6 2 5 6" xfId="5785"/>
    <cellStyle name="60% - Акцент6 2 5 7" xfId="5820"/>
    <cellStyle name="60% - Акцент6 2 5 8" xfId="5736"/>
    <cellStyle name="60% - Акцент6 2 5 9" xfId="5874"/>
    <cellStyle name="60% - Акцент6 2 50" xfId="12127"/>
    <cellStyle name="60% — акцент6 2 50" xfId="14232"/>
    <cellStyle name="60% - Акцент6 2 51" xfId="12362"/>
    <cellStyle name="60% — акцент6 2 51" xfId="15579"/>
    <cellStyle name="60% - Акцент6 2 52" xfId="12597"/>
    <cellStyle name="60% — акцент6 2 52" xfId="15584"/>
    <cellStyle name="60% - Акцент6 2 53" xfId="12832"/>
    <cellStyle name="60% — акцент6 2 53" xfId="15564"/>
    <cellStyle name="60% - Акцент6 2 54" xfId="13067"/>
    <cellStyle name="60% - Акцент6 2 55" xfId="13302"/>
    <cellStyle name="60% - Акцент6 2 56" xfId="13537"/>
    <cellStyle name="60% - Акцент6 2 57" xfId="13772"/>
    <cellStyle name="60% - Акцент6 2 58" xfId="14005"/>
    <cellStyle name="60% - Акцент6 2 59" xfId="14233"/>
    <cellStyle name="60% - Акцент6 2 6" xfId="2272"/>
    <cellStyle name="60% — акцент6 2 6" xfId="5832"/>
    <cellStyle name="60% - Акцент6 2 6 10" xfId="5966"/>
    <cellStyle name="60% - Акцент6 2 6 11" xfId="5278"/>
    <cellStyle name="60% - Акцент6 2 6 12" xfId="6315"/>
    <cellStyle name="60% - Акцент6 2 6 13" xfId="6683"/>
    <cellStyle name="60% - Акцент6 2 6 14" xfId="6867"/>
    <cellStyle name="60% - Акцент6 2 6 15" xfId="7107"/>
    <cellStyle name="60% - Акцент6 2 6 16" xfId="10143"/>
    <cellStyle name="60% - Акцент6 2 6 17" xfId="10924"/>
    <cellStyle name="60% - Акцент6 2 6 18" xfId="10934"/>
    <cellStyle name="60% - Акцент6 2 6 19" xfId="10911"/>
    <cellStyle name="60% - Акцент6 2 6 2" xfId="4907"/>
    <cellStyle name="60% - Акцент6 2 6 20" xfId="10947"/>
    <cellStyle name="60% - Акцент6 2 6 21" xfId="10885"/>
    <cellStyle name="60% - Акцент6 2 6 22" xfId="10973"/>
    <cellStyle name="60% - Акцент6 2 6 23" xfId="10820"/>
    <cellStyle name="60% - Акцент6 2 6 24" xfId="11038"/>
    <cellStyle name="60% - Акцент6 2 6 25" xfId="10347"/>
    <cellStyle name="60% - Акцент6 2 6 26" xfId="11206"/>
    <cellStyle name="60% - Акцент6 2 6 27" xfId="11441"/>
    <cellStyle name="60% - Акцент6 2 6 28" xfId="11676"/>
    <cellStyle name="60% - Акцент6 2 6 29" xfId="11911"/>
    <cellStyle name="60% - Акцент6 2 6 3" xfId="5806"/>
    <cellStyle name="60% - Акцент6 2 6 30" xfId="12146"/>
    <cellStyle name="60% - Акцент6 2 6 31" xfId="12381"/>
    <cellStyle name="60% - Акцент6 2 6 32" xfId="12616"/>
    <cellStyle name="60% - Акцент6 2 6 33" xfId="12851"/>
    <cellStyle name="60% - Акцент6 2 6 34" xfId="13086"/>
    <cellStyle name="60% - Акцент6 2 6 35" xfId="13321"/>
    <cellStyle name="60% - Акцент6 2 6 36" xfId="13542"/>
    <cellStyle name="60% - Акцент6 2 6 37" xfId="13883"/>
    <cellStyle name="60% - Акцент6 2 6 4" xfId="5831"/>
    <cellStyle name="60% - Акцент6 2 6 5" xfId="5786"/>
    <cellStyle name="60% - Акцент6 2 6 6" xfId="5819"/>
    <cellStyle name="60% - Акцент6 2 6 7" xfId="5740"/>
    <cellStyle name="60% - Акцент6 2 6 8" xfId="5873"/>
    <cellStyle name="60% - Акцент6 2 6 9" xfId="5665"/>
    <cellStyle name="60% - Акцент6 2 60" xfId="15578"/>
    <cellStyle name="60% - Акцент6 2 61" xfId="15585"/>
    <cellStyle name="60% - Акцент6 2 62" xfId="15558"/>
    <cellStyle name="60% - Акцент6 2 7" xfId="2273"/>
    <cellStyle name="60% — акцент6 2 7" xfId="5789"/>
    <cellStyle name="60% - Акцент6 2 7 10" xfId="4524"/>
    <cellStyle name="60% - Акцент6 2 7 11" xfId="6304"/>
    <cellStyle name="60% - Акцент6 2 7 12" xfId="6679"/>
    <cellStyle name="60% - Акцент6 2 7 13" xfId="6866"/>
    <cellStyle name="60% - Акцент6 2 7 14" xfId="7093"/>
    <cellStyle name="60% - Акцент6 2 7 15" xfId="10144"/>
    <cellStyle name="60% - Акцент6 2 7 16" xfId="10925"/>
    <cellStyle name="60% - Акцент6 2 7 17" xfId="10933"/>
    <cellStyle name="60% - Акцент6 2 7 18" xfId="10912"/>
    <cellStyle name="60% - Акцент6 2 7 19" xfId="10946"/>
    <cellStyle name="60% - Акцент6 2 7 2" xfId="4908"/>
    <cellStyle name="60% - Акцент6 2 7 20" xfId="10886"/>
    <cellStyle name="60% - Акцент6 2 7 21" xfId="10972"/>
    <cellStyle name="60% - Акцент6 2 7 22" xfId="10821"/>
    <cellStyle name="60% - Акцент6 2 7 23" xfId="11037"/>
    <cellStyle name="60% - Акцент6 2 7 24" xfId="10286"/>
    <cellStyle name="60% - Акцент6 2 7 25" xfId="11192"/>
    <cellStyle name="60% - Акцент6 2 7 26" xfId="11427"/>
    <cellStyle name="60% - Акцент6 2 7 27" xfId="11662"/>
    <cellStyle name="60% - Акцент6 2 7 28" xfId="11897"/>
    <cellStyle name="60% - Акцент6 2 7 29" xfId="12132"/>
    <cellStyle name="60% - Акцент6 2 7 3" xfId="5821"/>
    <cellStyle name="60% - Акцент6 2 7 30" xfId="12367"/>
    <cellStyle name="60% - Акцент6 2 7 31" xfId="12602"/>
    <cellStyle name="60% - Акцент6 2 7 32" xfId="12837"/>
    <cellStyle name="60% - Акцент6 2 7 33" xfId="13072"/>
    <cellStyle name="60% - Акцент6 2 7 34" xfId="13307"/>
    <cellStyle name="60% - Акцент6 2 7 35" xfId="13541"/>
    <cellStyle name="60% - Акцент6 2 7 36" xfId="13790"/>
    <cellStyle name="60% - Акцент6 2 7 4" xfId="5791"/>
    <cellStyle name="60% - Акцент6 2 7 5" xfId="5815"/>
    <cellStyle name="60% - Акцент6 2 7 6" xfId="5742"/>
    <cellStyle name="60% - Акцент6 2 7 7" xfId="5866"/>
    <cellStyle name="60% - Акцент6 2 7 8" xfId="5669"/>
    <cellStyle name="60% - Акцент6 2 7 9" xfId="5965"/>
    <cellStyle name="60% - Акцент6 2 8" xfId="2274"/>
    <cellStyle name="60% — акцент6 2 8" xfId="5841"/>
    <cellStyle name="60% - Акцент6 2 8 10" xfId="6297"/>
    <cellStyle name="60% - Акцент6 2 8 11" xfId="6516"/>
    <cellStyle name="60% - Акцент6 2 8 12" xfId="6865"/>
    <cellStyle name="60% - Акцент6 2 8 13" xfId="7092"/>
    <cellStyle name="60% - Акцент6 2 8 14" xfId="10145"/>
    <cellStyle name="60% - Акцент6 2 8 15" xfId="10926"/>
    <cellStyle name="60% - Акцент6 2 8 16" xfId="10932"/>
    <cellStyle name="60% - Акцент6 2 8 17" xfId="10913"/>
    <cellStyle name="60% - Акцент6 2 8 18" xfId="10945"/>
    <cellStyle name="60% - Акцент6 2 8 19" xfId="10887"/>
    <cellStyle name="60% - Акцент6 2 8 2" xfId="4909"/>
    <cellStyle name="60% - Акцент6 2 8 20" xfId="10971"/>
    <cellStyle name="60% - Акцент6 2 8 21" xfId="10822"/>
    <cellStyle name="60% - Акцент6 2 8 22" xfId="11036"/>
    <cellStyle name="60% - Акцент6 2 8 23" xfId="10284"/>
    <cellStyle name="60% - Акцент6 2 8 24" xfId="11191"/>
    <cellStyle name="60% - Акцент6 2 8 25" xfId="11426"/>
    <cellStyle name="60% - Акцент6 2 8 26" xfId="11661"/>
    <cellStyle name="60% - Акцент6 2 8 27" xfId="11896"/>
    <cellStyle name="60% - Акцент6 2 8 28" xfId="12131"/>
    <cellStyle name="60% - Акцент6 2 8 29" xfId="12366"/>
    <cellStyle name="60% - Акцент6 2 8 3" xfId="5807"/>
    <cellStyle name="60% - Акцент6 2 8 30" xfId="12601"/>
    <cellStyle name="60% - Акцент6 2 8 31" xfId="12836"/>
    <cellStyle name="60% - Акцент6 2 8 32" xfId="13071"/>
    <cellStyle name="60% - Акцент6 2 8 33" xfId="13306"/>
    <cellStyle name="60% - Акцент6 2 8 34" xfId="13540"/>
    <cellStyle name="60% - Акцент6 2 8 35" xfId="13776"/>
    <cellStyle name="60% - Акцент6 2 8 4" xfId="5814"/>
    <cellStyle name="60% - Акцент6 2 8 5" xfId="5746"/>
    <cellStyle name="60% - Акцент6 2 8 6" xfId="5865"/>
    <cellStyle name="60% - Акцент6 2 8 7" xfId="5680"/>
    <cellStyle name="60% - Акцент6 2 8 8" xfId="5963"/>
    <cellStyle name="60% - Акцент6 2 8 9" xfId="5494"/>
    <cellStyle name="60% - Акцент6 2 9" xfId="2275"/>
    <cellStyle name="60% — акцент6 2 9" xfId="5776"/>
    <cellStyle name="60% - Акцент6 2 9 10" xfId="6514"/>
    <cellStyle name="60% - Акцент6 2 9 11" xfId="6864"/>
    <cellStyle name="60% - Акцент6 2 9 12" xfId="7091"/>
    <cellStyle name="60% - Акцент6 2 9 13" xfId="10146"/>
    <cellStyle name="60% - Акцент6 2 9 14" xfId="10927"/>
    <cellStyle name="60% - Акцент6 2 9 15" xfId="10931"/>
    <cellStyle name="60% - Акцент6 2 9 16" xfId="10914"/>
    <cellStyle name="60% - Акцент6 2 9 17" xfId="10944"/>
    <cellStyle name="60% - Акцент6 2 9 18" xfId="10888"/>
    <cellStyle name="60% - Акцент6 2 9 19" xfId="10970"/>
    <cellStyle name="60% - Акцент6 2 9 2" xfId="4910"/>
    <cellStyle name="60% - Акцент6 2 9 20" xfId="10823"/>
    <cellStyle name="60% - Акцент6 2 9 21" xfId="11035"/>
    <cellStyle name="60% - Акцент6 2 9 22" xfId="10283"/>
    <cellStyle name="60% - Акцент6 2 9 23" xfId="11190"/>
    <cellStyle name="60% - Акцент6 2 9 24" xfId="11425"/>
    <cellStyle name="60% - Акцент6 2 9 25" xfId="11660"/>
    <cellStyle name="60% - Акцент6 2 9 26" xfId="11895"/>
    <cellStyle name="60% - Акцент6 2 9 27" xfId="12130"/>
    <cellStyle name="60% - Акцент6 2 9 28" xfId="12365"/>
    <cellStyle name="60% - Акцент6 2 9 29" xfId="12600"/>
    <cellStyle name="60% - Акцент6 2 9 3" xfId="5813"/>
    <cellStyle name="60% - Акцент6 2 9 30" xfId="12835"/>
    <cellStyle name="60% - Акцент6 2 9 31" xfId="13070"/>
    <cellStyle name="60% - Акцент6 2 9 32" xfId="13305"/>
    <cellStyle name="60% - Акцент6 2 9 33" xfId="13539"/>
    <cellStyle name="60% - Акцент6 2 9 34" xfId="13775"/>
    <cellStyle name="60% - Акцент6 2 9 4" xfId="5754"/>
    <cellStyle name="60% - Акцент6 2 9 5" xfId="5864"/>
    <cellStyle name="60% - Акцент6 2 9 6" xfId="5681"/>
    <cellStyle name="60% - Акцент6 2 9 7" xfId="5962"/>
    <cellStyle name="60% - Акцент6 2 9 8" xfId="5527"/>
    <cellStyle name="60% - Акцент6 2 9 9" xfId="6195"/>
    <cellStyle name="60% - Акцент6 2_МФ тепловой баланс 2015 дубль 3" xfId="2276"/>
    <cellStyle name="60% — акцент6 20" xfId="2277"/>
    <cellStyle name="60% — акцент6 21" xfId="2278"/>
    <cellStyle name="60% — акцент6 22" xfId="4899"/>
    <cellStyle name="60% — акцент6 23" xfId="5800"/>
    <cellStyle name="60% — акцент6 24" xfId="5828"/>
    <cellStyle name="60% — акцент6 25" xfId="5795"/>
    <cellStyle name="60% — акцент6 26" xfId="5834"/>
    <cellStyle name="60% — акцент6 27" xfId="5787"/>
    <cellStyle name="60% — акцент6 28" xfId="5843"/>
    <cellStyle name="60% — акцент6 29" xfId="5767"/>
    <cellStyle name="60% - Акцент6 3" xfId="2279"/>
    <cellStyle name="60% — акцент6 3" xfId="2280"/>
    <cellStyle name="60% - Акцент6 3 10" xfId="2281"/>
    <cellStyle name="60% - Акцент6 3 10 2" xfId="4912"/>
    <cellStyle name="60% - Акцент6 3 10 3" xfId="10148"/>
    <cellStyle name="60% - Акцент6 3 11" xfId="2282"/>
    <cellStyle name="60% - Акцент6 3 12" xfId="4911"/>
    <cellStyle name="60% - Акцент6 3 13" xfId="5811"/>
    <cellStyle name="60% - Акцент6 3 14" xfId="5816"/>
    <cellStyle name="60% - Акцент6 3 15" xfId="5810"/>
    <cellStyle name="60% - Акцент6 3 16" xfId="5817"/>
    <cellStyle name="60% - Акцент6 3 17" xfId="5809"/>
    <cellStyle name="60% - Акцент6 3 18" xfId="5818"/>
    <cellStyle name="60% - Акцент6 3 19" xfId="5808"/>
    <cellStyle name="60% - Акцент6 3 2" xfId="2283"/>
    <cellStyle name="60% - Акцент6 3 2 2" xfId="4913"/>
    <cellStyle name="60% - Акцент6 3 2 3" xfId="8893"/>
    <cellStyle name="60% - Акцент6 3 20" xfId="5812"/>
    <cellStyle name="60% - Акцент6 3 21" xfId="5765"/>
    <cellStyle name="60% - Акцент6 3 22" xfId="5852"/>
    <cellStyle name="60% - Акцент6 3 23" xfId="5682"/>
    <cellStyle name="60% - Акцент6 3 24" xfId="5961"/>
    <cellStyle name="60% - Акцент6 3 25" xfId="5530"/>
    <cellStyle name="60% - Акцент6 3 26" xfId="6147"/>
    <cellStyle name="60% - Акцент6 3 27" xfId="6513"/>
    <cellStyle name="60% - Акцент6 3 28" xfId="6863"/>
    <cellStyle name="60% - Акцент6 3 29" xfId="7090"/>
    <cellStyle name="60% - Акцент6 3 3" xfId="2284"/>
    <cellStyle name="60% - Акцент6 3 3 2" xfId="4914"/>
    <cellStyle name="60% - Акцент6 3 3 3" xfId="10150"/>
    <cellStyle name="60% - Акцент6 3 30" xfId="8892"/>
    <cellStyle name="60% - Акцент6 3 31" xfId="9135"/>
    <cellStyle name="60% - Акцент6 3 32" xfId="9138"/>
    <cellStyle name="60% - Акцент6 3 33" xfId="9271"/>
    <cellStyle name="60% - Акцент6 3 34" xfId="9143"/>
    <cellStyle name="60% - Акцент6 3 35" xfId="9276"/>
    <cellStyle name="60% - Акцент6 3 36" xfId="9173"/>
    <cellStyle name="60% - Акцент6 3 37" xfId="9137"/>
    <cellStyle name="60% - Акцент6 3 38" xfId="9668"/>
    <cellStyle name="60% - Акцент6 3 39" xfId="10147"/>
    <cellStyle name="60% - Акцент6 3 4" xfId="2285"/>
    <cellStyle name="60% - Акцент6 3 4 2" xfId="4915"/>
    <cellStyle name="60% - Акцент6 3 4 3" xfId="10151"/>
    <cellStyle name="60% - Акцент6 3 40" xfId="10928"/>
    <cellStyle name="60% - Акцент6 3 41" xfId="10930"/>
    <cellStyle name="60% - Акцент6 3 42" xfId="10915"/>
    <cellStyle name="60% - Акцент6 3 43" xfId="10943"/>
    <cellStyle name="60% - Акцент6 3 44" xfId="10889"/>
    <cellStyle name="60% - Акцент6 3 45" xfId="10969"/>
    <cellStyle name="60% - Акцент6 3 46" xfId="10824"/>
    <cellStyle name="60% - Акцент6 3 47" xfId="11034"/>
    <cellStyle name="60% - Акцент6 3 48" xfId="10275"/>
    <cellStyle name="60% - Акцент6 3 49" xfId="11189"/>
    <cellStyle name="60% - Акцент6 3 5" xfId="2286"/>
    <cellStyle name="60% - Акцент6 3 5 2" xfId="4916"/>
    <cellStyle name="60% - Акцент6 3 5 3" xfId="10152"/>
    <cellStyle name="60% - Акцент6 3 50" xfId="11424"/>
    <cellStyle name="60% - Акцент6 3 51" xfId="11659"/>
    <cellStyle name="60% - Акцент6 3 52" xfId="11894"/>
    <cellStyle name="60% - Акцент6 3 53" xfId="12129"/>
    <cellStyle name="60% - Акцент6 3 54" xfId="12364"/>
    <cellStyle name="60% - Акцент6 3 55" xfId="12599"/>
    <cellStyle name="60% - Акцент6 3 56" xfId="12834"/>
    <cellStyle name="60% - Акцент6 3 57" xfId="13069"/>
    <cellStyle name="60% - Акцент6 3 58" xfId="13304"/>
    <cellStyle name="60% - Акцент6 3 59" xfId="10929"/>
    <cellStyle name="60% - Акцент6 3 6" xfId="2287"/>
    <cellStyle name="60% - Акцент6 3 6 2" xfId="4917"/>
    <cellStyle name="60% - Акцент6 3 6 3" xfId="10153"/>
    <cellStyle name="60% - Акцент6 3 60" xfId="13774"/>
    <cellStyle name="60% - Акцент6 3 61" xfId="15581"/>
    <cellStyle name="60% - Акцент6 3 62" xfId="15582"/>
    <cellStyle name="60% - Акцент6 3 63" xfId="15576"/>
    <cellStyle name="60% - Акцент6 3 7" xfId="2288"/>
    <cellStyle name="60% - Акцент6 3 7 2" xfId="4918"/>
    <cellStyle name="60% - Акцент6 3 7 3" xfId="10154"/>
    <cellStyle name="60% - Акцент6 3 8" xfId="2289"/>
    <cellStyle name="60% - Акцент6 3 8 2" xfId="4919"/>
    <cellStyle name="60% - Акцент6 3 8 3" xfId="10155"/>
    <cellStyle name="60% - Акцент6 3 9" xfId="2290"/>
    <cellStyle name="60% - Акцент6 3 9 2" xfId="4920"/>
    <cellStyle name="60% - Акцент6 3 9 3" xfId="10156"/>
    <cellStyle name="60% - Акцент6 3_МФ тепловой баланс 2015 дубль 3" xfId="2291"/>
    <cellStyle name="60% — акцент6 30" xfId="5859"/>
    <cellStyle name="60% — акцент6 31" xfId="5688"/>
    <cellStyle name="60% — акцент6 32" xfId="5957"/>
    <cellStyle name="60% — акцент6 33" xfId="5532"/>
    <cellStyle name="60% — акцент6 34" xfId="6145"/>
    <cellStyle name="60% — акцент6 35" xfId="6512"/>
    <cellStyle name="60% — акцент6 36" xfId="6862"/>
    <cellStyle name="60% — акцент6 37" xfId="7089"/>
    <cellStyle name="60% — акцент6 38" xfId="7307"/>
    <cellStyle name="60% — акцент6 39" xfId="7534"/>
    <cellStyle name="60% - Акцент6 4" xfId="2292"/>
    <cellStyle name="60% — акцент6 4" xfId="2293"/>
    <cellStyle name="60% - Акцент6 4 2" xfId="2294"/>
    <cellStyle name="60% - Акцент6 4_МФ тепловой баланс 2015 дубль 3" xfId="2295"/>
    <cellStyle name="60% — акцент6 40" xfId="8888"/>
    <cellStyle name="60% — акцент6 41" xfId="9131"/>
    <cellStyle name="60% — акцент6 42" xfId="9142"/>
    <cellStyle name="60% — акцент6 43" xfId="9275"/>
    <cellStyle name="60% — акцент6 44" xfId="9167"/>
    <cellStyle name="60% — акцент6 45" xfId="9300"/>
    <cellStyle name="60% — акцент6 46" xfId="9391"/>
    <cellStyle name="60% — акцент6 47" xfId="9118"/>
    <cellStyle name="60% — акцент6 48" xfId="9672"/>
    <cellStyle name="60% — акцент6 49" xfId="10135"/>
    <cellStyle name="60% - Акцент6 5" xfId="2296"/>
    <cellStyle name="60% — акцент6 5" xfId="2297"/>
    <cellStyle name="60% - Акцент6 5 2" xfId="2298"/>
    <cellStyle name="60% - Акцент6 5_МФ тепловой баланс 2015 дубль 3" xfId="2299"/>
    <cellStyle name="60% — акцент6 50" xfId="10916"/>
    <cellStyle name="60% — акцент6 51" xfId="10942"/>
    <cellStyle name="60% — акцент6 52" xfId="10890"/>
    <cellStyle name="60% — акцент6 53" xfId="10968"/>
    <cellStyle name="60% — акцент6 54" xfId="10825"/>
    <cellStyle name="60% — акцент6 55" xfId="11033"/>
    <cellStyle name="60% — акцент6 56" xfId="10273"/>
    <cellStyle name="60% — акцент6 57" xfId="11188"/>
    <cellStyle name="60% — акцент6 58" xfId="11423"/>
    <cellStyle name="60% — акцент6 59" xfId="11658"/>
    <cellStyle name="60% - Акцент6 6" xfId="2300"/>
    <cellStyle name="60% — акцент6 6" xfId="2301"/>
    <cellStyle name="60% - Акцент6 6 2" xfId="2302"/>
    <cellStyle name="60% - Акцент6 6_МФ тепловой баланс 2015 дубль 3" xfId="2303"/>
    <cellStyle name="60% — акцент6 60" xfId="11893"/>
    <cellStyle name="60% — акцент6 61" xfId="12128"/>
    <cellStyle name="60% — акцент6 62" xfId="12363"/>
    <cellStyle name="60% — акцент6 63" xfId="12598"/>
    <cellStyle name="60% — акцент6 64" xfId="12833"/>
    <cellStyle name="60% — акцент6 65" xfId="13068"/>
    <cellStyle name="60% — акцент6 66" xfId="13303"/>
    <cellStyle name="60% — акцент6 67" xfId="13538"/>
    <cellStyle name="60% — акцент6 68" xfId="13773"/>
    <cellStyle name="60% — акцент6 69" xfId="14006"/>
    <cellStyle name="60% - Акцент6 7" xfId="2304"/>
    <cellStyle name="60% — акцент6 7" xfId="2305"/>
    <cellStyle name="60% - Акцент6 7 2" xfId="2306"/>
    <cellStyle name="60% - Акцент6 7_МФ тепловой баланс 2015 дубль 3" xfId="2307"/>
    <cellStyle name="60% — акцент6 70" xfId="14234"/>
    <cellStyle name="60% — акцент6 71" xfId="15577"/>
    <cellStyle name="60% — акцент6 72" xfId="15586"/>
    <cellStyle name="60% — акцент6 73" xfId="15552"/>
    <cellStyle name="60% - Акцент6 8" xfId="2308"/>
    <cellStyle name="60% — акцент6 8" xfId="2309"/>
    <cellStyle name="60% - Акцент6 8 2" xfId="2310"/>
    <cellStyle name="60% - Акцент6 9" xfId="2311"/>
    <cellStyle name="60% — акцент6 9" xfId="2312"/>
    <cellStyle name="60% - Акцент6 9 2" xfId="2313"/>
    <cellStyle name="Accent1" xfId="2314"/>
    <cellStyle name="Accent2" xfId="2315"/>
    <cellStyle name="Accent3" xfId="2316"/>
    <cellStyle name="Accent4" xfId="2317"/>
    <cellStyle name="Accent5" xfId="2318"/>
    <cellStyle name="Accent6" xfId="2319"/>
    <cellStyle name="Ăčďĺđńńűëęŕ" xfId="2320"/>
    <cellStyle name="Action" xfId="2321"/>
    <cellStyle name="AFE" xfId="2322"/>
    <cellStyle name="Áĺççŕůčňíűé" xfId="2323"/>
    <cellStyle name="Äĺíĺćíűé [0]_(ňŕá 3č)" xfId="2324"/>
    <cellStyle name="Äĺíĺćíűé_(ňŕá 3č)" xfId="2325"/>
    <cellStyle name="Bad" xfId="2326"/>
    <cellStyle name="Blue" xfId="2327"/>
    <cellStyle name="Body_$Dollars" xfId="2328"/>
    <cellStyle name="Calculation" xfId="2329"/>
    <cellStyle name="Cells" xfId="2330"/>
    <cellStyle name="Cells 2" xfId="2331"/>
    <cellStyle name="Cells 2 2" xfId="2332"/>
    <cellStyle name="Cells 3" xfId="2333"/>
    <cellStyle name="Check Cell" xfId="2334"/>
    <cellStyle name="Chek" xfId="2335"/>
    <cellStyle name="Comma [0]_0_Cash" xfId="2336"/>
    <cellStyle name="Comma 0" xfId="2337"/>
    <cellStyle name="Comma 0*" xfId="2338"/>
    <cellStyle name="Comma 2" xfId="2339"/>
    <cellStyle name="Comma 3*" xfId="2340"/>
    <cellStyle name="Comma_0_Cash" xfId="2341"/>
    <cellStyle name="Comma0" xfId="2342"/>
    <cellStyle name="Çŕůčňíűé" xfId="2343"/>
    <cellStyle name="Currency [0]" xfId="2344"/>
    <cellStyle name="Currency [0] 2" xfId="2345"/>
    <cellStyle name="Currency [0] 2 2" xfId="2346"/>
    <cellStyle name="Currency [0] 2 3" xfId="2347"/>
    <cellStyle name="Currency [0] 2 4" xfId="2348"/>
    <cellStyle name="Currency [0] 2 5" xfId="2349"/>
    <cellStyle name="Currency [0] 2 6" xfId="2350"/>
    <cellStyle name="Currency [0] 2 7" xfId="2351"/>
    <cellStyle name="Currency [0] 2 8" xfId="2352"/>
    <cellStyle name="Currency [0] 2 9" xfId="2353"/>
    <cellStyle name="Currency [0] 3" xfId="2354"/>
    <cellStyle name="Currency [0] 3 2" xfId="2355"/>
    <cellStyle name="Currency [0] 3 3" xfId="2356"/>
    <cellStyle name="Currency [0] 3 4" xfId="2357"/>
    <cellStyle name="Currency [0] 3 5" xfId="2358"/>
    <cellStyle name="Currency [0] 3 6" xfId="2359"/>
    <cellStyle name="Currency [0] 3 7" xfId="2360"/>
    <cellStyle name="Currency [0] 3 8" xfId="2361"/>
    <cellStyle name="Currency [0] 3 9" xfId="2362"/>
    <cellStyle name="Currency [0] 4" xfId="2363"/>
    <cellStyle name="Currency [0] 4 2" xfId="2364"/>
    <cellStyle name="Currency [0] 4 3" xfId="2365"/>
    <cellStyle name="Currency [0] 4 4" xfId="2366"/>
    <cellStyle name="Currency [0] 4 5" xfId="2367"/>
    <cellStyle name="Currency [0] 4 6" xfId="2368"/>
    <cellStyle name="Currency [0] 4 7" xfId="2369"/>
    <cellStyle name="Currency [0] 4 8" xfId="2370"/>
    <cellStyle name="Currency [0] 4 9" xfId="2371"/>
    <cellStyle name="Currency [0] 5" xfId="2372"/>
    <cellStyle name="Currency [0] 5 2" xfId="2373"/>
    <cellStyle name="Currency [0] 5 3" xfId="2374"/>
    <cellStyle name="Currency [0] 5 4" xfId="2375"/>
    <cellStyle name="Currency [0] 5 5" xfId="2376"/>
    <cellStyle name="Currency [0] 5 6" xfId="2377"/>
    <cellStyle name="Currency [0] 5 7" xfId="2378"/>
    <cellStyle name="Currency [0] 5 8" xfId="2379"/>
    <cellStyle name="Currency [0] 5 9" xfId="2380"/>
    <cellStyle name="Currency [0] 6" xfId="2381"/>
    <cellStyle name="Currency [0] 6 2" xfId="2382"/>
    <cellStyle name="Currency [0] 6 3" xfId="2383"/>
    <cellStyle name="Currency [0] 7" xfId="2384"/>
    <cellStyle name="Currency [0] 7 2" xfId="2385"/>
    <cellStyle name="Currency [0] 7 3" xfId="2386"/>
    <cellStyle name="Currency [0] 8" xfId="2387"/>
    <cellStyle name="Currency [0] 8 2" xfId="2388"/>
    <cellStyle name="Currency [0] 8 3" xfId="2389"/>
    <cellStyle name="Currency [0]_Приложения ЛФ корр" xfId="2390"/>
    <cellStyle name="Currency 0" xfId="2391"/>
    <cellStyle name="Currency 2" xfId="2392"/>
    <cellStyle name="Currency_0_Cash" xfId="2393"/>
    <cellStyle name="Currency0" xfId="2394"/>
    <cellStyle name="currency1" xfId="2395"/>
    <cellStyle name="Currency2" xfId="2396"/>
    <cellStyle name="currency3" xfId="2397"/>
    <cellStyle name="currency4" xfId="2398"/>
    <cellStyle name="Date" xfId="2399"/>
    <cellStyle name="Date Aligned" xfId="2400"/>
    <cellStyle name="Dates" xfId="2401"/>
    <cellStyle name="DblClick" xfId="2402"/>
    <cellStyle name="DblClick 2" xfId="2403"/>
    <cellStyle name="Dezimal [0]_NEGS" xfId="2404"/>
    <cellStyle name="Dezimal_NEGS" xfId="2405"/>
    <cellStyle name="Dotted Line" xfId="2406"/>
    <cellStyle name="E&amp;Y House" xfId="2407"/>
    <cellStyle name="E-mail" xfId="2408"/>
    <cellStyle name="E-mail 2" xfId="2409"/>
    <cellStyle name="E-mail_46EP.2011(v2.0)" xfId="2410"/>
    <cellStyle name="Euro" xfId="2411"/>
    <cellStyle name="Euro 2" xfId="2412"/>
    <cellStyle name="Euro 3" xfId="2413"/>
    <cellStyle name="Euro 4" xfId="2414"/>
    <cellStyle name="ew" xfId="2415"/>
    <cellStyle name="Excel Built-in Normal" xfId="2416"/>
    <cellStyle name="Excel Built-in Normal 1" xfId="2417"/>
    <cellStyle name="Excel Built-in Normal 2" xfId="2418"/>
    <cellStyle name="Explanatory Text" xfId="2419"/>
    <cellStyle name="F2" xfId="2420"/>
    <cellStyle name="F3" xfId="2421"/>
    <cellStyle name="F4" xfId="2422"/>
    <cellStyle name="F5" xfId="2423"/>
    <cellStyle name="F6" xfId="2424"/>
    <cellStyle name="F7" xfId="2425"/>
    <cellStyle name="F8" xfId="2426"/>
    <cellStyle name="Fixed" xfId="2427"/>
    <cellStyle name="fo]_x000d__x000a_UserName=Murat Zelef_x000d__x000a_UserCompany=Bumerang_x000d__x000a__x000d__x000a_[File Paths]_x000d__x000a_WorkingDirectory=C:\EQUIS\DLWIN_x000d__x000a_DownLoader=C" xfId="2428"/>
    <cellStyle name="Followed Hyperlink" xfId="2429"/>
    <cellStyle name="Footnote" xfId="2430"/>
    <cellStyle name="Formuls" xfId="2431"/>
    <cellStyle name="Formuls 2" xfId="2432"/>
    <cellStyle name="Good" xfId="2433"/>
    <cellStyle name="hard no" xfId="2434"/>
    <cellStyle name="Hard Percent" xfId="2435"/>
    <cellStyle name="hardno" xfId="2436"/>
    <cellStyle name="Head 1" xfId="2437"/>
    <cellStyle name="Header" xfId="2438"/>
    <cellStyle name="Header 3" xfId="2439"/>
    <cellStyle name="Header 3 2" xfId="2440"/>
    <cellStyle name="header1" xfId="2441"/>
    <cellStyle name="header2" xfId="2442"/>
    <cellStyle name="Heading" xfId="2443"/>
    <cellStyle name="Heading 1" xfId="2444"/>
    <cellStyle name="Heading 1 2" xfId="2445"/>
    <cellStyle name="Heading 2" xfId="2446"/>
    <cellStyle name="Heading 2 2" xfId="2447"/>
    <cellStyle name="Heading 3" xfId="2448"/>
    <cellStyle name="Heading 4" xfId="2449"/>
    <cellStyle name="Heading_GP.ITOG.4.78(v1.0) - для разделения" xfId="2450"/>
    <cellStyle name="Heading2" xfId="2451"/>
    <cellStyle name="Heading2 2" xfId="2452"/>
    <cellStyle name="Heading2_46EP.2011(v2.0)" xfId="2453"/>
    <cellStyle name="Headline I" xfId="2454"/>
    <cellStyle name="Headline II" xfId="2455"/>
    <cellStyle name="Headline III" xfId="2456"/>
    <cellStyle name="Hyperlink" xfId="2457"/>
    <cellStyle name="Iau?iue_130 nnd. are." xfId="2458"/>
    <cellStyle name="Îáű÷íűé__FES" xfId="2459"/>
    <cellStyle name="Îáû÷íûé_cogs" xfId="2460"/>
    <cellStyle name="Îňęđűâŕâřŕ˙ń˙ ăčďĺđńńűëęŕ" xfId="2461"/>
    <cellStyle name="Info" xfId="2462"/>
    <cellStyle name="Input" xfId="2463"/>
    <cellStyle name="InputCurrency" xfId="2464"/>
    <cellStyle name="InputCurrency2" xfId="2465"/>
    <cellStyle name="InputMultiple1" xfId="2466"/>
    <cellStyle name="InputPercent1" xfId="2467"/>
    <cellStyle name="Inputs" xfId="2468"/>
    <cellStyle name="Inputs (const)" xfId="2469"/>
    <cellStyle name="Inputs (const) 2" xfId="2470"/>
    <cellStyle name="Inputs (const)_46EP.2011(v2.0)" xfId="2471"/>
    <cellStyle name="Inputs 2" xfId="2472"/>
    <cellStyle name="Inputs Co" xfId="2473"/>
    <cellStyle name="Inputs_46EE.2011(v1.0)" xfId="2474"/>
    <cellStyle name="Linked Cell" xfId="2475"/>
    <cellStyle name="Millares [0]_RESULTS" xfId="2476"/>
    <cellStyle name="Millares_RESULTS" xfId="2477"/>
    <cellStyle name="Milliers [0]_Fonctions Macros XL4" xfId="2478"/>
    <cellStyle name="Milliers_Fonctions Macros XL4" xfId="2479"/>
    <cellStyle name="mnb" xfId="2480"/>
    <cellStyle name="Moneda [0]_RESULTS" xfId="2481"/>
    <cellStyle name="Moneda_RESULTS" xfId="2482"/>
    <cellStyle name="Monétaire [0]_RESULTS" xfId="2483"/>
    <cellStyle name="Monétaire_RESULTS" xfId="2484"/>
    <cellStyle name="Multiple" xfId="2485"/>
    <cellStyle name="Multiple1" xfId="2486"/>
    <cellStyle name="MultipleBelow" xfId="2487"/>
    <cellStyle name="namber" xfId="2488"/>
    <cellStyle name="Neutral" xfId="2489"/>
    <cellStyle name="Norma11l" xfId="2490"/>
    <cellStyle name="normal" xfId="2491"/>
    <cellStyle name="Normal - Style1" xfId="2492"/>
    <cellStyle name="normal 10" xfId="2493"/>
    <cellStyle name="Normal 2" xfId="2494"/>
    <cellStyle name="Normal 2 2" xfId="2495"/>
    <cellStyle name="Normal 2 3" xfId="2496"/>
    <cellStyle name="normal 3" xfId="2497"/>
    <cellStyle name="normal 4" xfId="2498"/>
    <cellStyle name="normal 5" xfId="2499"/>
    <cellStyle name="normal 6" xfId="2500"/>
    <cellStyle name="normal 7" xfId="2501"/>
    <cellStyle name="normal 8" xfId="2502"/>
    <cellStyle name="normal 9" xfId="2503"/>
    <cellStyle name="Normal." xfId="2504"/>
    <cellStyle name="Normal_06_9m" xfId="2505"/>
    <cellStyle name="Normal1" xfId="2506"/>
    <cellStyle name="Normal2" xfId="2507"/>
    <cellStyle name="NormalGB" xfId="2508"/>
    <cellStyle name="Normalny_24. 02. 97." xfId="2509"/>
    <cellStyle name="normбlnм_laroux" xfId="2510"/>
    <cellStyle name="Note" xfId="2511"/>
    <cellStyle name="Note 2" xfId="2512"/>
    <cellStyle name="Note 3" xfId="2513"/>
    <cellStyle name="number" xfId="2514"/>
    <cellStyle name="Ôčíŕíńîâűé [0]_(ňŕá 3č)" xfId="2515"/>
    <cellStyle name="Ôčíŕíńîâűé_(ňŕá 3č)" xfId="2516"/>
    <cellStyle name="Option" xfId="2517"/>
    <cellStyle name="Òûñÿ÷è [0]_cogs" xfId="2518"/>
    <cellStyle name="Òûñÿ÷è_cogs" xfId="2519"/>
    <cellStyle name="Output" xfId="2520"/>
    <cellStyle name="Page Number" xfId="2521"/>
    <cellStyle name="pb_page_heading_LS" xfId="2522"/>
    <cellStyle name="Percent_RS_Lianozovo-Samara_9m01" xfId="2523"/>
    <cellStyle name="Percent1" xfId="2524"/>
    <cellStyle name="Piug" xfId="2525"/>
    <cellStyle name="Plug" xfId="2526"/>
    <cellStyle name="Price_Body" xfId="2527"/>
    <cellStyle name="prochrek" xfId="2528"/>
    <cellStyle name="Protected" xfId="2529"/>
    <cellStyle name="Salomon Logo" xfId="2530"/>
    <cellStyle name="SAPBEXaggData" xfId="2531"/>
    <cellStyle name="SAPBEXaggDataEmph" xfId="2532"/>
    <cellStyle name="SAPBEXaggItem" xfId="2533"/>
    <cellStyle name="SAPBEXaggItemX" xfId="2534"/>
    <cellStyle name="SAPBEXchaText" xfId="2535"/>
    <cellStyle name="SAPBEXexcBad7" xfId="2536"/>
    <cellStyle name="SAPBEXexcBad8" xfId="2537"/>
    <cellStyle name="SAPBEXexcBad9" xfId="2538"/>
    <cellStyle name="SAPBEXexcCritical4" xfId="2539"/>
    <cellStyle name="SAPBEXexcCritical5" xfId="2540"/>
    <cellStyle name="SAPBEXexcCritical6" xfId="2541"/>
    <cellStyle name="SAPBEXexcGood1" xfId="2542"/>
    <cellStyle name="SAPBEXexcGood2" xfId="2543"/>
    <cellStyle name="SAPBEXexcGood3" xfId="2544"/>
    <cellStyle name="SAPBEXfilterDrill" xfId="2545"/>
    <cellStyle name="SAPBEXfilterItem" xfId="2546"/>
    <cellStyle name="SAPBEXfilterText" xfId="2547"/>
    <cellStyle name="SAPBEXformats" xfId="2548"/>
    <cellStyle name="SAPBEXheaderItem" xfId="2549"/>
    <cellStyle name="SAPBEXheaderText" xfId="2550"/>
    <cellStyle name="SAPBEXHLevel0" xfId="2551"/>
    <cellStyle name="SAPBEXHLevel0X" xfId="2552"/>
    <cellStyle name="SAPBEXHLevel1" xfId="2553"/>
    <cellStyle name="SAPBEXHLevel1X" xfId="2554"/>
    <cellStyle name="SAPBEXHLevel2" xfId="2555"/>
    <cellStyle name="SAPBEXHLevel2X" xfId="2556"/>
    <cellStyle name="SAPBEXHLevel3" xfId="2557"/>
    <cellStyle name="SAPBEXHLevel3X" xfId="2558"/>
    <cellStyle name="SAPBEXinputData" xfId="2559"/>
    <cellStyle name="SAPBEXresData" xfId="2560"/>
    <cellStyle name="SAPBEXresDataEmph" xfId="2561"/>
    <cellStyle name="SAPBEXresItem" xfId="2562"/>
    <cellStyle name="SAPBEXresItemX" xfId="2563"/>
    <cellStyle name="SAPBEXstdData" xfId="2564"/>
    <cellStyle name="SAPBEXstdDataEmph" xfId="2565"/>
    <cellStyle name="SAPBEXstdItem" xfId="2566"/>
    <cellStyle name="SAPBEXstdItemX" xfId="2567"/>
    <cellStyle name="SAPBEXtitle" xfId="2568"/>
    <cellStyle name="SAPBEXundefined" xfId="2569"/>
    <cellStyle name="st1" xfId="2570"/>
    <cellStyle name="stand_bord" xfId="2571"/>
    <cellStyle name="Standard_NEGS" xfId="2572"/>
    <cellStyle name="Style 1" xfId="2573"/>
    <cellStyle name="styleColumnTitles" xfId="2574"/>
    <cellStyle name="styleDateRange" xfId="2575"/>
    <cellStyle name="styleHidden" xfId="2576"/>
    <cellStyle name="styleNormal" xfId="2577"/>
    <cellStyle name="styleSeriesAttributes" xfId="2578"/>
    <cellStyle name="styleSeriesData" xfId="2579"/>
    <cellStyle name="styleSeriesDataForecast" xfId="2580"/>
    <cellStyle name="styleSeriesDataForecastNA" xfId="2581"/>
    <cellStyle name="styleSeriesDataNA" xfId="2582"/>
    <cellStyle name="Table Head" xfId="2583"/>
    <cellStyle name="Table Head Aligned" xfId="2584"/>
    <cellStyle name="Table Head Blue" xfId="2585"/>
    <cellStyle name="Table Head Green" xfId="2586"/>
    <cellStyle name="Table Head_Val_Sum_Graph" xfId="2587"/>
    <cellStyle name="Table Heading" xfId="2588"/>
    <cellStyle name="Table Heading 2" xfId="2589"/>
    <cellStyle name="Table Heading_46EP.2011(v2.0)" xfId="2590"/>
    <cellStyle name="Table Text" xfId="2591"/>
    <cellStyle name="Table Title" xfId="2592"/>
    <cellStyle name="Table Units" xfId="2593"/>
    <cellStyle name="Table_Header" xfId="2594"/>
    <cellStyle name="TableStyleLight1" xfId="2595"/>
    <cellStyle name="TableStyleLight1 2" xfId="2596"/>
    <cellStyle name="Text" xfId="2597"/>
    <cellStyle name="Text 1" xfId="2598"/>
    <cellStyle name="Text Head" xfId="2599"/>
    <cellStyle name="Text Head 1" xfId="2600"/>
    <cellStyle name="Title" xfId="2601"/>
    <cellStyle name="Title 2" xfId="2602"/>
    <cellStyle name="Title 4" xfId="2603"/>
    <cellStyle name="Total" xfId="2604"/>
    <cellStyle name="Total 2" xfId="2605"/>
    <cellStyle name="TotalCurrency" xfId="2606"/>
    <cellStyle name="Underline_Single" xfId="2607"/>
    <cellStyle name="Unit" xfId="2608"/>
    <cellStyle name="Warning Text" xfId="2609"/>
    <cellStyle name="year" xfId="2610"/>
    <cellStyle name="Акцент1 10" xfId="2611"/>
    <cellStyle name="Акцент1 11" xfId="4921"/>
    <cellStyle name="Акцент1 12" xfId="8894"/>
    <cellStyle name="Акцент1 2" xfId="2612"/>
    <cellStyle name="Акцент1 2 10" xfId="2613"/>
    <cellStyle name="Акцент1 2 10 2" xfId="4923"/>
    <cellStyle name="Акцент1 2 10 3" xfId="10159"/>
    <cellStyle name="Акцент1 2 11" xfId="4922"/>
    <cellStyle name="Акцент1 2 12" xfId="8895"/>
    <cellStyle name="Акцент1 2 2" xfId="2614"/>
    <cellStyle name="Акцент1 2 2 2" xfId="2615"/>
    <cellStyle name="Акцент1 2 2 3" xfId="4924"/>
    <cellStyle name="Акцент1 2 2 4" xfId="8896"/>
    <cellStyle name="Акцент1 2 3" xfId="2616"/>
    <cellStyle name="Акцент1 2 3 2" xfId="4925"/>
    <cellStyle name="Акцент1 2 3 3" xfId="10161"/>
    <cellStyle name="Акцент1 2 4" xfId="2617"/>
    <cellStyle name="Акцент1 2 4 2" xfId="4926"/>
    <cellStyle name="Акцент1 2 4 3" xfId="10162"/>
    <cellStyle name="Акцент1 2 5" xfId="2618"/>
    <cellStyle name="Акцент1 2 5 2" xfId="4927"/>
    <cellStyle name="Акцент1 2 5 3" xfId="10163"/>
    <cellStyle name="Акцент1 2 6" xfId="2619"/>
    <cellStyle name="Акцент1 2 6 2" xfId="4928"/>
    <cellStyle name="Акцент1 2 6 3" xfId="10164"/>
    <cellStyle name="Акцент1 2 7" xfId="2620"/>
    <cellStyle name="Акцент1 2 7 2" xfId="4929"/>
    <cellStyle name="Акцент1 2 7 3" xfId="10165"/>
    <cellStyle name="Акцент1 2 8" xfId="2621"/>
    <cellStyle name="Акцент1 2 8 2" xfId="4930"/>
    <cellStyle name="Акцент1 2 8 3" xfId="10166"/>
    <cellStyle name="Акцент1 2 9" xfId="2622"/>
    <cellStyle name="Акцент1 2 9 2" xfId="4931"/>
    <cellStyle name="Акцент1 2 9 3" xfId="10167"/>
    <cellStyle name="Акцент1 2_МФ тепловой баланс 2015 дубль 3" xfId="2623"/>
    <cellStyle name="Акцент1 3" xfId="2624"/>
    <cellStyle name="Акцент1 3 10" xfId="2625"/>
    <cellStyle name="Акцент1 3 10 2" xfId="4933"/>
    <cellStyle name="Акцент1 3 10 3" xfId="10169"/>
    <cellStyle name="Акцент1 3 11" xfId="2626"/>
    <cellStyle name="Акцент1 3 12" xfId="4932"/>
    <cellStyle name="Акцент1 3 13" xfId="8897"/>
    <cellStyle name="Акцент1 3 2" xfId="2627"/>
    <cellStyle name="Акцент1 3 2 2" xfId="4934"/>
    <cellStyle name="Акцент1 3 2 3" xfId="8898"/>
    <cellStyle name="Акцент1 3 3" xfId="2628"/>
    <cellStyle name="Акцент1 3 3 2" xfId="4935"/>
    <cellStyle name="Акцент1 3 3 3" xfId="10171"/>
    <cellStyle name="Акцент1 3 4" xfId="2629"/>
    <cellStyle name="Акцент1 3 4 2" xfId="4936"/>
    <cellStyle name="Акцент1 3 4 3" xfId="10172"/>
    <cellStyle name="Акцент1 3 5" xfId="2630"/>
    <cellStyle name="Акцент1 3 5 2" xfId="4937"/>
    <cellStyle name="Акцент1 3 5 3" xfId="10173"/>
    <cellStyle name="Акцент1 3 6" xfId="2631"/>
    <cellStyle name="Акцент1 3 6 2" xfId="4938"/>
    <cellStyle name="Акцент1 3 6 3" xfId="10174"/>
    <cellStyle name="Акцент1 3 7" xfId="2632"/>
    <cellStyle name="Акцент1 3 7 2" xfId="4939"/>
    <cellStyle name="Акцент1 3 7 3" xfId="10175"/>
    <cellStyle name="Акцент1 3 8" xfId="2633"/>
    <cellStyle name="Акцент1 3 8 2" xfId="4940"/>
    <cellStyle name="Акцент1 3 8 3" xfId="10176"/>
    <cellStyle name="Акцент1 3 9" xfId="2634"/>
    <cellStyle name="Акцент1 3 9 2" xfId="4941"/>
    <cellStyle name="Акцент1 3 9 3" xfId="10177"/>
    <cellStyle name="Акцент1 3_МФ тепловой баланс 2015 дубль 3" xfId="2635"/>
    <cellStyle name="Акцент1 4" xfId="2636"/>
    <cellStyle name="Акцент1 4 2" xfId="2637"/>
    <cellStyle name="Акцент1 4_МФ тепловой баланс 2015 дубль 3" xfId="2638"/>
    <cellStyle name="Акцент1 5" xfId="2639"/>
    <cellStyle name="Акцент1 5 2" xfId="2640"/>
    <cellStyle name="Акцент1 5_МФ тепловой баланс 2015 дубль 3" xfId="2641"/>
    <cellStyle name="Акцент1 6" xfId="2642"/>
    <cellStyle name="Акцент1 6 2" xfId="2643"/>
    <cellStyle name="Акцент1 6_МФ тепловой баланс 2015 дубль 3" xfId="2644"/>
    <cellStyle name="Акцент1 7" xfId="2645"/>
    <cellStyle name="Акцент1 7 2" xfId="2646"/>
    <cellStyle name="Акцент1 7_МФ тепловой баланс 2015 дубль 3" xfId="2647"/>
    <cellStyle name="Акцент1 8" xfId="2648"/>
    <cellStyle name="Акцент1 8 2" xfId="2649"/>
    <cellStyle name="Акцент1 9" xfId="2650"/>
    <cellStyle name="Акцент1 9 2" xfId="2651"/>
    <cellStyle name="Акцент2 10" xfId="2652"/>
    <cellStyle name="Акцент2 11" xfId="4942"/>
    <cellStyle name="Акцент2 12" xfId="8899"/>
    <cellStyle name="Акцент2 2" xfId="2653"/>
    <cellStyle name="Акцент2 2 10" xfId="2654"/>
    <cellStyle name="Акцент2 2 10 2" xfId="4944"/>
    <cellStyle name="Акцент2 2 10 3" xfId="10180"/>
    <cellStyle name="Акцент2 2 11" xfId="4943"/>
    <cellStyle name="Акцент2 2 12" xfId="8900"/>
    <cellStyle name="Акцент2 2 2" xfId="2655"/>
    <cellStyle name="Акцент2 2 2 2" xfId="2656"/>
    <cellStyle name="Акцент2 2 2 3" xfId="4945"/>
    <cellStyle name="Акцент2 2 2 4" xfId="8901"/>
    <cellStyle name="Акцент2 2 3" xfId="2657"/>
    <cellStyle name="Акцент2 2 3 2" xfId="4946"/>
    <cellStyle name="Акцент2 2 3 3" xfId="10182"/>
    <cellStyle name="Акцент2 2 4" xfId="2658"/>
    <cellStyle name="Акцент2 2 4 2" xfId="4947"/>
    <cellStyle name="Акцент2 2 4 3" xfId="10183"/>
    <cellStyle name="Акцент2 2 5" xfId="2659"/>
    <cellStyle name="Акцент2 2 5 2" xfId="4948"/>
    <cellStyle name="Акцент2 2 5 3" xfId="10184"/>
    <cellStyle name="Акцент2 2 6" xfId="2660"/>
    <cellStyle name="Акцент2 2 6 2" xfId="4949"/>
    <cellStyle name="Акцент2 2 6 3" xfId="10185"/>
    <cellStyle name="Акцент2 2 7" xfId="2661"/>
    <cellStyle name="Акцент2 2 7 2" xfId="4950"/>
    <cellStyle name="Акцент2 2 7 3" xfId="10186"/>
    <cellStyle name="Акцент2 2 8" xfId="2662"/>
    <cellStyle name="Акцент2 2 8 2" xfId="4951"/>
    <cellStyle name="Акцент2 2 8 3" xfId="10187"/>
    <cellStyle name="Акцент2 2 9" xfId="2663"/>
    <cellStyle name="Акцент2 2 9 2" xfId="4952"/>
    <cellStyle name="Акцент2 2 9 3" xfId="10188"/>
    <cellStyle name="Акцент2 2_МФ тепловой баланс 2015 дубль 3" xfId="2664"/>
    <cellStyle name="Акцент2 3" xfId="2665"/>
    <cellStyle name="Акцент2 3 10" xfId="2666"/>
    <cellStyle name="Акцент2 3 10 2" xfId="4954"/>
    <cellStyle name="Акцент2 3 10 3" xfId="10190"/>
    <cellStyle name="Акцент2 3 11" xfId="2667"/>
    <cellStyle name="Акцент2 3 12" xfId="4953"/>
    <cellStyle name="Акцент2 3 13" xfId="8902"/>
    <cellStyle name="Акцент2 3 2" xfId="2668"/>
    <cellStyle name="Акцент2 3 2 2" xfId="4955"/>
    <cellStyle name="Акцент2 3 2 3" xfId="8903"/>
    <cellStyle name="Акцент2 3 3" xfId="2669"/>
    <cellStyle name="Акцент2 3 3 2" xfId="4956"/>
    <cellStyle name="Акцент2 3 3 3" xfId="10192"/>
    <cellStyle name="Акцент2 3 4" xfId="2670"/>
    <cellStyle name="Акцент2 3 4 2" xfId="4957"/>
    <cellStyle name="Акцент2 3 4 3" xfId="10193"/>
    <cellStyle name="Акцент2 3 5" xfId="2671"/>
    <cellStyle name="Акцент2 3 5 2" xfId="4958"/>
    <cellStyle name="Акцент2 3 5 3" xfId="10194"/>
    <cellStyle name="Акцент2 3 6" xfId="2672"/>
    <cellStyle name="Акцент2 3 6 2" xfId="4959"/>
    <cellStyle name="Акцент2 3 6 3" xfId="10195"/>
    <cellStyle name="Акцент2 3 7" xfId="2673"/>
    <cellStyle name="Акцент2 3 7 2" xfId="4960"/>
    <cellStyle name="Акцент2 3 7 3" xfId="10196"/>
    <cellStyle name="Акцент2 3 8" xfId="2674"/>
    <cellStyle name="Акцент2 3 8 2" xfId="4961"/>
    <cellStyle name="Акцент2 3 8 3" xfId="10197"/>
    <cellStyle name="Акцент2 3 9" xfId="2675"/>
    <cellStyle name="Акцент2 3 9 2" xfId="4962"/>
    <cellStyle name="Акцент2 3 9 3" xfId="10198"/>
    <cellStyle name="Акцент2 3_МФ тепловой баланс 2015 дубль 3" xfId="2676"/>
    <cellStyle name="Акцент2 4" xfId="2677"/>
    <cellStyle name="Акцент2 4 2" xfId="2678"/>
    <cellStyle name="Акцент2 4_МФ тепловой баланс 2015 дубль 3" xfId="2679"/>
    <cellStyle name="Акцент2 5" xfId="2680"/>
    <cellStyle name="Акцент2 5 2" xfId="2681"/>
    <cellStyle name="Акцент2 5_МФ тепловой баланс 2015 дубль 3" xfId="2682"/>
    <cellStyle name="Акцент2 6" xfId="2683"/>
    <cellStyle name="Акцент2 6 2" xfId="2684"/>
    <cellStyle name="Акцент2 6_МФ тепловой баланс 2015 дубль 3" xfId="2685"/>
    <cellStyle name="Акцент2 7" xfId="2686"/>
    <cellStyle name="Акцент2 7 2" xfId="2687"/>
    <cellStyle name="Акцент2 7_МФ тепловой баланс 2015 дубль 3" xfId="2688"/>
    <cellStyle name="Акцент2 8" xfId="2689"/>
    <cellStyle name="Акцент2 8 2" xfId="2690"/>
    <cellStyle name="Акцент2 9" xfId="2691"/>
    <cellStyle name="Акцент2 9 2" xfId="2692"/>
    <cellStyle name="Акцент3 10" xfId="2693"/>
    <cellStyle name="Акцент3 11" xfId="4963"/>
    <cellStyle name="Акцент3 12" xfId="8904"/>
    <cellStyle name="Акцент3 2" xfId="2694"/>
    <cellStyle name="Акцент3 2 10" xfId="2695"/>
    <cellStyle name="Акцент3 2 10 2" xfId="4965"/>
    <cellStyle name="Акцент3 2 10 3" xfId="10201"/>
    <cellStyle name="Акцент3 2 11" xfId="4964"/>
    <cellStyle name="Акцент3 2 12" xfId="8905"/>
    <cellStyle name="Акцент3 2 2" xfId="2696"/>
    <cellStyle name="Акцент3 2 2 2" xfId="2697"/>
    <cellStyle name="Акцент3 2 2 3" xfId="4966"/>
    <cellStyle name="Акцент3 2 2 4" xfId="8906"/>
    <cellStyle name="Акцент3 2 3" xfId="2698"/>
    <cellStyle name="Акцент3 2 3 2" xfId="4967"/>
    <cellStyle name="Акцент3 2 3 3" xfId="10203"/>
    <cellStyle name="Акцент3 2 4" xfId="2699"/>
    <cellStyle name="Акцент3 2 4 2" xfId="4968"/>
    <cellStyle name="Акцент3 2 4 3" xfId="10204"/>
    <cellStyle name="Акцент3 2 5" xfId="2700"/>
    <cellStyle name="Акцент3 2 5 2" xfId="4969"/>
    <cellStyle name="Акцент3 2 5 3" xfId="10205"/>
    <cellStyle name="Акцент3 2 6" xfId="2701"/>
    <cellStyle name="Акцент3 2 6 2" xfId="4970"/>
    <cellStyle name="Акцент3 2 6 3" xfId="10206"/>
    <cellStyle name="Акцент3 2 7" xfId="2702"/>
    <cellStyle name="Акцент3 2 7 2" xfId="4971"/>
    <cellStyle name="Акцент3 2 7 3" xfId="10207"/>
    <cellStyle name="Акцент3 2 8" xfId="2703"/>
    <cellStyle name="Акцент3 2 8 2" xfId="4972"/>
    <cellStyle name="Акцент3 2 8 3" xfId="10208"/>
    <cellStyle name="Акцент3 2 9" xfId="2704"/>
    <cellStyle name="Акцент3 2 9 2" xfId="4973"/>
    <cellStyle name="Акцент3 2 9 3" xfId="10209"/>
    <cellStyle name="Акцент3 2_МФ тепловой баланс 2015 дубль 3" xfId="2705"/>
    <cellStyle name="Акцент3 3" xfId="2706"/>
    <cellStyle name="Акцент3 3 10" xfId="2707"/>
    <cellStyle name="Акцент3 3 10 2" xfId="4975"/>
    <cellStyle name="Акцент3 3 10 3" xfId="10211"/>
    <cellStyle name="Акцент3 3 11" xfId="2708"/>
    <cellStyle name="Акцент3 3 12" xfId="4974"/>
    <cellStyle name="Акцент3 3 13" xfId="8907"/>
    <cellStyle name="Акцент3 3 2" xfId="2709"/>
    <cellStyle name="Акцент3 3 2 2" xfId="4976"/>
    <cellStyle name="Акцент3 3 2 3" xfId="8908"/>
    <cellStyle name="Акцент3 3 3" xfId="2710"/>
    <cellStyle name="Акцент3 3 3 2" xfId="4977"/>
    <cellStyle name="Акцент3 3 3 3" xfId="10213"/>
    <cellStyle name="Акцент3 3 4" xfId="2711"/>
    <cellStyle name="Акцент3 3 4 2" xfId="4978"/>
    <cellStyle name="Акцент3 3 4 3" xfId="10214"/>
    <cellStyle name="Акцент3 3 5" xfId="2712"/>
    <cellStyle name="Акцент3 3 5 2" xfId="4979"/>
    <cellStyle name="Акцент3 3 5 3" xfId="10215"/>
    <cellStyle name="Акцент3 3 6" xfId="2713"/>
    <cellStyle name="Акцент3 3 6 2" xfId="4980"/>
    <cellStyle name="Акцент3 3 6 3" xfId="10216"/>
    <cellStyle name="Акцент3 3 7" xfId="2714"/>
    <cellStyle name="Акцент3 3 7 2" xfId="4981"/>
    <cellStyle name="Акцент3 3 7 3" xfId="10217"/>
    <cellStyle name="Акцент3 3 8" xfId="2715"/>
    <cellStyle name="Акцент3 3 8 2" xfId="4982"/>
    <cellStyle name="Акцент3 3 8 3" xfId="10218"/>
    <cellStyle name="Акцент3 3 9" xfId="2716"/>
    <cellStyle name="Акцент3 3 9 2" xfId="4983"/>
    <cellStyle name="Акцент3 3 9 3" xfId="10219"/>
    <cellStyle name="Акцент3 3_МФ тепловой баланс 2015 дубль 3" xfId="2717"/>
    <cellStyle name="Акцент3 4" xfId="2718"/>
    <cellStyle name="Акцент3 4 2" xfId="2719"/>
    <cellStyle name="Акцент3 4_МФ тепловой баланс 2015 дубль 3" xfId="2720"/>
    <cellStyle name="Акцент3 5" xfId="2721"/>
    <cellStyle name="Акцент3 5 2" xfId="2722"/>
    <cellStyle name="Акцент3 5_МФ тепловой баланс 2015 дубль 3" xfId="2723"/>
    <cellStyle name="Акцент3 6" xfId="2724"/>
    <cellStyle name="Акцент3 6 2" xfId="2725"/>
    <cellStyle name="Акцент3 6_МФ тепловой баланс 2015 дубль 3" xfId="2726"/>
    <cellStyle name="Акцент3 7" xfId="2727"/>
    <cellStyle name="Акцент3 7 2" xfId="2728"/>
    <cellStyle name="Акцент3 7_МФ тепловой баланс 2015 дубль 3" xfId="2729"/>
    <cellStyle name="Акцент3 8" xfId="2730"/>
    <cellStyle name="Акцент3 8 2" xfId="2731"/>
    <cellStyle name="Акцент3 9" xfId="2732"/>
    <cellStyle name="Акцент3 9 2" xfId="2733"/>
    <cellStyle name="Акцент4 10" xfId="2734"/>
    <cellStyle name="Акцент4 11" xfId="4984"/>
    <cellStyle name="Акцент4 12" xfId="8909"/>
    <cellStyle name="Акцент4 2" xfId="2735"/>
    <cellStyle name="Акцент4 2 10" xfId="2736"/>
    <cellStyle name="Акцент4 2 10 2" xfId="4986"/>
    <cellStyle name="Акцент4 2 10 3" xfId="10222"/>
    <cellStyle name="Акцент4 2 11" xfId="4985"/>
    <cellStyle name="Акцент4 2 12" xfId="8910"/>
    <cellStyle name="Акцент4 2 2" xfId="2737"/>
    <cellStyle name="Акцент4 2 2 2" xfId="2738"/>
    <cellStyle name="Акцент4 2 2 3" xfId="4987"/>
    <cellStyle name="Акцент4 2 2 4" xfId="8911"/>
    <cellStyle name="Акцент4 2 3" xfId="2739"/>
    <cellStyle name="Акцент4 2 3 2" xfId="4988"/>
    <cellStyle name="Акцент4 2 3 3" xfId="10224"/>
    <cellStyle name="Акцент4 2 4" xfId="2740"/>
    <cellStyle name="Акцент4 2 4 2" xfId="4989"/>
    <cellStyle name="Акцент4 2 4 3" xfId="10225"/>
    <cellStyle name="Акцент4 2 5" xfId="2741"/>
    <cellStyle name="Акцент4 2 5 2" xfId="4990"/>
    <cellStyle name="Акцент4 2 5 3" xfId="10226"/>
    <cellStyle name="Акцент4 2 6" xfId="2742"/>
    <cellStyle name="Акцент4 2 6 2" xfId="4991"/>
    <cellStyle name="Акцент4 2 6 3" xfId="10227"/>
    <cellStyle name="Акцент4 2 7" xfId="2743"/>
    <cellStyle name="Акцент4 2 7 2" xfId="4992"/>
    <cellStyle name="Акцент4 2 7 3" xfId="10228"/>
    <cellStyle name="Акцент4 2 8" xfId="2744"/>
    <cellStyle name="Акцент4 2 8 2" xfId="4993"/>
    <cellStyle name="Акцент4 2 8 3" xfId="10229"/>
    <cellStyle name="Акцент4 2 9" xfId="2745"/>
    <cellStyle name="Акцент4 2 9 2" xfId="4994"/>
    <cellStyle name="Акцент4 2 9 3" xfId="10230"/>
    <cellStyle name="Акцент4 2_МФ тепловой баланс 2015 дубль 3" xfId="2746"/>
    <cellStyle name="Акцент4 3" xfId="2747"/>
    <cellStyle name="Акцент4 3 10" xfId="2748"/>
    <cellStyle name="Акцент4 3 10 2" xfId="4996"/>
    <cellStyle name="Акцент4 3 10 3" xfId="10232"/>
    <cellStyle name="Акцент4 3 11" xfId="2749"/>
    <cellStyle name="Акцент4 3 12" xfId="4995"/>
    <cellStyle name="Акцент4 3 13" xfId="8912"/>
    <cellStyle name="Акцент4 3 2" xfId="2750"/>
    <cellStyle name="Акцент4 3 2 2" xfId="4997"/>
    <cellStyle name="Акцент4 3 2 3" xfId="8913"/>
    <cellStyle name="Акцент4 3 3" xfId="2751"/>
    <cellStyle name="Акцент4 3 3 2" xfId="4998"/>
    <cellStyle name="Акцент4 3 3 3" xfId="10234"/>
    <cellStyle name="Акцент4 3 4" xfId="2752"/>
    <cellStyle name="Акцент4 3 4 2" xfId="4999"/>
    <cellStyle name="Акцент4 3 4 3" xfId="10235"/>
    <cellStyle name="Акцент4 3 5" xfId="2753"/>
    <cellStyle name="Акцент4 3 5 2" xfId="5000"/>
    <cellStyle name="Акцент4 3 5 3" xfId="10236"/>
    <cellStyle name="Акцент4 3 6" xfId="2754"/>
    <cellStyle name="Акцент4 3 6 2" xfId="5001"/>
    <cellStyle name="Акцент4 3 6 3" xfId="10237"/>
    <cellStyle name="Акцент4 3 7" xfId="2755"/>
    <cellStyle name="Акцент4 3 7 2" xfId="5002"/>
    <cellStyle name="Акцент4 3 7 3" xfId="10238"/>
    <cellStyle name="Акцент4 3 8" xfId="2756"/>
    <cellStyle name="Акцент4 3 8 2" xfId="5003"/>
    <cellStyle name="Акцент4 3 8 3" xfId="10239"/>
    <cellStyle name="Акцент4 3 9" xfId="2757"/>
    <cellStyle name="Акцент4 3 9 2" xfId="5004"/>
    <cellStyle name="Акцент4 3 9 3" xfId="10240"/>
    <cellStyle name="Акцент4 3_МФ тепловой баланс 2015 дубль 3" xfId="2758"/>
    <cellStyle name="Акцент4 4" xfId="2759"/>
    <cellStyle name="Акцент4 4 2" xfId="2760"/>
    <cellStyle name="Акцент4 4_МФ тепловой баланс 2015 дубль 3" xfId="2761"/>
    <cellStyle name="Акцент4 5" xfId="2762"/>
    <cellStyle name="Акцент4 5 2" xfId="2763"/>
    <cellStyle name="Акцент4 5_МФ тепловой баланс 2015 дубль 3" xfId="2764"/>
    <cellStyle name="Акцент4 6" xfId="2765"/>
    <cellStyle name="Акцент4 6 2" xfId="2766"/>
    <cellStyle name="Акцент4 6_МФ тепловой баланс 2015 дубль 3" xfId="2767"/>
    <cellStyle name="Акцент4 7" xfId="2768"/>
    <cellStyle name="Акцент4 7 2" xfId="2769"/>
    <cellStyle name="Акцент4 7_МФ тепловой баланс 2015 дубль 3" xfId="2770"/>
    <cellStyle name="Акцент4 8" xfId="2771"/>
    <cellStyle name="Акцент4 8 2" xfId="2772"/>
    <cellStyle name="Акцент4 9" xfId="2773"/>
    <cellStyle name="Акцент4 9 2" xfId="2774"/>
    <cellStyle name="Акцент5 10" xfId="2775"/>
    <cellStyle name="Акцент5 11" xfId="5005"/>
    <cellStyle name="Акцент5 12" xfId="8914"/>
    <cellStyle name="Акцент5 2" xfId="2776"/>
    <cellStyle name="Акцент5 2 10" xfId="2777"/>
    <cellStyle name="Акцент5 2 10 2" xfId="5007"/>
    <cellStyle name="Акцент5 2 10 3" xfId="10243"/>
    <cellStyle name="Акцент5 2 11" xfId="5006"/>
    <cellStyle name="Акцент5 2 12" xfId="8915"/>
    <cellStyle name="Акцент5 2 2" xfId="2778"/>
    <cellStyle name="Акцент5 2 2 2" xfId="2779"/>
    <cellStyle name="Акцент5 2 2 3" xfId="5008"/>
    <cellStyle name="Акцент5 2 2 4" xfId="8916"/>
    <cellStyle name="Акцент5 2 3" xfId="2780"/>
    <cellStyle name="Акцент5 2 3 2" xfId="5009"/>
    <cellStyle name="Акцент5 2 3 3" xfId="10245"/>
    <cellStyle name="Акцент5 2 4" xfId="2781"/>
    <cellStyle name="Акцент5 2 4 2" xfId="5010"/>
    <cellStyle name="Акцент5 2 4 3" xfId="10246"/>
    <cellStyle name="Акцент5 2 5" xfId="2782"/>
    <cellStyle name="Акцент5 2 5 2" xfId="5011"/>
    <cellStyle name="Акцент5 2 5 3" xfId="10247"/>
    <cellStyle name="Акцент5 2 6" xfId="2783"/>
    <cellStyle name="Акцент5 2 6 2" xfId="5012"/>
    <cellStyle name="Акцент5 2 6 3" xfId="10248"/>
    <cellStyle name="Акцент5 2 7" xfId="2784"/>
    <cellStyle name="Акцент5 2 7 2" xfId="5013"/>
    <cellStyle name="Акцент5 2 7 3" xfId="10249"/>
    <cellStyle name="Акцент5 2 8" xfId="2785"/>
    <cellStyle name="Акцент5 2 8 2" xfId="5014"/>
    <cellStyle name="Акцент5 2 8 3" xfId="10250"/>
    <cellStyle name="Акцент5 2 9" xfId="2786"/>
    <cellStyle name="Акцент5 2 9 2" xfId="5015"/>
    <cellStyle name="Акцент5 2 9 3" xfId="10251"/>
    <cellStyle name="Акцент5 2_МФ тепловой баланс 2015 дубль 3" xfId="2787"/>
    <cellStyle name="Акцент5 3" xfId="2788"/>
    <cellStyle name="Акцент5 3 10" xfId="2789"/>
    <cellStyle name="Акцент5 3 10 2" xfId="5017"/>
    <cellStyle name="Акцент5 3 10 3" xfId="10253"/>
    <cellStyle name="Акцент5 3 11" xfId="2790"/>
    <cellStyle name="Акцент5 3 12" xfId="5016"/>
    <cellStyle name="Акцент5 3 13" xfId="8917"/>
    <cellStyle name="Акцент5 3 2" xfId="2791"/>
    <cellStyle name="Акцент5 3 2 2" xfId="5018"/>
    <cellStyle name="Акцент5 3 2 3" xfId="8918"/>
    <cellStyle name="Акцент5 3 3" xfId="2792"/>
    <cellStyle name="Акцент5 3 3 2" xfId="5019"/>
    <cellStyle name="Акцент5 3 3 3" xfId="10255"/>
    <cellStyle name="Акцент5 3 4" xfId="2793"/>
    <cellStyle name="Акцент5 3 4 2" xfId="5020"/>
    <cellStyle name="Акцент5 3 4 3" xfId="10256"/>
    <cellStyle name="Акцент5 3 5" xfId="2794"/>
    <cellStyle name="Акцент5 3 5 2" xfId="5021"/>
    <cellStyle name="Акцент5 3 5 3" xfId="10257"/>
    <cellStyle name="Акцент5 3 6" xfId="2795"/>
    <cellStyle name="Акцент5 3 6 2" xfId="5022"/>
    <cellStyle name="Акцент5 3 6 3" xfId="10258"/>
    <cellStyle name="Акцент5 3 7" xfId="2796"/>
    <cellStyle name="Акцент5 3 7 2" xfId="5023"/>
    <cellStyle name="Акцент5 3 7 3" xfId="10259"/>
    <cellStyle name="Акцент5 3 8" xfId="2797"/>
    <cellStyle name="Акцент5 3 8 2" xfId="5024"/>
    <cellStyle name="Акцент5 3 8 3" xfId="10260"/>
    <cellStyle name="Акцент5 3 9" xfId="2798"/>
    <cellStyle name="Акцент5 3 9 2" xfId="5025"/>
    <cellStyle name="Акцент5 3 9 3" xfId="10261"/>
    <cellStyle name="Акцент5 3_МФ тепловой баланс 2015 дубль 3" xfId="2799"/>
    <cellStyle name="Акцент5 4" xfId="2800"/>
    <cellStyle name="Акцент5 4 2" xfId="2801"/>
    <cellStyle name="Акцент5 4_МФ тепловой баланс 2015 дубль 3" xfId="2802"/>
    <cellStyle name="Акцент5 5" xfId="2803"/>
    <cellStyle name="Акцент5 5 2" xfId="2804"/>
    <cellStyle name="Акцент5 5_МФ тепловой баланс 2015 дубль 3" xfId="2805"/>
    <cellStyle name="Акцент5 6" xfId="2806"/>
    <cellStyle name="Акцент5 6 2" xfId="2807"/>
    <cellStyle name="Акцент5 6_МФ тепловой баланс 2015 дубль 3" xfId="2808"/>
    <cellStyle name="Акцент5 7" xfId="2809"/>
    <cellStyle name="Акцент5 7 2" xfId="2810"/>
    <cellStyle name="Акцент5 7_МФ тепловой баланс 2015 дубль 3" xfId="2811"/>
    <cellStyle name="Акцент5 8" xfId="2812"/>
    <cellStyle name="Акцент5 8 2" xfId="2813"/>
    <cellStyle name="Акцент5 9" xfId="2814"/>
    <cellStyle name="Акцент5 9 2" xfId="2815"/>
    <cellStyle name="Акцент6 10" xfId="2816"/>
    <cellStyle name="Акцент6 11" xfId="5026"/>
    <cellStyle name="Акцент6 12" xfId="8919"/>
    <cellStyle name="Акцент6 2" xfId="2817"/>
    <cellStyle name="Акцент6 2 10" xfId="2818"/>
    <cellStyle name="Акцент6 2 10 2" xfId="5028"/>
    <cellStyle name="Акцент6 2 10 3" xfId="10264"/>
    <cellStyle name="Акцент6 2 11" xfId="5027"/>
    <cellStyle name="Акцент6 2 12" xfId="8920"/>
    <cellStyle name="Акцент6 2 2" xfId="2819"/>
    <cellStyle name="Акцент6 2 2 2" xfId="2820"/>
    <cellStyle name="Акцент6 2 2 3" xfId="5029"/>
    <cellStyle name="Акцент6 2 2 4" xfId="8921"/>
    <cellStyle name="Акцент6 2 3" xfId="2821"/>
    <cellStyle name="Акцент6 2 3 2" xfId="5030"/>
    <cellStyle name="Акцент6 2 3 3" xfId="10266"/>
    <cellStyle name="Акцент6 2 4" xfId="2822"/>
    <cellStyle name="Акцент6 2 4 2" xfId="5031"/>
    <cellStyle name="Акцент6 2 4 3" xfId="10267"/>
    <cellStyle name="Акцент6 2 5" xfId="2823"/>
    <cellStyle name="Акцент6 2 5 2" xfId="5032"/>
    <cellStyle name="Акцент6 2 5 3" xfId="10268"/>
    <cellStyle name="Акцент6 2 6" xfId="2824"/>
    <cellStyle name="Акцент6 2 6 2" xfId="5033"/>
    <cellStyle name="Акцент6 2 6 3" xfId="10269"/>
    <cellStyle name="Акцент6 2 7" xfId="2825"/>
    <cellStyle name="Акцент6 2 7 2" xfId="5034"/>
    <cellStyle name="Акцент6 2 7 3" xfId="10270"/>
    <cellStyle name="Акцент6 2 8" xfId="2826"/>
    <cellStyle name="Акцент6 2 8 2" xfId="5035"/>
    <cellStyle name="Акцент6 2 8 3" xfId="10271"/>
    <cellStyle name="Акцент6 2 9" xfId="2827"/>
    <cellStyle name="Акцент6 2 9 2" xfId="5036"/>
    <cellStyle name="Акцент6 2 9 3" xfId="10272"/>
    <cellStyle name="Акцент6 2_МФ тепловой баланс 2015 дубль 3" xfId="2828"/>
    <cellStyle name="Акцент6 3" xfId="2829"/>
    <cellStyle name="Акцент6 3 10" xfId="2830"/>
    <cellStyle name="Акцент6 3 10 2" xfId="5038"/>
    <cellStyle name="Акцент6 3 10 3" xfId="10274"/>
    <cellStyle name="Акцент6 3 11" xfId="2831"/>
    <cellStyle name="Акцент6 3 12" xfId="5037"/>
    <cellStyle name="Акцент6 3 13" xfId="8922"/>
    <cellStyle name="Акцент6 3 2" xfId="2832"/>
    <cellStyle name="Акцент6 3 2 2" xfId="5039"/>
    <cellStyle name="Акцент6 3 2 3" xfId="8923"/>
    <cellStyle name="Акцент6 3 3" xfId="2833"/>
    <cellStyle name="Акцент6 3 3 2" xfId="5040"/>
    <cellStyle name="Акцент6 3 3 3" xfId="10276"/>
    <cellStyle name="Акцент6 3 4" xfId="2834"/>
    <cellStyle name="Акцент6 3 4 2" xfId="5041"/>
    <cellStyle name="Акцент6 3 4 3" xfId="10277"/>
    <cellStyle name="Акцент6 3 5" xfId="2835"/>
    <cellStyle name="Акцент6 3 5 2" xfId="5042"/>
    <cellStyle name="Акцент6 3 5 3" xfId="10278"/>
    <cellStyle name="Акцент6 3 6" xfId="2836"/>
    <cellStyle name="Акцент6 3 6 2" xfId="5043"/>
    <cellStyle name="Акцент6 3 6 3" xfId="10279"/>
    <cellStyle name="Акцент6 3 7" xfId="2837"/>
    <cellStyle name="Акцент6 3 7 2" xfId="5044"/>
    <cellStyle name="Акцент6 3 7 3" xfId="10280"/>
    <cellStyle name="Акцент6 3 8" xfId="2838"/>
    <cellStyle name="Акцент6 3 8 2" xfId="5045"/>
    <cellStyle name="Акцент6 3 8 3" xfId="10281"/>
    <cellStyle name="Акцент6 3 9" xfId="2839"/>
    <cellStyle name="Акцент6 3 9 2" xfId="5046"/>
    <cellStyle name="Акцент6 3 9 3" xfId="10282"/>
    <cellStyle name="Акцент6 3_МФ тепловой баланс 2015 дубль 3" xfId="2840"/>
    <cellStyle name="Акцент6 4" xfId="2841"/>
    <cellStyle name="Акцент6 4 2" xfId="2842"/>
    <cellStyle name="Акцент6 4_МФ тепловой баланс 2015 дубль 3" xfId="2843"/>
    <cellStyle name="Акцент6 5" xfId="2844"/>
    <cellStyle name="Акцент6 5 2" xfId="2845"/>
    <cellStyle name="Акцент6 5_МФ тепловой баланс 2015 дубль 3" xfId="2846"/>
    <cellStyle name="Акцент6 6" xfId="2847"/>
    <cellStyle name="Акцент6 6 2" xfId="2848"/>
    <cellStyle name="Акцент6 6_МФ тепловой баланс 2015 дубль 3" xfId="2849"/>
    <cellStyle name="Акцент6 7" xfId="2850"/>
    <cellStyle name="Акцент6 7 2" xfId="2851"/>
    <cellStyle name="Акцент6 7_МФ тепловой баланс 2015 дубль 3" xfId="2852"/>
    <cellStyle name="Акцент6 8" xfId="2853"/>
    <cellStyle name="Акцент6 8 2" xfId="2854"/>
    <cellStyle name="Акцент6 9" xfId="2855"/>
    <cellStyle name="Акцент6 9 2" xfId="2856"/>
    <cellStyle name="Беззащитный" xfId="2857"/>
    <cellStyle name="Ввод  10" xfId="2858"/>
    <cellStyle name="Ввод  10 2" xfId="2859"/>
    <cellStyle name="Ввод  11" xfId="2860"/>
    <cellStyle name="Ввод  12" xfId="2861"/>
    <cellStyle name="Ввод  13" xfId="2862"/>
    <cellStyle name="Ввод  14" xfId="2863"/>
    <cellStyle name="Ввод  15" xfId="2864"/>
    <cellStyle name="Ввод  16" xfId="2865"/>
    <cellStyle name="Ввод  17" xfId="2866"/>
    <cellStyle name="Ввод  18" xfId="5047"/>
    <cellStyle name="Ввод  19" xfId="8924"/>
    <cellStyle name="Ввод  2" xfId="2867"/>
    <cellStyle name="Ввод  2 10" xfId="2868"/>
    <cellStyle name="Ввод  2 10 2" xfId="5049"/>
    <cellStyle name="Ввод  2 10 3" xfId="10285"/>
    <cellStyle name="Ввод  2 11" xfId="5048"/>
    <cellStyle name="Ввод  2 12" xfId="8925"/>
    <cellStyle name="Ввод  2 2" xfId="2869"/>
    <cellStyle name="Ввод  2 2 2" xfId="2870"/>
    <cellStyle name="Ввод  2 2 3" xfId="5050"/>
    <cellStyle name="Ввод  2 2 4" xfId="8926"/>
    <cellStyle name="Ввод  2 3" xfId="2871"/>
    <cellStyle name="Ввод  2 3 2" xfId="5051"/>
    <cellStyle name="Ввод  2 3 3" xfId="10287"/>
    <cellStyle name="Ввод  2 4" xfId="2872"/>
    <cellStyle name="Ввод  2 4 2" xfId="5052"/>
    <cellStyle name="Ввод  2 4 3" xfId="10288"/>
    <cellStyle name="Ввод  2 5" xfId="2873"/>
    <cellStyle name="Ввод  2 5 2" xfId="5053"/>
    <cellStyle name="Ввод  2 5 3" xfId="10289"/>
    <cellStyle name="Ввод  2 6" xfId="2874"/>
    <cellStyle name="Ввод  2 6 2" xfId="5054"/>
    <cellStyle name="Ввод  2 6 3" xfId="10290"/>
    <cellStyle name="Ввод  2 7" xfId="2875"/>
    <cellStyle name="Ввод  2 7 2" xfId="5055"/>
    <cellStyle name="Ввод  2 7 3" xfId="10291"/>
    <cellStyle name="Ввод  2 8" xfId="2876"/>
    <cellStyle name="Ввод  2 8 2" xfId="5056"/>
    <cellStyle name="Ввод  2 8 3" xfId="10292"/>
    <cellStyle name="Ввод  2 9" xfId="2877"/>
    <cellStyle name="Ввод  2 9 2" xfId="5057"/>
    <cellStyle name="Ввод  2 9 3" xfId="10293"/>
    <cellStyle name="Ввод  2_46EE.2011(v1.0)" xfId="2878"/>
    <cellStyle name="Ввод  3" xfId="2879"/>
    <cellStyle name="Ввод  3 10" xfId="2880"/>
    <cellStyle name="Ввод  3 10 2" xfId="5059"/>
    <cellStyle name="Ввод  3 10 3" xfId="10295"/>
    <cellStyle name="Ввод  3 11" xfId="2881"/>
    <cellStyle name="Ввод  3 12" xfId="5058"/>
    <cellStyle name="Ввод  3 13" xfId="8927"/>
    <cellStyle name="Ввод  3 2" xfId="2882"/>
    <cellStyle name="Ввод  3 2 2" xfId="5060"/>
    <cellStyle name="Ввод  3 2 3" xfId="8928"/>
    <cellStyle name="Ввод  3 3" xfId="2883"/>
    <cellStyle name="Ввод  3 3 2" xfId="2884"/>
    <cellStyle name="Ввод  3 3 3" xfId="5061"/>
    <cellStyle name="Ввод  3 3 4" xfId="10297"/>
    <cellStyle name="Ввод  3 4" xfId="2885"/>
    <cellStyle name="Ввод  3 4 2" xfId="5062"/>
    <cellStyle name="Ввод  3 4 3" xfId="10298"/>
    <cellStyle name="Ввод  3 5" xfId="2886"/>
    <cellStyle name="Ввод  3 5 2" xfId="5063"/>
    <cellStyle name="Ввод  3 5 3" xfId="10299"/>
    <cellStyle name="Ввод  3 6" xfId="2887"/>
    <cellStyle name="Ввод  3 6 2" xfId="5064"/>
    <cellStyle name="Ввод  3 6 3" xfId="10300"/>
    <cellStyle name="Ввод  3 7" xfId="2888"/>
    <cellStyle name="Ввод  3 7 2" xfId="5065"/>
    <cellStyle name="Ввод  3 7 3" xfId="10301"/>
    <cellStyle name="Ввод  3 8" xfId="2889"/>
    <cellStyle name="Ввод  3 8 2" xfId="5066"/>
    <cellStyle name="Ввод  3 8 3" xfId="10302"/>
    <cellStyle name="Ввод  3 9" xfId="2890"/>
    <cellStyle name="Ввод  3 9 2" xfId="5067"/>
    <cellStyle name="Ввод  3 9 3" xfId="10303"/>
    <cellStyle name="Ввод  3_46EE.2011(v1.0)" xfId="2891"/>
    <cellStyle name="Ввод  4" xfId="2892"/>
    <cellStyle name="Ввод  4 2" xfId="2893"/>
    <cellStyle name="Ввод  4 3" xfId="2894"/>
    <cellStyle name="Ввод  4_46EE.2011(v1.0)" xfId="2895"/>
    <cellStyle name="Ввод  5" xfId="2896"/>
    <cellStyle name="Ввод  5 2" xfId="2897"/>
    <cellStyle name="Ввод  5 3" xfId="2898"/>
    <cellStyle name="Ввод  5_46EE.2011(v1.0)" xfId="2899"/>
    <cellStyle name="Ввод  6" xfId="2900"/>
    <cellStyle name="Ввод  6 2" xfId="2901"/>
    <cellStyle name="Ввод  6 3" xfId="2902"/>
    <cellStyle name="Ввод  6_46EE.2011(v1.0)" xfId="2903"/>
    <cellStyle name="Ввод  7" xfId="2904"/>
    <cellStyle name="Ввод  7 2" xfId="2905"/>
    <cellStyle name="Ввод  7 3" xfId="2906"/>
    <cellStyle name="Ввод  7_46EE.2011(v1.0)" xfId="2907"/>
    <cellStyle name="Ввод  8" xfId="2908"/>
    <cellStyle name="Ввод  8 2" xfId="2909"/>
    <cellStyle name="Ввод  8 3" xfId="2910"/>
    <cellStyle name="Ввод  8_46EE.2011(v1.0)" xfId="2911"/>
    <cellStyle name="Ввод  9" xfId="2912"/>
    <cellStyle name="Ввод  9 2" xfId="2913"/>
    <cellStyle name="Ввод  9 3" xfId="2914"/>
    <cellStyle name="Ввод  9_46EE.2011(v1.0)" xfId="2915"/>
    <cellStyle name="Верт. заголовок" xfId="2916"/>
    <cellStyle name="Вес_продукта" xfId="2917"/>
    <cellStyle name="Вывод 10" xfId="2918"/>
    <cellStyle name="Вывод 11" xfId="5068"/>
    <cellStyle name="Вывод 12" xfId="8929"/>
    <cellStyle name="Вывод 2" xfId="2919"/>
    <cellStyle name="Вывод 2 10" xfId="2920"/>
    <cellStyle name="Вывод 2 10 2" xfId="5070"/>
    <cellStyle name="Вывод 2 10 3" xfId="10306"/>
    <cellStyle name="Вывод 2 11" xfId="5069"/>
    <cellStyle name="Вывод 2 12" xfId="8930"/>
    <cellStyle name="Вывод 2 2" xfId="2921"/>
    <cellStyle name="Вывод 2 2 2" xfId="2922"/>
    <cellStyle name="Вывод 2 2 3" xfId="5071"/>
    <cellStyle name="Вывод 2 2 4" xfId="8931"/>
    <cellStyle name="Вывод 2 3" xfId="2923"/>
    <cellStyle name="Вывод 2 3 2" xfId="5072"/>
    <cellStyle name="Вывод 2 3 3" xfId="10308"/>
    <cellStyle name="Вывод 2 4" xfId="2924"/>
    <cellStyle name="Вывод 2 4 2" xfId="5073"/>
    <cellStyle name="Вывод 2 4 3" xfId="10309"/>
    <cellStyle name="Вывод 2 5" xfId="2925"/>
    <cellStyle name="Вывод 2 5 2" xfId="5074"/>
    <cellStyle name="Вывод 2 5 3" xfId="10310"/>
    <cellStyle name="Вывод 2 6" xfId="2926"/>
    <cellStyle name="Вывод 2 6 2" xfId="5075"/>
    <cellStyle name="Вывод 2 6 3" xfId="10311"/>
    <cellStyle name="Вывод 2 7" xfId="2927"/>
    <cellStyle name="Вывод 2 7 2" xfId="5076"/>
    <cellStyle name="Вывод 2 7 3" xfId="10312"/>
    <cellStyle name="Вывод 2 8" xfId="2928"/>
    <cellStyle name="Вывод 2 8 2" xfId="5077"/>
    <cellStyle name="Вывод 2 8 3" xfId="10313"/>
    <cellStyle name="Вывод 2 9" xfId="2929"/>
    <cellStyle name="Вывод 2 9 2" xfId="5078"/>
    <cellStyle name="Вывод 2 9 3" xfId="10314"/>
    <cellStyle name="Вывод 2_46EE.2011(v1.0)" xfId="2930"/>
    <cellStyle name="Вывод 3" xfId="2931"/>
    <cellStyle name="Вывод 3 10" xfId="2932"/>
    <cellStyle name="Вывод 3 10 2" xfId="5080"/>
    <cellStyle name="Вывод 3 10 3" xfId="10316"/>
    <cellStyle name="Вывод 3 11" xfId="2933"/>
    <cellStyle name="Вывод 3 12" xfId="5079"/>
    <cellStyle name="Вывод 3 13" xfId="8932"/>
    <cellStyle name="Вывод 3 2" xfId="2934"/>
    <cellStyle name="Вывод 3 2 2" xfId="5081"/>
    <cellStyle name="Вывод 3 2 3" xfId="8933"/>
    <cellStyle name="Вывод 3 3" xfId="2935"/>
    <cellStyle name="Вывод 3 3 2" xfId="5082"/>
    <cellStyle name="Вывод 3 3 3" xfId="10318"/>
    <cellStyle name="Вывод 3 4" xfId="2936"/>
    <cellStyle name="Вывод 3 4 2" xfId="5083"/>
    <cellStyle name="Вывод 3 4 3" xfId="10319"/>
    <cellStyle name="Вывод 3 5" xfId="2937"/>
    <cellStyle name="Вывод 3 5 2" xfId="5084"/>
    <cellStyle name="Вывод 3 5 3" xfId="10320"/>
    <cellStyle name="Вывод 3 6" xfId="2938"/>
    <cellStyle name="Вывод 3 6 2" xfId="5085"/>
    <cellStyle name="Вывод 3 6 3" xfId="10321"/>
    <cellStyle name="Вывод 3 7" xfId="2939"/>
    <cellStyle name="Вывод 3 7 2" xfId="5086"/>
    <cellStyle name="Вывод 3 7 3" xfId="10322"/>
    <cellStyle name="Вывод 3 8" xfId="2940"/>
    <cellStyle name="Вывод 3 8 2" xfId="5087"/>
    <cellStyle name="Вывод 3 8 3" xfId="10323"/>
    <cellStyle name="Вывод 3 9" xfId="2941"/>
    <cellStyle name="Вывод 3 9 2" xfId="5088"/>
    <cellStyle name="Вывод 3 9 3" xfId="10324"/>
    <cellStyle name="Вывод 3_46EE.2011(v1.0)" xfId="2942"/>
    <cellStyle name="Вывод 4" xfId="2943"/>
    <cellStyle name="Вывод 4 2" xfId="2944"/>
    <cellStyle name="Вывод 4_46EE.2011(v1.0)" xfId="2945"/>
    <cellStyle name="Вывод 5" xfId="2946"/>
    <cellStyle name="Вывод 5 2" xfId="2947"/>
    <cellStyle name="Вывод 5_46EE.2011(v1.0)" xfId="2948"/>
    <cellStyle name="Вывод 6" xfId="2949"/>
    <cellStyle name="Вывод 6 2" xfId="2950"/>
    <cellStyle name="Вывод 6_46EE.2011(v1.0)" xfId="2951"/>
    <cellStyle name="Вывод 7" xfId="2952"/>
    <cellStyle name="Вывод 7 2" xfId="2953"/>
    <cellStyle name="Вывод 7_46EE.2011(v1.0)" xfId="2954"/>
    <cellStyle name="Вывод 8" xfId="2955"/>
    <cellStyle name="Вывод 8 2" xfId="2956"/>
    <cellStyle name="Вывод 8_46EE.2011(v1.0)" xfId="2957"/>
    <cellStyle name="Вывод 9" xfId="2958"/>
    <cellStyle name="Вывод 9 2" xfId="2959"/>
    <cellStyle name="Вывод 9_46EE.2011(v1.0)" xfId="2960"/>
    <cellStyle name="Вычисление 10" xfId="2961"/>
    <cellStyle name="Вычисление 11" xfId="5089"/>
    <cellStyle name="Вычисление 12" xfId="8934"/>
    <cellStyle name="Вычисление 2" xfId="2962"/>
    <cellStyle name="Вычисление 2 10" xfId="2963"/>
    <cellStyle name="Вычисление 2 10 2" xfId="5091"/>
    <cellStyle name="Вычисление 2 10 3" xfId="10327"/>
    <cellStyle name="Вычисление 2 11" xfId="5090"/>
    <cellStyle name="Вычисление 2 12" xfId="8935"/>
    <cellStyle name="Вычисление 2 2" xfId="2964"/>
    <cellStyle name="Вычисление 2 2 2" xfId="2965"/>
    <cellStyle name="Вычисление 2 2 3" xfId="5092"/>
    <cellStyle name="Вычисление 2 2 4" xfId="8936"/>
    <cellStyle name="Вычисление 2 3" xfId="2966"/>
    <cellStyle name="Вычисление 2 3 2" xfId="5093"/>
    <cellStyle name="Вычисление 2 3 3" xfId="10329"/>
    <cellStyle name="Вычисление 2 4" xfId="2967"/>
    <cellStyle name="Вычисление 2 4 2" xfId="5094"/>
    <cellStyle name="Вычисление 2 4 3" xfId="10330"/>
    <cellStyle name="Вычисление 2 5" xfId="2968"/>
    <cellStyle name="Вычисление 2 5 2" xfId="5095"/>
    <cellStyle name="Вычисление 2 5 3" xfId="10331"/>
    <cellStyle name="Вычисление 2 6" xfId="2969"/>
    <cellStyle name="Вычисление 2 6 2" xfId="5096"/>
    <cellStyle name="Вычисление 2 6 3" xfId="10332"/>
    <cellStyle name="Вычисление 2 7" xfId="2970"/>
    <cellStyle name="Вычисление 2 7 2" xfId="5097"/>
    <cellStyle name="Вычисление 2 7 3" xfId="10333"/>
    <cellStyle name="Вычисление 2 8" xfId="2971"/>
    <cellStyle name="Вычисление 2 8 2" xfId="5098"/>
    <cellStyle name="Вычисление 2 8 3" xfId="10334"/>
    <cellStyle name="Вычисление 2 9" xfId="2972"/>
    <cellStyle name="Вычисление 2 9 2" xfId="5099"/>
    <cellStyle name="Вычисление 2 9 3" xfId="10335"/>
    <cellStyle name="Вычисление 2_46EE.2011(v1.0)" xfId="2973"/>
    <cellStyle name="Вычисление 3" xfId="2974"/>
    <cellStyle name="Вычисление 3 10" xfId="2975"/>
    <cellStyle name="Вычисление 3 10 2" xfId="5101"/>
    <cellStyle name="Вычисление 3 10 3" xfId="10337"/>
    <cellStyle name="Вычисление 3 11" xfId="2976"/>
    <cellStyle name="Вычисление 3 12" xfId="5100"/>
    <cellStyle name="Вычисление 3 13" xfId="8937"/>
    <cellStyle name="Вычисление 3 2" xfId="2977"/>
    <cellStyle name="Вычисление 3 2 2" xfId="5102"/>
    <cellStyle name="Вычисление 3 2 3" xfId="8938"/>
    <cellStyle name="Вычисление 3 3" xfId="2978"/>
    <cellStyle name="Вычисление 3 3 2" xfId="5103"/>
    <cellStyle name="Вычисление 3 3 3" xfId="10339"/>
    <cellStyle name="Вычисление 3 4" xfId="2979"/>
    <cellStyle name="Вычисление 3 4 2" xfId="5104"/>
    <cellStyle name="Вычисление 3 4 3" xfId="10340"/>
    <cellStyle name="Вычисление 3 5" xfId="2980"/>
    <cellStyle name="Вычисление 3 5 2" xfId="5105"/>
    <cellStyle name="Вычисление 3 5 3" xfId="10341"/>
    <cellStyle name="Вычисление 3 6" xfId="2981"/>
    <cellStyle name="Вычисление 3 6 2" xfId="5106"/>
    <cellStyle name="Вычисление 3 6 3" xfId="10342"/>
    <cellStyle name="Вычисление 3 7" xfId="2982"/>
    <cellStyle name="Вычисление 3 7 2" xfId="5107"/>
    <cellStyle name="Вычисление 3 7 3" xfId="10343"/>
    <cellStyle name="Вычисление 3 8" xfId="2983"/>
    <cellStyle name="Вычисление 3 8 2" xfId="5108"/>
    <cellStyle name="Вычисление 3 8 3" xfId="10344"/>
    <cellStyle name="Вычисление 3 9" xfId="2984"/>
    <cellStyle name="Вычисление 3 9 2" xfId="5109"/>
    <cellStyle name="Вычисление 3 9 3" xfId="10345"/>
    <cellStyle name="Вычисление 3_46EE.2011(v1.0)" xfId="2985"/>
    <cellStyle name="Вычисление 4" xfId="2986"/>
    <cellStyle name="Вычисление 4 2" xfId="2987"/>
    <cellStyle name="Вычисление 4_46EE.2011(v1.0)" xfId="2988"/>
    <cellStyle name="Вычисление 5" xfId="2989"/>
    <cellStyle name="Вычисление 5 2" xfId="2990"/>
    <cellStyle name="Вычисление 5_46EE.2011(v1.0)" xfId="2991"/>
    <cellStyle name="Вычисление 6" xfId="2992"/>
    <cellStyle name="Вычисление 6 2" xfId="2993"/>
    <cellStyle name="Вычисление 6_46EE.2011(v1.0)" xfId="2994"/>
    <cellStyle name="Вычисление 7" xfId="2995"/>
    <cellStyle name="Вычисление 7 2" xfId="2996"/>
    <cellStyle name="Вычисление 7_46EE.2011(v1.0)" xfId="2997"/>
    <cellStyle name="Вычисление 8" xfId="2998"/>
    <cellStyle name="Вычисление 8 2" xfId="2999"/>
    <cellStyle name="Вычисление 8_46EE.2011(v1.0)" xfId="3000"/>
    <cellStyle name="Вычисление 9" xfId="3001"/>
    <cellStyle name="Вычисление 9 2" xfId="3002"/>
    <cellStyle name="Вычисление 9_46EE.2011(v1.0)" xfId="3003"/>
    <cellStyle name="Гиперссылка 2" xfId="3004"/>
    <cellStyle name="Гиперссылка 2 10" xfId="3005"/>
    <cellStyle name="Гиперссылка 2 11" xfId="3006"/>
    <cellStyle name="Гиперссылка 2 12" xfId="3007"/>
    <cellStyle name="Гиперссылка 2 13" xfId="3008"/>
    <cellStyle name="Гиперссылка 2 14" xfId="3009"/>
    <cellStyle name="Гиперссылка 2 15" xfId="3010"/>
    <cellStyle name="Гиперссылка 2 16" xfId="3011"/>
    <cellStyle name="Гиперссылка 2 17" xfId="3012"/>
    <cellStyle name="Гиперссылка 2 2" xfId="3013"/>
    <cellStyle name="Гиперссылка 2 2 10" xfId="3014"/>
    <cellStyle name="Гиперссылка 2 2 11" xfId="3015"/>
    <cellStyle name="Гиперссылка 2 2 12" xfId="3016"/>
    <cellStyle name="Гиперссылка 2 2 13" xfId="3017"/>
    <cellStyle name="Гиперссылка 2 2 14" xfId="3018"/>
    <cellStyle name="Гиперссылка 2 2 15" xfId="3019"/>
    <cellStyle name="Гиперссылка 2 2 16" xfId="3020"/>
    <cellStyle name="Гиперссылка 2 2 17" xfId="3021"/>
    <cellStyle name="Гиперссылка 2 2 2" xfId="3022"/>
    <cellStyle name="Гиперссылка 2 2 2 2" xfId="3023"/>
    <cellStyle name="Гиперссылка 2 2 2 3" xfId="3024"/>
    <cellStyle name="Гиперссылка 2 2 3" xfId="3025"/>
    <cellStyle name="Гиперссылка 2 2 4" xfId="3026"/>
    <cellStyle name="Гиперссылка 2 2 5" xfId="3027"/>
    <cellStyle name="Гиперссылка 2 2 6" xfId="3028"/>
    <cellStyle name="Гиперссылка 2 2 7" xfId="3029"/>
    <cellStyle name="Гиперссылка 2 2 8" xfId="3030"/>
    <cellStyle name="Гиперссылка 2 2 9" xfId="3031"/>
    <cellStyle name="Гиперссылка 2 3" xfId="3032"/>
    <cellStyle name="Гиперссылка 2 4" xfId="3033"/>
    <cellStyle name="Гиперссылка 2 5" xfId="3034"/>
    <cellStyle name="Гиперссылка 2 6" xfId="3035"/>
    <cellStyle name="Гиперссылка 2 7" xfId="3036"/>
    <cellStyle name="Гиперссылка 2 8" xfId="3037"/>
    <cellStyle name="Гиперссылка 2 9" xfId="3038"/>
    <cellStyle name="Гиперссылка 3" xfId="3039"/>
    <cellStyle name="Гиперссылка 3 2" xfId="3040"/>
    <cellStyle name="Гиперссылка 4" xfId="3041"/>
    <cellStyle name="Гиперссылка 4 2" xfId="3042"/>
    <cellStyle name="Группа" xfId="3043"/>
    <cellStyle name="Группа 0" xfId="3044"/>
    <cellStyle name="Группа 1" xfId="3045"/>
    <cellStyle name="Группа 2" xfId="3046"/>
    <cellStyle name="Группа 3" xfId="3047"/>
    <cellStyle name="Группа 4" xfId="3048"/>
    <cellStyle name="Группа 5" xfId="3049"/>
    <cellStyle name="Группа 6" xfId="3050"/>
    <cellStyle name="Группа 7" xfId="3051"/>
    <cellStyle name="Группа 8" xfId="3052"/>
    <cellStyle name="Группа_4DNS.UPDATE.EXAMPLE" xfId="3053"/>
    <cellStyle name="ДАТА" xfId="3054"/>
    <cellStyle name="ДАТА 2" xfId="3055"/>
    <cellStyle name="ДАТА 3" xfId="3056"/>
    <cellStyle name="ДАТА 4" xfId="3057"/>
    <cellStyle name="ДАТА 5" xfId="3058"/>
    <cellStyle name="ДАТА 6" xfId="3059"/>
    <cellStyle name="ДАТА 7" xfId="3060"/>
    <cellStyle name="ДАТА 8" xfId="3061"/>
    <cellStyle name="ДАТА 9" xfId="3062"/>
    <cellStyle name="ДАТА_1" xfId="3063"/>
    <cellStyle name="Денежный 2" xfId="3064"/>
    <cellStyle name="Денежный 2 2" xfId="3065"/>
    <cellStyle name="Денежный 2 2 2" xfId="3066"/>
    <cellStyle name="Денежный 2_INDEX.STATION.2012(v1.0)_" xfId="3067"/>
    <cellStyle name="Є_x0004_ЄЄЄЄ_x0004_ЄЄ_x0004_" xfId="3068"/>
    <cellStyle name="Є_x0004_ЄЄЄЄ_x0004_ЄЄ_x0004_ 2" xfId="3069"/>
    <cellStyle name="Заголовок" xfId="3070"/>
    <cellStyle name="Заголовок 1 10" xfId="3071"/>
    <cellStyle name="Заголовок 1 11" xfId="5110"/>
    <cellStyle name="Заголовок 1 12" xfId="8939"/>
    <cellStyle name="Заголовок 1 2" xfId="3072"/>
    <cellStyle name="Заголовок 1 2 10" xfId="3073"/>
    <cellStyle name="Заголовок 1 2 10 2" xfId="5112"/>
    <cellStyle name="Заголовок 1 2 10 3" xfId="10348"/>
    <cellStyle name="Заголовок 1 2 11" xfId="5111"/>
    <cellStyle name="Заголовок 1 2 12" xfId="8940"/>
    <cellStyle name="Заголовок 1 2 2" xfId="3074"/>
    <cellStyle name="Заголовок 1 2 2 2" xfId="3075"/>
    <cellStyle name="Заголовок 1 2 2 3" xfId="5113"/>
    <cellStyle name="Заголовок 1 2 2 4" xfId="8941"/>
    <cellStyle name="Заголовок 1 2 3" xfId="3076"/>
    <cellStyle name="Заголовок 1 2 3 2" xfId="5114"/>
    <cellStyle name="Заголовок 1 2 3 3" xfId="10350"/>
    <cellStyle name="Заголовок 1 2 4" xfId="3077"/>
    <cellStyle name="Заголовок 1 2 4 2" xfId="5115"/>
    <cellStyle name="Заголовок 1 2 4 3" xfId="10351"/>
    <cellStyle name="Заголовок 1 2 5" xfId="3078"/>
    <cellStyle name="Заголовок 1 2 5 2" xfId="5116"/>
    <cellStyle name="Заголовок 1 2 5 3" xfId="10352"/>
    <cellStyle name="Заголовок 1 2 6" xfId="3079"/>
    <cellStyle name="Заголовок 1 2 6 2" xfId="5117"/>
    <cellStyle name="Заголовок 1 2 6 3" xfId="10353"/>
    <cellStyle name="Заголовок 1 2 7" xfId="3080"/>
    <cellStyle name="Заголовок 1 2 7 2" xfId="5118"/>
    <cellStyle name="Заголовок 1 2 7 3" xfId="10354"/>
    <cellStyle name="Заголовок 1 2 8" xfId="3081"/>
    <cellStyle name="Заголовок 1 2 8 2" xfId="5119"/>
    <cellStyle name="Заголовок 1 2 8 3" xfId="10355"/>
    <cellStyle name="Заголовок 1 2 9" xfId="3082"/>
    <cellStyle name="Заголовок 1 2 9 2" xfId="5120"/>
    <cellStyle name="Заголовок 1 2 9 3" xfId="10356"/>
    <cellStyle name="Заголовок 1 2_46EE.2011(v1.0)" xfId="3083"/>
    <cellStyle name="Заголовок 1 3" xfId="3084"/>
    <cellStyle name="Заголовок 1 3 10" xfId="3085"/>
    <cellStyle name="Заголовок 1 3 10 2" xfId="5122"/>
    <cellStyle name="Заголовок 1 3 10 3" xfId="10358"/>
    <cellStyle name="Заголовок 1 3 11" xfId="3086"/>
    <cellStyle name="Заголовок 1 3 12" xfId="5121"/>
    <cellStyle name="Заголовок 1 3 13" xfId="8942"/>
    <cellStyle name="Заголовок 1 3 2" xfId="3087"/>
    <cellStyle name="Заголовок 1 3 2 2" xfId="5123"/>
    <cellStyle name="Заголовок 1 3 2 3" xfId="8943"/>
    <cellStyle name="Заголовок 1 3 3" xfId="3088"/>
    <cellStyle name="Заголовок 1 3 3 2" xfId="5124"/>
    <cellStyle name="Заголовок 1 3 3 3" xfId="10360"/>
    <cellStyle name="Заголовок 1 3 4" xfId="3089"/>
    <cellStyle name="Заголовок 1 3 4 2" xfId="5125"/>
    <cellStyle name="Заголовок 1 3 4 3" xfId="10361"/>
    <cellStyle name="Заголовок 1 3 5" xfId="3090"/>
    <cellStyle name="Заголовок 1 3 5 2" xfId="5126"/>
    <cellStyle name="Заголовок 1 3 5 3" xfId="10362"/>
    <cellStyle name="Заголовок 1 3 6" xfId="3091"/>
    <cellStyle name="Заголовок 1 3 6 2" xfId="5127"/>
    <cellStyle name="Заголовок 1 3 6 3" xfId="10363"/>
    <cellStyle name="Заголовок 1 3 7" xfId="3092"/>
    <cellStyle name="Заголовок 1 3 7 2" xfId="5128"/>
    <cellStyle name="Заголовок 1 3 7 3" xfId="10364"/>
    <cellStyle name="Заголовок 1 3 8" xfId="3093"/>
    <cellStyle name="Заголовок 1 3 8 2" xfId="5129"/>
    <cellStyle name="Заголовок 1 3 8 3" xfId="10365"/>
    <cellStyle name="Заголовок 1 3 9" xfId="3094"/>
    <cellStyle name="Заголовок 1 3 9 2" xfId="5130"/>
    <cellStyle name="Заголовок 1 3 9 3" xfId="10366"/>
    <cellStyle name="Заголовок 1 3_46EE.2011(v1.0)" xfId="3095"/>
    <cellStyle name="Заголовок 1 4" xfId="3096"/>
    <cellStyle name="Заголовок 1 4 2" xfId="3097"/>
    <cellStyle name="Заголовок 1 4_46EE.2011(v1.0)" xfId="3098"/>
    <cellStyle name="Заголовок 1 5" xfId="3099"/>
    <cellStyle name="Заголовок 1 5 2" xfId="3100"/>
    <cellStyle name="Заголовок 1 5_46EE.2011(v1.0)" xfId="3101"/>
    <cellStyle name="Заголовок 1 6" xfId="3102"/>
    <cellStyle name="Заголовок 1 6 2" xfId="3103"/>
    <cellStyle name="Заголовок 1 6_46EE.2011(v1.0)" xfId="3104"/>
    <cellStyle name="Заголовок 1 7" xfId="3105"/>
    <cellStyle name="Заголовок 1 7 2" xfId="3106"/>
    <cellStyle name="Заголовок 1 7_46EE.2011(v1.0)" xfId="3107"/>
    <cellStyle name="Заголовок 1 8" xfId="3108"/>
    <cellStyle name="Заголовок 1 8 2" xfId="3109"/>
    <cellStyle name="Заголовок 1 8_46EE.2011(v1.0)" xfId="3110"/>
    <cellStyle name="Заголовок 1 9" xfId="3111"/>
    <cellStyle name="Заголовок 1 9 2" xfId="3112"/>
    <cellStyle name="Заголовок 1 9_46EE.2011(v1.0)" xfId="3113"/>
    <cellStyle name="Заголовок 2 10" xfId="3114"/>
    <cellStyle name="Заголовок 2 11" xfId="3115"/>
    <cellStyle name="Заголовок 2 12" xfId="5131"/>
    <cellStyle name="Заголовок 2 13" xfId="8944"/>
    <cellStyle name="Заголовок 2 2" xfId="3116"/>
    <cellStyle name="Заголовок 2 2 10" xfId="3117"/>
    <cellStyle name="Заголовок 2 2 10 2" xfId="5133"/>
    <cellStyle name="Заголовок 2 2 10 3" xfId="10369"/>
    <cellStyle name="Заголовок 2 2 11" xfId="5132"/>
    <cellStyle name="Заголовок 2 2 12" xfId="8945"/>
    <cellStyle name="Заголовок 2 2 2" xfId="3118"/>
    <cellStyle name="Заголовок 2 2 2 2" xfId="3119"/>
    <cellStyle name="Заголовок 2 2 2 3" xfId="5134"/>
    <cellStyle name="Заголовок 2 2 2 4" xfId="8946"/>
    <cellStyle name="Заголовок 2 2 3" xfId="3120"/>
    <cellStyle name="Заголовок 2 2 3 2" xfId="5135"/>
    <cellStyle name="Заголовок 2 2 3 3" xfId="10371"/>
    <cellStyle name="Заголовок 2 2 4" xfId="3121"/>
    <cellStyle name="Заголовок 2 2 4 2" xfId="5136"/>
    <cellStyle name="Заголовок 2 2 4 3" xfId="10372"/>
    <cellStyle name="Заголовок 2 2 5" xfId="3122"/>
    <cellStyle name="Заголовок 2 2 5 2" xfId="5137"/>
    <cellStyle name="Заголовок 2 2 5 3" xfId="10373"/>
    <cellStyle name="Заголовок 2 2 6" xfId="3123"/>
    <cellStyle name="Заголовок 2 2 6 2" xfId="5138"/>
    <cellStyle name="Заголовок 2 2 6 3" xfId="10374"/>
    <cellStyle name="Заголовок 2 2 7" xfId="3124"/>
    <cellStyle name="Заголовок 2 2 7 2" xfId="5139"/>
    <cellStyle name="Заголовок 2 2 7 3" xfId="10375"/>
    <cellStyle name="Заголовок 2 2 8" xfId="3125"/>
    <cellStyle name="Заголовок 2 2 8 2" xfId="5140"/>
    <cellStyle name="Заголовок 2 2 8 3" xfId="10376"/>
    <cellStyle name="Заголовок 2 2 9" xfId="3126"/>
    <cellStyle name="Заголовок 2 2 9 2" xfId="5141"/>
    <cellStyle name="Заголовок 2 2 9 3" xfId="10377"/>
    <cellStyle name="Заголовок 2 2_46EE.2011(v1.0)" xfId="3127"/>
    <cellStyle name="Заголовок 2 3" xfId="3128"/>
    <cellStyle name="Заголовок 2 3 10" xfId="3129"/>
    <cellStyle name="Заголовок 2 3 10 2" xfId="5143"/>
    <cellStyle name="Заголовок 2 3 10 3" xfId="10379"/>
    <cellStyle name="Заголовок 2 3 11" xfId="3130"/>
    <cellStyle name="Заголовок 2 3 12" xfId="5142"/>
    <cellStyle name="Заголовок 2 3 13" xfId="8947"/>
    <cellStyle name="Заголовок 2 3 2" xfId="3131"/>
    <cellStyle name="Заголовок 2 3 2 2" xfId="5144"/>
    <cellStyle name="Заголовок 2 3 2 3" xfId="8948"/>
    <cellStyle name="Заголовок 2 3 3" xfId="3132"/>
    <cellStyle name="Заголовок 2 3 3 2" xfId="5145"/>
    <cellStyle name="Заголовок 2 3 3 3" xfId="10381"/>
    <cellStyle name="Заголовок 2 3 4" xfId="3133"/>
    <cellStyle name="Заголовок 2 3 4 2" xfId="5146"/>
    <cellStyle name="Заголовок 2 3 4 3" xfId="10382"/>
    <cellStyle name="Заголовок 2 3 5" xfId="3134"/>
    <cellStyle name="Заголовок 2 3 5 2" xfId="5147"/>
    <cellStyle name="Заголовок 2 3 5 3" xfId="10383"/>
    <cellStyle name="Заголовок 2 3 6" xfId="3135"/>
    <cellStyle name="Заголовок 2 3 6 2" xfId="5148"/>
    <cellStyle name="Заголовок 2 3 6 3" xfId="10384"/>
    <cellStyle name="Заголовок 2 3 7" xfId="3136"/>
    <cellStyle name="Заголовок 2 3 7 2" xfId="5149"/>
    <cellStyle name="Заголовок 2 3 7 3" xfId="10385"/>
    <cellStyle name="Заголовок 2 3 8" xfId="3137"/>
    <cellStyle name="Заголовок 2 3 8 2" xfId="5150"/>
    <cellStyle name="Заголовок 2 3 8 3" xfId="10386"/>
    <cellStyle name="Заголовок 2 3 9" xfId="3138"/>
    <cellStyle name="Заголовок 2 3 9 2" xfId="5151"/>
    <cellStyle name="Заголовок 2 3 9 3" xfId="10387"/>
    <cellStyle name="Заголовок 2 3_46EE.2011(v1.0)" xfId="3139"/>
    <cellStyle name="Заголовок 2 4" xfId="3140"/>
    <cellStyle name="Заголовок 2 4 2" xfId="3141"/>
    <cellStyle name="Заголовок 2 4_46EE.2011(v1.0)" xfId="3142"/>
    <cellStyle name="Заголовок 2 5" xfId="3143"/>
    <cellStyle name="Заголовок 2 5 2" xfId="3144"/>
    <cellStyle name="Заголовок 2 5_46EE.2011(v1.0)" xfId="3145"/>
    <cellStyle name="Заголовок 2 6" xfId="3146"/>
    <cellStyle name="Заголовок 2 6 2" xfId="3147"/>
    <cellStyle name="Заголовок 2 6_46EE.2011(v1.0)" xfId="3148"/>
    <cellStyle name="Заголовок 2 7" xfId="3149"/>
    <cellStyle name="Заголовок 2 7 2" xfId="3150"/>
    <cellStyle name="Заголовок 2 7_46EE.2011(v1.0)" xfId="3151"/>
    <cellStyle name="Заголовок 2 8" xfId="3152"/>
    <cellStyle name="Заголовок 2 8 2" xfId="3153"/>
    <cellStyle name="Заголовок 2 8_46EE.2011(v1.0)" xfId="3154"/>
    <cellStyle name="Заголовок 2 9" xfId="3155"/>
    <cellStyle name="Заголовок 2 9 2" xfId="3156"/>
    <cellStyle name="Заголовок 2 9_46EE.2011(v1.0)" xfId="3157"/>
    <cellStyle name="Заголовок 3 10" xfId="3158"/>
    <cellStyle name="Заголовок 3 11" xfId="3159"/>
    <cellStyle name="Заголовок 3 12" xfId="5152"/>
    <cellStyle name="Заголовок 3 13" xfId="8949"/>
    <cellStyle name="Заголовок 3 2" xfId="3160"/>
    <cellStyle name="Заголовок 3 2 10" xfId="3161"/>
    <cellStyle name="Заголовок 3 2 10 2" xfId="5154"/>
    <cellStyle name="Заголовок 3 2 10 3" xfId="10390"/>
    <cellStyle name="Заголовок 3 2 11" xfId="5153"/>
    <cellStyle name="Заголовок 3 2 12" xfId="8950"/>
    <cellStyle name="Заголовок 3 2 2" xfId="3162"/>
    <cellStyle name="Заголовок 3 2 2 2" xfId="3163"/>
    <cellStyle name="Заголовок 3 2 2 3" xfId="5155"/>
    <cellStyle name="Заголовок 3 2 2 4" xfId="8951"/>
    <cellStyle name="Заголовок 3 2 3" xfId="3164"/>
    <cellStyle name="Заголовок 3 2 3 2" xfId="5156"/>
    <cellStyle name="Заголовок 3 2 3 3" xfId="10392"/>
    <cellStyle name="Заголовок 3 2 4" xfId="3165"/>
    <cellStyle name="Заголовок 3 2 4 2" xfId="5157"/>
    <cellStyle name="Заголовок 3 2 4 3" xfId="10393"/>
    <cellStyle name="Заголовок 3 2 5" xfId="3166"/>
    <cellStyle name="Заголовок 3 2 5 2" xfId="5158"/>
    <cellStyle name="Заголовок 3 2 5 3" xfId="10394"/>
    <cellStyle name="Заголовок 3 2 6" xfId="3167"/>
    <cellStyle name="Заголовок 3 2 6 2" xfId="5159"/>
    <cellStyle name="Заголовок 3 2 6 3" xfId="10395"/>
    <cellStyle name="Заголовок 3 2 7" xfId="3168"/>
    <cellStyle name="Заголовок 3 2 7 2" xfId="5160"/>
    <cellStyle name="Заголовок 3 2 7 3" xfId="10396"/>
    <cellStyle name="Заголовок 3 2 8" xfId="3169"/>
    <cellStyle name="Заголовок 3 2 8 2" xfId="5161"/>
    <cellStyle name="Заголовок 3 2 8 3" xfId="10397"/>
    <cellStyle name="Заголовок 3 2 9" xfId="3170"/>
    <cellStyle name="Заголовок 3 2 9 2" xfId="5162"/>
    <cellStyle name="Заголовок 3 2 9 3" xfId="10398"/>
    <cellStyle name="Заголовок 3 2_46EE.2011(v1.0)" xfId="3171"/>
    <cellStyle name="Заголовок 3 3" xfId="3172"/>
    <cellStyle name="Заголовок 3 3 10" xfId="3173"/>
    <cellStyle name="Заголовок 3 3 10 2" xfId="5164"/>
    <cellStyle name="Заголовок 3 3 10 3" xfId="10400"/>
    <cellStyle name="Заголовок 3 3 11" xfId="3174"/>
    <cellStyle name="Заголовок 3 3 12" xfId="5163"/>
    <cellStyle name="Заголовок 3 3 13" xfId="8952"/>
    <cellStyle name="Заголовок 3 3 2" xfId="3175"/>
    <cellStyle name="Заголовок 3 3 2 2" xfId="5165"/>
    <cellStyle name="Заголовок 3 3 2 3" xfId="8953"/>
    <cellStyle name="Заголовок 3 3 3" xfId="3176"/>
    <cellStyle name="Заголовок 3 3 3 2" xfId="5166"/>
    <cellStyle name="Заголовок 3 3 3 3" xfId="10402"/>
    <cellStyle name="Заголовок 3 3 4" xfId="3177"/>
    <cellStyle name="Заголовок 3 3 4 2" xfId="5167"/>
    <cellStyle name="Заголовок 3 3 4 3" xfId="10403"/>
    <cellStyle name="Заголовок 3 3 5" xfId="3178"/>
    <cellStyle name="Заголовок 3 3 5 2" xfId="5168"/>
    <cellStyle name="Заголовок 3 3 5 3" xfId="10404"/>
    <cellStyle name="Заголовок 3 3 6" xfId="3179"/>
    <cellStyle name="Заголовок 3 3 6 2" xfId="5169"/>
    <cellStyle name="Заголовок 3 3 6 3" xfId="10405"/>
    <cellStyle name="Заголовок 3 3 7" xfId="3180"/>
    <cellStyle name="Заголовок 3 3 7 2" xfId="5170"/>
    <cellStyle name="Заголовок 3 3 7 3" xfId="10406"/>
    <cellStyle name="Заголовок 3 3 8" xfId="3181"/>
    <cellStyle name="Заголовок 3 3 8 2" xfId="5171"/>
    <cellStyle name="Заголовок 3 3 8 3" xfId="10407"/>
    <cellStyle name="Заголовок 3 3 9" xfId="3182"/>
    <cellStyle name="Заголовок 3 3 9 2" xfId="5172"/>
    <cellStyle name="Заголовок 3 3 9 3" xfId="10408"/>
    <cellStyle name="Заголовок 3 3_46EE.2011(v1.0)" xfId="3183"/>
    <cellStyle name="Заголовок 3 4" xfId="3184"/>
    <cellStyle name="Заголовок 3 4 2" xfId="3185"/>
    <cellStyle name="Заголовок 3 4_46EE.2011(v1.0)" xfId="3186"/>
    <cellStyle name="Заголовок 3 5" xfId="3187"/>
    <cellStyle name="Заголовок 3 5 2" xfId="3188"/>
    <cellStyle name="Заголовок 3 5_46EE.2011(v1.0)" xfId="3189"/>
    <cellStyle name="Заголовок 3 6" xfId="3190"/>
    <cellStyle name="Заголовок 3 6 2" xfId="3191"/>
    <cellStyle name="Заголовок 3 6_46EE.2011(v1.0)" xfId="3192"/>
    <cellStyle name="Заголовок 3 7" xfId="3193"/>
    <cellStyle name="Заголовок 3 7 2" xfId="3194"/>
    <cellStyle name="Заголовок 3 7_46EE.2011(v1.0)" xfId="3195"/>
    <cellStyle name="Заголовок 3 8" xfId="3196"/>
    <cellStyle name="Заголовок 3 8 2" xfId="3197"/>
    <cellStyle name="Заголовок 3 8_46EE.2011(v1.0)" xfId="3198"/>
    <cellStyle name="Заголовок 3 9" xfId="3199"/>
    <cellStyle name="Заголовок 3 9 2" xfId="3200"/>
    <cellStyle name="Заголовок 3 9_46EE.2011(v1.0)" xfId="3201"/>
    <cellStyle name="Заголовок 4 10" xfId="3202"/>
    <cellStyle name="Заголовок 4 11" xfId="5173"/>
    <cellStyle name="Заголовок 4 12" xfId="8954"/>
    <cellStyle name="Заголовок 4 2" xfId="3203"/>
    <cellStyle name="Заголовок 4 2 10" xfId="3204"/>
    <cellStyle name="Заголовок 4 2 10 2" xfId="5175"/>
    <cellStyle name="Заголовок 4 2 10 3" xfId="10411"/>
    <cellStyle name="Заголовок 4 2 11" xfId="5174"/>
    <cellStyle name="Заголовок 4 2 12" xfId="8955"/>
    <cellStyle name="Заголовок 4 2 2" xfId="3205"/>
    <cellStyle name="Заголовок 4 2 2 2" xfId="3206"/>
    <cellStyle name="Заголовок 4 2 2 3" xfId="5176"/>
    <cellStyle name="Заголовок 4 2 2 4" xfId="8956"/>
    <cellStyle name="Заголовок 4 2 3" xfId="3207"/>
    <cellStyle name="Заголовок 4 2 3 2" xfId="5177"/>
    <cellStyle name="Заголовок 4 2 3 3" xfId="10413"/>
    <cellStyle name="Заголовок 4 2 4" xfId="3208"/>
    <cellStyle name="Заголовок 4 2 4 2" xfId="5178"/>
    <cellStyle name="Заголовок 4 2 4 3" xfId="10414"/>
    <cellStyle name="Заголовок 4 2 5" xfId="3209"/>
    <cellStyle name="Заголовок 4 2 5 2" xfId="5179"/>
    <cellStyle name="Заголовок 4 2 5 3" xfId="10415"/>
    <cellStyle name="Заголовок 4 2 6" xfId="3210"/>
    <cellStyle name="Заголовок 4 2 6 2" xfId="5180"/>
    <cellStyle name="Заголовок 4 2 6 3" xfId="10416"/>
    <cellStyle name="Заголовок 4 2 7" xfId="3211"/>
    <cellStyle name="Заголовок 4 2 7 2" xfId="5181"/>
    <cellStyle name="Заголовок 4 2 7 3" xfId="10417"/>
    <cellStyle name="Заголовок 4 2 8" xfId="3212"/>
    <cellStyle name="Заголовок 4 2 8 2" xfId="5182"/>
    <cellStyle name="Заголовок 4 2 8 3" xfId="10418"/>
    <cellStyle name="Заголовок 4 2 9" xfId="3213"/>
    <cellStyle name="Заголовок 4 2 9 2" xfId="5183"/>
    <cellStyle name="Заголовок 4 2 9 3" xfId="10419"/>
    <cellStyle name="Заголовок 4 2_МФ тепловой баланс 2015 дубль 3" xfId="3214"/>
    <cellStyle name="Заголовок 4 3" xfId="3215"/>
    <cellStyle name="Заголовок 4 3 10" xfId="3216"/>
    <cellStyle name="Заголовок 4 3 10 2" xfId="5185"/>
    <cellStyle name="Заголовок 4 3 10 3" xfId="10421"/>
    <cellStyle name="Заголовок 4 3 11" xfId="3217"/>
    <cellStyle name="Заголовок 4 3 12" xfId="5184"/>
    <cellStyle name="Заголовок 4 3 13" xfId="8957"/>
    <cellStyle name="Заголовок 4 3 2" xfId="3218"/>
    <cellStyle name="Заголовок 4 3 2 2" xfId="5186"/>
    <cellStyle name="Заголовок 4 3 2 3" xfId="8958"/>
    <cellStyle name="Заголовок 4 3 3" xfId="3219"/>
    <cellStyle name="Заголовок 4 3 3 2" xfId="5187"/>
    <cellStyle name="Заголовок 4 3 3 3" xfId="10423"/>
    <cellStyle name="Заголовок 4 3 4" xfId="3220"/>
    <cellStyle name="Заголовок 4 3 4 2" xfId="5188"/>
    <cellStyle name="Заголовок 4 3 4 3" xfId="10424"/>
    <cellStyle name="Заголовок 4 3 5" xfId="3221"/>
    <cellStyle name="Заголовок 4 3 5 2" xfId="5189"/>
    <cellStyle name="Заголовок 4 3 5 3" xfId="10425"/>
    <cellStyle name="Заголовок 4 3 6" xfId="3222"/>
    <cellStyle name="Заголовок 4 3 6 2" xfId="5190"/>
    <cellStyle name="Заголовок 4 3 6 3" xfId="10426"/>
    <cellStyle name="Заголовок 4 3 7" xfId="3223"/>
    <cellStyle name="Заголовок 4 3 7 2" xfId="5191"/>
    <cellStyle name="Заголовок 4 3 7 3" xfId="10427"/>
    <cellStyle name="Заголовок 4 3 8" xfId="3224"/>
    <cellStyle name="Заголовок 4 3 8 2" xfId="5192"/>
    <cellStyle name="Заголовок 4 3 8 3" xfId="10428"/>
    <cellStyle name="Заголовок 4 3 9" xfId="3225"/>
    <cellStyle name="Заголовок 4 3 9 2" xfId="5193"/>
    <cellStyle name="Заголовок 4 3 9 3" xfId="10429"/>
    <cellStyle name="Заголовок 4 3_МФ тепловой баланс 2015 дубль 3" xfId="3226"/>
    <cellStyle name="Заголовок 4 4" xfId="3227"/>
    <cellStyle name="Заголовок 4 4 2" xfId="3228"/>
    <cellStyle name="Заголовок 4 4_МФ тепловой баланс 2015 дубль 3" xfId="3229"/>
    <cellStyle name="Заголовок 4 5" xfId="3230"/>
    <cellStyle name="Заголовок 4 5 2" xfId="3231"/>
    <cellStyle name="Заголовок 4 5_МФ тепловой баланс 2015 дубль 3" xfId="3232"/>
    <cellStyle name="Заголовок 4 6" xfId="3233"/>
    <cellStyle name="Заголовок 4 6 2" xfId="3234"/>
    <cellStyle name="Заголовок 4 6_МФ тепловой баланс 2015 дубль 3" xfId="3235"/>
    <cellStyle name="Заголовок 4 7" xfId="3236"/>
    <cellStyle name="Заголовок 4 7 2" xfId="3237"/>
    <cellStyle name="Заголовок 4 7_МФ тепловой баланс 2015 дубль 3" xfId="3238"/>
    <cellStyle name="Заголовок 4 8" xfId="3239"/>
    <cellStyle name="Заголовок 4 8 2" xfId="3240"/>
    <cellStyle name="Заголовок 4 9" xfId="3241"/>
    <cellStyle name="Заголовок 4 9 2" xfId="3242"/>
    <cellStyle name="Заголовок 5" xfId="3243"/>
    <cellStyle name="Заголовок 6" xfId="3244"/>
    <cellStyle name="ЗАГОЛОВОК1" xfId="3245"/>
    <cellStyle name="ЗАГОЛОВОК2" xfId="3246"/>
    <cellStyle name="ЗаголовокСтолбца" xfId="3247"/>
    <cellStyle name="Защитный" xfId="3248"/>
    <cellStyle name="Значение" xfId="3249"/>
    <cellStyle name="Зоголовок" xfId="3250"/>
    <cellStyle name="Итог 10" xfId="3251"/>
    <cellStyle name="Итог 11" xfId="5194"/>
    <cellStyle name="Итог 12" xfId="8959"/>
    <cellStyle name="Итог 2" xfId="3252"/>
    <cellStyle name="Итог 2 10" xfId="3253"/>
    <cellStyle name="Итог 2 10 2" xfId="5196"/>
    <cellStyle name="Итог 2 10 3" xfId="10432"/>
    <cellStyle name="Итог 2 11" xfId="5195"/>
    <cellStyle name="Итог 2 12" xfId="8960"/>
    <cellStyle name="Итог 2 2" xfId="3254"/>
    <cellStyle name="Итог 2 2 2" xfId="3255"/>
    <cellStyle name="Итог 2 2 3" xfId="5197"/>
    <cellStyle name="Итог 2 2 4" xfId="8961"/>
    <cellStyle name="Итог 2 3" xfId="3256"/>
    <cellStyle name="Итог 2 3 2" xfId="5198"/>
    <cellStyle name="Итог 2 3 3" xfId="10434"/>
    <cellStyle name="Итог 2 4" xfId="3257"/>
    <cellStyle name="Итог 2 4 2" xfId="5199"/>
    <cellStyle name="Итог 2 4 3" xfId="10435"/>
    <cellStyle name="Итог 2 5" xfId="3258"/>
    <cellStyle name="Итог 2 5 2" xfId="5200"/>
    <cellStyle name="Итог 2 5 3" xfId="10436"/>
    <cellStyle name="Итог 2 6" xfId="3259"/>
    <cellStyle name="Итог 2 6 2" xfId="5201"/>
    <cellStyle name="Итог 2 6 3" xfId="10437"/>
    <cellStyle name="Итог 2 7" xfId="3260"/>
    <cellStyle name="Итог 2 7 2" xfId="5202"/>
    <cellStyle name="Итог 2 7 3" xfId="10438"/>
    <cellStyle name="Итог 2 8" xfId="3261"/>
    <cellStyle name="Итог 2 8 2" xfId="5203"/>
    <cellStyle name="Итог 2 8 3" xfId="10439"/>
    <cellStyle name="Итог 2 9" xfId="3262"/>
    <cellStyle name="Итог 2 9 2" xfId="5204"/>
    <cellStyle name="Итог 2 9 3" xfId="10440"/>
    <cellStyle name="Итог 2_46EE.2011(v1.0)" xfId="3263"/>
    <cellStyle name="Итог 3" xfId="3264"/>
    <cellStyle name="Итог 3 10" xfId="3265"/>
    <cellStyle name="Итог 3 10 2" xfId="5206"/>
    <cellStyle name="Итог 3 10 3" xfId="10442"/>
    <cellStyle name="Итог 3 11" xfId="3266"/>
    <cellStyle name="Итог 3 12" xfId="5205"/>
    <cellStyle name="Итог 3 13" xfId="8962"/>
    <cellStyle name="Итог 3 2" xfId="3267"/>
    <cellStyle name="Итог 3 2 2" xfId="5207"/>
    <cellStyle name="Итог 3 2 3" xfId="8963"/>
    <cellStyle name="Итог 3 3" xfId="3268"/>
    <cellStyle name="Итог 3 3 2" xfId="5208"/>
    <cellStyle name="Итог 3 3 3" xfId="10444"/>
    <cellStyle name="Итог 3 4" xfId="3269"/>
    <cellStyle name="Итог 3 4 2" xfId="5209"/>
    <cellStyle name="Итог 3 4 3" xfId="10445"/>
    <cellStyle name="Итог 3 5" xfId="3270"/>
    <cellStyle name="Итог 3 5 2" xfId="5210"/>
    <cellStyle name="Итог 3 5 3" xfId="10446"/>
    <cellStyle name="Итог 3 6" xfId="3271"/>
    <cellStyle name="Итог 3 6 2" xfId="5211"/>
    <cellStyle name="Итог 3 6 3" xfId="10447"/>
    <cellStyle name="Итог 3 7" xfId="3272"/>
    <cellStyle name="Итог 3 7 2" xfId="5212"/>
    <cellStyle name="Итог 3 7 3" xfId="10448"/>
    <cellStyle name="Итог 3 8" xfId="3273"/>
    <cellStyle name="Итог 3 8 2" xfId="5213"/>
    <cellStyle name="Итог 3 8 3" xfId="10449"/>
    <cellStyle name="Итог 3 9" xfId="3274"/>
    <cellStyle name="Итог 3 9 2" xfId="5214"/>
    <cellStyle name="Итог 3 9 3" xfId="10450"/>
    <cellStyle name="Итог 3_46EE.2011(v1.0)" xfId="3275"/>
    <cellStyle name="Итог 4" xfId="3276"/>
    <cellStyle name="Итог 4 2" xfId="3277"/>
    <cellStyle name="Итог 4_46EE.2011(v1.0)" xfId="3278"/>
    <cellStyle name="Итог 5" xfId="3279"/>
    <cellStyle name="Итог 5 2" xfId="3280"/>
    <cellStyle name="Итог 5_46EE.2011(v1.0)" xfId="3281"/>
    <cellStyle name="Итог 6" xfId="3282"/>
    <cellStyle name="Итог 6 2" xfId="3283"/>
    <cellStyle name="Итог 6_46EE.2011(v1.0)" xfId="3284"/>
    <cellStyle name="Итог 7" xfId="3285"/>
    <cellStyle name="Итог 7 2" xfId="3286"/>
    <cellStyle name="Итог 7_46EE.2011(v1.0)" xfId="3287"/>
    <cellStyle name="Итог 8" xfId="3288"/>
    <cellStyle name="Итог 8 2" xfId="3289"/>
    <cellStyle name="Итог 8_46EE.2011(v1.0)" xfId="3290"/>
    <cellStyle name="Итог 9" xfId="3291"/>
    <cellStyle name="Итог 9 2" xfId="3292"/>
    <cellStyle name="Итог 9_46EE.2011(v1.0)" xfId="3293"/>
    <cellStyle name="Итого" xfId="3294"/>
    <cellStyle name="ИТОГОВЫЙ" xfId="3295"/>
    <cellStyle name="ИТОГОВЫЙ 2" xfId="3296"/>
    <cellStyle name="ИТОГОВЫЙ 3" xfId="3297"/>
    <cellStyle name="ИТОГОВЫЙ 4" xfId="3298"/>
    <cellStyle name="ИТОГОВЫЙ 5" xfId="3299"/>
    <cellStyle name="ИТОГОВЫЙ 6" xfId="3300"/>
    <cellStyle name="ИТОГОВЫЙ 7" xfId="3301"/>
    <cellStyle name="ИТОГОВЫЙ 8" xfId="3302"/>
    <cellStyle name="ИТОГОВЫЙ 9" xfId="3303"/>
    <cellStyle name="ИТОГОВЫЙ_1" xfId="3304"/>
    <cellStyle name="Контрольная ячейка 10" xfId="3305"/>
    <cellStyle name="Контрольная ячейка 11" xfId="5215"/>
    <cellStyle name="Контрольная ячейка 12" xfId="8964"/>
    <cellStyle name="Контрольная ячейка 2" xfId="3306"/>
    <cellStyle name="Контрольная ячейка 2 10" xfId="3307"/>
    <cellStyle name="Контрольная ячейка 2 10 2" xfId="5217"/>
    <cellStyle name="Контрольная ячейка 2 10 3" xfId="10453"/>
    <cellStyle name="Контрольная ячейка 2 11" xfId="5216"/>
    <cellStyle name="Контрольная ячейка 2 12" xfId="8965"/>
    <cellStyle name="Контрольная ячейка 2 2" xfId="3308"/>
    <cellStyle name="Контрольная ячейка 2 2 2" xfId="3309"/>
    <cellStyle name="Контрольная ячейка 2 2 3" xfId="5218"/>
    <cellStyle name="Контрольная ячейка 2 2 4" xfId="8966"/>
    <cellStyle name="Контрольная ячейка 2 3" xfId="3310"/>
    <cellStyle name="Контрольная ячейка 2 3 2" xfId="5219"/>
    <cellStyle name="Контрольная ячейка 2 3 3" xfId="10455"/>
    <cellStyle name="Контрольная ячейка 2 4" xfId="3311"/>
    <cellStyle name="Контрольная ячейка 2 4 2" xfId="5220"/>
    <cellStyle name="Контрольная ячейка 2 4 3" xfId="10456"/>
    <cellStyle name="Контрольная ячейка 2 5" xfId="3312"/>
    <cellStyle name="Контрольная ячейка 2 5 2" xfId="5221"/>
    <cellStyle name="Контрольная ячейка 2 5 3" xfId="10457"/>
    <cellStyle name="Контрольная ячейка 2 6" xfId="3313"/>
    <cellStyle name="Контрольная ячейка 2 6 2" xfId="5222"/>
    <cellStyle name="Контрольная ячейка 2 6 3" xfId="10458"/>
    <cellStyle name="Контрольная ячейка 2 7" xfId="3314"/>
    <cellStyle name="Контрольная ячейка 2 7 2" xfId="5223"/>
    <cellStyle name="Контрольная ячейка 2 7 3" xfId="10459"/>
    <cellStyle name="Контрольная ячейка 2 8" xfId="3315"/>
    <cellStyle name="Контрольная ячейка 2 8 2" xfId="5224"/>
    <cellStyle name="Контрольная ячейка 2 8 3" xfId="10460"/>
    <cellStyle name="Контрольная ячейка 2 9" xfId="3316"/>
    <cellStyle name="Контрольная ячейка 2 9 2" xfId="5225"/>
    <cellStyle name="Контрольная ячейка 2 9 3" xfId="10461"/>
    <cellStyle name="Контрольная ячейка 2_46EE.2011(v1.0)" xfId="3317"/>
    <cellStyle name="Контрольная ячейка 3" xfId="3318"/>
    <cellStyle name="Контрольная ячейка 3 10" xfId="3319"/>
    <cellStyle name="Контрольная ячейка 3 10 2" xfId="5227"/>
    <cellStyle name="Контрольная ячейка 3 10 3" xfId="10463"/>
    <cellStyle name="Контрольная ячейка 3 11" xfId="3320"/>
    <cellStyle name="Контрольная ячейка 3 12" xfId="5226"/>
    <cellStyle name="Контрольная ячейка 3 13" xfId="8967"/>
    <cellStyle name="Контрольная ячейка 3 2" xfId="3321"/>
    <cellStyle name="Контрольная ячейка 3 2 2" xfId="5228"/>
    <cellStyle name="Контрольная ячейка 3 2 3" xfId="8968"/>
    <cellStyle name="Контрольная ячейка 3 3" xfId="3322"/>
    <cellStyle name="Контрольная ячейка 3 3 2" xfId="5229"/>
    <cellStyle name="Контрольная ячейка 3 3 3" xfId="10465"/>
    <cellStyle name="Контрольная ячейка 3 4" xfId="3323"/>
    <cellStyle name="Контрольная ячейка 3 4 2" xfId="5230"/>
    <cellStyle name="Контрольная ячейка 3 4 3" xfId="10466"/>
    <cellStyle name="Контрольная ячейка 3 5" xfId="3324"/>
    <cellStyle name="Контрольная ячейка 3 5 2" xfId="5231"/>
    <cellStyle name="Контрольная ячейка 3 5 3" xfId="10467"/>
    <cellStyle name="Контрольная ячейка 3 6" xfId="3325"/>
    <cellStyle name="Контрольная ячейка 3 6 2" xfId="5232"/>
    <cellStyle name="Контрольная ячейка 3 6 3" xfId="10468"/>
    <cellStyle name="Контрольная ячейка 3 7" xfId="3326"/>
    <cellStyle name="Контрольная ячейка 3 7 2" xfId="5233"/>
    <cellStyle name="Контрольная ячейка 3 7 3" xfId="10469"/>
    <cellStyle name="Контрольная ячейка 3 8" xfId="3327"/>
    <cellStyle name="Контрольная ячейка 3 8 2" xfId="5234"/>
    <cellStyle name="Контрольная ячейка 3 8 3" xfId="10470"/>
    <cellStyle name="Контрольная ячейка 3 9" xfId="3328"/>
    <cellStyle name="Контрольная ячейка 3 9 2" xfId="5235"/>
    <cellStyle name="Контрольная ячейка 3 9 3" xfId="10471"/>
    <cellStyle name="Контрольная ячейка 3_46EE.2011(v1.0)" xfId="3329"/>
    <cellStyle name="Контрольная ячейка 4" xfId="3330"/>
    <cellStyle name="Контрольная ячейка 4 2" xfId="3331"/>
    <cellStyle name="Контрольная ячейка 4 3" xfId="8969"/>
    <cellStyle name="Контрольная ячейка 4 4" xfId="9692"/>
    <cellStyle name="Контрольная ячейка 4_46EE.2011(v1.0)" xfId="3332"/>
    <cellStyle name="Контрольная ячейка 5" xfId="3333"/>
    <cellStyle name="Контрольная ячейка 5 2" xfId="3334"/>
    <cellStyle name="Контрольная ячейка 5_46EE.2011(v1.0)" xfId="3335"/>
    <cellStyle name="Контрольная ячейка 6" xfId="3336"/>
    <cellStyle name="Контрольная ячейка 6 2" xfId="3337"/>
    <cellStyle name="Контрольная ячейка 6_46EE.2011(v1.0)" xfId="3338"/>
    <cellStyle name="Контрольная ячейка 7" xfId="3339"/>
    <cellStyle name="Контрольная ячейка 7 2" xfId="3340"/>
    <cellStyle name="Контрольная ячейка 7_46EE.2011(v1.0)" xfId="3341"/>
    <cellStyle name="Контрольная ячейка 8" xfId="3342"/>
    <cellStyle name="Контрольная ячейка 8 2" xfId="3343"/>
    <cellStyle name="Контрольная ячейка 8_46EE.2011(v1.0)" xfId="3344"/>
    <cellStyle name="Контрольная ячейка 9" xfId="3345"/>
    <cellStyle name="Контрольная ячейка 9 2" xfId="3346"/>
    <cellStyle name="Контрольная ячейка 9_46EE.2011(v1.0)" xfId="3347"/>
    <cellStyle name="Миша (бланки отчетности)" xfId="3348"/>
    <cellStyle name="Мои наименования показателей" xfId="3349"/>
    <cellStyle name="Мои наименования показателей 2" xfId="3350"/>
    <cellStyle name="Мои наименования показателей 2 2" xfId="3351"/>
    <cellStyle name="Мои наименования показателей 2 3" xfId="3352"/>
    <cellStyle name="Мои наименования показателей 2 4" xfId="3353"/>
    <cellStyle name="Мои наименования показателей 2 5" xfId="3354"/>
    <cellStyle name="Мои наименования показателей 2 6" xfId="3355"/>
    <cellStyle name="Мои наименования показателей 2 7" xfId="3356"/>
    <cellStyle name="Мои наименования показателей 2 8" xfId="3357"/>
    <cellStyle name="Мои наименования показателей 2 9" xfId="3358"/>
    <cellStyle name="Мои наименования показателей 2_1" xfId="3359"/>
    <cellStyle name="Мои наименования показателей 3" xfId="3360"/>
    <cellStyle name="Мои наименования показателей 3 2" xfId="3361"/>
    <cellStyle name="Мои наименования показателей 3 3" xfId="3362"/>
    <cellStyle name="Мои наименования показателей 3 4" xfId="3363"/>
    <cellStyle name="Мои наименования показателей 3 5" xfId="3364"/>
    <cellStyle name="Мои наименования показателей 3 6" xfId="3365"/>
    <cellStyle name="Мои наименования показателей 3 7" xfId="3366"/>
    <cellStyle name="Мои наименования показателей 3 8" xfId="3367"/>
    <cellStyle name="Мои наименования показателей 3 9" xfId="3368"/>
    <cellStyle name="Мои наименования показателей 3_1" xfId="3369"/>
    <cellStyle name="Мои наименования показателей 4" xfId="3370"/>
    <cellStyle name="Мои наименования показателей 4 2" xfId="3371"/>
    <cellStyle name="Мои наименования показателей 4 3" xfId="3372"/>
    <cellStyle name="Мои наименования показателей 4 4" xfId="3373"/>
    <cellStyle name="Мои наименования показателей 4 5" xfId="3374"/>
    <cellStyle name="Мои наименования показателей 4 6" xfId="3375"/>
    <cellStyle name="Мои наименования показателей 4 7" xfId="3376"/>
    <cellStyle name="Мои наименования показателей 4 8" xfId="3377"/>
    <cellStyle name="Мои наименования показателей 4 9" xfId="3378"/>
    <cellStyle name="Мои наименования показателей 4_1" xfId="3379"/>
    <cellStyle name="Мои наименования показателей 5" xfId="3380"/>
    <cellStyle name="Мои наименования показателей 5 2" xfId="3381"/>
    <cellStyle name="Мои наименования показателей 5 3" xfId="3382"/>
    <cellStyle name="Мои наименования показателей 5 4" xfId="3383"/>
    <cellStyle name="Мои наименования показателей 5 5" xfId="3384"/>
    <cellStyle name="Мои наименования показателей 5 6" xfId="3385"/>
    <cellStyle name="Мои наименования показателей 5 7" xfId="3386"/>
    <cellStyle name="Мои наименования показателей 5 8" xfId="3387"/>
    <cellStyle name="Мои наименования показателей 5 9" xfId="3388"/>
    <cellStyle name="Мои наименования показателей 5_1" xfId="3389"/>
    <cellStyle name="Мои наименования показателей 6" xfId="3390"/>
    <cellStyle name="Мои наименования показателей 6 2" xfId="3391"/>
    <cellStyle name="Мои наименования показателей 6 3" xfId="3392"/>
    <cellStyle name="Мои наименования показателей 6_46EE.2011(v1.0)" xfId="3393"/>
    <cellStyle name="Мои наименования показателей 7" xfId="3394"/>
    <cellStyle name="Мои наименования показателей 7 2" xfId="3395"/>
    <cellStyle name="Мои наименования показателей 7 3" xfId="3396"/>
    <cellStyle name="Мои наименования показателей 7_46EE.2011(v1.0)" xfId="3397"/>
    <cellStyle name="Мои наименования показателей 8" xfId="3398"/>
    <cellStyle name="Мои наименования показателей 8 2" xfId="3399"/>
    <cellStyle name="Мои наименования показателей 8 3" xfId="3400"/>
    <cellStyle name="Мои наименования показателей 8_46EE.2011(v1.0)" xfId="3401"/>
    <cellStyle name="Мои наименования показателей_46EE.2011" xfId="3402"/>
    <cellStyle name="Мой заголовок" xfId="3403"/>
    <cellStyle name="Мой заголовок листа" xfId="3404"/>
    <cellStyle name="Мой заголовок листа 2" xfId="3405"/>
    <cellStyle name="Мой заголовок_Новая инструкция1_фст" xfId="3406"/>
    <cellStyle name="назв фил" xfId="3407"/>
    <cellStyle name="Название 10" xfId="3408"/>
    <cellStyle name="Название 11" xfId="5236"/>
    <cellStyle name="Название 12" xfId="8970"/>
    <cellStyle name="Название 2" xfId="3409"/>
    <cellStyle name="Название 2 10" xfId="3410"/>
    <cellStyle name="Название 2 10 2" xfId="5238"/>
    <cellStyle name="Название 2 10 3" xfId="10474"/>
    <cellStyle name="Название 2 11" xfId="5237"/>
    <cellStyle name="Название 2 12" xfId="8971"/>
    <cellStyle name="Название 2 2" xfId="3411"/>
    <cellStyle name="Название 2 2 2" xfId="5239"/>
    <cellStyle name="Название 2 2 3" xfId="8972"/>
    <cellStyle name="Название 2 3" xfId="3412"/>
    <cellStyle name="Название 2 3 2" xfId="5240"/>
    <cellStyle name="Название 2 3 3" xfId="10476"/>
    <cellStyle name="Название 2 4" xfId="3413"/>
    <cellStyle name="Название 2 4 2" xfId="5241"/>
    <cellStyle name="Название 2 4 3" xfId="10477"/>
    <cellStyle name="Название 2 5" xfId="3414"/>
    <cellStyle name="Название 2 5 2" xfId="5242"/>
    <cellStyle name="Название 2 5 3" xfId="10478"/>
    <cellStyle name="Название 2 6" xfId="3415"/>
    <cellStyle name="Название 2 6 2" xfId="5243"/>
    <cellStyle name="Название 2 6 3" xfId="10479"/>
    <cellStyle name="Название 2 7" xfId="3416"/>
    <cellStyle name="Название 2 7 2" xfId="5244"/>
    <cellStyle name="Название 2 7 3" xfId="10480"/>
    <cellStyle name="Название 2 8" xfId="3417"/>
    <cellStyle name="Название 2 8 2" xfId="5245"/>
    <cellStyle name="Название 2 8 3" xfId="10481"/>
    <cellStyle name="Название 2 9" xfId="3418"/>
    <cellStyle name="Название 2 9 2" xfId="5246"/>
    <cellStyle name="Название 2 9 3" xfId="10482"/>
    <cellStyle name="Название 3" xfId="3419"/>
    <cellStyle name="Название 3 10" xfId="3420"/>
    <cellStyle name="Название 3 10 2" xfId="5248"/>
    <cellStyle name="Название 3 10 3" xfId="10484"/>
    <cellStyle name="Название 3 11" xfId="5247"/>
    <cellStyle name="Название 3 12" xfId="8973"/>
    <cellStyle name="Название 3 2" xfId="3421"/>
    <cellStyle name="Название 3 2 2" xfId="5249"/>
    <cellStyle name="Название 3 2 3" xfId="8974"/>
    <cellStyle name="Название 3 3" xfId="3422"/>
    <cellStyle name="Название 3 3 2" xfId="5250"/>
    <cellStyle name="Название 3 3 3" xfId="10486"/>
    <cellStyle name="Название 3 4" xfId="3423"/>
    <cellStyle name="Название 3 4 2" xfId="5251"/>
    <cellStyle name="Название 3 4 3" xfId="10487"/>
    <cellStyle name="Название 3 5" xfId="3424"/>
    <cellStyle name="Название 3 5 2" xfId="5252"/>
    <cellStyle name="Название 3 5 3" xfId="10488"/>
    <cellStyle name="Название 3 6" xfId="3425"/>
    <cellStyle name="Название 3 6 2" xfId="5253"/>
    <cellStyle name="Название 3 6 3" xfId="10489"/>
    <cellStyle name="Название 3 7" xfId="3426"/>
    <cellStyle name="Название 3 7 2" xfId="5254"/>
    <cellStyle name="Название 3 7 3" xfId="10490"/>
    <cellStyle name="Название 3 8" xfId="3427"/>
    <cellStyle name="Название 3 8 2" xfId="5255"/>
    <cellStyle name="Название 3 8 3" xfId="10491"/>
    <cellStyle name="Название 3 9" xfId="3428"/>
    <cellStyle name="Название 3 9 2" xfId="5256"/>
    <cellStyle name="Название 3 9 3" xfId="10492"/>
    <cellStyle name="Название 4" xfId="3429"/>
    <cellStyle name="Название 4 2" xfId="3430"/>
    <cellStyle name="Название 5" xfId="3431"/>
    <cellStyle name="Название 5 2" xfId="3432"/>
    <cellStyle name="Название 6" xfId="3433"/>
    <cellStyle name="Название 6 2" xfId="3434"/>
    <cellStyle name="Название 7" xfId="3435"/>
    <cellStyle name="Название 7 2" xfId="3436"/>
    <cellStyle name="Название 8" xfId="3437"/>
    <cellStyle name="Название 8 2" xfId="3438"/>
    <cellStyle name="Название 9" xfId="3439"/>
    <cellStyle name="Название 9 2" xfId="3440"/>
    <cellStyle name="Невидимый" xfId="3441"/>
    <cellStyle name="Нейтральный 10" xfId="3442"/>
    <cellStyle name="Нейтральный 11" xfId="5257"/>
    <cellStyle name="Нейтральный 12" xfId="8975"/>
    <cellStyle name="Нейтральный 2" xfId="3443"/>
    <cellStyle name="Нейтральный 2 10" xfId="3444"/>
    <cellStyle name="Нейтральный 2 10 2" xfId="5259"/>
    <cellStyle name="Нейтральный 2 10 3" xfId="10495"/>
    <cellStyle name="Нейтральный 2 11" xfId="5258"/>
    <cellStyle name="Нейтральный 2 12" xfId="8976"/>
    <cellStyle name="Нейтральный 2 2" xfId="3445"/>
    <cellStyle name="Нейтральный 2 2 2" xfId="3446"/>
    <cellStyle name="Нейтральный 2 2 3" xfId="5260"/>
    <cellStyle name="Нейтральный 2 2 4" xfId="8977"/>
    <cellStyle name="Нейтральный 2 3" xfId="3447"/>
    <cellStyle name="Нейтральный 2 3 2" xfId="5261"/>
    <cellStyle name="Нейтральный 2 3 3" xfId="10497"/>
    <cellStyle name="Нейтральный 2 4" xfId="3448"/>
    <cellStyle name="Нейтральный 2 4 2" xfId="5262"/>
    <cellStyle name="Нейтральный 2 4 3" xfId="10498"/>
    <cellStyle name="Нейтральный 2 5" xfId="3449"/>
    <cellStyle name="Нейтральный 2 5 2" xfId="5263"/>
    <cellStyle name="Нейтральный 2 5 3" xfId="10499"/>
    <cellStyle name="Нейтральный 2 6" xfId="3450"/>
    <cellStyle name="Нейтральный 2 6 2" xfId="5264"/>
    <cellStyle name="Нейтральный 2 6 3" xfId="10500"/>
    <cellStyle name="Нейтральный 2 7" xfId="3451"/>
    <cellStyle name="Нейтральный 2 7 2" xfId="5265"/>
    <cellStyle name="Нейтральный 2 7 3" xfId="10501"/>
    <cellStyle name="Нейтральный 2 8" xfId="3452"/>
    <cellStyle name="Нейтральный 2 8 2" xfId="5266"/>
    <cellStyle name="Нейтральный 2 8 3" xfId="10502"/>
    <cellStyle name="Нейтральный 2 9" xfId="3453"/>
    <cellStyle name="Нейтральный 2 9 2" xfId="5267"/>
    <cellStyle name="Нейтральный 2 9 3" xfId="10503"/>
    <cellStyle name="Нейтральный 2_МФ тепловой баланс 2015 дубль 3" xfId="3454"/>
    <cellStyle name="Нейтральный 3" xfId="3455"/>
    <cellStyle name="Нейтральный 3 10" xfId="3456"/>
    <cellStyle name="Нейтральный 3 10 2" xfId="5269"/>
    <cellStyle name="Нейтральный 3 10 3" xfId="10505"/>
    <cellStyle name="Нейтральный 3 11" xfId="3457"/>
    <cellStyle name="Нейтральный 3 12" xfId="5268"/>
    <cellStyle name="Нейтральный 3 13" xfId="8978"/>
    <cellStyle name="Нейтральный 3 2" xfId="3458"/>
    <cellStyle name="Нейтральный 3 2 2" xfId="5270"/>
    <cellStyle name="Нейтральный 3 2 3" xfId="8979"/>
    <cellStyle name="Нейтральный 3 3" xfId="3459"/>
    <cellStyle name="Нейтральный 3 3 2" xfId="5271"/>
    <cellStyle name="Нейтральный 3 3 3" xfId="10507"/>
    <cellStyle name="Нейтральный 3 4" xfId="3460"/>
    <cellStyle name="Нейтральный 3 4 2" xfId="5272"/>
    <cellStyle name="Нейтральный 3 4 3" xfId="10508"/>
    <cellStyle name="Нейтральный 3 5" xfId="3461"/>
    <cellStyle name="Нейтральный 3 5 2" xfId="5273"/>
    <cellStyle name="Нейтральный 3 5 3" xfId="10509"/>
    <cellStyle name="Нейтральный 3 6" xfId="3462"/>
    <cellStyle name="Нейтральный 3 6 2" xfId="5274"/>
    <cellStyle name="Нейтральный 3 6 3" xfId="10510"/>
    <cellStyle name="Нейтральный 3 7" xfId="3463"/>
    <cellStyle name="Нейтральный 3 7 2" xfId="5275"/>
    <cellStyle name="Нейтральный 3 7 3" xfId="10511"/>
    <cellStyle name="Нейтральный 3 8" xfId="3464"/>
    <cellStyle name="Нейтральный 3 8 2" xfId="5276"/>
    <cellStyle name="Нейтральный 3 8 3" xfId="10512"/>
    <cellStyle name="Нейтральный 3 9" xfId="3465"/>
    <cellStyle name="Нейтральный 3 9 2" xfId="5277"/>
    <cellStyle name="Нейтральный 3 9 3" xfId="10513"/>
    <cellStyle name="Нейтральный 3_МФ тепловой баланс 2015 дубль 3" xfId="3466"/>
    <cellStyle name="Нейтральный 4" xfId="3467"/>
    <cellStyle name="Нейтральный 4 2" xfId="3468"/>
    <cellStyle name="Нейтральный 4_МФ тепловой баланс 2015 дубль 3" xfId="3469"/>
    <cellStyle name="Нейтральный 5" xfId="3470"/>
    <cellStyle name="Нейтральный 5 2" xfId="3471"/>
    <cellStyle name="Нейтральный 5_МФ тепловой баланс 2015 дубль 3" xfId="3472"/>
    <cellStyle name="Нейтральный 6" xfId="3473"/>
    <cellStyle name="Нейтральный 6 2" xfId="3474"/>
    <cellStyle name="Нейтральный 6_МФ тепловой баланс 2015 дубль 3" xfId="3475"/>
    <cellStyle name="Нейтральный 7" xfId="3476"/>
    <cellStyle name="Нейтральный 7 2" xfId="3477"/>
    <cellStyle name="Нейтральный 7_МФ тепловой баланс 2015 дубль 3" xfId="3478"/>
    <cellStyle name="Нейтральный 8" xfId="3479"/>
    <cellStyle name="Нейтральный 8 2" xfId="3480"/>
    <cellStyle name="Нейтральный 9" xfId="3481"/>
    <cellStyle name="Нейтральный 9 2" xfId="3482"/>
    <cellStyle name="Низ1" xfId="3483"/>
    <cellStyle name="Низ2" xfId="3484"/>
    <cellStyle name="Обычный" xfId="0" builtinId="0"/>
    <cellStyle name="Обычный 10" xfId="3"/>
    <cellStyle name="Обычный 10 2" xfId="3485"/>
    <cellStyle name="Обычный 10 2 2" xfId="3486"/>
    <cellStyle name="Обычный 10 2 2 2" xfId="3487"/>
    <cellStyle name="Обычный 10 2 3" xfId="3488"/>
    <cellStyle name="Обычный 10 2 4" xfId="3489"/>
    <cellStyle name="Обычный 10 2 4 2" xfId="5"/>
    <cellStyle name="Обычный 10 2 5" xfId="3490"/>
    <cellStyle name="Обычный 10 2 6" xfId="8981"/>
    <cellStyle name="Обычный 10 3" xfId="3491"/>
    <cellStyle name="Обычный 10 3 2" xfId="3492"/>
    <cellStyle name="Обычный 10 4" xfId="3493"/>
    <cellStyle name="Обычный 10 5" xfId="3494"/>
    <cellStyle name="Обычный 10 6" xfId="3495"/>
    <cellStyle name="Обычный 10 6 2" xfId="3496"/>
    <cellStyle name="Обычный 10 7" xfId="3497"/>
    <cellStyle name="Обычный 10 8" xfId="8980"/>
    <cellStyle name="Обычный 11" xfId="3498"/>
    <cellStyle name="Обычный 11 2" xfId="3499"/>
    <cellStyle name="Обычный 11 3" xfId="3500"/>
    <cellStyle name="Обычный 11 4" xfId="3501"/>
    <cellStyle name="Обычный 11 4 2" xfId="3502"/>
    <cellStyle name="Обычный 11 5" xfId="3503"/>
    <cellStyle name="Обычный 11 5 2" xfId="3504"/>
    <cellStyle name="Обычный 11 6" xfId="3505"/>
    <cellStyle name="Обычный 11 7" xfId="3506"/>
    <cellStyle name="Обычный 11 8" xfId="3507"/>
    <cellStyle name="Обычный 11_46EE.2011(v1.2)" xfId="3508"/>
    <cellStyle name="Обычный 12" xfId="3509"/>
    <cellStyle name="Обычный 12 2" xfId="3510"/>
    <cellStyle name="Обычный 12 2 2" xfId="3511"/>
    <cellStyle name="Обычный 12 2 2 2" xfId="3512"/>
    <cellStyle name="Обычный 12 2 3" xfId="3513"/>
    <cellStyle name="Обычный 12 3" xfId="3514"/>
    <cellStyle name="Обычный 12 3 2" xfId="3515"/>
    <cellStyle name="Обычный 12 3 2 2" xfId="3516"/>
    <cellStyle name="Обычный 12 4" xfId="3517"/>
    <cellStyle name="Обычный 12 5" xfId="3518"/>
    <cellStyle name="Обычный 12 5 2" xfId="3519"/>
    <cellStyle name="Обычный 12 5 2 2" xfId="3520"/>
    <cellStyle name="Обычный 12 5 3" xfId="3521"/>
    <cellStyle name="Обычный 12 6" xfId="3522"/>
    <cellStyle name="Обычный 13" xfId="3523"/>
    <cellStyle name="Обычный 13 2" xfId="3524"/>
    <cellStyle name="Обычный 14" xfId="3525"/>
    <cellStyle name="Обычный 14 2" xfId="3526"/>
    <cellStyle name="Обычный 15" xfId="3527"/>
    <cellStyle name="Обычный 15 2" xfId="3528"/>
    <cellStyle name="Обычный 15 2 2" xfId="3529"/>
    <cellStyle name="Обычный 15 3" xfId="3530"/>
    <cellStyle name="Обычный 16" xfId="3531"/>
    <cellStyle name="Обычный 16 2" xfId="3532"/>
    <cellStyle name="Обычный 16 3" xfId="3533"/>
    <cellStyle name="Обычный 17" xfId="3534"/>
    <cellStyle name="Обычный 17 2" xfId="3535"/>
    <cellStyle name="Обычный 17 3" xfId="3536"/>
    <cellStyle name="Обычный 18" xfId="3537"/>
    <cellStyle name="Обычный 18 2" xfId="3538"/>
    <cellStyle name="Обычный 19" xfId="4508"/>
    <cellStyle name="Обычный 19 2" xfId="3539"/>
    <cellStyle name="Обычный 2" xfId="4"/>
    <cellStyle name="Обычный 2 10" xfId="3540"/>
    <cellStyle name="Обычный 2 10 2" xfId="3541"/>
    <cellStyle name="Обычный 2 10 3" xfId="3542"/>
    <cellStyle name="Обычный 2 10 4" xfId="5280"/>
    <cellStyle name="Обычный 2 11" xfId="3543"/>
    <cellStyle name="Обычный 2 11 2" xfId="3544"/>
    <cellStyle name="Обычный 2 11 3" xfId="5281"/>
    <cellStyle name="Обычный 2 12" xfId="3545"/>
    <cellStyle name="Обычный 2 12 2" xfId="3546"/>
    <cellStyle name="Обычный 2 12 3" xfId="5282"/>
    <cellStyle name="Обычный 2 13" xfId="3547"/>
    <cellStyle name="Обычный 2 13 2" xfId="3548"/>
    <cellStyle name="Обычный 2 13 3" xfId="5283"/>
    <cellStyle name="Обычный 2 14" xfId="3549"/>
    <cellStyle name="Обычный 2 15" xfId="3550"/>
    <cellStyle name="Обычный 2 16" xfId="3551"/>
    <cellStyle name="Обычный 2 17" xfId="4519"/>
    <cellStyle name="Обычный 2 18" xfId="4522"/>
    <cellStyle name="Обычный 2 2" xfId="3552"/>
    <cellStyle name="Обычный 2 2 2" xfId="3553"/>
    <cellStyle name="Обычный 2 2 2 2" xfId="3554"/>
    <cellStyle name="Обычный 2 2 3" xfId="3555"/>
    <cellStyle name="Обычный 2 2 4" xfId="3556"/>
    <cellStyle name="Обычный 2 2 4 2" xfId="3557"/>
    <cellStyle name="Обычный 2 2 5" xfId="3558"/>
    <cellStyle name="Обычный 2 2 6" xfId="3559"/>
    <cellStyle name="Обычный 2 2 7" xfId="3560"/>
    <cellStyle name="Обычный 2 2 8" xfId="3561"/>
    <cellStyle name="Обычный 2 2 9" xfId="4523"/>
    <cellStyle name="Обычный 2 2_2014 АрхТепло Производственная" xfId="3562"/>
    <cellStyle name="Обычный 2 3" xfId="3563"/>
    <cellStyle name="Обычный 2 3 2" xfId="3564"/>
    <cellStyle name="Обычный 2 3 3" xfId="3565"/>
    <cellStyle name="Обычный 2 3 3 2" xfId="3566"/>
    <cellStyle name="Обычный 2 3 4" xfId="3567"/>
    <cellStyle name="Обычный 2 3 5" xfId="3568"/>
    <cellStyle name="Обычный 2 3 5 2" xfId="3569"/>
    <cellStyle name="Обычный 2 3 6" xfId="3570"/>
    <cellStyle name="Обычный 2 3 7" xfId="5285"/>
    <cellStyle name="Обычный 2 3_46EE.2011(v1.0)" xfId="3571"/>
    <cellStyle name="Обычный 2 4" xfId="3572"/>
    <cellStyle name="Обычный 2 4 2" xfId="3573"/>
    <cellStyle name="Обычный 2 4 2 2" xfId="3574"/>
    <cellStyle name="Обычный 2 4 2 2 2" xfId="3575"/>
    <cellStyle name="Обычный 2 4 3" xfId="3576"/>
    <cellStyle name="Обычный 2 4 3 2" xfId="3577"/>
    <cellStyle name="Обычный 2 4 4" xfId="3578"/>
    <cellStyle name="Обычный 2 4 5" xfId="5286"/>
    <cellStyle name="Обычный 2 4_46EE.2011(v1.0)" xfId="3579"/>
    <cellStyle name="Обычный 2 5" xfId="3580"/>
    <cellStyle name="Обычный 2 5 2" xfId="3581"/>
    <cellStyle name="Обычный 2 5 2 2" xfId="3582"/>
    <cellStyle name="Обычный 2 5 3" xfId="3583"/>
    <cellStyle name="Обычный 2 5 3 2" xfId="3584"/>
    <cellStyle name="Обычный 2 5 4" xfId="3585"/>
    <cellStyle name="Обычный 2 5 5" xfId="3586"/>
    <cellStyle name="Обычный 2 5 6" xfId="5287"/>
    <cellStyle name="Обычный 2 5_46EE.2011(v1.0)" xfId="3587"/>
    <cellStyle name="Обычный 2 6" xfId="3588"/>
    <cellStyle name="Обычный 2 6 2" xfId="3589"/>
    <cellStyle name="Обычный 2 6 2 2" xfId="3590"/>
    <cellStyle name="Обычный 2 6 2 2 2" xfId="3591"/>
    <cellStyle name="Обычный 2 6 3" xfId="3592"/>
    <cellStyle name="Обычный 2 6 3 2" xfId="3593"/>
    <cellStyle name="Обычный 2 6 4" xfId="5288"/>
    <cellStyle name="Обычный 2 6_46EE.2011(v1.0)" xfId="3594"/>
    <cellStyle name="Обычный 2 7" xfId="3595"/>
    <cellStyle name="Обычный 2 7 2" xfId="3596"/>
    <cellStyle name="Обычный 2 7 2 2" xfId="3597"/>
    <cellStyle name="Обычный 2 7 3" xfId="3598"/>
    <cellStyle name="Обычный 2 7 4" xfId="5289"/>
    <cellStyle name="Обычный 2 8" xfId="3599"/>
    <cellStyle name="Обычный 2 8 2" xfId="3600"/>
    <cellStyle name="Обычный 2 8 3" xfId="5290"/>
    <cellStyle name="Обычный 2 9" xfId="3601"/>
    <cellStyle name="Обычный 2 9 2" xfId="3602"/>
    <cellStyle name="Обычный 2 9 3" xfId="5291"/>
    <cellStyle name="Обычный 2___Тариф ТЭ 2012 Мезенский филиал 26.04.11" xfId="3603"/>
    <cellStyle name="Обычный 20" xfId="3604"/>
    <cellStyle name="Обычный 20 2" xfId="3605"/>
    <cellStyle name="Обычный 20 3" xfId="3606"/>
    <cellStyle name="Обычный 21" xfId="3607"/>
    <cellStyle name="Обычный 21 2" xfId="3608"/>
    <cellStyle name="Обычный 21 3" xfId="3609"/>
    <cellStyle name="Обычный 22" xfId="3610"/>
    <cellStyle name="Обычный 22 2" xfId="3611"/>
    <cellStyle name="Обычный 22 3" xfId="3612"/>
    <cellStyle name="Обычный 23" xfId="3613"/>
    <cellStyle name="Обычный 23 2" xfId="3614"/>
    <cellStyle name="Обычный 24" xfId="3615"/>
    <cellStyle name="Обычный 24 2" xfId="3616"/>
    <cellStyle name="Обычный 25" xfId="4510"/>
    <cellStyle name="Обычный 25 2" xfId="4518"/>
    <cellStyle name="Обычный 26" xfId="4515"/>
    <cellStyle name="Обычный 26 2" xfId="4520"/>
    <cellStyle name="Обычный 27" xfId="3617"/>
    <cellStyle name="Обычный 28" xfId="4516"/>
    <cellStyle name="Обычный 29" xfId="4517"/>
    <cellStyle name="Обычный 29 2" xfId="4521"/>
    <cellStyle name="Обычный 3" xfId="3618"/>
    <cellStyle name="Обычный 3 10" xfId="5292"/>
    <cellStyle name="Обычный 3 2" xfId="3619"/>
    <cellStyle name="Обычный 3 2 2" xfId="3620"/>
    <cellStyle name="Обычный 3 2 3" xfId="3621"/>
    <cellStyle name="Обычный 3 2 4" xfId="3622"/>
    <cellStyle name="Обычный 3 2 5" xfId="5293"/>
    <cellStyle name="Обычный 3 3" xfId="3623"/>
    <cellStyle name="Обычный 3 3 2" xfId="3624"/>
    <cellStyle name="Обычный 3 3 2 2" xfId="3625"/>
    <cellStyle name="Обычный 3 3 2 3" xfId="3626"/>
    <cellStyle name="Обычный 3 3 3" xfId="3627"/>
    <cellStyle name="Обычный 3 3 4" xfId="3628"/>
    <cellStyle name="Обычный 3 3 5" xfId="5294"/>
    <cellStyle name="Обычный 3 4" xfId="3629"/>
    <cellStyle name="Обычный 3 4 2" xfId="3630"/>
    <cellStyle name="Обычный 3 4 3" xfId="3631"/>
    <cellStyle name="Обычный 3 4 4" xfId="5295"/>
    <cellStyle name="Обычный 3 5" xfId="3632"/>
    <cellStyle name="Обычный 3 5 2" xfId="3633"/>
    <cellStyle name="Обычный 3 5 3" xfId="5296"/>
    <cellStyle name="Обычный 3 6" xfId="3634"/>
    <cellStyle name="Обычный 3 6 2" xfId="3635"/>
    <cellStyle name="Обычный 3 6 2 2" xfId="3636"/>
    <cellStyle name="Обычный 3 6 3" xfId="5297"/>
    <cellStyle name="Обычный 3 7" xfId="3637"/>
    <cellStyle name="Обычный 3 7 2" xfId="5298"/>
    <cellStyle name="Обычный 3 8" xfId="3638"/>
    <cellStyle name="Обычный 3 9" xfId="3639"/>
    <cellStyle name="Обычный 3___Тариф ТЭ 2012 Мезенский филиал 26.04.11" xfId="3640"/>
    <cellStyle name="Обычный 30" xfId="8785"/>
    <cellStyle name="Обычный 4" xfId="3641"/>
    <cellStyle name="Обычный 4 10" xfId="3642"/>
    <cellStyle name="Обычный 4 11" xfId="3643"/>
    <cellStyle name="Обычный 4 11 2" xfId="3644"/>
    <cellStyle name="Обычный 4 12" xfId="5299"/>
    <cellStyle name="Обычный 4 2" xfId="3645"/>
    <cellStyle name="Обычный 4 2 2" xfId="3646"/>
    <cellStyle name="Обычный 4 2 2 2" xfId="3647"/>
    <cellStyle name="Обычный 4 2 2 2 2" xfId="3648"/>
    <cellStyle name="Обычный 4 2 2 3" xfId="3649"/>
    <cellStyle name="Обычный 4 2 2 3 2" xfId="3650"/>
    <cellStyle name="Обычный 4 2 3" xfId="3651"/>
    <cellStyle name="Обычный 4 2 3 2" xfId="3652"/>
    <cellStyle name="Обычный 4 2 4" xfId="3653"/>
    <cellStyle name="Обычный 4 2 5" xfId="5300"/>
    <cellStyle name="Обычный 4 2_46EP.2012(v0.1)" xfId="3654"/>
    <cellStyle name="Обычный 4 3" xfId="3655"/>
    <cellStyle name="Обычный 4 3 2" xfId="3656"/>
    <cellStyle name="Обычный 4 3 3" xfId="5301"/>
    <cellStyle name="Обычный 4 4" xfId="3657"/>
    <cellStyle name="Обычный 4 4 2" xfId="3658"/>
    <cellStyle name="Обычный 4 4 3" xfId="5302"/>
    <cellStyle name="Обычный 4 5" xfId="3659"/>
    <cellStyle name="Обычный 4 5 2" xfId="3660"/>
    <cellStyle name="Обычный 4 5 3" xfId="5303"/>
    <cellStyle name="Обычный 4 6" xfId="3661"/>
    <cellStyle name="Обычный 4 6 10" xfId="3662"/>
    <cellStyle name="Обычный 4 6 10 2" xfId="3663"/>
    <cellStyle name="Обычный 4 6 11" xfId="3664"/>
    <cellStyle name="Обычный 4 6 11 2" xfId="3665"/>
    <cellStyle name="Обычный 4 6 12" xfId="3666"/>
    <cellStyle name="Обычный 4 6 12 2" xfId="3667"/>
    <cellStyle name="Обычный 4 6 13" xfId="3668"/>
    <cellStyle name="Обычный 4 6 14" xfId="8998"/>
    <cellStyle name="Обычный 4 6 2" xfId="3669"/>
    <cellStyle name="Обычный 4 6 2 2" xfId="3670"/>
    <cellStyle name="Обычный 4 6 2 2 2" xfId="3671"/>
    <cellStyle name="Обычный 4 6 2 3" xfId="3672"/>
    <cellStyle name="Обычный 4 6 2 4" xfId="8999"/>
    <cellStyle name="Обычный 4 6 3" xfId="3673"/>
    <cellStyle name="Обычный 4 6 3 2" xfId="3674"/>
    <cellStyle name="Обычный 4 6 3 2 2" xfId="3675"/>
    <cellStyle name="Обычный 4 6 3 3" xfId="3676"/>
    <cellStyle name="Обычный 4 6 3 4" xfId="9000"/>
    <cellStyle name="Обычный 4 6 4" xfId="3677"/>
    <cellStyle name="Обычный 4 6 4 2" xfId="3678"/>
    <cellStyle name="Обычный 4 6 4 2 2" xfId="3679"/>
    <cellStyle name="Обычный 4 6 4 3" xfId="3680"/>
    <cellStyle name="Обычный 4 6 4 4" xfId="10543"/>
    <cellStyle name="Обычный 4 6 5" xfId="3681"/>
    <cellStyle name="Обычный 4 6 5 2" xfId="3682"/>
    <cellStyle name="Обычный 4 6 5 2 2" xfId="3683"/>
    <cellStyle name="Обычный 4 6 5 3" xfId="3684"/>
    <cellStyle name="Обычный 4 6 5 4" xfId="10544"/>
    <cellStyle name="Обычный 4 6 6" xfId="3685"/>
    <cellStyle name="Обычный 4 6 6 2" xfId="3686"/>
    <cellStyle name="Обычный 4 6 6 2 2" xfId="3687"/>
    <cellStyle name="Обычный 4 6 6 3" xfId="3688"/>
    <cellStyle name="Обычный 4 6 6 4" xfId="10545"/>
    <cellStyle name="Обычный 4 6 7" xfId="3689"/>
    <cellStyle name="Обычный 4 6 7 2" xfId="3690"/>
    <cellStyle name="Обычный 4 6 7 2 2" xfId="3691"/>
    <cellStyle name="Обычный 4 6 7 3" xfId="3692"/>
    <cellStyle name="Обычный 4 6 7 4" xfId="10546"/>
    <cellStyle name="Обычный 4 6 8" xfId="3693"/>
    <cellStyle name="Обычный 4 6 8 2" xfId="3694"/>
    <cellStyle name="Обычный 4 6 8 2 2" xfId="3695"/>
    <cellStyle name="Обычный 4 6 8 3" xfId="3696"/>
    <cellStyle name="Обычный 4 6 8 4" xfId="10547"/>
    <cellStyle name="Обычный 4 6 9" xfId="3697"/>
    <cellStyle name="Обычный 4 6 9 2" xfId="3698"/>
    <cellStyle name="Обычный 4 6 9 2 2" xfId="3699"/>
    <cellStyle name="Обычный 4 6 9 3" xfId="3700"/>
    <cellStyle name="Обычный 4 6 9 4" xfId="10548"/>
    <cellStyle name="Обычный 4 7" xfId="3701"/>
    <cellStyle name="Обычный 4 7 10" xfId="3702"/>
    <cellStyle name="Обычный 4 7 10 2" xfId="3703"/>
    <cellStyle name="Обычный 4 7 11" xfId="3704"/>
    <cellStyle name="Обычный 4 7 11 2" xfId="3705"/>
    <cellStyle name="Обычный 4 7 12" xfId="3706"/>
    <cellStyle name="Обычный 4 7 13" xfId="9001"/>
    <cellStyle name="Обычный 4 7 2" xfId="3707"/>
    <cellStyle name="Обычный 4 7 2 2" xfId="3708"/>
    <cellStyle name="Обычный 4 7 2 2 2" xfId="3709"/>
    <cellStyle name="Обычный 4 7 2 3" xfId="3710"/>
    <cellStyle name="Обычный 4 7 2 4" xfId="9002"/>
    <cellStyle name="Обычный 4 7 3" xfId="3711"/>
    <cellStyle name="Обычный 4 7 3 2" xfId="3712"/>
    <cellStyle name="Обычный 4 7 3 2 2" xfId="3713"/>
    <cellStyle name="Обычный 4 7 3 3" xfId="3714"/>
    <cellStyle name="Обычный 4 7 3 4" xfId="9003"/>
    <cellStyle name="Обычный 4 7 4" xfId="3715"/>
    <cellStyle name="Обычный 4 7 4 2" xfId="3716"/>
    <cellStyle name="Обычный 4 7 4 2 2" xfId="3717"/>
    <cellStyle name="Обычный 4 7 4 3" xfId="3718"/>
    <cellStyle name="Обычный 4 7 4 4" xfId="10552"/>
    <cellStyle name="Обычный 4 7 5" xfId="3719"/>
    <cellStyle name="Обычный 4 7 5 2" xfId="3720"/>
    <cellStyle name="Обычный 4 7 5 2 2" xfId="3721"/>
    <cellStyle name="Обычный 4 7 5 3" xfId="3722"/>
    <cellStyle name="Обычный 4 7 5 4" xfId="10553"/>
    <cellStyle name="Обычный 4 7 6" xfId="3723"/>
    <cellStyle name="Обычный 4 7 6 2" xfId="3724"/>
    <cellStyle name="Обычный 4 7 6 2 2" xfId="3725"/>
    <cellStyle name="Обычный 4 7 6 3" xfId="3726"/>
    <cellStyle name="Обычный 4 7 6 4" xfId="10554"/>
    <cellStyle name="Обычный 4 7 7" xfId="3727"/>
    <cellStyle name="Обычный 4 7 7 2" xfId="3728"/>
    <cellStyle name="Обычный 4 7 7 2 2" xfId="3729"/>
    <cellStyle name="Обычный 4 7 7 3" xfId="3730"/>
    <cellStyle name="Обычный 4 7 7 4" xfId="10555"/>
    <cellStyle name="Обычный 4 7 8" xfId="3731"/>
    <cellStyle name="Обычный 4 7 8 2" xfId="3732"/>
    <cellStyle name="Обычный 4 7 8 2 2" xfId="3733"/>
    <cellStyle name="Обычный 4 7 8 3" xfId="3734"/>
    <cellStyle name="Обычный 4 7 8 4" xfId="10556"/>
    <cellStyle name="Обычный 4 7 9" xfId="3735"/>
    <cellStyle name="Обычный 4 7 9 2" xfId="3736"/>
    <cellStyle name="Обычный 4 7 9 2 2" xfId="3737"/>
    <cellStyle name="Обычный 4 7 9 3" xfId="3738"/>
    <cellStyle name="Обычный 4 7 9 4" xfId="10557"/>
    <cellStyle name="Обычный 4 8" xfId="3739"/>
    <cellStyle name="Обычный 4 8 10" xfId="3740"/>
    <cellStyle name="Обычный 4 8 10 2" xfId="3741"/>
    <cellStyle name="Обычный 4 8 11" xfId="3742"/>
    <cellStyle name="Обычный 4 8 11 2" xfId="3743"/>
    <cellStyle name="Обычный 4 8 12" xfId="3744"/>
    <cellStyle name="Обычный 4 8 13" xfId="9004"/>
    <cellStyle name="Обычный 4 8 2" xfId="3745"/>
    <cellStyle name="Обычный 4 8 2 2" xfId="3746"/>
    <cellStyle name="Обычный 4 8 2 2 2" xfId="3747"/>
    <cellStyle name="Обычный 4 8 2 3" xfId="3748"/>
    <cellStyle name="Обычный 4 8 2 4" xfId="9005"/>
    <cellStyle name="Обычный 4 8 3" xfId="3749"/>
    <cellStyle name="Обычный 4 8 3 2" xfId="3750"/>
    <cellStyle name="Обычный 4 8 3 2 2" xfId="3751"/>
    <cellStyle name="Обычный 4 8 3 3" xfId="3752"/>
    <cellStyle name="Обычный 4 8 3 4" xfId="9006"/>
    <cellStyle name="Обычный 4 8 4" xfId="3753"/>
    <cellStyle name="Обычный 4 8 4 2" xfId="3754"/>
    <cellStyle name="Обычный 4 8 4 2 2" xfId="3755"/>
    <cellStyle name="Обычный 4 8 4 3" xfId="3756"/>
    <cellStyle name="Обычный 4 8 4 4" xfId="10561"/>
    <cellStyle name="Обычный 4 8 5" xfId="3757"/>
    <cellStyle name="Обычный 4 8 5 2" xfId="3758"/>
    <cellStyle name="Обычный 4 8 5 2 2" xfId="3759"/>
    <cellStyle name="Обычный 4 8 5 3" xfId="3760"/>
    <cellStyle name="Обычный 4 8 5 4" xfId="10562"/>
    <cellStyle name="Обычный 4 8 6" xfId="3761"/>
    <cellStyle name="Обычный 4 8 6 2" xfId="3762"/>
    <cellStyle name="Обычный 4 8 6 2 2" xfId="3763"/>
    <cellStyle name="Обычный 4 8 6 3" xfId="3764"/>
    <cellStyle name="Обычный 4 8 6 4" xfId="10563"/>
    <cellStyle name="Обычный 4 8 7" xfId="3765"/>
    <cellStyle name="Обычный 4 8 7 2" xfId="3766"/>
    <cellStyle name="Обычный 4 8 7 2 2" xfId="3767"/>
    <cellStyle name="Обычный 4 8 7 3" xfId="3768"/>
    <cellStyle name="Обычный 4 8 7 4" xfId="10564"/>
    <cellStyle name="Обычный 4 8 8" xfId="3769"/>
    <cellStyle name="Обычный 4 8 8 2" xfId="3770"/>
    <cellStyle name="Обычный 4 8 8 2 2" xfId="3771"/>
    <cellStyle name="Обычный 4 8 8 3" xfId="3772"/>
    <cellStyle name="Обычный 4 8 8 4" xfId="10565"/>
    <cellStyle name="Обычный 4 8 9" xfId="3773"/>
    <cellStyle name="Обычный 4 8 9 2" xfId="3774"/>
    <cellStyle name="Обычный 4 8 9 2 2" xfId="3775"/>
    <cellStyle name="Обычный 4 8 9 3" xfId="3776"/>
    <cellStyle name="Обычный 4 8 9 4" xfId="10566"/>
    <cellStyle name="Обычный 4 9" xfId="3777"/>
    <cellStyle name="Обычный 4 9 10" xfId="3778"/>
    <cellStyle name="Обычный 4 9 10 2" xfId="3779"/>
    <cellStyle name="Обычный 4 9 11" xfId="3780"/>
    <cellStyle name="Обычный 4 9 11 2" xfId="3781"/>
    <cellStyle name="Обычный 4 9 12" xfId="3782"/>
    <cellStyle name="Обычный 4 9 13" xfId="9007"/>
    <cellStyle name="Обычный 4 9 2" xfId="3783"/>
    <cellStyle name="Обычный 4 9 2 2" xfId="3784"/>
    <cellStyle name="Обычный 4 9 2 2 2" xfId="3785"/>
    <cellStyle name="Обычный 4 9 2 3" xfId="3786"/>
    <cellStyle name="Обычный 4 9 2 4" xfId="9008"/>
    <cellStyle name="Обычный 4 9 3" xfId="3787"/>
    <cellStyle name="Обычный 4 9 3 2" xfId="3788"/>
    <cellStyle name="Обычный 4 9 3 2 2" xfId="3789"/>
    <cellStyle name="Обычный 4 9 3 3" xfId="3790"/>
    <cellStyle name="Обычный 4 9 3 4" xfId="9009"/>
    <cellStyle name="Обычный 4 9 4" xfId="3791"/>
    <cellStyle name="Обычный 4 9 4 2" xfId="3792"/>
    <cellStyle name="Обычный 4 9 4 2 2" xfId="3793"/>
    <cellStyle name="Обычный 4 9 4 3" xfId="3794"/>
    <cellStyle name="Обычный 4 9 4 4" xfId="10570"/>
    <cellStyle name="Обычный 4 9 5" xfId="3795"/>
    <cellStyle name="Обычный 4 9 5 2" xfId="3796"/>
    <cellStyle name="Обычный 4 9 5 2 2" xfId="3797"/>
    <cellStyle name="Обычный 4 9 5 3" xfId="3798"/>
    <cellStyle name="Обычный 4 9 5 4" xfId="10571"/>
    <cellStyle name="Обычный 4 9 6" xfId="3799"/>
    <cellStyle name="Обычный 4 9 6 2" xfId="3800"/>
    <cellStyle name="Обычный 4 9 6 2 2" xfId="3801"/>
    <cellStyle name="Обычный 4 9 6 3" xfId="3802"/>
    <cellStyle name="Обычный 4 9 6 4" xfId="10572"/>
    <cellStyle name="Обычный 4 9 7" xfId="3803"/>
    <cellStyle name="Обычный 4 9 7 2" xfId="3804"/>
    <cellStyle name="Обычный 4 9 7 2 2" xfId="3805"/>
    <cellStyle name="Обычный 4 9 7 3" xfId="3806"/>
    <cellStyle name="Обычный 4 9 7 4" xfId="10573"/>
    <cellStyle name="Обычный 4 9 8" xfId="3807"/>
    <cellStyle name="Обычный 4 9 8 2" xfId="3808"/>
    <cellStyle name="Обычный 4 9 8 2 2" xfId="3809"/>
    <cellStyle name="Обычный 4 9 8 3" xfId="3810"/>
    <cellStyle name="Обычный 4 9 8 4" xfId="10574"/>
    <cellStyle name="Обычный 4 9 9" xfId="3811"/>
    <cellStyle name="Обычный 4 9 9 2" xfId="3812"/>
    <cellStyle name="Обычный 4 9 9 2 2" xfId="3813"/>
    <cellStyle name="Обычный 4 9 9 3" xfId="3814"/>
    <cellStyle name="Обычный 4 9 9 4" xfId="10575"/>
    <cellStyle name="Обычный 4_2014 АрхТепло Производственная" xfId="3815"/>
    <cellStyle name="Обычный 5" xfId="3816"/>
    <cellStyle name="Обычный 5 2" xfId="3817"/>
    <cellStyle name="Обычный 5 2 2" xfId="3818"/>
    <cellStyle name="Обычный 5 2 3" xfId="3819"/>
    <cellStyle name="Обычный 5 2 4" xfId="3820"/>
    <cellStyle name="Обычный 5 3" xfId="3821"/>
    <cellStyle name="Обычный 5 4" xfId="3822"/>
    <cellStyle name="Обычный 5 5" xfId="3823"/>
    <cellStyle name="Обычный 5 5 2" xfId="3824"/>
    <cellStyle name="Обычный 5 6" xfId="3825"/>
    <cellStyle name="Обычный 5 6 2" xfId="3826"/>
    <cellStyle name="Обычный 5 7" xfId="3827"/>
    <cellStyle name="Обычный 5 8" xfId="3828"/>
    <cellStyle name="Обычный 5 8 2" xfId="3829"/>
    <cellStyle name="Обычный 5 9" xfId="5340"/>
    <cellStyle name="Обычный 5_Мероприятия для тарифной каипании" xfId="3830"/>
    <cellStyle name="Обычный 6" xfId="3831"/>
    <cellStyle name="Обычный 6 2" xfId="3832"/>
    <cellStyle name="Обычный 6 2 2" xfId="3833"/>
    <cellStyle name="Обычный 6 2 3" xfId="3834"/>
    <cellStyle name="Обычный 6 3" xfId="3835"/>
    <cellStyle name="Обычный 6 3 2" xfId="3836"/>
    <cellStyle name="Обычный 6 4" xfId="3837"/>
    <cellStyle name="Обычный 6 4 2" xfId="3838"/>
    <cellStyle name="Обычный 6 5" xfId="3839"/>
    <cellStyle name="Обычный 6 5 2" xfId="3840"/>
    <cellStyle name="Обычный 6 6" xfId="3841"/>
    <cellStyle name="Обычный 6 6 2" xfId="3842"/>
    <cellStyle name="Обычный 6 7" xfId="3843"/>
    <cellStyle name="Обычный 6 8" xfId="5341"/>
    <cellStyle name="Обычный 6_Перерасчет тепловой энергии ООО Березниковское ТСП  на 2013" xfId="3844"/>
    <cellStyle name="Обычный 7" xfId="3845"/>
    <cellStyle name="Обычный 7 10" xfId="3846"/>
    <cellStyle name="Обычный 7 10 2" xfId="3847"/>
    <cellStyle name="Обычный 7 11" xfId="3848"/>
    <cellStyle name="Обычный 7 11 2" xfId="3849"/>
    <cellStyle name="Обычный 7 12" xfId="3850"/>
    <cellStyle name="Обычный 7 13" xfId="9012"/>
    <cellStyle name="Обычный 7 2" xfId="3851"/>
    <cellStyle name="Обычный 7 2 2" xfId="3852"/>
    <cellStyle name="Обычный 7 2 2 2" xfId="3853"/>
    <cellStyle name="Обычный 7 2 3" xfId="3854"/>
    <cellStyle name="Обычный 7 2 3 2" xfId="3855"/>
    <cellStyle name="Обычный 7 2 4" xfId="3856"/>
    <cellStyle name="Обычный 7 2 5" xfId="9013"/>
    <cellStyle name="Обычный 7 3" xfId="3857"/>
    <cellStyle name="Обычный 7 3 2" xfId="3858"/>
    <cellStyle name="Обычный 7 3 3" xfId="3859"/>
    <cellStyle name="Обычный 7 3 4" xfId="3860"/>
    <cellStyle name="Обычный 7 3 4 2" xfId="3861"/>
    <cellStyle name="Обычный 7 3 5" xfId="3862"/>
    <cellStyle name="Обычный 7 3 6" xfId="10580"/>
    <cellStyle name="Обычный 7 4" xfId="3863"/>
    <cellStyle name="Обычный 7 4 2" xfId="3864"/>
    <cellStyle name="Обычный 7 4 2 2" xfId="3865"/>
    <cellStyle name="Обычный 7 4 3" xfId="3866"/>
    <cellStyle name="Обычный 7 4 4" xfId="10581"/>
    <cellStyle name="Обычный 7 5" xfId="3867"/>
    <cellStyle name="Обычный 7 5 2" xfId="3868"/>
    <cellStyle name="Обычный 7 5 2 2" xfId="3869"/>
    <cellStyle name="Обычный 7 5 3" xfId="3870"/>
    <cellStyle name="Обычный 7 5 4" xfId="10582"/>
    <cellStyle name="Обычный 7 6" xfId="3871"/>
    <cellStyle name="Обычный 7 6 2" xfId="3872"/>
    <cellStyle name="Обычный 7 6 2 2" xfId="3873"/>
    <cellStyle name="Обычный 7 6 3" xfId="3874"/>
    <cellStyle name="Обычный 7 6 4" xfId="10583"/>
    <cellStyle name="Обычный 7 7" xfId="3875"/>
    <cellStyle name="Обычный 7 7 2" xfId="3876"/>
    <cellStyle name="Обычный 7 7 2 2" xfId="3877"/>
    <cellStyle name="Обычный 7 7 3" xfId="3878"/>
    <cellStyle name="Обычный 7 7 4" xfId="10584"/>
    <cellStyle name="Обычный 7 8" xfId="3879"/>
    <cellStyle name="Обычный 7 8 2" xfId="3880"/>
    <cellStyle name="Обычный 7 8 2 2" xfId="3881"/>
    <cellStyle name="Обычный 7 8 3" xfId="3882"/>
    <cellStyle name="Обычный 7 8 4" xfId="10585"/>
    <cellStyle name="Обычный 7 9" xfId="3883"/>
    <cellStyle name="Обычный 7 9 2" xfId="3884"/>
    <cellStyle name="Обычный 7 9 2 2" xfId="3885"/>
    <cellStyle name="Обычный 7 9 3" xfId="3886"/>
    <cellStyle name="Обычный 7 9 4" xfId="10586"/>
    <cellStyle name="Обычный 8" xfId="3887"/>
    <cellStyle name="Обычный 8 10" xfId="3888"/>
    <cellStyle name="Обычный 8 11" xfId="9014"/>
    <cellStyle name="Обычный 8 2" xfId="3889"/>
    <cellStyle name="Обычный 8 2 2" xfId="3890"/>
    <cellStyle name="Обычный 8 2 3" xfId="3891"/>
    <cellStyle name="Обычный 8 2 3 2" xfId="3892"/>
    <cellStyle name="Обычный 8 2 4" xfId="3893"/>
    <cellStyle name="Обычный 8 2 5" xfId="9015"/>
    <cellStyle name="Обычный 8 3" xfId="3894"/>
    <cellStyle name="Обычный 8 3 2" xfId="3895"/>
    <cellStyle name="Обычный 8 3 3" xfId="3896"/>
    <cellStyle name="Обычный 8 3 3 2" xfId="3897"/>
    <cellStyle name="Обычный 8 3 4" xfId="3898"/>
    <cellStyle name="Обычный 8 3 5" xfId="9016"/>
    <cellStyle name="Обычный 8 4" xfId="3899"/>
    <cellStyle name="Обычный 8 4 2" xfId="3900"/>
    <cellStyle name="Обычный 8 4 2 2" xfId="3901"/>
    <cellStyle name="Обычный 8 4 3" xfId="3902"/>
    <cellStyle name="Обычный 8 4 4" xfId="10590"/>
    <cellStyle name="Обычный 8 5" xfId="3903"/>
    <cellStyle name="Обычный 8 5 2" xfId="3904"/>
    <cellStyle name="Обычный 8 5 2 2" xfId="3905"/>
    <cellStyle name="Обычный 8 5 3" xfId="3906"/>
    <cellStyle name="Обычный 8 5 4" xfId="10591"/>
    <cellStyle name="Обычный 8 6" xfId="3907"/>
    <cellStyle name="Обычный 8 6 2" xfId="3908"/>
    <cellStyle name="Обычный 8 6 2 2" xfId="3909"/>
    <cellStyle name="Обычный 8 6 3" xfId="3910"/>
    <cellStyle name="Обычный 8 6 4" xfId="10592"/>
    <cellStyle name="Обычный 8 7" xfId="3911"/>
    <cellStyle name="Обычный 8 7 2" xfId="3912"/>
    <cellStyle name="Обычный 8 8" xfId="3913"/>
    <cellStyle name="Обычный 8 9" xfId="3914"/>
    <cellStyle name="Обычный 8 9 2" xfId="3915"/>
    <cellStyle name="Обычный 9" xfId="3916"/>
    <cellStyle name="Обычный 9 2" xfId="3917"/>
    <cellStyle name="Обычный 9 2 2" xfId="3918"/>
    <cellStyle name="Обычный 9 2 3" xfId="3919"/>
    <cellStyle name="Обычный 9 2 4" xfId="9018"/>
    <cellStyle name="Обычный 9 3" xfId="3920"/>
    <cellStyle name="Обычный 9 4" xfId="3921"/>
    <cellStyle name="Обычный 9 4 2" xfId="3922"/>
    <cellStyle name="Обычный 9 5" xfId="3923"/>
    <cellStyle name="Обычный 9 5 2" xfId="3924"/>
    <cellStyle name="Обычный 9 6" xfId="3925"/>
    <cellStyle name="Обычный 9 7" xfId="3926"/>
    <cellStyle name="Обычный 9 7 2" xfId="3927"/>
    <cellStyle name="Обычный 9 8" xfId="3928"/>
    <cellStyle name="Обычный 9 9" xfId="9017"/>
    <cellStyle name="Обычный_Лист1" xfId="2"/>
    <cellStyle name="Ошибка" xfId="3929"/>
    <cellStyle name="Плохой 10" xfId="3930"/>
    <cellStyle name="Плохой 11" xfId="5358"/>
    <cellStyle name="Плохой 12" xfId="9019"/>
    <cellStyle name="Плохой 2" xfId="3931"/>
    <cellStyle name="Плохой 2 10" xfId="3932"/>
    <cellStyle name="Плохой 2 10 2" xfId="5360"/>
    <cellStyle name="Плохой 2 10 3" xfId="10596"/>
    <cellStyle name="Плохой 2 11" xfId="5359"/>
    <cellStyle name="Плохой 2 12" xfId="9020"/>
    <cellStyle name="Плохой 2 2" xfId="3933"/>
    <cellStyle name="Плохой 2 2 2" xfId="3934"/>
    <cellStyle name="Плохой 2 2 3" xfId="5361"/>
    <cellStyle name="Плохой 2 2 4" xfId="9021"/>
    <cellStyle name="Плохой 2 3" xfId="3935"/>
    <cellStyle name="Плохой 2 3 2" xfId="5362"/>
    <cellStyle name="Плохой 2 3 3" xfId="10598"/>
    <cellStyle name="Плохой 2 4" xfId="3936"/>
    <cellStyle name="Плохой 2 4 2" xfId="5363"/>
    <cellStyle name="Плохой 2 4 3" xfId="10599"/>
    <cellStyle name="Плохой 2 5" xfId="3937"/>
    <cellStyle name="Плохой 2 5 2" xfId="5364"/>
    <cellStyle name="Плохой 2 5 3" xfId="10600"/>
    <cellStyle name="Плохой 2 6" xfId="3938"/>
    <cellStyle name="Плохой 2 6 2" xfId="5365"/>
    <cellStyle name="Плохой 2 6 3" xfId="10601"/>
    <cellStyle name="Плохой 2 7" xfId="3939"/>
    <cellStyle name="Плохой 2 7 2" xfId="5366"/>
    <cellStyle name="Плохой 2 7 3" xfId="10602"/>
    <cellStyle name="Плохой 2 8" xfId="3940"/>
    <cellStyle name="Плохой 2 8 2" xfId="5367"/>
    <cellStyle name="Плохой 2 8 3" xfId="10603"/>
    <cellStyle name="Плохой 2 9" xfId="3941"/>
    <cellStyle name="Плохой 2 9 2" xfId="5368"/>
    <cellStyle name="Плохой 2 9 3" xfId="10604"/>
    <cellStyle name="Плохой 2_МФ тепловой баланс 2015 дубль 3" xfId="3942"/>
    <cellStyle name="Плохой 3" xfId="3943"/>
    <cellStyle name="Плохой 3 10" xfId="3944"/>
    <cellStyle name="Плохой 3 10 2" xfId="5370"/>
    <cellStyle name="Плохой 3 10 3" xfId="10606"/>
    <cellStyle name="Плохой 3 11" xfId="3945"/>
    <cellStyle name="Плохой 3 12" xfId="5369"/>
    <cellStyle name="Плохой 3 13" xfId="9022"/>
    <cellStyle name="Плохой 3 2" xfId="3946"/>
    <cellStyle name="Плохой 3 2 2" xfId="5371"/>
    <cellStyle name="Плохой 3 2 3" xfId="9023"/>
    <cellStyle name="Плохой 3 3" xfId="3947"/>
    <cellStyle name="Плохой 3 3 2" xfId="5372"/>
    <cellStyle name="Плохой 3 3 3" xfId="10608"/>
    <cellStyle name="Плохой 3 4" xfId="3948"/>
    <cellStyle name="Плохой 3 4 2" xfId="5373"/>
    <cellStyle name="Плохой 3 4 3" xfId="10609"/>
    <cellStyle name="Плохой 3 5" xfId="3949"/>
    <cellStyle name="Плохой 3 5 2" xfId="5374"/>
    <cellStyle name="Плохой 3 5 3" xfId="10610"/>
    <cellStyle name="Плохой 3 6" xfId="3950"/>
    <cellStyle name="Плохой 3 6 2" xfId="5375"/>
    <cellStyle name="Плохой 3 6 3" xfId="10611"/>
    <cellStyle name="Плохой 3 7" xfId="3951"/>
    <cellStyle name="Плохой 3 7 2" xfId="5376"/>
    <cellStyle name="Плохой 3 7 3" xfId="10612"/>
    <cellStyle name="Плохой 3 8" xfId="3952"/>
    <cellStyle name="Плохой 3 8 2" xfId="5377"/>
    <cellStyle name="Плохой 3 8 3" xfId="10613"/>
    <cellStyle name="Плохой 3 9" xfId="3953"/>
    <cellStyle name="Плохой 3 9 2" xfId="5378"/>
    <cellStyle name="Плохой 3 9 3" xfId="10614"/>
    <cellStyle name="Плохой 3_МФ тепловой баланс 2015 дубль 3" xfId="3954"/>
    <cellStyle name="Плохой 4" xfId="3955"/>
    <cellStyle name="Плохой 4 2" xfId="3956"/>
    <cellStyle name="Плохой 4_МФ тепловой баланс 2015 дубль 3" xfId="3957"/>
    <cellStyle name="Плохой 5" xfId="3958"/>
    <cellStyle name="Плохой 5 2" xfId="3959"/>
    <cellStyle name="Плохой 5_МФ тепловой баланс 2015 дубль 3" xfId="3960"/>
    <cellStyle name="Плохой 6" xfId="3961"/>
    <cellStyle name="Плохой 6 2" xfId="3962"/>
    <cellStyle name="Плохой 6_МФ тепловой баланс 2015 дубль 3" xfId="3963"/>
    <cellStyle name="Плохой 7" xfId="3964"/>
    <cellStyle name="Плохой 7 2" xfId="3965"/>
    <cellStyle name="Плохой 7_МФ тепловой баланс 2015 дубль 3" xfId="3966"/>
    <cellStyle name="Плохой 8" xfId="3967"/>
    <cellStyle name="Плохой 8 2" xfId="3968"/>
    <cellStyle name="Плохой 9" xfId="3969"/>
    <cellStyle name="Плохой 9 2" xfId="3970"/>
    <cellStyle name="По центру с переносом" xfId="3971"/>
    <cellStyle name="По ширине с переносом" xfId="3972"/>
    <cellStyle name="Подгруппа" xfId="3973"/>
    <cellStyle name="Поле ввода" xfId="3974"/>
    <cellStyle name="Пояснение 10" xfId="3975"/>
    <cellStyle name="Пояснение 11" xfId="5379"/>
    <cellStyle name="Пояснение 12" xfId="9024"/>
    <cellStyle name="Пояснение 2" xfId="3976"/>
    <cellStyle name="Пояснение 2 10" xfId="3977"/>
    <cellStyle name="Пояснение 2 10 2" xfId="5381"/>
    <cellStyle name="Пояснение 2 10 3" xfId="10617"/>
    <cellStyle name="Пояснение 2 11" xfId="5380"/>
    <cellStyle name="Пояснение 2 12" xfId="9025"/>
    <cellStyle name="Пояснение 2 2" xfId="3978"/>
    <cellStyle name="Пояснение 2 2 2" xfId="3979"/>
    <cellStyle name="Пояснение 2 2 3" xfId="5382"/>
    <cellStyle name="Пояснение 2 2 4" xfId="9026"/>
    <cellStyle name="Пояснение 2 3" xfId="3980"/>
    <cellStyle name="Пояснение 2 3 2" xfId="5383"/>
    <cellStyle name="Пояснение 2 3 3" xfId="10619"/>
    <cellStyle name="Пояснение 2 4" xfId="3981"/>
    <cellStyle name="Пояснение 2 4 2" xfId="5384"/>
    <cellStyle name="Пояснение 2 4 3" xfId="10620"/>
    <cellStyle name="Пояснение 2 5" xfId="3982"/>
    <cellStyle name="Пояснение 2 5 2" xfId="5385"/>
    <cellStyle name="Пояснение 2 5 3" xfId="10621"/>
    <cellStyle name="Пояснение 2 6" xfId="3983"/>
    <cellStyle name="Пояснение 2 6 2" xfId="5386"/>
    <cellStyle name="Пояснение 2 6 3" xfId="10622"/>
    <cellStyle name="Пояснение 2 7" xfId="3984"/>
    <cellStyle name="Пояснение 2 7 2" xfId="5387"/>
    <cellStyle name="Пояснение 2 7 3" xfId="10623"/>
    <cellStyle name="Пояснение 2 8" xfId="3985"/>
    <cellStyle name="Пояснение 2 8 2" xfId="5388"/>
    <cellStyle name="Пояснение 2 8 3" xfId="10624"/>
    <cellStyle name="Пояснение 2 9" xfId="3986"/>
    <cellStyle name="Пояснение 2 9 2" xfId="5389"/>
    <cellStyle name="Пояснение 2 9 3" xfId="10625"/>
    <cellStyle name="Пояснение 2_МФ тепловой баланс 2015 дубль 3" xfId="3987"/>
    <cellStyle name="Пояснение 3" xfId="3988"/>
    <cellStyle name="Пояснение 3 10" xfId="3989"/>
    <cellStyle name="Пояснение 3 10 2" xfId="5391"/>
    <cellStyle name="Пояснение 3 10 3" xfId="10627"/>
    <cellStyle name="Пояснение 3 11" xfId="3990"/>
    <cellStyle name="Пояснение 3 12" xfId="5390"/>
    <cellStyle name="Пояснение 3 13" xfId="9027"/>
    <cellStyle name="Пояснение 3 2" xfId="3991"/>
    <cellStyle name="Пояснение 3 2 2" xfId="5392"/>
    <cellStyle name="Пояснение 3 2 3" xfId="9028"/>
    <cellStyle name="Пояснение 3 3" xfId="3992"/>
    <cellStyle name="Пояснение 3 3 2" xfId="5393"/>
    <cellStyle name="Пояснение 3 3 3" xfId="10629"/>
    <cellStyle name="Пояснение 3 4" xfId="3993"/>
    <cellStyle name="Пояснение 3 4 2" xfId="5394"/>
    <cellStyle name="Пояснение 3 4 3" xfId="10630"/>
    <cellStyle name="Пояснение 3 5" xfId="3994"/>
    <cellStyle name="Пояснение 3 5 2" xfId="5395"/>
    <cellStyle name="Пояснение 3 5 3" xfId="10631"/>
    <cellStyle name="Пояснение 3 6" xfId="3995"/>
    <cellStyle name="Пояснение 3 6 2" xfId="5396"/>
    <cellStyle name="Пояснение 3 6 3" xfId="10632"/>
    <cellStyle name="Пояснение 3 7" xfId="3996"/>
    <cellStyle name="Пояснение 3 7 2" xfId="5397"/>
    <cellStyle name="Пояснение 3 7 3" xfId="10633"/>
    <cellStyle name="Пояснение 3 8" xfId="3997"/>
    <cellStyle name="Пояснение 3 8 2" xfId="5398"/>
    <cellStyle name="Пояснение 3 8 3" xfId="10634"/>
    <cellStyle name="Пояснение 3 9" xfId="3998"/>
    <cellStyle name="Пояснение 3 9 2" xfId="5399"/>
    <cellStyle name="Пояснение 3 9 3" xfId="10635"/>
    <cellStyle name="Пояснение 3_МФ тепловой баланс 2015 дубль 3" xfId="3999"/>
    <cellStyle name="Пояснение 4" xfId="4000"/>
    <cellStyle name="Пояснение 4 2" xfId="4001"/>
    <cellStyle name="Пояснение 4_МФ тепловой баланс 2015 дубль 3" xfId="4002"/>
    <cellStyle name="Пояснение 5" xfId="4003"/>
    <cellStyle name="Пояснение 5 2" xfId="4004"/>
    <cellStyle name="Пояснение 5_МФ тепловой баланс 2015 дубль 3" xfId="4005"/>
    <cellStyle name="Пояснение 6" xfId="4006"/>
    <cellStyle name="Пояснение 6 2" xfId="4007"/>
    <cellStyle name="Пояснение 6_МФ тепловой баланс 2015 дубль 3" xfId="4008"/>
    <cellStyle name="Пояснение 7" xfId="4009"/>
    <cellStyle name="Пояснение 7 2" xfId="4010"/>
    <cellStyle name="Пояснение 7_МФ тепловой баланс 2015 дубль 3" xfId="4011"/>
    <cellStyle name="Пояснение 8" xfId="4012"/>
    <cellStyle name="Пояснение 8 2" xfId="4013"/>
    <cellStyle name="Пояснение 9" xfId="4014"/>
    <cellStyle name="Пояснение 9 2" xfId="4015"/>
    <cellStyle name="Примечание 10" xfId="4016"/>
    <cellStyle name="Примечание 10 2" xfId="4017"/>
    <cellStyle name="Примечание 10 3" xfId="4018"/>
    <cellStyle name="Примечание 10_46EE.2011(v1.0)" xfId="4019"/>
    <cellStyle name="Примечание 11" xfId="4020"/>
    <cellStyle name="Примечание 11 2" xfId="4021"/>
    <cellStyle name="Примечание 11 3" xfId="4022"/>
    <cellStyle name="Примечание 11_46EE.2011(v1.0)" xfId="4023"/>
    <cellStyle name="Примечание 12" xfId="4024"/>
    <cellStyle name="Примечание 12 2" xfId="4025"/>
    <cellStyle name="Примечание 12 3" xfId="4026"/>
    <cellStyle name="Примечание 12_46EE.2011(v1.0)" xfId="4027"/>
    <cellStyle name="Примечание 13" xfId="4028"/>
    <cellStyle name="Примечание 14" xfId="4029"/>
    <cellStyle name="Примечание 14 2" xfId="4030"/>
    <cellStyle name="Примечание 15" xfId="4031"/>
    <cellStyle name="Примечание 15 2" xfId="4032"/>
    <cellStyle name="Примечание 16" xfId="4033"/>
    <cellStyle name="Примечание 17" xfId="4034"/>
    <cellStyle name="Примечание 18" xfId="4035"/>
    <cellStyle name="Примечание 19" xfId="4036"/>
    <cellStyle name="Примечание 2" xfId="4037"/>
    <cellStyle name="Примечание 2 10" xfId="4038"/>
    <cellStyle name="Примечание 2 10 2" xfId="4039"/>
    <cellStyle name="Примечание 2 10 2 2" xfId="4040"/>
    <cellStyle name="Примечание 2 10 3" xfId="4041"/>
    <cellStyle name="Примечание 2 10 4" xfId="5402"/>
    <cellStyle name="Примечание 2 10 5" xfId="10638"/>
    <cellStyle name="Примечание 2 11" xfId="4042"/>
    <cellStyle name="Примечание 2 12" xfId="4043"/>
    <cellStyle name="Примечание 2 12 2" xfId="4044"/>
    <cellStyle name="Примечание 2 13" xfId="4045"/>
    <cellStyle name="Примечание 2 14" xfId="5401"/>
    <cellStyle name="Примечание 2 15" xfId="9030"/>
    <cellStyle name="Примечание 2 2" xfId="4046"/>
    <cellStyle name="Примечание 2 2 2" xfId="4047"/>
    <cellStyle name="Примечание 2 2 3" xfId="4048"/>
    <cellStyle name="Примечание 2 2 4" xfId="4049"/>
    <cellStyle name="Примечание 2 2 4 2" xfId="4050"/>
    <cellStyle name="Примечание 2 2 5" xfId="4051"/>
    <cellStyle name="Примечание 2 2 6" xfId="5403"/>
    <cellStyle name="Примечание 2 2 7" xfId="9031"/>
    <cellStyle name="Примечание 2 3" xfId="4052"/>
    <cellStyle name="Примечание 2 3 2" xfId="4053"/>
    <cellStyle name="Примечание 2 3 3" xfId="4054"/>
    <cellStyle name="Примечание 2 3 3 2" xfId="4055"/>
    <cellStyle name="Примечание 2 3 4" xfId="4056"/>
    <cellStyle name="Примечание 2 3 5" xfId="5404"/>
    <cellStyle name="Примечание 2 3 6" xfId="10640"/>
    <cellStyle name="Примечание 2 4" xfId="4057"/>
    <cellStyle name="Примечание 2 4 2" xfId="4058"/>
    <cellStyle name="Примечание 2 4 3" xfId="4059"/>
    <cellStyle name="Примечание 2 4 3 2" xfId="4060"/>
    <cellStyle name="Примечание 2 4 4" xfId="4061"/>
    <cellStyle name="Примечание 2 4 5" xfId="5405"/>
    <cellStyle name="Примечание 2 4 6" xfId="10641"/>
    <cellStyle name="Примечание 2 5" xfId="4062"/>
    <cellStyle name="Примечание 2 5 2" xfId="4063"/>
    <cellStyle name="Примечание 2 5 3" xfId="4064"/>
    <cellStyle name="Примечание 2 5 3 2" xfId="4065"/>
    <cellStyle name="Примечание 2 5 4" xfId="4066"/>
    <cellStyle name="Примечание 2 5 5" xfId="5406"/>
    <cellStyle name="Примечание 2 5 6" xfId="10642"/>
    <cellStyle name="Примечание 2 6" xfId="4067"/>
    <cellStyle name="Примечание 2 6 2" xfId="4068"/>
    <cellStyle name="Примечание 2 6 3" xfId="4069"/>
    <cellStyle name="Примечание 2 6 3 2" xfId="4070"/>
    <cellStyle name="Примечание 2 6 4" xfId="4071"/>
    <cellStyle name="Примечание 2 6 5" xfId="5407"/>
    <cellStyle name="Примечание 2 6 6" xfId="10643"/>
    <cellStyle name="Примечание 2 7" xfId="4072"/>
    <cellStyle name="Примечание 2 7 2" xfId="4073"/>
    <cellStyle name="Примечание 2 7 3" xfId="4074"/>
    <cellStyle name="Примечание 2 7 3 2" xfId="4075"/>
    <cellStyle name="Примечание 2 7 4" xfId="4076"/>
    <cellStyle name="Примечание 2 7 5" xfId="5408"/>
    <cellStyle name="Примечание 2 7 6" xfId="10644"/>
    <cellStyle name="Примечание 2 8" xfId="4077"/>
    <cellStyle name="Примечание 2 8 2" xfId="4078"/>
    <cellStyle name="Примечание 2 8 3" xfId="4079"/>
    <cellStyle name="Примечание 2 8 3 2" xfId="4080"/>
    <cellStyle name="Примечание 2 8 4" xfId="4081"/>
    <cellStyle name="Примечание 2 8 5" xfId="5409"/>
    <cellStyle name="Примечание 2 8 6" xfId="10645"/>
    <cellStyle name="Примечание 2 9" xfId="4082"/>
    <cellStyle name="Примечание 2 9 2" xfId="4083"/>
    <cellStyle name="Примечание 2 9 3" xfId="4084"/>
    <cellStyle name="Примечание 2 9 3 2" xfId="4085"/>
    <cellStyle name="Примечание 2 9 4" xfId="4086"/>
    <cellStyle name="Примечание 2 9 5" xfId="5410"/>
    <cellStyle name="Примечание 2 9 6" xfId="10646"/>
    <cellStyle name="Примечание 2_46EE.2011(v1.0)" xfId="4087"/>
    <cellStyle name="Примечание 20" xfId="4088"/>
    <cellStyle name="Примечание 21" xfId="4089"/>
    <cellStyle name="Примечание 22" xfId="4090"/>
    <cellStyle name="Примечание 23" xfId="4091"/>
    <cellStyle name="Примечание 24" xfId="4092"/>
    <cellStyle name="Примечание 25" xfId="4093"/>
    <cellStyle name="Примечание 26" xfId="4094"/>
    <cellStyle name="Примечание 27" xfId="4095"/>
    <cellStyle name="Примечание 28" xfId="4096"/>
    <cellStyle name="Примечание 29" xfId="4097"/>
    <cellStyle name="Примечание 3" xfId="4098"/>
    <cellStyle name="Примечание 3 10" xfId="4099"/>
    <cellStyle name="Примечание 3 10 2" xfId="4100"/>
    <cellStyle name="Примечание 3 10 2 2" xfId="4101"/>
    <cellStyle name="Примечание 3 10 3" xfId="4102"/>
    <cellStyle name="Примечание 3 10 4" xfId="5412"/>
    <cellStyle name="Примечание 3 10 5" xfId="10648"/>
    <cellStyle name="Примечание 3 11" xfId="4103"/>
    <cellStyle name="Примечание 3 12" xfId="4104"/>
    <cellStyle name="Примечание 3 12 2" xfId="4105"/>
    <cellStyle name="Примечание 3 13" xfId="4106"/>
    <cellStyle name="Примечание 3 14" xfId="5411"/>
    <cellStyle name="Примечание 3 15" xfId="9032"/>
    <cellStyle name="Примечание 3 2" xfId="4107"/>
    <cellStyle name="Примечание 3 2 2" xfId="4108"/>
    <cellStyle name="Примечание 3 2 3" xfId="4109"/>
    <cellStyle name="Примечание 3 2 3 2" xfId="4110"/>
    <cellStyle name="Примечание 3 2 4" xfId="4111"/>
    <cellStyle name="Примечание 3 2 5" xfId="5413"/>
    <cellStyle name="Примечание 3 2 6" xfId="9033"/>
    <cellStyle name="Примечание 3 3" xfId="4112"/>
    <cellStyle name="Примечание 3 3 2" xfId="4113"/>
    <cellStyle name="Примечание 3 3 3" xfId="4114"/>
    <cellStyle name="Примечание 3 3 3 2" xfId="4115"/>
    <cellStyle name="Примечание 3 3 4" xfId="4116"/>
    <cellStyle name="Примечание 3 3 5" xfId="5414"/>
    <cellStyle name="Примечание 3 3 6" xfId="10650"/>
    <cellStyle name="Примечание 3 4" xfId="4117"/>
    <cellStyle name="Примечание 3 4 2" xfId="4118"/>
    <cellStyle name="Примечание 3 4 3" xfId="4119"/>
    <cellStyle name="Примечание 3 4 3 2" xfId="4120"/>
    <cellStyle name="Примечание 3 4 4" xfId="4121"/>
    <cellStyle name="Примечание 3 4 5" xfId="5415"/>
    <cellStyle name="Примечание 3 4 6" xfId="10651"/>
    <cellStyle name="Примечание 3 5" xfId="4122"/>
    <cellStyle name="Примечание 3 5 2" xfId="4123"/>
    <cellStyle name="Примечание 3 5 3" xfId="4124"/>
    <cellStyle name="Примечание 3 5 3 2" xfId="4125"/>
    <cellStyle name="Примечание 3 5 4" xfId="4126"/>
    <cellStyle name="Примечание 3 5 5" xfId="5416"/>
    <cellStyle name="Примечание 3 5 6" xfId="10652"/>
    <cellStyle name="Примечание 3 6" xfId="4127"/>
    <cellStyle name="Примечание 3 6 2" xfId="4128"/>
    <cellStyle name="Примечание 3 6 3" xfId="4129"/>
    <cellStyle name="Примечание 3 6 3 2" xfId="4130"/>
    <cellStyle name="Примечание 3 6 4" xfId="4131"/>
    <cellStyle name="Примечание 3 6 5" xfId="5417"/>
    <cellStyle name="Примечание 3 6 6" xfId="10653"/>
    <cellStyle name="Примечание 3 7" xfId="4132"/>
    <cellStyle name="Примечание 3 7 2" xfId="4133"/>
    <cellStyle name="Примечание 3 7 3" xfId="4134"/>
    <cellStyle name="Примечание 3 7 3 2" xfId="4135"/>
    <cellStyle name="Примечание 3 7 4" xfId="4136"/>
    <cellStyle name="Примечание 3 7 5" xfId="5418"/>
    <cellStyle name="Примечание 3 7 6" xfId="10654"/>
    <cellStyle name="Примечание 3 8" xfId="4137"/>
    <cellStyle name="Примечание 3 8 2" xfId="4138"/>
    <cellStyle name="Примечание 3 8 3" xfId="4139"/>
    <cellStyle name="Примечание 3 8 3 2" xfId="4140"/>
    <cellStyle name="Примечание 3 8 4" xfId="4141"/>
    <cellStyle name="Примечание 3 8 5" xfId="5419"/>
    <cellStyle name="Примечание 3 8 6" xfId="10655"/>
    <cellStyle name="Примечание 3 9" xfId="4142"/>
    <cellStyle name="Примечание 3 9 2" xfId="4143"/>
    <cellStyle name="Примечание 3 9 3" xfId="4144"/>
    <cellStyle name="Примечание 3 9 3 2" xfId="4145"/>
    <cellStyle name="Примечание 3 9 4" xfId="4146"/>
    <cellStyle name="Примечание 3 9 5" xfId="5420"/>
    <cellStyle name="Примечание 3 9 6" xfId="10656"/>
    <cellStyle name="Примечание 3_46EE.2011(v1.0)" xfId="4147"/>
    <cellStyle name="Примечание 30" xfId="4148"/>
    <cellStyle name="Примечание 31" xfId="4149"/>
    <cellStyle name="Примечание 32" xfId="4150"/>
    <cellStyle name="Примечание 33" xfId="4151"/>
    <cellStyle name="Примечание 34" xfId="4509"/>
    <cellStyle name="Примечание 35" xfId="4513"/>
    <cellStyle name="Примечание 36" xfId="4512"/>
    <cellStyle name="Примечание 37" xfId="4514"/>
    <cellStyle name="Примечание 38" xfId="4511"/>
    <cellStyle name="Примечание 39" xfId="5400"/>
    <cellStyle name="Примечание 4" xfId="4152"/>
    <cellStyle name="Примечание 4 2" xfId="4153"/>
    <cellStyle name="Примечание 4 3" xfId="4154"/>
    <cellStyle name="Примечание 4 4" xfId="4155"/>
    <cellStyle name="Примечание 4 5" xfId="4156"/>
    <cellStyle name="Примечание 4 6" xfId="4157"/>
    <cellStyle name="Примечание 4 7" xfId="4158"/>
    <cellStyle name="Примечание 4 8" xfId="4159"/>
    <cellStyle name="Примечание 4 9" xfId="4160"/>
    <cellStyle name="Примечание 4_46EE.2011(v1.0)" xfId="4161"/>
    <cellStyle name="Примечание 40" xfId="6120"/>
    <cellStyle name="Примечание 41" xfId="6211"/>
    <cellStyle name="Примечание 42" xfId="6320"/>
    <cellStyle name="Примечание 43" xfId="6447"/>
    <cellStyle name="Примечание 44" xfId="6592"/>
    <cellStyle name="Примечание 45" xfId="6755"/>
    <cellStyle name="Примечание 46" xfId="6936"/>
    <cellStyle name="Примечание 47" xfId="7135"/>
    <cellStyle name="Примечание 48" xfId="7348"/>
    <cellStyle name="Примечание 49" xfId="7575"/>
    <cellStyle name="Примечание 5" xfId="4162"/>
    <cellStyle name="Примечание 5 2" xfId="4163"/>
    <cellStyle name="Примечание 5 3" xfId="4164"/>
    <cellStyle name="Примечание 5 4" xfId="4165"/>
    <cellStyle name="Примечание 5 5" xfId="4166"/>
    <cellStyle name="Примечание 5 6" xfId="4167"/>
    <cellStyle name="Примечание 5 7" xfId="4168"/>
    <cellStyle name="Примечание 5 8" xfId="4169"/>
    <cellStyle name="Примечание 5 9" xfId="4170"/>
    <cellStyle name="Примечание 5_46EE.2011(v1.0)" xfId="4171"/>
    <cellStyle name="Примечание 50" xfId="7798"/>
    <cellStyle name="Примечание 51" xfId="8020"/>
    <cellStyle name="Примечание 52" xfId="8229"/>
    <cellStyle name="Примечание 53" xfId="8426"/>
    <cellStyle name="Примечание 54" xfId="8584"/>
    <cellStyle name="Примечание 55" xfId="8729"/>
    <cellStyle name="Примечание 56" xfId="8783"/>
    <cellStyle name="Примечание 57" xfId="9029"/>
    <cellStyle name="Примечание 58" xfId="9245"/>
    <cellStyle name="Примечание 59" xfId="9359"/>
    <cellStyle name="Примечание 6" xfId="4172"/>
    <cellStyle name="Примечание 6 2" xfId="4173"/>
    <cellStyle name="Примечание 6_46EE.2011(v1.0)" xfId="4174"/>
    <cellStyle name="Примечание 60" xfId="9448"/>
    <cellStyle name="Примечание 61" xfId="9537"/>
    <cellStyle name="Примечание 62" xfId="9615"/>
    <cellStyle name="Примечание 63" xfId="9667"/>
    <cellStyle name="Примечание 64" xfId="9743"/>
    <cellStyle name="Примечание 65" xfId="9759"/>
    <cellStyle name="Примечание 66" xfId="10636"/>
    <cellStyle name="Примечание 67" xfId="11234"/>
    <cellStyle name="Примечание 68" xfId="11469"/>
    <cellStyle name="Примечание 69" xfId="11704"/>
    <cellStyle name="Примечание 7" xfId="4175"/>
    <cellStyle name="Примечание 7 2" xfId="4176"/>
    <cellStyle name="Примечание 7_46EE.2011(v1.0)" xfId="4177"/>
    <cellStyle name="Примечание 70" xfId="11939"/>
    <cellStyle name="Примечание 71" xfId="12174"/>
    <cellStyle name="Примечание 72" xfId="12409"/>
    <cellStyle name="Примечание 73" xfId="12644"/>
    <cellStyle name="Примечание 74" xfId="12879"/>
    <cellStyle name="Примечание 75" xfId="13114"/>
    <cellStyle name="Примечание 76" xfId="13349"/>
    <cellStyle name="Примечание 77" xfId="13584"/>
    <cellStyle name="Примечание 78" xfId="13818"/>
    <cellStyle name="Примечание 79" xfId="14047"/>
    <cellStyle name="Примечание 8" xfId="4178"/>
    <cellStyle name="Примечание 8 2" xfId="4179"/>
    <cellStyle name="Примечание 8_46EE.2011(v1.0)" xfId="4180"/>
    <cellStyle name="Примечание 80" xfId="14275"/>
    <cellStyle name="Примечание 81" xfId="14496"/>
    <cellStyle name="Примечание 82" xfId="14716"/>
    <cellStyle name="Примечание 83" xfId="14925"/>
    <cellStyle name="Примечание 84" xfId="15120"/>
    <cellStyle name="Примечание 85" xfId="15278"/>
    <cellStyle name="Примечание 86" xfId="15422"/>
    <cellStyle name="Примечание 87" xfId="15475"/>
    <cellStyle name="Примечание 88" xfId="15656"/>
    <cellStyle name="Примечание 89" xfId="15732"/>
    <cellStyle name="Примечание 9" xfId="4181"/>
    <cellStyle name="Примечание 9 2" xfId="4182"/>
    <cellStyle name="Примечание 9_46EE.2011(v1.0)" xfId="4183"/>
    <cellStyle name="Примечание 90" xfId="15748"/>
    <cellStyle name="Продукт" xfId="4184"/>
    <cellStyle name="Процентный 10" xfId="4185"/>
    <cellStyle name="Процентный 10 2" xfId="4186"/>
    <cellStyle name="Процентный 11" xfId="4187"/>
    <cellStyle name="Процентный 11 2" xfId="4188"/>
    <cellStyle name="Процентный 12" xfId="4189"/>
    <cellStyle name="Процентный 13" xfId="4190"/>
    <cellStyle name="Процентный 14" xfId="4191"/>
    <cellStyle name="Процентный 15" xfId="4192"/>
    <cellStyle name="Процентный 2" xfId="4193"/>
    <cellStyle name="Процентный 2 2" xfId="4194"/>
    <cellStyle name="Процентный 2 2 2" xfId="4195"/>
    <cellStyle name="Процентный 2 2 2 2" xfId="4196"/>
    <cellStyle name="Процентный 2 2 3" xfId="4197"/>
    <cellStyle name="Процентный 2 2 4" xfId="4198"/>
    <cellStyle name="Процентный 2 2 5" xfId="4199"/>
    <cellStyle name="Процентный 2 3" xfId="4200"/>
    <cellStyle name="Процентный 2 3 2" xfId="4201"/>
    <cellStyle name="Процентный 2 4" xfId="4202"/>
    <cellStyle name="Процентный 2 4 2" xfId="4203"/>
    <cellStyle name="Процентный 2 5" xfId="4204"/>
    <cellStyle name="Процентный 2 6" xfId="4205"/>
    <cellStyle name="Процентный 2_2014 АрхТепло Производственная" xfId="4206"/>
    <cellStyle name="Процентный 3" xfId="4207"/>
    <cellStyle name="Процентный 3 2" xfId="4208"/>
    <cellStyle name="Процентный 3 2 2" xfId="4209"/>
    <cellStyle name="Процентный 3 2 3" xfId="4210"/>
    <cellStyle name="Процентный 3 3" xfId="4211"/>
    <cellStyle name="Процентный 3 4" xfId="4212"/>
    <cellStyle name="Процентный 3 5" xfId="4213"/>
    <cellStyle name="Процентный 3 6" xfId="4214"/>
    <cellStyle name="Процентный 3_Приложения ЛФ корр" xfId="4215"/>
    <cellStyle name="Процентный 4" xfId="4216"/>
    <cellStyle name="Процентный 4 2" xfId="4217"/>
    <cellStyle name="Процентный 4 2 2" xfId="4218"/>
    <cellStyle name="Процентный 4 2 2 2" xfId="4219"/>
    <cellStyle name="Процентный 4 2 3" xfId="4220"/>
    <cellStyle name="Процентный 4 2 4" xfId="4221"/>
    <cellStyle name="Процентный 4 2_Приложения ЛФ корр" xfId="4222"/>
    <cellStyle name="Процентный 4 3" xfId="4223"/>
    <cellStyle name="Процентный 4 3 2" xfId="4224"/>
    <cellStyle name="Процентный 4 3 3" xfId="4225"/>
    <cellStyle name="Процентный 4 3 4" xfId="4226"/>
    <cellStyle name="Процентный 4 4" xfId="4227"/>
    <cellStyle name="Процентный 4 4 2" xfId="4228"/>
    <cellStyle name="Процентный 4 4 2 2" xfId="4229"/>
    <cellStyle name="Процентный 4 5" xfId="4230"/>
    <cellStyle name="Процентный 4 5 2" xfId="4231"/>
    <cellStyle name="Процентный 4_Приложения ЛФ корр" xfId="4232"/>
    <cellStyle name="Процентный 5" xfId="4233"/>
    <cellStyle name="Процентный 5 2" xfId="4234"/>
    <cellStyle name="Процентный 5 2 2" xfId="4235"/>
    <cellStyle name="Процентный 5 2 3" xfId="4236"/>
    <cellStyle name="Процентный 5 3" xfId="4237"/>
    <cellStyle name="Процентный 5 4" xfId="4238"/>
    <cellStyle name="Процентный 5 5" xfId="4239"/>
    <cellStyle name="Процентный 5 6" xfId="4240"/>
    <cellStyle name="Процентный 6" xfId="4241"/>
    <cellStyle name="Процентный 6 2" xfId="4242"/>
    <cellStyle name="Процентный 6 3" xfId="4243"/>
    <cellStyle name="Процентный 6 3 2" xfId="4244"/>
    <cellStyle name="Процентный 6_Приложения ЛФ корр" xfId="4245"/>
    <cellStyle name="Процентный 7" xfId="4246"/>
    <cellStyle name="Процентный 7 2" xfId="4247"/>
    <cellStyle name="Процентный 7 3" xfId="4248"/>
    <cellStyle name="Процентный 8" xfId="4249"/>
    <cellStyle name="Процентный 8 2" xfId="4250"/>
    <cellStyle name="Процентный 8 2 2" xfId="4251"/>
    <cellStyle name="Процентный 8 3" xfId="4252"/>
    <cellStyle name="Процентный 9" xfId="4253"/>
    <cellStyle name="Процентный 9 2" xfId="4254"/>
    <cellStyle name="Процентный 9 3" xfId="4255"/>
    <cellStyle name="Разница" xfId="4256"/>
    <cellStyle name="Рамки" xfId="4257"/>
    <cellStyle name="Сводная таблица" xfId="4258"/>
    <cellStyle name="Связанная ячейка 10" xfId="4259"/>
    <cellStyle name="Связанная ячейка 11" xfId="5421"/>
    <cellStyle name="Связанная ячейка 12" xfId="9034"/>
    <cellStyle name="Связанная ячейка 2" xfId="4260"/>
    <cellStyle name="Связанная ячейка 2 10" xfId="4261"/>
    <cellStyle name="Связанная ячейка 2 10 2" xfId="5423"/>
    <cellStyle name="Связанная ячейка 2 10 3" xfId="10659"/>
    <cellStyle name="Связанная ячейка 2 11" xfId="5422"/>
    <cellStyle name="Связанная ячейка 2 12" xfId="9035"/>
    <cellStyle name="Связанная ячейка 2 2" xfId="4262"/>
    <cellStyle name="Связанная ячейка 2 2 2" xfId="4263"/>
    <cellStyle name="Связанная ячейка 2 2 3" xfId="5424"/>
    <cellStyle name="Связанная ячейка 2 2 4" xfId="9036"/>
    <cellStyle name="Связанная ячейка 2 3" xfId="4264"/>
    <cellStyle name="Связанная ячейка 2 3 2" xfId="5425"/>
    <cellStyle name="Связанная ячейка 2 3 3" xfId="10661"/>
    <cellStyle name="Связанная ячейка 2 4" xfId="4265"/>
    <cellStyle name="Связанная ячейка 2 4 2" xfId="5426"/>
    <cellStyle name="Связанная ячейка 2 4 3" xfId="10662"/>
    <cellStyle name="Связанная ячейка 2 5" xfId="4266"/>
    <cellStyle name="Связанная ячейка 2 5 2" xfId="5427"/>
    <cellStyle name="Связанная ячейка 2 5 3" xfId="10663"/>
    <cellStyle name="Связанная ячейка 2 6" xfId="4267"/>
    <cellStyle name="Связанная ячейка 2 6 2" xfId="5428"/>
    <cellStyle name="Связанная ячейка 2 6 3" xfId="10664"/>
    <cellStyle name="Связанная ячейка 2 7" xfId="4268"/>
    <cellStyle name="Связанная ячейка 2 7 2" xfId="5429"/>
    <cellStyle name="Связанная ячейка 2 7 3" xfId="10665"/>
    <cellStyle name="Связанная ячейка 2 8" xfId="4269"/>
    <cellStyle name="Связанная ячейка 2 8 2" xfId="5430"/>
    <cellStyle name="Связанная ячейка 2 8 3" xfId="10666"/>
    <cellStyle name="Связанная ячейка 2 9" xfId="4270"/>
    <cellStyle name="Связанная ячейка 2 9 2" xfId="5431"/>
    <cellStyle name="Связанная ячейка 2 9 3" xfId="10667"/>
    <cellStyle name="Связанная ячейка 2_46EE.2011(v1.0)" xfId="4271"/>
    <cellStyle name="Связанная ячейка 3" xfId="4272"/>
    <cellStyle name="Связанная ячейка 3 10" xfId="4273"/>
    <cellStyle name="Связанная ячейка 3 10 2" xfId="5433"/>
    <cellStyle name="Связанная ячейка 3 10 3" xfId="10669"/>
    <cellStyle name="Связанная ячейка 3 11" xfId="4274"/>
    <cellStyle name="Связанная ячейка 3 12" xfId="5432"/>
    <cellStyle name="Связанная ячейка 3 13" xfId="9037"/>
    <cellStyle name="Связанная ячейка 3 2" xfId="4275"/>
    <cellStyle name="Связанная ячейка 3 2 2" xfId="5434"/>
    <cellStyle name="Связанная ячейка 3 2 3" xfId="9038"/>
    <cellStyle name="Связанная ячейка 3 3" xfId="4276"/>
    <cellStyle name="Связанная ячейка 3 3 2" xfId="5435"/>
    <cellStyle name="Связанная ячейка 3 3 3" xfId="10671"/>
    <cellStyle name="Связанная ячейка 3 4" xfId="4277"/>
    <cellStyle name="Связанная ячейка 3 4 2" xfId="5436"/>
    <cellStyle name="Связанная ячейка 3 4 3" xfId="10672"/>
    <cellStyle name="Связанная ячейка 3 5" xfId="4278"/>
    <cellStyle name="Связанная ячейка 3 5 2" xfId="5437"/>
    <cellStyle name="Связанная ячейка 3 5 3" xfId="10673"/>
    <cellStyle name="Связанная ячейка 3 6" xfId="4279"/>
    <cellStyle name="Связанная ячейка 3 6 2" xfId="5438"/>
    <cellStyle name="Связанная ячейка 3 6 3" xfId="10674"/>
    <cellStyle name="Связанная ячейка 3 7" xfId="4280"/>
    <cellStyle name="Связанная ячейка 3 7 2" xfId="5439"/>
    <cellStyle name="Связанная ячейка 3 7 3" xfId="10675"/>
    <cellStyle name="Связанная ячейка 3 8" xfId="4281"/>
    <cellStyle name="Связанная ячейка 3 8 2" xfId="5440"/>
    <cellStyle name="Связанная ячейка 3 8 3" xfId="10676"/>
    <cellStyle name="Связанная ячейка 3 9" xfId="4282"/>
    <cellStyle name="Связанная ячейка 3 9 2" xfId="5441"/>
    <cellStyle name="Связанная ячейка 3 9 3" xfId="10677"/>
    <cellStyle name="Связанная ячейка 3_46EE.2011(v1.0)" xfId="4283"/>
    <cellStyle name="Связанная ячейка 4" xfId="4284"/>
    <cellStyle name="Связанная ячейка 4 2" xfId="4285"/>
    <cellStyle name="Связанная ячейка 4_46EE.2011(v1.0)" xfId="4286"/>
    <cellStyle name="Связанная ячейка 5" xfId="4287"/>
    <cellStyle name="Связанная ячейка 5 2" xfId="4288"/>
    <cellStyle name="Связанная ячейка 5_46EE.2011(v1.0)" xfId="4289"/>
    <cellStyle name="Связанная ячейка 6" xfId="4290"/>
    <cellStyle name="Связанная ячейка 6 2" xfId="4291"/>
    <cellStyle name="Связанная ячейка 6_46EE.2011(v1.0)" xfId="4292"/>
    <cellStyle name="Связанная ячейка 7" xfId="4293"/>
    <cellStyle name="Связанная ячейка 7 2" xfId="4294"/>
    <cellStyle name="Связанная ячейка 7_46EE.2011(v1.0)" xfId="4295"/>
    <cellStyle name="Связанная ячейка 8" xfId="4296"/>
    <cellStyle name="Связанная ячейка 8 2" xfId="4297"/>
    <cellStyle name="Связанная ячейка 8_46EE.2011(v1.0)" xfId="4298"/>
    <cellStyle name="Связанная ячейка 9" xfId="4299"/>
    <cellStyle name="Связанная ячейка 9 2" xfId="4300"/>
    <cellStyle name="Связанная ячейка 9_46EE.2011(v1.0)" xfId="4301"/>
    <cellStyle name="Стиль 1" xfId="4302"/>
    <cellStyle name="Стиль 1 2" xfId="4303"/>
    <cellStyle name="Стиль 1 2 2" xfId="4304"/>
    <cellStyle name="Стиль 1 2 3" xfId="4305"/>
    <cellStyle name="Стиль 1 2_46EP.2011(v2.0)" xfId="4306"/>
    <cellStyle name="Стиль 1 3" xfId="4307"/>
    <cellStyle name="Стиль 1_конченый" xfId="4308"/>
    <cellStyle name="Субсчет" xfId="4309"/>
    <cellStyle name="Счет" xfId="4310"/>
    <cellStyle name="ТЕКСТ" xfId="4311"/>
    <cellStyle name="ТЕКСТ 2" xfId="4312"/>
    <cellStyle name="ТЕКСТ 3" xfId="4313"/>
    <cellStyle name="ТЕКСТ 4" xfId="4314"/>
    <cellStyle name="ТЕКСТ 5" xfId="4315"/>
    <cellStyle name="ТЕКСТ 6" xfId="4316"/>
    <cellStyle name="ТЕКСТ 7" xfId="4317"/>
    <cellStyle name="ТЕКСТ 8" xfId="4318"/>
    <cellStyle name="ТЕКСТ 9" xfId="4319"/>
    <cellStyle name="Текст предупреждения 10" xfId="4320"/>
    <cellStyle name="Текст предупреждения 11" xfId="5442"/>
    <cellStyle name="Текст предупреждения 12" xfId="9039"/>
    <cellStyle name="Текст предупреждения 2" xfId="4321"/>
    <cellStyle name="Текст предупреждения 2 10" xfId="4322"/>
    <cellStyle name="Текст предупреждения 2 10 2" xfId="5444"/>
    <cellStyle name="Текст предупреждения 2 10 3" xfId="10680"/>
    <cellStyle name="Текст предупреждения 2 11" xfId="5443"/>
    <cellStyle name="Текст предупреждения 2 12" xfId="9040"/>
    <cellStyle name="Текст предупреждения 2 2" xfId="4323"/>
    <cellStyle name="Текст предупреждения 2 2 2" xfId="4324"/>
    <cellStyle name="Текст предупреждения 2 2 3" xfId="5445"/>
    <cellStyle name="Текст предупреждения 2 2 4" xfId="9041"/>
    <cellStyle name="Текст предупреждения 2 3" xfId="4325"/>
    <cellStyle name="Текст предупреждения 2 3 2" xfId="5446"/>
    <cellStyle name="Текст предупреждения 2 3 3" xfId="10682"/>
    <cellStyle name="Текст предупреждения 2 4" xfId="4326"/>
    <cellStyle name="Текст предупреждения 2 4 2" xfId="5447"/>
    <cellStyle name="Текст предупреждения 2 4 3" xfId="10683"/>
    <cellStyle name="Текст предупреждения 2 5" xfId="4327"/>
    <cellStyle name="Текст предупреждения 2 5 2" xfId="5448"/>
    <cellStyle name="Текст предупреждения 2 5 3" xfId="10684"/>
    <cellStyle name="Текст предупреждения 2 6" xfId="4328"/>
    <cellStyle name="Текст предупреждения 2 6 2" xfId="5449"/>
    <cellStyle name="Текст предупреждения 2 6 3" xfId="10685"/>
    <cellStyle name="Текст предупреждения 2 7" xfId="4329"/>
    <cellStyle name="Текст предупреждения 2 7 2" xfId="5450"/>
    <cellStyle name="Текст предупреждения 2 7 3" xfId="10686"/>
    <cellStyle name="Текст предупреждения 2 8" xfId="4330"/>
    <cellStyle name="Текст предупреждения 2 8 2" xfId="5451"/>
    <cellStyle name="Текст предупреждения 2 8 3" xfId="10687"/>
    <cellStyle name="Текст предупреждения 2 9" xfId="4331"/>
    <cellStyle name="Текст предупреждения 2 9 2" xfId="5452"/>
    <cellStyle name="Текст предупреждения 2 9 3" xfId="10688"/>
    <cellStyle name="Текст предупреждения 2_МФ тепловой баланс 2015 дубль 4 31.03.2014" xfId="4332"/>
    <cellStyle name="Текст предупреждения 3" xfId="4333"/>
    <cellStyle name="Текст предупреждения 3 10" xfId="4334"/>
    <cellStyle name="Текст предупреждения 3 10 2" xfId="5454"/>
    <cellStyle name="Текст предупреждения 3 10 3" xfId="10690"/>
    <cellStyle name="Текст предупреждения 3 11" xfId="4335"/>
    <cellStyle name="Текст предупреждения 3 12" xfId="5453"/>
    <cellStyle name="Текст предупреждения 3 13" xfId="9042"/>
    <cellStyle name="Текст предупреждения 3 2" xfId="4336"/>
    <cellStyle name="Текст предупреждения 3 2 2" xfId="5455"/>
    <cellStyle name="Текст предупреждения 3 2 3" xfId="9043"/>
    <cellStyle name="Текст предупреждения 3 3" xfId="4337"/>
    <cellStyle name="Текст предупреждения 3 3 2" xfId="5456"/>
    <cellStyle name="Текст предупреждения 3 3 3" xfId="10692"/>
    <cellStyle name="Текст предупреждения 3 4" xfId="4338"/>
    <cellStyle name="Текст предупреждения 3 4 2" xfId="5457"/>
    <cellStyle name="Текст предупреждения 3 4 3" xfId="10693"/>
    <cellStyle name="Текст предупреждения 3 5" xfId="4339"/>
    <cellStyle name="Текст предупреждения 3 5 2" xfId="5458"/>
    <cellStyle name="Текст предупреждения 3 5 3" xfId="10694"/>
    <cellStyle name="Текст предупреждения 3 6" xfId="4340"/>
    <cellStyle name="Текст предупреждения 3 6 2" xfId="5459"/>
    <cellStyle name="Текст предупреждения 3 6 3" xfId="10695"/>
    <cellStyle name="Текст предупреждения 3 7" xfId="4341"/>
    <cellStyle name="Текст предупреждения 3 7 2" xfId="5460"/>
    <cellStyle name="Текст предупреждения 3 7 3" xfId="10696"/>
    <cellStyle name="Текст предупреждения 3 8" xfId="4342"/>
    <cellStyle name="Текст предупреждения 3 8 2" xfId="5461"/>
    <cellStyle name="Текст предупреждения 3 8 3" xfId="10697"/>
    <cellStyle name="Текст предупреждения 3 9" xfId="4343"/>
    <cellStyle name="Текст предупреждения 3 9 2" xfId="5462"/>
    <cellStyle name="Текст предупреждения 3 9 3" xfId="10698"/>
    <cellStyle name="Текст предупреждения 3_МФ тепловой баланс 2015 дубль 4 31.03.2014" xfId="4344"/>
    <cellStyle name="Текст предупреждения 4" xfId="4345"/>
    <cellStyle name="Текст предупреждения 4 2" xfId="4346"/>
    <cellStyle name="Текст предупреждения 4_МФ тепловой баланс 2015 дубль 4 31.03.2014" xfId="4347"/>
    <cellStyle name="Текст предупреждения 5" xfId="4348"/>
    <cellStyle name="Текст предупреждения 5 2" xfId="4349"/>
    <cellStyle name="Текст предупреждения 5_МФ тепловой баланс 2015 дубль 4 31.03.2014" xfId="4350"/>
    <cellStyle name="Текст предупреждения 6" xfId="4351"/>
    <cellStyle name="Текст предупреждения 6 2" xfId="4352"/>
    <cellStyle name="Текст предупреждения 6_МФ тепловой баланс 2015 дубль 4 31.03.2014" xfId="4353"/>
    <cellStyle name="Текст предупреждения 7" xfId="4354"/>
    <cellStyle name="Текст предупреждения 7 2" xfId="4355"/>
    <cellStyle name="Текст предупреждения 7_МФ тепловой баланс 2015 дубль 4 31.03.2014" xfId="4356"/>
    <cellStyle name="Текст предупреждения 8" xfId="4357"/>
    <cellStyle name="Текст предупреждения 8 2" xfId="4358"/>
    <cellStyle name="Текст предупреждения 9" xfId="4359"/>
    <cellStyle name="Текст предупреждения 9 2" xfId="4360"/>
    <cellStyle name="Текстовый" xfId="4361"/>
    <cellStyle name="Текстовый 2" xfId="4362"/>
    <cellStyle name="Текстовый 3" xfId="4363"/>
    <cellStyle name="Текстовый 4" xfId="4364"/>
    <cellStyle name="Текстовый 5" xfId="4365"/>
    <cellStyle name="Текстовый 6" xfId="4366"/>
    <cellStyle name="Текстовый 7" xfId="4367"/>
    <cellStyle name="Текстовый 8" xfId="4368"/>
    <cellStyle name="Текстовый 9" xfId="4369"/>
    <cellStyle name="Текстовый_1" xfId="4370"/>
    <cellStyle name="Тысячи [0]_1 кв.95 и 96 года .в ц.соп." xfId="4371"/>
    <cellStyle name="Тысячи [а]" xfId="4372"/>
    <cellStyle name="Тысячи![0]_Цены 95г._Расчет ТП на февраль_Расчет ТП на февраль посл.._Расчет ТП на май" xfId="4373"/>
    <cellStyle name="Тысячи_1 кв.95 и 96 года .в ц.соп." xfId="4374"/>
    <cellStyle name="ФИКСИРОВАННЫЙ" xfId="4375"/>
    <cellStyle name="ФИКСИРОВАННЫЙ 2" xfId="4376"/>
    <cellStyle name="ФИКСИРОВАННЫЙ 3" xfId="4377"/>
    <cellStyle name="ФИКСИРОВАННЫЙ 4" xfId="4378"/>
    <cellStyle name="ФИКСИРОВАННЫЙ 5" xfId="4379"/>
    <cellStyle name="ФИКСИРОВАННЫЙ 6" xfId="4380"/>
    <cellStyle name="ФИКСИРОВАННЫЙ 7" xfId="4381"/>
    <cellStyle name="ФИКСИРОВАННЫЙ 8" xfId="4382"/>
    <cellStyle name="ФИКСИРОВАННЫЙ 9" xfId="4383"/>
    <cellStyle name="ФИКСИРОВАННЫЙ_1" xfId="4384"/>
    <cellStyle name="Финансовый" xfId="1" builtinId="3"/>
    <cellStyle name="Финансовый [0] 2" xfId="4385"/>
    <cellStyle name="Финансовый 10" xfId="4386"/>
    <cellStyle name="Финансовый 10 2" xfId="4387"/>
    <cellStyle name="Финансовый 11" xfId="4388"/>
    <cellStyle name="Финансовый 12" xfId="4389"/>
    <cellStyle name="Финансовый 13" xfId="4390"/>
    <cellStyle name="Финансовый 14" xfId="4391"/>
    <cellStyle name="Финансовый 15" xfId="4392"/>
    <cellStyle name="Финансовый 16" xfId="4393"/>
    <cellStyle name="Финансовый 17" xfId="4394"/>
    <cellStyle name="Финансовый 17 2" xfId="4395"/>
    <cellStyle name="Финансовый 18" xfId="7219"/>
    <cellStyle name="Финансовый 19" xfId="7428"/>
    <cellStyle name="Финансовый 2" xfId="6"/>
    <cellStyle name="Финансовый 2 10" xfId="4396"/>
    <cellStyle name="Финансовый 2 2" xfId="4397"/>
    <cellStyle name="Финансовый 2 2 2" xfId="4398"/>
    <cellStyle name="Финансовый 2 2 2 2" xfId="4399"/>
    <cellStyle name="Финансовый 2 2 3" xfId="4400"/>
    <cellStyle name="Финансовый 2 2 4" xfId="4401"/>
    <cellStyle name="Финансовый 2 2_INDEX.STATION.2012(v1.0)_" xfId="4402"/>
    <cellStyle name="Финансовый 2 3" xfId="4403"/>
    <cellStyle name="Финансовый 2 3 2" xfId="4404"/>
    <cellStyle name="Финансовый 2 4" xfId="4405"/>
    <cellStyle name="Финансовый 2 5" xfId="4406"/>
    <cellStyle name="Финансовый 2 6" xfId="4407"/>
    <cellStyle name="Финансовый 2 7" xfId="4408"/>
    <cellStyle name="Финансовый 2 8" xfId="4409"/>
    <cellStyle name="Финансовый 2 9" xfId="4410"/>
    <cellStyle name="Финансовый 2_46EE.2011(v1.0)" xfId="4411"/>
    <cellStyle name="Финансовый 20" xfId="7655"/>
    <cellStyle name="Финансовый 21" xfId="7877"/>
    <cellStyle name="Финансовый 22" xfId="8099"/>
    <cellStyle name="Финансовый 23" xfId="8296"/>
    <cellStyle name="Финансовый 24" xfId="8493"/>
    <cellStyle name="Финансовый 25" xfId="8638"/>
    <cellStyle name="Финансовый 26" xfId="8782"/>
    <cellStyle name="Финансовый 27" xfId="8784"/>
    <cellStyle name="Финансовый 3" xfId="4412"/>
    <cellStyle name="Финансовый 3 2" xfId="4413"/>
    <cellStyle name="Финансовый 3 2 2" xfId="4414"/>
    <cellStyle name="Финансовый 3 2 3" xfId="4415"/>
    <cellStyle name="Финансовый 3 3" xfId="4416"/>
    <cellStyle name="Финансовый 3 4" xfId="4417"/>
    <cellStyle name="Финансовый 3 5" xfId="4418"/>
    <cellStyle name="Финансовый 3 6" xfId="4419"/>
    <cellStyle name="Финансовый 3_INDEX.STATION.2012(v1.0)_" xfId="4420"/>
    <cellStyle name="Финансовый 4" xfId="4421"/>
    <cellStyle name="Финансовый 4 2" xfId="4422"/>
    <cellStyle name="Финансовый 4 2 2" xfId="4423"/>
    <cellStyle name="Финансовый 4 2 3" xfId="4424"/>
    <cellStyle name="Финансовый 5" xfId="7"/>
    <cellStyle name="Финансовый 5 2" xfId="4425"/>
    <cellStyle name="Финансовый 5 3" xfId="4426"/>
    <cellStyle name="Финансовый 5 4" xfId="8"/>
    <cellStyle name="Финансовый 6" xfId="4427"/>
    <cellStyle name="Финансовый 7" xfId="4428"/>
    <cellStyle name="Финансовый 8" xfId="4429"/>
    <cellStyle name="Финансовый 9" xfId="4430"/>
    <cellStyle name="Финансовый0[0]_FU_bal" xfId="4431"/>
    <cellStyle name="Формула" xfId="4432"/>
    <cellStyle name="Формула 10" xfId="4433"/>
    <cellStyle name="Формула 11" xfId="4434"/>
    <cellStyle name="Формула 12" xfId="4435"/>
    <cellStyle name="Формула 13" xfId="4436"/>
    <cellStyle name="Формула 14" xfId="4437"/>
    <cellStyle name="Формула 15" xfId="4438"/>
    <cellStyle name="Формула 16" xfId="4439"/>
    <cellStyle name="Формула 17" xfId="4440"/>
    <cellStyle name="Формула 18" xfId="4441"/>
    <cellStyle name="Формула 2" xfId="4442"/>
    <cellStyle name="Формула 2 2" xfId="4443"/>
    <cellStyle name="Формула 3" xfId="4444"/>
    <cellStyle name="Формула 4" xfId="4445"/>
    <cellStyle name="Формула 5" xfId="4446"/>
    <cellStyle name="Формула 6" xfId="4447"/>
    <cellStyle name="Формула 7" xfId="4448"/>
    <cellStyle name="Формула 8" xfId="4449"/>
    <cellStyle name="Формула 9" xfId="4450"/>
    <cellStyle name="Формула_A РТ 2009 Рязаньэнерго" xfId="4451"/>
    <cellStyle name="ФормулаВБ" xfId="4452"/>
    <cellStyle name="ФормулаВБ 2" xfId="4453"/>
    <cellStyle name="ФормулаНаКонтроль" xfId="4454"/>
    <cellStyle name="ФормулаНаКонтроль 2" xfId="4455"/>
    <cellStyle name="Хороший 10" xfId="4456"/>
    <cellStyle name="Хороший 11" xfId="5463"/>
    <cellStyle name="Хороший 12" xfId="9044"/>
    <cellStyle name="Хороший 2" xfId="4457"/>
    <cellStyle name="Хороший 2 10" xfId="4458"/>
    <cellStyle name="Хороший 2 10 2" xfId="5465"/>
    <cellStyle name="Хороший 2 10 3" xfId="10700"/>
    <cellStyle name="Хороший 2 11" xfId="5464"/>
    <cellStyle name="Хороший 2 12" xfId="9045"/>
    <cellStyle name="Хороший 2 2" xfId="4459"/>
    <cellStyle name="Хороший 2 2 2" xfId="4460"/>
    <cellStyle name="Хороший 2 2 3" xfId="5466"/>
    <cellStyle name="Хороший 2 2 4" xfId="9046"/>
    <cellStyle name="Хороший 2 3" xfId="4461"/>
    <cellStyle name="Хороший 2 3 2" xfId="5467"/>
    <cellStyle name="Хороший 2 3 3" xfId="10701"/>
    <cellStyle name="Хороший 2 4" xfId="4462"/>
    <cellStyle name="Хороший 2 4 2" xfId="5468"/>
    <cellStyle name="Хороший 2 4 3" xfId="10702"/>
    <cellStyle name="Хороший 2 5" xfId="4463"/>
    <cellStyle name="Хороший 2 5 2" xfId="5469"/>
    <cellStyle name="Хороший 2 5 3" xfId="10703"/>
    <cellStyle name="Хороший 2 6" xfId="4464"/>
    <cellStyle name="Хороший 2 6 2" xfId="5470"/>
    <cellStyle name="Хороший 2 6 3" xfId="10704"/>
    <cellStyle name="Хороший 2 7" xfId="4465"/>
    <cellStyle name="Хороший 2 7 2" xfId="5471"/>
    <cellStyle name="Хороший 2 7 3" xfId="10705"/>
    <cellStyle name="Хороший 2 8" xfId="4466"/>
    <cellStyle name="Хороший 2 8 2" xfId="5472"/>
    <cellStyle name="Хороший 2 8 3" xfId="10706"/>
    <cellStyle name="Хороший 2 9" xfId="4467"/>
    <cellStyle name="Хороший 2 9 2" xfId="5473"/>
    <cellStyle name="Хороший 2 9 3" xfId="10707"/>
    <cellStyle name="Хороший 2_МФ тепловой баланс 2015 дубль 4 31.03.2014" xfId="4468"/>
    <cellStyle name="Хороший 3" xfId="4469"/>
    <cellStyle name="Хороший 3 10" xfId="4470"/>
    <cellStyle name="Хороший 3 10 2" xfId="5475"/>
    <cellStyle name="Хороший 3 10 3" xfId="10708"/>
    <cellStyle name="Хороший 3 11" xfId="4471"/>
    <cellStyle name="Хороший 3 12" xfId="5474"/>
    <cellStyle name="Хороший 3 13" xfId="9047"/>
    <cellStyle name="Хороший 3 2" xfId="4472"/>
    <cellStyle name="Хороший 3 2 2" xfId="5476"/>
    <cellStyle name="Хороший 3 2 3" xfId="9048"/>
    <cellStyle name="Хороший 3 3" xfId="4473"/>
    <cellStyle name="Хороший 3 3 2" xfId="5477"/>
    <cellStyle name="Хороший 3 3 3" xfId="10709"/>
    <cellStyle name="Хороший 3 4" xfId="4474"/>
    <cellStyle name="Хороший 3 4 2" xfId="5478"/>
    <cellStyle name="Хороший 3 4 3" xfId="10710"/>
    <cellStyle name="Хороший 3 5" xfId="4475"/>
    <cellStyle name="Хороший 3 5 2" xfId="5479"/>
    <cellStyle name="Хороший 3 5 3" xfId="10711"/>
    <cellStyle name="Хороший 3 6" xfId="4476"/>
    <cellStyle name="Хороший 3 6 2" xfId="5480"/>
    <cellStyle name="Хороший 3 6 3" xfId="10712"/>
    <cellStyle name="Хороший 3 7" xfId="4477"/>
    <cellStyle name="Хороший 3 7 2" xfId="5481"/>
    <cellStyle name="Хороший 3 7 3" xfId="10713"/>
    <cellStyle name="Хороший 3 8" xfId="4478"/>
    <cellStyle name="Хороший 3 8 2" xfId="5482"/>
    <cellStyle name="Хороший 3 8 3" xfId="10714"/>
    <cellStyle name="Хороший 3 9" xfId="4479"/>
    <cellStyle name="Хороший 3 9 2" xfId="5483"/>
    <cellStyle name="Хороший 3 9 3" xfId="10715"/>
    <cellStyle name="Хороший 3_МФ тепловой баланс 2015 дубль 4 31.03.2014" xfId="4480"/>
    <cellStyle name="Хороший 4" xfId="4481"/>
    <cellStyle name="Хороший 4 2" xfId="4482"/>
    <cellStyle name="Хороший 4_МФ тепловой баланс 2015 дубль 4 31.03.2014" xfId="4483"/>
    <cellStyle name="Хороший 5" xfId="4484"/>
    <cellStyle name="Хороший 5 2" xfId="4485"/>
    <cellStyle name="Хороший 5_МФ тепловой баланс 2015 дубль 4 31.03.2014" xfId="4486"/>
    <cellStyle name="Хороший 6" xfId="4487"/>
    <cellStyle name="Хороший 6 2" xfId="4488"/>
    <cellStyle name="Хороший 6_МФ тепловой баланс 2015 дубль 4 31.03.2014" xfId="4489"/>
    <cellStyle name="Хороший 7" xfId="4490"/>
    <cellStyle name="Хороший 7 2" xfId="4491"/>
    <cellStyle name="Хороший 7_МФ тепловой баланс 2015 дубль 4 31.03.2014" xfId="4492"/>
    <cellStyle name="Хороший 8" xfId="4493"/>
    <cellStyle name="Хороший 8 2" xfId="4494"/>
    <cellStyle name="Хороший 9" xfId="4495"/>
    <cellStyle name="Хороший 9 2" xfId="4496"/>
    <cellStyle name="Цена_продукта" xfId="4497"/>
    <cellStyle name="Цифры по центру с десятыми" xfId="4498"/>
    <cellStyle name="число" xfId="4499"/>
    <cellStyle name="Џђћ–…ќ’ќ›‰" xfId="4500"/>
    <cellStyle name="Шапка" xfId="4501"/>
    <cellStyle name="Шапка таблицы" xfId="4502"/>
    <cellStyle name="Шапка_4DNS.UPDATE.EXAMPLE" xfId="4503"/>
    <cellStyle name="ШАУ" xfId="4504"/>
    <cellStyle name="標準_PL-CF sheet" xfId="4505"/>
    <cellStyle name="㼿" xfId="4506"/>
    <cellStyle name="䁺_x0001_" xfId="4507"/>
  </cellStyles>
  <dxfs count="0"/>
  <tableStyles count="0" defaultTableStyle="TableStyleMedium9" defaultPivotStyle="PivotStyleLight16"/>
  <colors>
    <mruColors>
      <color rgb="FFFF99FF"/>
      <color rgb="FFFF66FF"/>
      <color rgb="FFFFFFCC"/>
      <color rgb="FFFFCCFF"/>
      <color rgb="FFFAC6EC"/>
      <color rgb="FFFFCC66"/>
      <color rgb="FFCCFFCC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1941059</xdr:colOff>
      <xdr:row>2</xdr:row>
      <xdr:rowOff>91338</xdr:rowOff>
    </xdr:from>
    <xdr:ext cx="65" cy="172227"/>
    <xdr:sp macro="" textlink="">
      <xdr:nvSpPr>
        <xdr:cNvPr id="2" name="TextBox 1"/>
        <xdr:cNvSpPr txBox="1"/>
      </xdr:nvSpPr>
      <xdr:spPr>
        <a:xfrm>
          <a:off x="2315255" y="67814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\&#1052;&#1080;&#1085;&#1080;&#1089;&#1090;&#1077;&#1088;&#1089;&#1090;&#1074;&#1086;%20&#1101;&#1085;&#1077;&#1088;&#1075;&#1077;&#1090;&#1080;&#1082;&#1080;%20&#1080;%20&#1089;&#1074;&#1103;&#1079;&#1080;\&#1060;&#1086;&#1082;&#1080;&#1085;\&#1089;&#1074;&#1086;&#1076;%20&#1076;&#1077;&#1083;&#1100;&#1090;&#1072;%20&#1058;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ы"/>
      <sheetName val="финасир"/>
      <sheetName val="возвраты 2013-2014"/>
      <sheetName val="Лимиты 2014"/>
      <sheetName val="авансы апрель"/>
      <sheetName val="авансы май"/>
      <sheetName val="авансы июль"/>
      <sheetName val="Лист2"/>
      <sheetName val="Лист1"/>
    </sheetNames>
    <sheetDataSet>
      <sheetData sheetId="0" refreshError="1"/>
      <sheetData sheetId="1" refreshError="1">
        <row r="6">
          <cell r="F6">
            <v>-307131.88</v>
          </cell>
        </row>
        <row r="141">
          <cell r="D141">
            <v>2922007060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427"/>
  <sheetViews>
    <sheetView zoomScaleNormal="100" workbookViewId="0">
      <pane xSplit="7" ySplit="7" topLeftCell="W93" activePane="bottomRight" state="frozen"/>
      <selection pane="topRight" activeCell="G1" sqref="G1"/>
      <selection pane="bottomLeft" activeCell="A5" sqref="A5"/>
      <selection pane="bottomRight" activeCell="Y104" sqref="Y104"/>
    </sheetView>
  </sheetViews>
  <sheetFormatPr defaultRowHeight="15" outlineLevelRow="1" outlineLevelCol="2"/>
  <cols>
    <col min="1" max="1" width="7.85546875" style="32" customWidth="1"/>
    <col min="2" max="2" width="9.140625" style="31" customWidth="1"/>
    <col min="3" max="3" width="40.140625" style="33" customWidth="1"/>
    <col min="4" max="4" width="13.28515625" style="31" customWidth="1"/>
    <col min="5" max="5" width="6.7109375" style="61" hidden="1" customWidth="1" outlineLevel="1"/>
    <col min="6" max="6" width="13.85546875" style="34" customWidth="1" collapsed="1"/>
    <col min="7" max="7" width="17.42578125" style="36" customWidth="1"/>
    <col min="8" max="8" width="17.5703125" style="26" hidden="1" customWidth="1" outlineLevel="1"/>
    <col min="9" max="9" width="16.42578125" style="27" hidden="1" customWidth="1" outlineLevel="1"/>
    <col min="10" max="10" width="17.42578125" style="37" hidden="1" customWidth="1" outlineLevel="1"/>
    <col min="11" max="11" width="19.140625" style="33" customWidth="1" collapsed="1"/>
    <col min="12" max="12" width="17.7109375" style="30" customWidth="1" outlineLevel="1"/>
    <col min="13" max="13" width="17.85546875" style="31" customWidth="1" outlineLevel="1"/>
    <col min="14" max="14" width="16.85546875" style="31" customWidth="1" outlineLevel="2"/>
    <col min="15" max="15" width="17.7109375" style="33" customWidth="1"/>
    <col min="16" max="16" width="16" style="31" hidden="1" customWidth="1" outlineLevel="1"/>
    <col min="17" max="17" width="16.5703125" style="31" hidden="1" customWidth="1" outlineLevel="1"/>
    <col min="18" max="18" width="17.140625" style="31" hidden="1" customWidth="1" outlineLevel="1"/>
    <col min="19" max="19" width="19.7109375" style="33" customWidth="1" collapsed="1"/>
    <col min="20" max="20" width="18" style="31" hidden="1" customWidth="1" outlineLevel="1"/>
    <col min="21" max="21" width="17.28515625" style="31" hidden="1" customWidth="1" outlineLevel="1"/>
    <col min="22" max="22" width="19.28515625" style="31" hidden="1" customWidth="1" outlineLevel="1"/>
    <col min="23" max="23" width="17.85546875" style="33" customWidth="1" collapsed="1"/>
    <col min="24" max="24" width="18.7109375" style="53" customWidth="1"/>
    <col min="25" max="25" width="18.42578125" style="53" customWidth="1"/>
    <col min="26" max="26" width="17.42578125" style="35" customWidth="1"/>
    <col min="27" max="27" width="95.28515625" style="40" customWidth="1"/>
    <col min="28" max="28" width="16.28515625" style="27" customWidth="1"/>
    <col min="29" max="29" width="15.85546875" style="31" bestFit="1" customWidth="1"/>
    <col min="30" max="16384" width="9.140625" style="31"/>
  </cols>
  <sheetData>
    <row r="1" spans="1:103" ht="27.75" customHeight="1">
      <c r="A1" s="531" t="s">
        <v>141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103" ht="5.25" customHeight="1">
      <c r="C2" s="31"/>
      <c r="G2" s="38"/>
      <c r="K2" s="31"/>
      <c r="L2" s="341">
        <f>I6+H6+J6+L6-G6</f>
        <v>1806186779.3700004</v>
      </c>
      <c r="O2" s="31"/>
      <c r="S2" s="31"/>
      <c r="W2" s="31"/>
      <c r="X2" s="52"/>
      <c r="Y2" s="52"/>
      <c r="Z2" s="48"/>
      <c r="AA2" s="47"/>
    </row>
    <row r="3" spans="1:103" s="29" customFormat="1" ht="18" customHeight="1">
      <c r="A3" s="547" t="s">
        <v>0</v>
      </c>
      <c r="B3" s="544" t="s">
        <v>1</v>
      </c>
      <c r="C3" s="541" t="s">
        <v>140</v>
      </c>
      <c r="D3" s="538" t="s">
        <v>3</v>
      </c>
      <c r="E3" s="535" t="s">
        <v>526</v>
      </c>
      <c r="F3" s="532" t="s">
        <v>135</v>
      </c>
      <c r="G3" s="407" t="s">
        <v>599</v>
      </c>
      <c r="H3" s="408"/>
      <c r="I3" s="409" t="s">
        <v>127</v>
      </c>
      <c r="J3" s="410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11"/>
      <c r="X3" s="550" t="s">
        <v>600</v>
      </c>
      <c r="Y3" s="552" t="s">
        <v>156</v>
      </c>
      <c r="Z3" s="554" t="s">
        <v>143</v>
      </c>
      <c r="AA3" s="434" t="s">
        <v>128</v>
      </c>
      <c r="AB3" s="27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</row>
    <row r="4" spans="1:103" s="29" customFormat="1" ht="21.75" customHeight="1">
      <c r="A4" s="548"/>
      <c r="B4" s="545"/>
      <c r="C4" s="542"/>
      <c r="D4" s="539"/>
      <c r="E4" s="536"/>
      <c r="F4" s="533"/>
      <c r="G4" s="412" t="s">
        <v>244</v>
      </c>
      <c r="H4" s="108" t="s">
        <v>5</v>
      </c>
      <c r="I4" s="109" t="s">
        <v>6</v>
      </c>
      <c r="J4" s="110" t="s">
        <v>7</v>
      </c>
      <c r="K4" s="111" t="s">
        <v>8</v>
      </c>
      <c r="L4" s="112" t="s">
        <v>9</v>
      </c>
      <c r="M4" s="112" t="s">
        <v>10</v>
      </c>
      <c r="N4" s="112" t="s">
        <v>11</v>
      </c>
      <c r="O4" s="19" t="s">
        <v>12</v>
      </c>
      <c r="P4" s="112" t="s">
        <v>13</v>
      </c>
      <c r="Q4" s="112" t="s">
        <v>14</v>
      </c>
      <c r="R4" s="112" t="s">
        <v>15</v>
      </c>
      <c r="S4" s="19" t="s">
        <v>16</v>
      </c>
      <c r="T4" s="112" t="s">
        <v>17</v>
      </c>
      <c r="U4" s="112" t="s">
        <v>18</v>
      </c>
      <c r="V4" s="112" t="s">
        <v>19</v>
      </c>
      <c r="W4" s="19" t="s">
        <v>20</v>
      </c>
      <c r="X4" s="551"/>
      <c r="Y4" s="553"/>
      <c r="Z4" s="555"/>
      <c r="AA4" s="435"/>
      <c r="AB4" s="27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</row>
    <row r="5" spans="1:103" s="29" customFormat="1" ht="13.5" customHeight="1">
      <c r="A5" s="548"/>
      <c r="B5" s="545"/>
      <c r="C5" s="542"/>
      <c r="D5" s="539"/>
      <c r="E5" s="536"/>
      <c r="F5" s="533"/>
      <c r="G5" s="323" t="s">
        <v>468</v>
      </c>
      <c r="H5" s="324">
        <f t="shared" ref="H5:Y5" si="0">H6+H104</f>
        <v>152800393.75</v>
      </c>
      <c r="I5" s="324">
        <f t="shared" si="0"/>
        <v>464828536.38999999</v>
      </c>
      <c r="J5" s="324">
        <f t="shared" si="0"/>
        <v>1277016136.5000002</v>
      </c>
      <c r="K5" s="324">
        <f t="shared" si="0"/>
        <v>1894645066.6400003</v>
      </c>
      <c r="L5" s="324">
        <f t="shared" si="0"/>
        <v>604663451.53999996</v>
      </c>
      <c r="M5" s="324">
        <f t="shared" si="0"/>
        <v>543532297.75999987</v>
      </c>
      <c r="N5" s="324">
        <f t="shared" si="0"/>
        <v>383087769.5399999</v>
      </c>
      <c r="O5" s="324">
        <f t="shared" si="0"/>
        <v>1531283518.8399999</v>
      </c>
      <c r="P5" s="324">
        <f t="shared" si="0"/>
        <v>0</v>
      </c>
      <c r="Q5" s="324">
        <f t="shared" si="0"/>
        <v>0</v>
      </c>
      <c r="R5" s="324">
        <f t="shared" si="0"/>
        <v>0</v>
      </c>
      <c r="S5" s="324">
        <f t="shared" si="0"/>
        <v>0</v>
      </c>
      <c r="T5" s="324">
        <f t="shared" si="0"/>
        <v>0</v>
      </c>
      <c r="U5" s="324">
        <f t="shared" si="0"/>
        <v>0</v>
      </c>
      <c r="V5" s="324">
        <f t="shared" si="0"/>
        <v>0</v>
      </c>
      <c r="W5" s="324">
        <f t="shared" si="0"/>
        <v>0</v>
      </c>
      <c r="X5" s="324">
        <f t="shared" si="0"/>
        <v>3425928585.4800005</v>
      </c>
      <c r="Y5" s="324" t="e">
        <f t="shared" si="0"/>
        <v>#REF!</v>
      </c>
      <c r="Z5" s="413" t="e">
        <f>Z6+Z104</f>
        <v>#REF!</v>
      </c>
      <c r="AA5" s="434"/>
      <c r="AB5" s="27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</row>
    <row r="6" spans="1:103" s="29" customFormat="1" ht="18" customHeight="1">
      <c r="A6" s="548"/>
      <c r="B6" s="545"/>
      <c r="C6" s="542"/>
      <c r="D6" s="539"/>
      <c r="E6" s="536"/>
      <c r="F6" s="533"/>
      <c r="G6" s="107">
        <f>G96+G104</f>
        <v>618500485.05999994</v>
      </c>
      <c r="H6" s="114">
        <f>H96</f>
        <v>152800393.75</v>
      </c>
      <c r="I6" s="114">
        <f>I96</f>
        <v>446226917.25</v>
      </c>
      <c r="J6" s="114">
        <f>J96</f>
        <v>1239333447.7400002</v>
      </c>
      <c r="K6" s="115">
        <f>SUM(H6:J6)</f>
        <v>1838360758.7400002</v>
      </c>
      <c r="L6" s="115">
        <f>L96</f>
        <v>586326505.68999994</v>
      </c>
      <c r="M6" s="115">
        <f>M96</f>
        <v>525357275.32999992</v>
      </c>
      <c r="N6" s="115">
        <f>N96</f>
        <v>366327585.7299999</v>
      </c>
      <c r="O6" s="115">
        <f>SUM(L6:N6)</f>
        <v>1478011366.75</v>
      </c>
      <c r="P6" s="115">
        <f>P96</f>
        <v>0</v>
      </c>
      <c r="Q6" s="115">
        <f>Q96</f>
        <v>0</v>
      </c>
      <c r="R6" s="115">
        <f>R96</f>
        <v>0</v>
      </c>
      <c r="S6" s="115">
        <f>SUM(P6:R6)</f>
        <v>0</v>
      </c>
      <c r="T6" s="115">
        <f>T96</f>
        <v>0</v>
      </c>
      <c r="U6" s="115">
        <f>U96</f>
        <v>0</v>
      </c>
      <c r="V6" s="115">
        <f>V96</f>
        <v>0</v>
      </c>
      <c r="W6" s="115">
        <f>SUM(T6:V6)</f>
        <v>0</v>
      </c>
      <c r="X6" s="115">
        <f>W6+S6+O6+K6</f>
        <v>3316372125.4900002</v>
      </c>
      <c r="Y6" s="113" t="e">
        <f>Y96</f>
        <v>#REF!</v>
      </c>
      <c r="Z6" s="414" t="e">
        <f>Y6-X6</f>
        <v>#REF!</v>
      </c>
      <c r="AA6" s="435"/>
      <c r="AB6" s="27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</row>
    <row r="7" spans="1:103" s="29" customFormat="1" ht="18" customHeight="1">
      <c r="A7" s="549"/>
      <c r="B7" s="546"/>
      <c r="C7" s="543"/>
      <c r="D7" s="540"/>
      <c r="E7" s="537"/>
      <c r="F7" s="534"/>
      <c r="G7" s="415" t="s">
        <v>164</v>
      </c>
      <c r="H7" s="416">
        <f>H6</f>
        <v>152800393.75</v>
      </c>
      <c r="I7" s="416">
        <f>H7+I6</f>
        <v>599027311</v>
      </c>
      <c r="J7" s="416">
        <f>I7+J6</f>
        <v>1838360758.7400002</v>
      </c>
      <c r="K7" s="416">
        <f>J7</f>
        <v>1838360758.7400002</v>
      </c>
      <c r="L7" s="416">
        <f>J7+L6</f>
        <v>2424687264.4300003</v>
      </c>
      <c r="M7" s="416">
        <f>L7+M6</f>
        <v>2950044539.7600002</v>
      </c>
      <c r="N7" s="416">
        <f>M7+N6</f>
        <v>3316372125.4900002</v>
      </c>
      <c r="O7" s="416">
        <f>N7</f>
        <v>3316372125.4900002</v>
      </c>
      <c r="P7" s="416">
        <f>O7+P6</f>
        <v>3316372125.4900002</v>
      </c>
      <c r="Q7" s="416">
        <f>P7+Q6</f>
        <v>3316372125.4900002</v>
      </c>
      <c r="R7" s="416">
        <f>Q7+R6</f>
        <v>3316372125.4900002</v>
      </c>
      <c r="S7" s="416">
        <f>R7</f>
        <v>3316372125.4900002</v>
      </c>
      <c r="T7" s="416">
        <f>R7+T6</f>
        <v>3316372125.4900002</v>
      </c>
      <c r="U7" s="416">
        <f>T7+U6</f>
        <v>3316372125.4900002</v>
      </c>
      <c r="V7" s="416">
        <f>U7+V6</f>
        <v>3316372125.4900002</v>
      </c>
      <c r="W7" s="416">
        <f>V7</f>
        <v>3316372125.4900002</v>
      </c>
      <c r="X7" s="416">
        <f>X96</f>
        <v>3316372125.4900007</v>
      </c>
      <c r="Y7" s="417" t="e">
        <f>Y6</f>
        <v>#REF!</v>
      </c>
      <c r="Z7" s="418" t="e">
        <f>Z96</f>
        <v>#REF!</v>
      </c>
      <c r="AA7" s="433"/>
      <c r="AB7" s="27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</row>
    <row r="8" spans="1:103" ht="10.5" customHeight="1" outlineLevel="1">
      <c r="A8" s="419"/>
      <c r="B8" s="419"/>
      <c r="C8" s="420"/>
      <c r="D8" s="419"/>
      <c r="E8" s="421"/>
      <c r="F8" s="422"/>
      <c r="G8" s="423"/>
      <c r="H8" s="424"/>
      <c r="I8" s="425"/>
      <c r="J8" s="425"/>
      <c r="K8" s="425"/>
      <c r="L8" s="426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4"/>
      <c r="Z8" s="427"/>
      <c r="AA8" s="80"/>
    </row>
    <row r="9" spans="1:103" ht="18" customHeight="1" outlineLevel="1">
      <c r="A9" s="529" t="s">
        <v>1170</v>
      </c>
      <c r="B9" s="530"/>
      <c r="C9" s="530"/>
      <c r="D9" s="530"/>
      <c r="E9" s="530"/>
      <c r="F9" s="530"/>
      <c r="G9" s="428"/>
      <c r="H9" s="429"/>
      <c r="I9" s="430"/>
      <c r="J9" s="430"/>
      <c r="K9" s="430"/>
      <c r="L9" s="431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29"/>
      <c r="Z9" s="432"/>
      <c r="AA9" s="335"/>
    </row>
    <row r="10" spans="1:103" s="469" customFormat="1" ht="27.75" customHeight="1">
      <c r="A10" s="442">
        <v>1</v>
      </c>
      <c r="B10" s="456" t="s">
        <v>235</v>
      </c>
      <c r="C10" s="499" t="s">
        <v>502</v>
      </c>
      <c r="D10" s="456">
        <v>2901125778</v>
      </c>
      <c r="E10" s="457"/>
      <c r="F10" s="458" t="s">
        <v>627</v>
      </c>
      <c r="G10" s="459">
        <v>74027.460000000006</v>
      </c>
      <c r="H10" s="460"/>
      <c r="I10" s="460">
        <v>74027.460000000006</v>
      </c>
      <c r="J10" s="461">
        <f>91894+68055.21</f>
        <v>159949.21000000002</v>
      </c>
      <c r="K10" s="462">
        <f t="shared" ref="K10:K57" si="1">SUM(H10:J10)</f>
        <v>233976.67000000004</v>
      </c>
      <c r="L10" s="461">
        <v>73207.17</v>
      </c>
      <c r="M10" s="461">
        <v>57466.71</v>
      </c>
      <c r="N10" s="461">
        <v>48045.87</v>
      </c>
      <c r="O10" s="462">
        <f>SUM(L10:N10)</f>
        <v>178719.75</v>
      </c>
      <c r="P10" s="461"/>
      <c r="Q10" s="461"/>
      <c r="R10" s="461"/>
      <c r="S10" s="462">
        <f>SUM(P10:R10)</f>
        <v>0</v>
      </c>
      <c r="T10" s="461"/>
      <c r="U10" s="461"/>
      <c r="V10" s="461"/>
      <c r="W10" s="463">
        <f>SUM(T10:V10)</f>
        <v>0</v>
      </c>
      <c r="X10" s="464">
        <f>K10+O10+S10+W10</f>
        <v>412696.42000000004</v>
      </c>
      <c r="Y10" s="464" t="e">
        <f>G10+'1 Дельта Т - СВОД'!#REF!+0.01</f>
        <v>#REF!</v>
      </c>
      <c r="Z10" s="465" t="e">
        <f>Y10-X10</f>
        <v>#REF!</v>
      </c>
      <c r="AA10" s="470" t="s">
        <v>597</v>
      </c>
      <c r="AB10" s="466" t="e">
        <f t="shared" ref="AB10:AB31" si="2">Y10-I10-H10</f>
        <v>#REF!</v>
      </c>
      <c r="AC10" s="467"/>
      <c r="AD10" s="468"/>
    </row>
    <row r="11" spans="1:103" s="94" customFormat="1" ht="27.75" customHeight="1">
      <c r="A11" s="442">
        <f>A10+1</f>
        <v>2</v>
      </c>
      <c r="B11" s="471" t="s">
        <v>235</v>
      </c>
      <c r="C11" s="500" t="s">
        <v>33</v>
      </c>
      <c r="D11" s="471">
        <v>2901179251</v>
      </c>
      <c r="E11" s="457"/>
      <c r="F11" s="458" t="s">
        <v>617</v>
      </c>
      <c r="G11" s="459">
        <v>5235523.2699999996</v>
      </c>
      <c r="H11" s="460">
        <v>5235523.2699999996</v>
      </c>
      <c r="I11" s="461"/>
      <c r="J11" s="461">
        <f>5258849.9+5237296.09</f>
        <v>10496145.99</v>
      </c>
      <c r="K11" s="462">
        <f>SUM(H11:J11)</f>
        <v>15731669.26</v>
      </c>
      <c r="L11" s="461">
        <v>5261571.34</v>
      </c>
      <c r="M11" s="461">
        <v>5212118.88</v>
      </c>
      <c r="N11" s="461">
        <v>5130086.88</v>
      </c>
      <c r="O11" s="462">
        <f>SUM(L11:N11)</f>
        <v>15603777.099999998</v>
      </c>
      <c r="P11" s="461"/>
      <c r="Q11" s="461"/>
      <c r="R11" s="461"/>
      <c r="S11" s="462">
        <f>SUM(P11:R11)</f>
        <v>0</v>
      </c>
      <c r="T11" s="461"/>
      <c r="U11" s="461"/>
      <c r="V11" s="461"/>
      <c r="W11" s="462">
        <f>SUM(T11:V11)</f>
        <v>0</v>
      </c>
      <c r="X11" s="464">
        <f>K11+O11+S11+W11</f>
        <v>31335446.359999999</v>
      </c>
      <c r="Y11" s="464" t="e">
        <f>G11+'1 Дельта Т - СВОД'!#REF!+0.01</f>
        <v>#REF!</v>
      </c>
      <c r="Z11" s="465" t="e">
        <f>Y11-X11</f>
        <v>#REF!</v>
      </c>
      <c r="AA11" s="472" t="s">
        <v>376</v>
      </c>
      <c r="AB11" s="466" t="e">
        <f>Y11-I11-H11</f>
        <v>#REF!</v>
      </c>
      <c r="AC11" s="467"/>
      <c r="AD11" s="468"/>
    </row>
    <row r="12" spans="1:103" s="469" customFormat="1" ht="27.75" customHeight="1">
      <c r="A12" s="442">
        <f t="shared" ref="A12:A14" si="3">A11+1</f>
        <v>3</v>
      </c>
      <c r="B12" s="456" t="s">
        <v>235</v>
      </c>
      <c r="C12" s="499" t="s">
        <v>386</v>
      </c>
      <c r="D12" s="456">
        <v>7703806647</v>
      </c>
      <c r="E12" s="457"/>
      <c r="F12" s="458" t="s">
        <v>679</v>
      </c>
      <c r="G12" s="459">
        <v>14385917.859999999</v>
      </c>
      <c r="H12" s="460"/>
      <c r="I12" s="460">
        <v>14385917.859999999</v>
      </c>
      <c r="J12" s="461">
        <f>14610914.28+13160034.04</f>
        <v>27770948.32</v>
      </c>
      <c r="K12" s="462">
        <f t="shared" si="1"/>
        <v>42156866.18</v>
      </c>
      <c r="L12" s="461">
        <v>12695364.52</v>
      </c>
      <c r="M12" s="461">
        <v>10736068.84</v>
      </c>
      <c r="N12" s="461">
        <v>6604888.0099999998</v>
      </c>
      <c r="O12" s="462">
        <f>SUM(L12:N12)</f>
        <v>30036321.369999997</v>
      </c>
      <c r="P12" s="461"/>
      <c r="Q12" s="461"/>
      <c r="R12" s="461"/>
      <c r="S12" s="462">
        <f>SUM(P12:R12)</f>
        <v>0</v>
      </c>
      <c r="T12" s="461"/>
      <c r="U12" s="461"/>
      <c r="V12" s="461"/>
      <c r="W12" s="463">
        <f>SUM(T12:V12)</f>
        <v>0</v>
      </c>
      <c r="X12" s="464">
        <f>K12+O12+S12+W12</f>
        <v>72193187.549999997</v>
      </c>
      <c r="Y12" s="464" t="e">
        <f>G12+'1 Дельта Т - СВОД'!#REF!+0.01</f>
        <v>#REF!</v>
      </c>
      <c r="Z12" s="465" t="e">
        <f t="shared" ref="Z12:Z44" si="4">Y12-X12</f>
        <v>#REF!</v>
      </c>
      <c r="AA12" s="470" t="s">
        <v>387</v>
      </c>
      <c r="AB12" s="466" t="e">
        <f t="shared" si="2"/>
        <v>#REF!</v>
      </c>
      <c r="AC12" s="467"/>
      <c r="AD12" s="468"/>
    </row>
    <row r="13" spans="1:103" s="94" customFormat="1" ht="27.75" customHeight="1">
      <c r="A13" s="442">
        <f t="shared" si="3"/>
        <v>4</v>
      </c>
      <c r="B13" s="471" t="s">
        <v>235</v>
      </c>
      <c r="C13" s="500" t="s">
        <v>62</v>
      </c>
      <c r="D13" s="471" t="s">
        <v>63</v>
      </c>
      <c r="E13" s="457"/>
      <c r="F13" s="458" t="s">
        <v>685</v>
      </c>
      <c r="G13" s="459">
        <v>6784779.7300000004</v>
      </c>
      <c r="H13" s="460"/>
      <c r="I13" s="461">
        <v>6784779.7300000004</v>
      </c>
      <c r="J13" s="461">
        <f>6556023.39+6487484.56</f>
        <v>13043507.949999999</v>
      </c>
      <c r="K13" s="462">
        <f t="shared" si="1"/>
        <v>19828287.68</v>
      </c>
      <c r="L13" s="461">
        <v>5946634.71</v>
      </c>
      <c r="M13" s="461">
        <v>5792608.1900000004</v>
      </c>
      <c r="N13" s="461">
        <v>3901269.87</v>
      </c>
      <c r="O13" s="462">
        <f t="shared" ref="O13:O33" si="5">SUM(L13:N13)</f>
        <v>15640512.77</v>
      </c>
      <c r="P13" s="461"/>
      <c r="Q13" s="461"/>
      <c r="R13" s="461"/>
      <c r="S13" s="462">
        <f t="shared" ref="S13:S18" si="6">SUM(P13:R13)</f>
        <v>0</v>
      </c>
      <c r="T13" s="461"/>
      <c r="U13" s="461"/>
      <c r="V13" s="461"/>
      <c r="W13" s="462">
        <f t="shared" ref="W13:W24" si="7">SUM(T13:V13)</f>
        <v>0</v>
      </c>
      <c r="X13" s="464">
        <f t="shared" ref="X13:X33" si="8">K13+O13+S13+W13</f>
        <v>35468800.450000003</v>
      </c>
      <c r="Y13" s="464" t="e">
        <f>G13+'1 Дельта Т - СВОД'!#REF!</f>
        <v>#REF!</v>
      </c>
      <c r="Z13" s="465" t="e">
        <f t="shared" si="4"/>
        <v>#REF!</v>
      </c>
      <c r="AA13" s="472"/>
      <c r="AB13" s="466" t="e">
        <f t="shared" si="2"/>
        <v>#REF!</v>
      </c>
      <c r="AC13" s="467"/>
      <c r="AD13" s="468"/>
    </row>
    <row r="14" spans="1:103" s="94" customFormat="1" ht="27.75" customHeight="1">
      <c r="A14" s="442">
        <f t="shared" si="3"/>
        <v>5</v>
      </c>
      <c r="B14" s="471" t="s">
        <v>385</v>
      </c>
      <c r="C14" s="500" t="s">
        <v>550</v>
      </c>
      <c r="D14" s="471">
        <v>2903011092</v>
      </c>
      <c r="E14" s="457"/>
      <c r="F14" s="458" t="s">
        <v>686</v>
      </c>
      <c r="G14" s="459">
        <v>17762567.41</v>
      </c>
      <c r="H14" s="460">
        <v>17762567.41</v>
      </c>
      <c r="I14" s="461"/>
      <c r="J14" s="461">
        <f>19311566.57+17676510.96</f>
        <v>36988077.530000001</v>
      </c>
      <c r="K14" s="462">
        <f t="shared" si="1"/>
        <v>54750644.939999998</v>
      </c>
      <c r="L14" s="461">
        <v>14675696.99</v>
      </c>
      <c r="M14" s="461">
        <v>13410893.35</v>
      </c>
      <c r="N14" s="461">
        <v>9457758.9800000004</v>
      </c>
      <c r="O14" s="462">
        <f t="shared" si="5"/>
        <v>37544349.32</v>
      </c>
      <c r="P14" s="461"/>
      <c r="Q14" s="461"/>
      <c r="R14" s="461"/>
      <c r="S14" s="462">
        <f>SUM(P14:R14)</f>
        <v>0</v>
      </c>
      <c r="T14" s="461"/>
      <c r="U14" s="461"/>
      <c r="V14" s="461"/>
      <c r="W14" s="462">
        <f>SUM(T14:V14)</f>
        <v>0</v>
      </c>
      <c r="X14" s="464">
        <f>K14+O14+S14+W14</f>
        <v>92294994.25999999</v>
      </c>
      <c r="Y14" s="464" t="e">
        <f>финансирование!G14+'1 Дельта Т - СВОД'!#REF!-0.01</f>
        <v>#REF!</v>
      </c>
      <c r="Z14" s="465" t="e">
        <f t="shared" si="4"/>
        <v>#REF!</v>
      </c>
      <c r="AA14" s="472"/>
      <c r="AB14" s="466" t="e">
        <f t="shared" si="2"/>
        <v>#REF!</v>
      </c>
      <c r="AC14" s="467"/>
      <c r="AD14" s="468"/>
    </row>
    <row r="15" spans="1:103" s="94" customFormat="1" ht="27.75" customHeight="1">
      <c r="A15" s="473">
        <f>A14+1</f>
        <v>6</v>
      </c>
      <c r="B15" s="471" t="s">
        <v>52</v>
      </c>
      <c r="C15" s="500" t="s">
        <v>255</v>
      </c>
      <c r="D15" s="474">
        <v>291000022979</v>
      </c>
      <c r="E15" s="457"/>
      <c r="F15" s="458" t="s">
        <v>628</v>
      </c>
      <c r="G15" s="459">
        <v>71551.12</v>
      </c>
      <c r="H15" s="460"/>
      <c r="I15" s="461">
        <v>71551.12</v>
      </c>
      <c r="J15" s="461">
        <f>71551.12+71551.12</f>
        <v>143102.24</v>
      </c>
      <c r="K15" s="462">
        <f t="shared" si="1"/>
        <v>214653.36</v>
      </c>
      <c r="L15" s="461">
        <v>71298.89</v>
      </c>
      <c r="M15" s="461">
        <v>71462.62</v>
      </c>
      <c r="N15" s="461">
        <v>40496.959999999999</v>
      </c>
      <c r="O15" s="462">
        <f t="shared" si="5"/>
        <v>183258.47</v>
      </c>
      <c r="P15" s="461"/>
      <c r="Q15" s="461"/>
      <c r="R15" s="461"/>
      <c r="S15" s="462">
        <f t="shared" si="6"/>
        <v>0</v>
      </c>
      <c r="T15" s="461"/>
      <c r="U15" s="461"/>
      <c r="V15" s="461"/>
      <c r="W15" s="462">
        <f t="shared" si="7"/>
        <v>0</v>
      </c>
      <c r="X15" s="464">
        <f t="shared" si="8"/>
        <v>397911.82999999996</v>
      </c>
      <c r="Y15" s="464" t="e">
        <f>финансирование!G15+'1 Дельта Т - СВОД'!#REF!</f>
        <v>#REF!</v>
      </c>
      <c r="Z15" s="465" t="e">
        <f t="shared" si="4"/>
        <v>#REF!</v>
      </c>
      <c r="AA15" s="472" t="s">
        <v>353</v>
      </c>
      <c r="AB15" s="466" t="e">
        <f t="shared" si="2"/>
        <v>#REF!</v>
      </c>
      <c r="AC15" s="467"/>
      <c r="AD15" s="468"/>
    </row>
    <row r="16" spans="1:103" s="469" customFormat="1" ht="27.75" customHeight="1">
      <c r="A16" s="473">
        <f>A15+1</f>
        <v>7</v>
      </c>
      <c r="B16" s="456" t="s">
        <v>52</v>
      </c>
      <c r="C16" s="499" t="s">
        <v>337</v>
      </c>
      <c r="D16" s="475">
        <v>290604109003</v>
      </c>
      <c r="E16" s="457"/>
      <c r="F16" s="458" t="s">
        <v>1209</v>
      </c>
      <c r="G16" s="459">
        <v>48315.67</v>
      </c>
      <c r="H16" s="461"/>
      <c r="I16" s="461"/>
      <c r="J16" s="461">
        <v>48315.67</v>
      </c>
      <c r="K16" s="462">
        <f t="shared" si="1"/>
        <v>48315.67</v>
      </c>
      <c r="L16" s="461">
        <v>144947</v>
      </c>
      <c r="M16" s="461">
        <v>48315.67</v>
      </c>
      <c r="N16" s="461">
        <v>48315.67</v>
      </c>
      <c r="O16" s="462">
        <f t="shared" si="5"/>
        <v>241578.33999999997</v>
      </c>
      <c r="P16" s="461"/>
      <c r="Q16" s="461"/>
      <c r="R16" s="461"/>
      <c r="S16" s="462">
        <f t="shared" si="6"/>
        <v>0</v>
      </c>
      <c r="T16" s="461"/>
      <c r="U16" s="461"/>
      <c r="V16" s="461"/>
      <c r="W16" s="462">
        <f t="shared" si="7"/>
        <v>0</v>
      </c>
      <c r="X16" s="464">
        <f t="shared" si="8"/>
        <v>289894.00999999995</v>
      </c>
      <c r="Y16" s="464" t="e">
        <f>G16+'1 Дельта Т - СВОД'!#REF!</f>
        <v>#REF!</v>
      </c>
      <c r="Z16" s="465" t="e">
        <f t="shared" si="4"/>
        <v>#REF!</v>
      </c>
      <c r="AA16" s="470"/>
      <c r="AB16" s="466" t="e">
        <f t="shared" si="2"/>
        <v>#REF!</v>
      </c>
      <c r="AC16" s="467"/>
      <c r="AD16" s="468"/>
    </row>
    <row r="17" spans="1:30" s="94" customFormat="1" ht="27.75" customHeight="1">
      <c r="A17" s="473">
        <f>A16+1</f>
        <v>8</v>
      </c>
      <c r="B17" s="471" t="s">
        <v>117</v>
      </c>
      <c r="C17" s="500" t="s">
        <v>120</v>
      </c>
      <c r="D17" s="471" t="s">
        <v>121</v>
      </c>
      <c r="E17" s="457"/>
      <c r="F17" s="458" t="s">
        <v>629</v>
      </c>
      <c r="G17" s="459">
        <v>549250</v>
      </c>
      <c r="H17" s="460"/>
      <c r="I17" s="461">
        <v>549250</v>
      </c>
      <c r="J17" s="461">
        <f>557652.99+550916.7</f>
        <v>1108569.69</v>
      </c>
      <c r="K17" s="462">
        <f t="shared" si="1"/>
        <v>1657819.69</v>
      </c>
      <c r="L17" s="461">
        <v>544388.76</v>
      </c>
      <c r="M17" s="461">
        <v>533277.37</v>
      </c>
      <c r="N17" s="461">
        <v>110544.46</v>
      </c>
      <c r="O17" s="462">
        <f t="shared" si="5"/>
        <v>1188210.5899999999</v>
      </c>
      <c r="P17" s="461"/>
      <c r="Q17" s="461"/>
      <c r="R17" s="461"/>
      <c r="S17" s="462">
        <f t="shared" si="6"/>
        <v>0</v>
      </c>
      <c r="T17" s="461"/>
      <c r="U17" s="461"/>
      <c r="V17" s="461"/>
      <c r="W17" s="462">
        <f t="shared" si="7"/>
        <v>0</v>
      </c>
      <c r="X17" s="464">
        <f t="shared" si="8"/>
        <v>2846030.28</v>
      </c>
      <c r="Y17" s="464" t="e">
        <f>G17+'1 Дельта Т - СВОД'!#REF!</f>
        <v>#REF!</v>
      </c>
      <c r="Z17" s="465" t="e">
        <f t="shared" si="4"/>
        <v>#REF!</v>
      </c>
      <c r="AA17" s="472"/>
      <c r="AB17" s="466" t="e">
        <f t="shared" si="2"/>
        <v>#REF!</v>
      </c>
      <c r="AC17" s="467"/>
      <c r="AD17" s="468"/>
    </row>
    <row r="18" spans="1:30" s="94" customFormat="1" ht="27.75" customHeight="1">
      <c r="A18" s="473">
        <f t="shared" ref="A18:A81" si="9">A17+1</f>
        <v>9</v>
      </c>
      <c r="B18" s="471" t="s">
        <v>117</v>
      </c>
      <c r="C18" s="500" t="s">
        <v>219</v>
      </c>
      <c r="D18" s="471">
        <v>2902009446</v>
      </c>
      <c r="E18" s="457"/>
      <c r="F18" s="458" t="s">
        <v>704</v>
      </c>
      <c r="G18" s="459">
        <v>858735.65</v>
      </c>
      <c r="H18" s="460"/>
      <c r="I18" s="461">
        <v>858735.65</v>
      </c>
      <c r="J18" s="461">
        <f>858735.65+858735.65</f>
        <v>1717471.3</v>
      </c>
      <c r="K18" s="462">
        <f t="shared" si="1"/>
        <v>2576206.9500000002</v>
      </c>
      <c r="L18" s="461">
        <v>858735.65</v>
      </c>
      <c r="M18" s="461">
        <v>858735.65</v>
      </c>
      <c r="N18" s="461">
        <v>846718.87</v>
      </c>
      <c r="O18" s="462">
        <f t="shared" si="5"/>
        <v>2564190.17</v>
      </c>
      <c r="P18" s="461"/>
      <c r="Q18" s="461"/>
      <c r="R18" s="461"/>
      <c r="S18" s="462">
        <f t="shared" si="6"/>
        <v>0</v>
      </c>
      <c r="T18" s="461"/>
      <c r="U18" s="461"/>
      <c r="V18" s="461"/>
      <c r="W18" s="462">
        <f t="shared" si="7"/>
        <v>0</v>
      </c>
      <c r="X18" s="464">
        <f t="shared" si="8"/>
        <v>5140397.12</v>
      </c>
      <c r="Y18" s="464" t="e">
        <f>G18+'1 Дельта Т - СВОД'!#REF!-0.03</f>
        <v>#REF!</v>
      </c>
      <c r="Z18" s="465" t="e">
        <f t="shared" si="4"/>
        <v>#REF!</v>
      </c>
      <c r="AA18" s="472" t="s">
        <v>221</v>
      </c>
      <c r="AB18" s="466" t="e">
        <f t="shared" si="2"/>
        <v>#REF!</v>
      </c>
      <c r="AC18" s="467"/>
      <c r="AD18" s="468"/>
    </row>
    <row r="19" spans="1:30" s="94" customFormat="1" ht="27.75" customHeight="1">
      <c r="A19" s="473">
        <f>A18+1</f>
        <v>10</v>
      </c>
      <c r="B19" s="471" t="s">
        <v>101</v>
      </c>
      <c r="C19" s="499" t="s">
        <v>104</v>
      </c>
      <c r="D19" s="471" t="s">
        <v>105</v>
      </c>
      <c r="E19" s="457"/>
      <c r="F19" s="458" t="s">
        <v>687</v>
      </c>
      <c r="G19" s="476">
        <v>2230318.0699999998</v>
      </c>
      <c r="H19" s="460"/>
      <c r="I19" s="477">
        <v>2230318.0699999998</v>
      </c>
      <c r="J19" s="461">
        <v>2247706.39</v>
      </c>
      <c r="K19" s="462">
        <f t="shared" si="1"/>
        <v>4478024.46</v>
      </c>
      <c r="L19" s="461">
        <v>4477085.79</v>
      </c>
      <c r="M19" s="461">
        <v>2228688.96</v>
      </c>
      <c r="N19" s="461">
        <v>954705.13</v>
      </c>
      <c r="O19" s="462">
        <f t="shared" si="5"/>
        <v>7660479.8799999999</v>
      </c>
      <c r="P19" s="461"/>
      <c r="Q19" s="461"/>
      <c r="R19" s="461"/>
      <c r="S19" s="462">
        <f t="shared" ref="S19:S22" si="10">SUM(P19:R19)</f>
        <v>0</v>
      </c>
      <c r="T19" s="461"/>
      <c r="U19" s="461"/>
      <c r="V19" s="461"/>
      <c r="W19" s="462">
        <f t="shared" si="7"/>
        <v>0</v>
      </c>
      <c r="X19" s="464">
        <f t="shared" si="8"/>
        <v>12138504.34</v>
      </c>
      <c r="Y19" s="464" t="e">
        <f>G19+'1 Дельта Т - СВОД'!#REF!</f>
        <v>#REF!</v>
      </c>
      <c r="Z19" s="465" t="e">
        <f t="shared" si="4"/>
        <v>#REF!</v>
      </c>
      <c r="AA19" s="470" t="s">
        <v>364</v>
      </c>
      <c r="AB19" s="466" t="e">
        <f t="shared" si="2"/>
        <v>#REF!</v>
      </c>
      <c r="AC19" s="467"/>
      <c r="AD19" s="468"/>
    </row>
    <row r="20" spans="1:30" s="469" customFormat="1" ht="27.75" customHeight="1">
      <c r="A20" s="473">
        <f>A19+1</f>
        <v>11</v>
      </c>
      <c r="B20" s="456" t="s">
        <v>101</v>
      </c>
      <c r="C20" s="499" t="s">
        <v>106</v>
      </c>
      <c r="D20" s="456">
        <v>2925003747</v>
      </c>
      <c r="E20" s="457"/>
      <c r="F20" s="458" t="s">
        <v>635</v>
      </c>
      <c r="G20" s="459">
        <v>7559700.2800000003</v>
      </c>
      <c r="H20" s="460"/>
      <c r="I20" s="461">
        <v>7559700.2800000003</v>
      </c>
      <c r="J20" s="461">
        <f>8998047.11+7368426.97</f>
        <v>16366474.079999998</v>
      </c>
      <c r="K20" s="462">
        <f t="shared" si="1"/>
        <v>23926174.359999999</v>
      </c>
      <c r="L20" s="461">
        <v>7863317.9900000002</v>
      </c>
      <c r="M20" s="461">
        <v>7229708.04</v>
      </c>
      <c r="N20" s="461">
        <v>6419564.5999999996</v>
      </c>
      <c r="O20" s="462">
        <f t="shared" si="5"/>
        <v>21512590.630000003</v>
      </c>
      <c r="P20" s="461"/>
      <c r="Q20" s="461"/>
      <c r="R20" s="461"/>
      <c r="S20" s="462">
        <f t="shared" si="10"/>
        <v>0</v>
      </c>
      <c r="T20" s="461"/>
      <c r="U20" s="461"/>
      <c r="V20" s="461"/>
      <c r="W20" s="462">
        <f t="shared" si="7"/>
        <v>0</v>
      </c>
      <c r="X20" s="464">
        <f t="shared" si="8"/>
        <v>45438764.990000002</v>
      </c>
      <c r="Y20" s="464" t="e">
        <f>G20+'1 Дельта Т - СВОД'!#REF!</f>
        <v>#REF!</v>
      </c>
      <c r="Z20" s="465" t="e">
        <f t="shared" si="4"/>
        <v>#REF!</v>
      </c>
      <c r="AA20" s="470"/>
      <c r="AB20" s="466" t="e">
        <f t="shared" si="2"/>
        <v>#REF!</v>
      </c>
      <c r="AC20" s="467"/>
      <c r="AD20" s="468"/>
    </row>
    <row r="21" spans="1:30" s="94" customFormat="1" ht="27.75" customHeight="1">
      <c r="A21" s="473">
        <f>A20+1</f>
        <v>12</v>
      </c>
      <c r="B21" s="471" t="s">
        <v>101</v>
      </c>
      <c r="C21" s="500" t="s">
        <v>361</v>
      </c>
      <c r="D21" s="471">
        <v>2920015308</v>
      </c>
      <c r="E21" s="457"/>
      <c r="F21" s="458" t="s">
        <v>669</v>
      </c>
      <c r="G21" s="459">
        <v>2929446.14</v>
      </c>
      <c r="H21" s="460">
        <v>2929446.14</v>
      </c>
      <c r="I21" s="460"/>
      <c r="J21" s="461">
        <f>2973806.37+2865136.73</f>
        <v>5838943.0999999996</v>
      </c>
      <c r="K21" s="462">
        <f t="shared" si="1"/>
        <v>8768389.2400000002</v>
      </c>
      <c r="L21" s="461">
        <v>2616343.2599999998</v>
      </c>
      <c r="M21" s="461">
        <v>2388010.09</v>
      </c>
      <c r="N21" s="461">
        <v>1877518.67</v>
      </c>
      <c r="O21" s="462">
        <f t="shared" si="5"/>
        <v>6881872.0199999996</v>
      </c>
      <c r="P21" s="461"/>
      <c r="Q21" s="461"/>
      <c r="R21" s="461"/>
      <c r="S21" s="462">
        <f t="shared" si="10"/>
        <v>0</v>
      </c>
      <c r="T21" s="461"/>
      <c r="U21" s="461"/>
      <c r="V21" s="461"/>
      <c r="W21" s="462">
        <f t="shared" si="7"/>
        <v>0</v>
      </c>
      <c r="X21" s="464">
        <f>K21+O21+S21+W21</f>
        <v>15650261.26</v>
      </c>
      <c r="Y21" s="464" t="e">
        <f>G21+'1 Дельта Т - СВОД'!#REF!+0.01</f>
        <v>#REF!</v>
      </c>
      <c r="Z21" s="465" t="e">
        <f t="shared" si="4"/>
        <v>#REF!</v>
      </c>
      <c r="AA21" s="472" t="s">
        <v>514</v>
      </c>
      <c r="AB21" s="466" t="e">
        <f t="shared" si="2"/>
        <v>#REF!</v>
      </c>
      <c r="AC21" s="467"/>
      <c r="AD21" s="468"/>
    </row>
    <row r="22" spans="1:30" s="94" customFormat="1" ht="27.75" customHeight="1">
      <c r="A22" s="473">
        <f>A21+1</f>
        <v>13</v>
      </c>
      <c r="B22" s="471" t="s">
        <v>101</v>
      </c>
      <c r="C22" s="500" t="s">
        <v>552</v>
      </c>
      <c r="D22" s="471">
        <v>2905001195</v>
      </c>
      <c r="E22" s="457"/>
      <c r="F22" s="458" t="s">
        <v>647</v>
      </c>
      <c r="G22" s="459">
        <v>2252073.11</v>
      </c>
      <c r="H22" s="460"/>
      <c r="I22" s="461">
        <v>2252073.11</v>
      </c>
      <c r="J22" s="461">
        <f>2397026.09+2125418.28</f>
        <v>4522444.3699999992</v>
      </c>
      <c r="K22" s="462">
        <f t="shared" si="1"/>
        <v>6774517.4799999986</v>
      </c>
      <c r="L22" s="461">
        <v>2049696.41</v>
      </c>
      <c r="M22" s="461">
        <v>1847667.09</v>
      </c>
      <c r="N22" s="461">
        <v>1259920.53</v>
      </c>
      <c r="O22" s="462">
        <f t="shared" si="5"/>
        <v>5157284.03</v>
      </c>
      <c r="P22" s="461"/>
      <c r="Q22" s="461"/>
      <c r="R22" s="461"/>
      <c r="S22" s="462">
        <f t="shared" si="10"/>
        <v>0</v>
      </c>
      <c r="T22" s="461"/>
      <c r="U22" s="461"/>
      <c r="V22" s="461"/>
      <c r="W22" s="462">
        <f>SUM(T22:V22)</f>
        <v>0</v>
      </c>
      <c r="X22" s="464">
        <f>K22+O22+S22+W22</f>
        <v>11931801.509999998</v>
      </c>
      <c r="Y22" s="464" t="e">
        <f>G22+'1 Дельта Т - СВОД'!#REF!</f>
        <v>#REF!</v>
      </c>
      <c r="Z22" s="465" t="e">
        <f>Y22-X22</f>
        <v>#REF!</v>
      </c>
      <c r="AA22" s="472"/>
      <c r="AB22" s="466" t="e">
        <f t="shared" si="2"/>
        <v>#REF!</v>
      </c>
      <c r="AC22" s="467"/>
      <c r="AD22" s="468"/>
    </row>
    <row r="23" spans="1:30" s="94" customFormat="1" ht="27.75" customHeight="1">
      <c r="A23" s="473">
        <f>A22+1</f>
        <v>14</v>
      </c>
      <c r="B23" s="471" t="s">
        <v>179</v>
      </c>
      <c r="C23" s="500" t="s">
        <v>209</v>
      </c>
      <c r="D23" s="471">
        <v>2912005994</v>
      </c>
      <c r="E23" s="457"/>
      <c r="F23" s="458" t="s">
        <v>630</v>
      </c>
      <c r="G23" s="459">
        <v>510744.45</v>
      </c>
      <c r="H23" s="460"/>
      <c r="I23" s="461">
        <v>510744.45</v>
      </c>
      <c r="J23" s="461">
        <f>510744.45+510744.45</f>
        <v>1021488.9</v>
      </c>
      <c r="K23" s="462">
        <f t="shared" si="1"/>
        <v>1532233.35</v>
      </c>
      <c r="L23" s="461">
        <v>482096.28</v>
      </c>
      <c r="M23" s="461">
        <v>424079.75</v>
      </c>
      <c r="N23" s="461">
        <v>241592.25</v>
      </c>
      <c r="O23" s="462">
        <f t="shared" si="5"/>
        <v>1147768.28</v>
      </c>
      <c r="P23" s="461"/>
      <c r="Q23" s="461"/>
      <c r="R23" s="461"/>
      <c r="S23" s="462">
        <f t="shared" ref="S23:S33" si="11">SUM(P23:R23)</f>
        <v>0</v>
      </c>
      <c r="T23" s="461"/>
      <c r="U23" s="461"/>
      <c r="V23" s="461"/>
      <c r="W23" s="462">
        <f t="shared" si="7"/>
        <v>0</v>
      </c>
      <c r="X23" s="464">
        <f t="shared" si="8"/>
        <v>2680001.63</v>
      </c>
      <c r="Y23" s="464" t="e">
        <f>G23+'1 Дельта Т - СВОД'!#REF!+0.03</f>
        <v>#REF!</v>
      </c>
      <c r="Z23" s="465" t="e">
        <f t="shared" si="4"/>
        <v>#REF!</v>
      </c>
      <c r="AA23" s="472" t="s">
        <v>375</v>
      </c>
      <c r="AB23" s="466" t="e">
        <f t="shared" si="2"/>
        <v>#REF!</v>
      </c>
      <c r="AC23" s="467"/>
      <c r="AD23" s="468"/>
    </row>
    <row r="24" spans="1:30" s="469" customFormat="1" ht="27.75" customHeight="1">
      <c r="A24" s="473">
        <f t="shared" si="9"/>
        <v>15</v>
      </c>
      <c r="B24" s="456" t="s">
        <v>101</v>
      </c>
      <c r="C24" s="499" t="s">
        <v>122</v>
      </c>
      <c r="D24" s="456" t="s">
        <v>123</v>
      </c>
      <c r="E24" s="457"/>
      <c r="F24" s="458" t="s">
        <v>661</v>
      </c>
      <c r="G24" s="459">
        <v>35309.550000000003</v>
      </c>
      <c r="H24" s="460"/>
      <c r="I24" s="461">
        <v>35309.550000000003</v>
      </c>
      <c r="J24" s="461">
        <f>35309.55+35309.55</f>
        <v>70619.100000000006</v>
      </c>
      <c r="K24" s="462">
        <f t="shared" si="1"/>
        <v>105928.65000000001</v>
      </c>
      <c r="L24" s="461">
        <v>35309.550000000003</v>
      </c>
      <c r="M24" s="461">
        <v>35309.550000000003</v>
      </c>
      <c r="N24" s="461">
        <v>17083.07</v>
      </c>
      <c r="O24" s="462">
        <f t="shared" si="5"/>
        <v>87702.170000000013</v>
      </c>
      <c r="P24" s="461"/>
      <c r="Q24" s="461"/>
      <c r="R24" s="461"/>
      <c r="S24" s="462">
        <f t="shared" si="11"/>
        <v>0</v>
      </c>
      <c r="T24" s="461"/>
      <c r="U24" s="461"/>
      <c r="V24" s="461"/>
      <c r="W24" s="463">
        <f t="shared" si="7"/>
        <v>0</v>
      </c>
      <c r="X24" s="464">
        <f t="shared" si="8"/>
        <v>193630.82</v>
      </c>
      <c r="Y24" s="464" t="e">
        <f>G24+'1 Дельта Т - СВОД'!#REF!-0.01</f>
        <v>#REF!</v>
      </c>
      <c r="Z24" s="465" t="e">
        <f t="shared" si="4"/>
        <v>#REF!</v>
      </c>
      <c r="AA24" s="470"/>
      <c r="AB24" s="466" t="e">
        <f t="shared" si="2"/>
        <v>#REF!</v>
      </c>
      <c r="AC24" s="467"/>
      <c r="AD24" s="468"/>
    </row>
    <row r="25" spans="1:30" s="94" customFormat="1" ht="27.75" customHeight="1">
      <c r="A25" s="473">
        <f>A24+1</f>
        <v>16</v>
      </c>
      <c r="B25" s="471" t="s">
        <v>101</v>
      </c>
      <c r="C25" s="500" t="s">
        <v>133</v>
      </c>
      <c r="D25" s="471">
        <v>2918002171</v>
      </c>
      <c r="E25" s="457"/>
      <c r="F25" s="458" t="s">
        <v>666</v>
      </c>
      <c r="G25" s="459">
        <v>1187457.03</v>
      </c>
      <c r="H25" s="460"/>
      <c r="I25" s="461">
        <v>1187457.03</v>
      </c>
      <c r="J25" s="461">
        <f>1187020.82+1185281.04</f>
        <v>2372301.8600000003</v>
      </c>
      <c r="K25" s="462">
        <f t="shared" si="1"/>
        <v>3559758.8900000006</v>
      </c>
      <c r="L25" s="461">
        <v>1185346.98</v>
      </c>
      <c r="M25" s="461">
        <v>1168877.42</v>
      </c>
      <c r="N25" s="461">
        <v>527928.88</v>
      </c>
      <c r="O25" s="462">
        <f t="shared" si="5"/>
        <v>2882153.28</v>
      </c>
      <c r="P25" s="461"/>
      <c r="Q25" s="461"/>
      <c r="R25" s="461"/>
      <c r="S25" s="462">
        <f t="shared" si="11"/>
        <v>0</v>
      </c>
      <c r="T25" s="461"/>
      <c r="U25" s="461"/>
      <c r="V25" s="461"/>
      <c r="W25" s="462">
        <f>SUM(T25:V25)</f>
        <v>0</v>
      </c>
      <c r="X25" s="464">
        <f t="shared" si="8"/>
        <v>6441912.1699999999</v>
      </c>
      <c r="Y25" s="464" t="e">
        <f>G25+'1 Дельта Т - СВОД'!#REF!-0.01</f>
        <v>#REF!</v>
      </c>
      <c r="Z25" s="465" t="e">
        <f t="shared" si="4"/>
        <v>#REF!</v>
      </c>
      <c r="AA25" s="472"/>
      <c r="AB25" s="466" t="e">
        <f t="shared" si="2"/>
        <v>#REF!</v>
      </c>
      <c r="AC25" s="467"/>
      <c r="AD25" s="468"/>
    </row>
    <row r="26" spans="1:30" s="94" customFormat="1" ht="27.75" customHeight="1">
      <c r="A26" s="473">
        <f t="shared" si="9"/>
        <v>17</v>
      </c>
      <c r="B26" s="471" t="s">
        <v>101</v>
      </c>
      <c r="C26" s="500" t="s">
        <v>481</v>
      </c>
      <c r="D26" s="471">
        <v>2911004420</v>
      </c>
      <c r="E26" s="457"/>
      <c r="F26" s="458" t="s">
        <v>665</v>
      </c>
      <c r="G26" s="459">
        <v>179125.77</v>
      </c>
      <c r="H26" s="478"/>
      <c r="I26" s="461">
        <v>179125.77</v>
      </c>
      <c r="J26" s="461">
        <f>179909.61+179909.61</f>
        <v>359819.22</v>
      </c>
      <c r="K26" s="462">
        <f t="shared" si="1"/>
        <v>538944.99</v>
      </c>
      <c r="L26" s="461">
        <v>179909.61</v>
      </c>
      <c r="M26" s="461">
        <v>179909.61</v>
      </c>
      <c r="N26" s="461">
        <v>81250.95</v>
      </c>
      <c r="O26" s="462">
        <f t="shared" si="5"/>
        <v>441070.17</v>
      </c>
      <c r="P26" s="461"/>
      <c r="Q26" s="461"/>
      <c r="R26" s="461"/>
      <c r="S26" s="462">
        <f t="shared" si="11"/>
        <v>0</v>
      </c>
      <c r="T26" s="461"/>
      <c r="U26" s="461"/>
      <c r="V26" s="461"/>
      <c r="W26" s="462">
        <f t="shared" ref="W26:W33" si="12">SUM(T26:V26)</f>
        <v>0</v>
      </c>
      <c r="X26" s="464">
        <f t="shared" si="8"/>
        <v>980015.15999999992</v>
      </c>
      <c r="Y26" s="464" t="e">
        <f>G26+'1 Дельта Т - СВОД'!#REF!</f>
        <v>#REF!</v>
      </c>
      <c r="Z26" s="465" t="e">
        <f t="shared" si="4"/>
        <v>#REF!</v>
      </c>
      <c r="AA26" s="472"/>
      <c r="AB26" s="466" t="e">
        <f t="shared" si="2"/>
        <v>#REF!</v>
      </c>
      <c r="AC26" s="467"/>
      <c r="AD26" s="468"/>
    </row>
    <row r="27" spans="1:30" s="469" customFormat="1" ht="27.75" customHeight="1">
      <c r="A27" s="473">
        <f t="shared" si="9"/>
        <v>18</v>
      </c>
      <c r="B27" s="456" t="s">
        <v>101</v>
      </c>
      <c r="C27" s="499" t="s">
        <v>471</v>
      </c>
      <c r="D27" s="456">
        <v>2911004405</v>
      </c>
      <c r="E27" s="457"/>
      <c r="F27" s="458" t="s">
        <v>702</v>
      </c>
      <c r="G27" s="479">
        <v>736212.29</v>
      </c>
      <c r="H27" s="480"/>
      <c r="I27" s="461">
        <v>736212.29</v>
      </c>
      <c r="J27" s="461">
        <f>837638.58+761316.88</f>
        <v>1598955.46</v>
      </c>
      <c r="K27" s="462">
        <f t="shared" si="1"/>
        <v>2335167.75</v>
      </c>
      <c r="L27" s="461">
        <v>777931.59</v>
      </c>
      <c r="M27" s="461">
        <v>727195.86</v>
      </c>
      <c r="N27" s="461">
        <v>354668.13</v>
      </c>
      <c r="O27" s="462">
        <f t="shared" si="5"/>
        <v>1859795.58</v>
      </c>
      <c r="P27" s="461"/>
      <c r="Q27" s="461"/>
      <c r="R27" s="461"/>
      <c r="S27" s="462">
        <f t="shared" si="11"/>
        <v>0</v>
      </c>
      <c r="T27" s="461"/>
      <c r="U27" s="461"/>
      <c r="V27" s="461"/>
      <c r="W27" s="462">
        <f t="shared" si="12"/>
        <v>0</v>
      </c>
      <c r="X27" s="464">
        <f t="shared" si="8"/>
        <v>4194963.33</v>
      </c>
      <c r="Y27" s="464" t="e">
        <f>G27+'1 Дельта Т - СВОД'!#REF!</f>
        <v>#REF!</v>
      </c>
      <c r="Z27" s="465" t="e">
        <f t="shared" si="4"/>
        <v>#REF!</v>
      </c>
      <c r="AA27" s="481"/>
      <c r="AB27" s="466" t="e">
        <f t="shared" si="2"/>
        <v>#REF!</v>
      </c>
      <c r="AC27" s="467"/>
      <c r="AD27" s="468"/>
    </row>
    <row r="28" spans="1:30" s="469" customFormat="1" ht="27.75" customHeight="1">
      <c r="A28" s="473">
        <f t="shared" si="9"/>
        <v>19</v>
      </c>
      <c r="B28" s="456" t="s">
        <v>101</v>
      </c>
      <c r="C28" s="499" t="s">
        <v>476</v>
      </c>
      <c r="D28" s="456">
        <v>2911004356</v>
      </c>
      <c r="E28" s="457"/>
      <c r="F28" s="458" t="s">
        <v>648</v>
      </c>
      <c r="G28" s="482">
        <v>281811.78000000003</v>
      </c>
      <c r="H28" s="461"/>
      <c r="I28" s="461">
        <v>281811.78000000003</v>
      </c>
      <c r="J28" s="461">
        <f>281811.78+281811.78</f>
        <v>563623.56000000006</v>
      </c>
      <c r="K28" s="462">
        <f t="shared" si="1"/>
        <v>845435.34000000008</v>
      </c>
      <c r="L28" s="461">
        <v>281811.78000000003</v>
      </c>
      <c r="M28" s="461">
        <v>281811.78000000003</v>
      </c>
      <c r="N28" s="461">
        <v>140905.89000000001</v>
      </c>
      <c r="O28" s="462">
        <f t="shared" si="5"/>
        <v>704529.45000000007</v>
      </c>
      <c r="P28" s="461"/>
      <c r="Q28" s="461"/>
      <c r="R28" s="461"/>
      <c r="S28" s="462">
        <f t="shared" si="11"/>
        <v>0</v>
      </c>
      <c r="T28" s="461"/>
      <c r="U28" s="461"/>
      <c r="V28" s="461"/>
      <c r="W28" s="463">
        <f t="shared" si="12"/>
        <v>0</v>
      </c>
      <c r="X28" s="464">
        <f t="shared" si="8"/>
        <v>1549964.79</v>
      </c>
      <c r="Y28" s="464" t="e">
        <f>G28+'1 Дельта Т - СВОД'!#REF!</f>
        <v>#REF!</v>
      </c>
      <c r="Z28" s="465" t="e">
        <f t="shared" si="4"/>
        <v>#REF!</v>
      </c>
      <c r="AA28" s="470"/>
      <c r="AB28" s="466" t="e">
        <f t="shared" si="2"/>
        <v>#REF!</v>
      </c>
      <c r="AC28" s="467"/>
      <c r="AD28" s="468"/>
    </row>
    <row r="29" spans="1:30" s="469" customFormat="1" ht="27.75" customHeight="1">
      <c r="A29" s="473">
        <f t="shared" si="9"/>
        <v>20</v>
      </c>
      <c r="B29" s="456" t="s">
        <v>101</v>
      </c>
      <c r="C29" s="499" t="s">
        <v>482</v>
      </c>
      <c r="D29" s="456">
        <v>2911004331</v>
      </c>
      <c r="E29" s="457"/>
      <c r="F29" s="458" t="s">
        <v>680</v>
      </c>
      <c r="G29" s="459">
        <v>180417.37</v>
      </c>
      <c r="H29" s="460"/>
      <c r="I29" s="461">
        <v>180417.37</v>
      </c>
      <c r="J29" s="461">
        <f>185312.65+160069.55</f>
        <v>345382.19999999995</v>
      </c>
      <c r="K29" s="462">
        <f t="shared" si="1"/>
        <v>525799.56999999995</v>
      </c>
      <c r="L29" s="461">
        <v>158536.09</v>
      </c>
      <c r="M29" s="461">
        <v>148745.54</v>
      </c>
      <c r="N29" s="461">
        <v>71453.3</v>
      </c>
      <c r="O29" s="462">
        <f t="shared" si="5"/>
        <v>378734.93</v>
      </c>
      <c r="P29" s="461"/>
      <c r="Q29" s="461"/>
      <c r="R29" s="461"/>
      <c r="S29" s="462">
        <f t="shared" si="11"/>
        <v>0</v>
      </c>
      <c r="T29" s="461"/>
      <c r="U29" s="461"/>
      <c r="V29" s="461"/>
      <c r="W29" s="463">
        <f t="shared" si="12"/>
        <v>0</v>
      </c>
      <c r="X29" s="464">
        <f t="shared" si="8"/>
        <v>904534.5</v>
      </c>
      <c r="Y29" s="464" t="e">
        <f>G29+'1 Дельта Т - СВОД'!#REF!</f>
        <v>#REF!</v>
      </c>
      <c r="Z29" s="465" t="e">
        <f t="shared" si="4"/>
        <v>#REF!</v>
      </c>
      <c r="AA29" s="470"/>
      <c r="AB29" s="466" t="e">
        <f t="shared" si="2"/>
        <v>#REF!</v>
      </c>
      <c r="AC29" s="467"/>
      <c r="AD29" s="468"/>
    </row>
    <row r="30" spans="1:30" s="469" customFormat="1" ht="27.75" customHeight="1">
      <c r="A30" s="473">
        <f t="shared" si="9"/>
        <v>21</v>
      </c>
      <c r="B30" s="456" t="s">
        <v>101</v>
      </c>
      <c r="C30" s="499" t="s">
        <v>469</v>
      </c>
      <c r="D30" s="456" t="s">
        <v>115</v>
      </c>
      <c r="E30" s="457"/>
      <c r="F30" s="458" t="s">
        <v>688</v>
      </c>
      <c r="G30" s="459">
        <v>143415.63</v>
      </c>
      <c r="H30" s="460"/>
      <c r="I30" s="461">
        <v>143415.63</v>
      </c>
      <c r="J30" s="461">
        <f>143415.63+143415.63</f>
        <v>286831.26</v>
      </c>
      <c r="K30" s="462">
        <f t="shared" si="1"/>
        <v>430246.89</v>
      </c>
      <c r="L30" s="461">
        <v>143415.63</v>
      </c>
      <c r="M30" s="461">
        <v>143415.63</v>
      </c>
      <c r="N30" s="461">
        <v>71709.83</v>
      </c>
      <c r="O30" s="462">
        <f t="shared" si="5"/>
        <v>358541.09</v>
      </c>
      <c r="P30" s="461"/>
      <c r="Q30" s="461"/>
      <c r="R30" s="461"/>
      <c r="S30" s="462">
        <f t="shared" si="11"/>
        <v>0</v>
      </c>
      <c r="T30" s="461"/>
      <c r="U30" s="461"/>
      <c r="V30" s="461"/>
      <c r="W30" s="463">
        <f t="shared" si="12"/>
        <v>0</v>
      </c>
      <c r="X30" s="464">
        <f t="shared" si="8"/>
        <v>788787.98</v>
      </c>
      <c r="Y30" s="464" t="e">
        <f>G30+'1 Дельта Т - СВОД'!#REF!</f>
        <v>#REF!</v>
      </c>
      <c r="Z30" s="465" t="e">
        <f t="shared" si="4"/>
        <v>#REF!</v>
      </c>
      <c r="AA30" s="470"/>
      <c r="AB30" s="466" t="e">
        <f t="shared" si="2"/>
        <v>#REF!</v>
      </c>
      <c r="AC30" s="467"/>
      <c r="AD30" s="468"/>
    </row>
    <row r="31" spans="1:30" s="94" customFormat="1" ht="27.75" customHeight="1">
      <c r="A31" s="473">
        <f t="shared" si="9"/>
        <v>22</v>
      </c>
      <c r="B31" s="471" t="s">
        <v>101</v>
      </c>
      <c r="C31" s="500" t="s">
        <v>477</v>
      </c>
      <c r="D31" s="471">
        <v>2911004349</v>
      </c>
      <c r="E31" s="457"/>
      <c r="F31" s="458" t="s">
        <v>683</v>
      </c>
      <c r="G31" s="459">
        <v>191306.9</v>
      </c>
      <c r="H31" s="460"/>
      <c r="I31" s="461">
        <v>191306.9</v>
      </c>
      <c r="J31" s="461">
        <f>191693.26+191693.26</f>
        <v>383386.52</v>
      </c>
      <c r="K31" s="462">
        <f t="shared" si="1"/>
        <v>574693.42000000004</v>
      </c>
      <c r="L31" s="461">
        <v>191693.26</v>
      </c>
      <c r="M31" s="461">
        <v>191693.26</v>
      </c>
      <c r="N31" s="461">
        <v>92754.05</v>
      </c>
      <c r="O31" s="462">
        <f t="shared" si="5"/>
        <v>476140.57</v>
      </c>
      <c r="P31" s="461"/>
      <c r="Q31" s="461"/>
      <c r="R31" s="461"/>
      <c r="S31" s="462">
        <f t="shared" si="11"/>
        <v>0</v>
      </c>
      <c r="T31" s="461"/>
      <c r="U31" s="461"/>
      <c r="V31" s="461"/>
      <c r="W31" s="462">
        <f t="shared" si="12"/>
        <v>0</v>
      </c>
      <c r="X31" s="464">
        <f t="shared" si="8"/>
        <v>1050833.99</v>
      </c>
      <c r="Y31" s="464" t="e">
        <f>G31+'1 Дельта Т - СВОД'!#REF!</f>
        <v>#REF!</v>
      </c>
      <c r="Z31" s="465" t="e">
        <f t="shared" si="4"/>
        <v>#REF!</v>
      </c>
      <c r="AA31" s="472"/>
      <c r="AB31" s="466" t="e">
        <f t="shared" si="2"/>
        <v>#REF!</v>
      </c>
      <c r="AC31" s="467"/>
      <c r="AD31" s="468"/>
    </row>
    <row r="32" spans="1:30" s="94" customFormat="1" ht="27.75" customHeight="1">
      <c r="A32" s="473">
        <f t="shared" si="9"/>
        <v>23</v>
      </c>
      <c r="B32" s="471" t="s">
        <v>25</v>
      </c>
      <c r="C32" s="500" t="s">
        <v>165</v>
      </c>
      <c r="D32" s="471">
        <v>7708503727</v>
      </c>
      <c r="E32" s="457"/>
      <c r="F32" s="458" t="s">
        <v>712</v>
      </c>
      <c r="G32" s="459">
        <v>2706218.24</v>
      </c>
      <c r="H32" s="460"/>
      <c r="I32" s="461">
        <v>2706218.24</v>
      </c>
      <c r="J32" s="461">
        <f>3782240.96+3461629.36</f>
        <v>7243870.3200000003</v>
      </c>
      <c r="K32" s="462">
        <f t="shared" si="1"/>
        <v>9950088.5600000005</v>
      </c>
      <c r="L32" s="461">
        <v>3515660.08</v>
      </c>
      <c r="M32" s="461">
        <v>3142997.83</v>
      </c>
      <c r="N32" s="461">
        <v>2495606.0499999998</v>
      </c>
      <c r="O32" s="462">
        <f t="shared" si="5"/>
        <v>9154263.9600000009</v>
      </c>
      <c r="P32" s="461"/>
      <c r="Q32" s="461"/>
      <c r="R32" s="461"/>
      <c r="S32" s="462">
        <f t="shared" si="11"/>
        <v>0</v>
      </c>
      <c r="T32" s="461"/>
      <c r="U32" s="461"/>
      <c r="V32" s="461"/>
      <c r="W32" s="462">
        <f t="shared" si="12"/>
        <v>0</v>
      </c>
      <c r="X32" s="464">
        <f t="shared" si="8"/>
        <v>19104352.520000003</v>
      </c>
      <c r="Y32" s="464" t="e">
        <f>G32+'1 Дельта Т - СВОД'!#REF!</f>
        <v>#REF!</v>
      </c>
      <c r="Z32" s="465" t="e">
        <f t="shared" si="4"/>
        <v>#REF!</v>
      </c>
      <c r="AA32" s="483" t="s">
        <v>555</v>
      </c>
      <c r="AB32" s="466" t="e">
        <f t="shared" ref="AB32:AB55" si="13">Y32-I32-H32</f>
        <v>#REF!</v>
      </c>
      <c r="AC32" s="467"/>
      <c r="AD32" s="468"/>
    </row>
    <row r="33" spans="1:30" s="94" customFormat="1" ht="27.75" customHeight="1">
      <c r="A33" s="473">
        <f t="shared" si="9"/>
        <v>24</v>
      </c>
      <c r="B33" s="471" t="s">
        <v>25</v>
      </c>
      <c r="C33" s="500" t="s">
        <v>72</v>
      </c>
      <c r="D33" s="471">
        <v>7708503727</v>
      </c>
      <c r="E33" s="457"/>
      <c r="F33" s="458" t="s">
        <v>689</v>
      </c>
      <c r="G33" s="459">
        <v>275342.26</v>
      </c>
      <c r="H33" s="484"/>
      <c r="I33" s="461">
        <v>275342.26</v>
      </c>
      <c r="J33" s="461">
        <f>283148.46+308894.86</f>
        <v>592043.32000000007</v>
      </c>
      <c r="K33" s="462">
        <f t="shared" si="1"/>
        <v>867385.58000000007</v>
      </c>
      <c r="L33" s="461">
        <v>227933.99</v>
      </c>
      <c r="M33" s="461">
        <v>202822.67</v>
      </c>
      <c r="N33" s="461">
        <v>126537.56</v>
      </c>
      <c r="O33" s="462">
        <f t="shared" si="5"/>
        <v>557294.22</v>
      </c>
      <c r="P33" s="461"/>
      <c r="Q33" s="461"/>
      <c r="R33" s="461"/>
      <c r="S33" s="462">
        <f t="shared" si="11"/>
        <v>0</v>
      </c>
      <c r="T33" s="461"/>
      <c r="U33" s="461"/>
      <c r="V33" s="461"/>
      <c r="W33" s="462">
        <f t="shared" si="12"/>
        <v>0</v>
      </c>
      <c r="X33" s="464">
        <f t="shared" si="8"/>
        <v>1424679.8</v>
      </c>
      <c r="Y33" s="464" t="e">
        <f>G33+'1 Дельта Т - СВОД'!#REF!-0.02</f>
        <v>#REF!</v>
      </c>
      <c r="Z33" s="465" t="e">
        <f t="shared" si="4"/>
        <v>#REF!</v>
      </c>
      <c r="AA33" s="483" t="s">
        <v>434</v>
      </c>
      <c r="AB33" s="466" t="e">
        <f t="shared" si="13"/>
        <v>#REF!</v>
      </c>
      <c r="AC33" s="467"/>
      <c r="AD33" s="468"/>
    </row>
    <row r="34" spans="1:30" s="469" customFormat="1" ht="27.75" customHeight="1">
      <c r="A34" s="473">
        <f t="shared" si="9"/>
        <v>25</v>
      </c>
      <c r="B34" s="456" t="s">
        <v>26</v>
      </c>
      <c r="C34" s="499" t="s">
        <v>167</v>
      </c>
      <c r="D34" s="456">
        <v>2901265172</v>
      </c>
      <c r="E34" s="457"/>
      <c r="F34" s="458" t="s">
        <v>682</v>
      </c>
      <c r="G34" s="459">
        <v>7976935.21</v>
      </c>
      <c r="H34" s="460"/>
      <c r="I34" s="461">
        <v>7976935.21</v>
      </c>
      <c r="J34" s="461">
        <f>9836174.38+8168217.03</f>
        <v>18004391.41</v>
      </c>
      <c r="K34" s="462">
        <f t="shared" si="1"/>
        <v>25981326.620000001</v>
      </c>
      <c r="L34" s="461">
        <v>8021806.8700000001</v>
      </c>
      <c r="M34" s="461">
        <v>6969022.25</v>
      </c>
      <c r="N34" s="461">
        <v>2707928.23</v>
      </c>
      <c r="O34" s="462">
        <f t="shared" ref="O34:O61" si="14">SUM(L34:N34)</f>
        <v>17698757.350000001</v>
      </c>
      <c r="P34" s="461"/>
      <c r="Q34" s="461"/>
      <c r="R34" s="461"/>
      <c r="S34" s="462">
        <f t="shared" ref="S34:S64" si="15">SUM(P34:R34)</f>
        <v>0</v>
      </c>
      <c r="T34" s="461"/>
      <c r="U34" s="461"/>
      <c r="V34" s="461"/>
      <c r="W34" s="462">
        <f t="shared" ref="W34:W61" si="16">SUM(T34:V34)</f>
        <v>0</v>
      </c>
      <c r="X34" s="464">
        <f t="shared" ref="X34:X61" si="17">K34+O34+S34+W34</f>
        <v>43680083.969999999</v>
      </c>
      <c r="Y34" s="464" t="e">
        <f>G34+'1 Дельта Т - СВОД'!#REF!+0.01</f>
        <v>#REF!</v>
      </c>
      <c r="Z34" s="465" t="e">
        <f t="shared" si="4"/>
        <v>#REF!</v>
      </c>
      <c r="AA34" s="470" t="s">
        <v>484</v>
      </c>
      <c r="AB34" s="466" t="e">
        <f t="shared" si="13"/>
        <v>#REF!</v>
      </c>
      <c r="AC34" s="467"/>
      <c r="AD34" s="468"/>
    </row>
    <row r="35" spans="1:30" s="469" customFormat="1" ht="27.75" customHeight="1">
      <c r="A35" s="473">
        <f t="shared" si="9"/>
        <v>26</v>
      </c>
      <c r="B35" s="456" t="s">
        <v>26</v>
      </c>
      <c r="C35" s="499" t="s">
        <v>27</v>
      </c>
      <c r="D35" s="456">
        <v>2901249879</v>
      </c>
      <c r="E35" s="457"/>
      <c r="F35" s="458" t="s">
        <v>1194</v>
      </c>
      <c r="G35" s="485">
        <v>13958671.98</v>
      </c>
      <c r="H35" s="460"/>
      <c r="I35" s="461">
        <v>13958671.98</v>
      </c>
      <c r="J35" s="461">
        <f>13783258.57+13787305.07</f>
        <v>27570563.640000001</v>
      </c>
      <c r="K35" s="462">
        <f t="shared" si="1"/>
        <v>41529235.620000005</v>
      </c>
      <c r="L35" s="461">
        <v>13686009.869999999</v>
      </c>
      <c r="M35" s="461">
        <v>13589784.15</v>
      </c>
      <c r="N35" s="461">
        <v>13233260.789999999</v>
      </c>
      <c r="O35" s="462">
        <f t="shared" si="14"/>
        <v>40509054.810000002</v>
      </c>
      <c r="P35" s="461"/>
      <c r="Q35" s="461"/>
      <c r="R35" s="461"/>
      <c r="S35" s="462">
        <f t="shared" si="15"/>
        <v>0</v>
      </c>
      <c r="T35" s="461"/>
      <c r="U35" s="461"/>
      <c r="V35" s="461"/>
      <c r="W35" s="462">
        <f t="shared" si="16"/>
        <v>0</v>
      </c>
      <c r="X35" s="464">
        <f t="shared" si="17"/>
        <v>82038290.430000007</v>
      </c>
      <c r="Y35" s="464" t="e">
        <f>G35+'1 Дельта Т - СВОД'!#REF!</f>
        <v>#REF!</v>
      </c>
      <c r="Z35" s="465" t="e">
        <f t="shared" si="4"/>
        <v>#REF!</v>
      </c>
      <c r="AA35" s="470" t="s">
        <v>367</v>
      </c>
      <c r="AB35" s="466" t="e">
        <f t="shared" si="13"/>
        <v>#REF!</v>
      </c>
      <c r="AC35" s="467"/>
      <c r="AD35" s="468"/>
    </row>
    <row r="36" spans="1:30" s="469" customFormat="1" ht="27.75" customHeight="1">
      <c r="A36" s="473">
        <f t="shared" si="9"/>
        <v>27</v>
      </c>
      <c r="B36" s="456" t="s">
        <v>26</v>
      </c>
      <c r="C36" s="499" t="s">
        <v>31</v>
      </c>
      <c r="D36" s="456" t="s">
        <v>32</v>
      </c>
      <c r="E36" s="457"/>
      <c r="F36" s="458" t="s">
        <v>624</v>
      </c>
      <c r="G36" s="459">
        <v>16675066.689999999</v>
      </c>
      <c r="H36" s="460"/>
      <c r="I36" s="461">
        <v>16675066.689999999</v>
      </c>
      <c r="J36" s="461">
        <f>16914854.64+17060871.08</f>
        <v>33975725.719999999</v>
      </c>
      <c r="K36" s="462">
        <f t="shared" si="1"/>
        <v>50650792.409999996</v>
      </c>
      <c r="L36" s="461">
        <v>15690797.470000001</v>
      </c>
      <c r="M36" s="461">
        <v>15479621.789999999</v>
      </c>
      <c r="N36" s="461">
        <v>10869553.720000001</v>
      </c>
      <c r="O36" s="462">
        <f t="shared" si="14"/>
        <v>42039972.979999997</v>
      </c>
      <c r="P36" s="461"/>
      <c r="Q36" s="461"/>
      <c r="R36" s="461"/>
      <c r="S36" s="462">
        <f t="shared" si="15"/>
        <v>0</v>
      </c>
      <c r="T36" s="461"/>
      <c r="U36" s="461"/>
      <c r="V36" s="461"/>
      <c r="W36" s="462">
        <f t="shared" si="16"/>
        <v>0</v>
      </c>
      <c r="X36" s="464">
        <f t="shared" si="17"/>
        <v>92690765.389999986</v>
      </c>
      <c r="Y36" s="464" t="e">
        <f>G36+'1 Дельта Т - СВОД'!#REF!</f>
        <v>#REF!</v>
      </c>
      <c r="Z36" s="465" t="e">
        <f t="shared" si="4"/>
        <v>#REF!</v>
      </c>
      <c r="AA36" s="470"/>
      <c r="AB36" s="466" t="e">
        <f t="shared" si="13"/>
        <v>#REF!</v>
      </c>
      <c r="AC36" s="467"/>
      <c r="AD36" s="468"/>
    </row>
    <row r="37" spans="1:30" s="469" customFormat="1" ht="27.75" customHeight="1">
      <c r="A37" s="473">
        <f>A36+1</f>
        <v>28</v>
      </c>
      <c r="B37" s="456" t="s">
        <v>26</v>
      </c>
      <c r="C37" s="499" t="s">
        <v>559</v>
      </c>
      <c r="D37" s="456">
        <v>2901307418</v>
      </c>
      <c r="E37" s="457"/>
      <c r="F37" s="458" t="s">
        <v>641</v>
      </c>
      <c r="G37" s="459">
        <v>28730586.48</v>
      </c>
      <c r="H37" s="460"/>
      <c r="I37" s="461">
        <v>28730586.48</v>
      </c>
      <c r="J37" s="461">
        <f>28394083.35+26217715.04</f>
        <v>54611798.390000001</v>
      </c>
      <c r="K37" s="462">
        <f t="shared" si="1"/>
        <v>83342384.870000005</v>
      </c>
      <c r="L37" s="461">
        <f>1573666.94+23010607.6</f>
        <v>24584274.540000003</v>
      </c>
      <c r="M37" s="461">
        <v>18891218.600000001</v>
      </c>
      <c r="N37" s="461">
        <v>11489995.289999999</v>
      </c>
      <c r="O37" s="462">
        <f t="shared" ref="O37" si="18">SUM(L37:N37)</f>
        <v>54965488.43</v>
      </c>
      <c r="P37" s="461"/>
      <c r="Q37" s="461"/>
      <c r="R37" s="461"/>
      <c r="S37" s="462">
        <f t="shared" ref="S37" si="19">SUM(P37:R37)</f>
        <v>0</v>
      </c>
      <c r="T37" s="461"/>
      <c r="U37" s="461"/>
      <c r="V37" s="461"/>
      <c r="W37" s="462">
        <f t="shared" si="16"/>
        <v>0</v>
      </c>
      <c r="X37" s="464">
        <f t="shared" si="17"/>
        <v>138307873.30000001</v>
      </c>
      <c r="Y37" s="464" t="e">
        <f>G37+'1 Дельта Т - СВОД'!#REF!</f>
        <v>#REF!</v>
      </c>
      <c r="Z37" s="465" t="e">
        <f t="shared" si="4"/>
        <v>#REF!</v>
      </c>
      <c r="AA37" s="470" t="s">
        <v>562</v>
      </c>
      <c r="AB37" s="466" t="e">
        <f t="shared" si="13"/>
        <v>#REF!</v>
      </c>
      <c r="AC37" s="467"/>
      <c r="AD37" s="468"/>
    </row>
    <row r="38" spans="1:30" s="469" customFormat="1" ht="27.75" customHeight="1">
      <c r="A38" s="473">
        <f>A37+1</f>
        <v>29</v>
      </c>
      <c r="B38" s="456" t="s">
        <v>56</v>
      </c>
      <c r="C38" s="499" t="s">
        <v>527</v>
      </c>
      <c r="D38" s="456">
        <v>2922007775</v>
      </c>
      <c r="E38" s="457"/>
      <c r="F38" s="458" t="s">
        <v>667</v>
      </c>
      <c r="G38" s="459">
        <v>442952.83</v>
      </c>
      <c r="H38" s="460"/>
      <c r="I38" s="461">
        <v>442952.83</v>
      </c>
      <c r="J38" s="461">
        <f>477774.59+460363.71</f>
        <v>938138.3</v>
      </c>
      <c r="K38" s="462">
        <f t="shared" si="1"/>
        <v>1381091.1300000001</v>
      </c>
      <c r="L38" s="461">
        <v>438600.11</v>
      </c>
      <c r="M38" s="461">
        <v>429894.67</v>
      </c>
      <c r="N38" s="461">
        <v>159260.75</v>
      </c>
      <c r="O38" s="462">
        <f>SUM(L38:N38)</f>
        <v>1027755.53</v>
      </c>
      <c r="P38" s="461"/>
      <c r="Q38" s="461"/>
      <c r="R38" s="461"/>
      <c r="S38" s="462">
        <f>SUM(P38:R38)</f>
        <v>0</v>
      </c>
      <c r="T38" s="461"/>
      <c r="U38" s="461"/>
      <c r="V38" s="461"/>
      <c r="W38" s="462">
        <f>SUM(T38:V38)</f>
        <v>0</v>
      </c>
      <c r="X38" s="464">
        <f>K38+O38+S38+W38</f>
        <v>2408846.66</v>
      </c>
      <c r="Y38" s="464" t="e">
        <f>G38+'1 Дельта Т - СВОД'!#REF!+0.03</f>
        <v>#REF!</v>
      </c>
      <c r="Z38" s="465" t="e">
        <f t="shared" si="4"/>
        <v>#REF!</v>
      </c>
      <c r="AA38" s="470"/>
      <c r="AB38" s="466" t="e">
        <f t="shared" si="13"/>
        <v>#REF!</v>
      </c>
      <c r="AC38" s="467"/>
      <c r="AD38" s="468"/>
    </row>
    <row r="39" spans="1:30" s="469" customFormat="1" ht="27.75" customHeight="1">
      <c r="A39" s="473">
        <f>A38+1</f>
        <v>30</v>
      </c>
      <c r="B39" s="456" t="s">
        <v>26</v>
      </c>
      <c r="C39" s="499" t="s">
        <v>41</v>
      </c>
      <c r="D39" s="456">
        <v>2910004882</v>
      </c>
      <c r="E39" s="457"/>
      <c r="F39" s="458" t="s">
        <v>653</v>
      </c>
      <c r="G39" s="459">
        <v>8020034.6200000001</v>
      </c>
      <c r="H39" s="460">
        <v>8020034.6200000001</v>
      </c>
      <c r="I39" s="461"/>
      <c r="J39" s="461">
        <f>8222997.02+8100241.11</f>
        <v>16323238.129999999</v>
      </c>
      <c r="K39" s="462">
        <f t="shared" si="1"/>
        <v>24343272.75</v>
      </c>
      <c r="L39" s="461">
        <v>7983152.9699999997</v>
      </c>
      <c r="M39" s="461">
        <v>7818882.6100000003</v>
      </c>
      <c r="N39" s="461">
        <v>7618322.0300000003</v>
      </c>
      <c r="O39" s="462">
        <f t="shared" si="14"/>
        <v>23420357.609999999</v>
      </c>
      <c r="P39" s="461"/>
      <c r="Q39" s="461"/>
      <c r="R39" s="461"/>
      <c r="S39" s="462">
        <f t="shared" si="15"/>
        <v>0</v>
      </c>
      <c r="T39" s="461"/>
      <c r="U39" s="461"/>
      <c r="V39" s="461"/>
      <c r="W39" s="462">
        <f t="shared" si="16"/>
        <v>0</v>
      </c>
      <c r="X39" s="464">
        <f t="shared" si="17"/>
        <v>47763630.359999999</v>
      </c>
      <c r="Y39" s="464" t="e">
        <f>G39+'1 Дельта Т - СВОД'!#REF!-0.01</f>
        <v>#REF!</v>
      </c>
      <c r="Z39" s="465" t="e">
        <f t="shared" si="4"/>
        <v>#REF!</v>
      </c>
      <c r="AA39" s="470"/>
      <c r="AB39" s="466" t="e">
        <f t="shared" si="13"/>
        <v>#REF!</v>
      </c>
      <c r="AC39" s="467"/>
      <c r="AD39" s="468"/>
    </row>
    <row r="40" spans="1:30" s="469" customFormat="1" ht="27.75" customHeight="1">
      <c r="A40" s="473">
        <f t="shared" si="9"/>
        <v>31</v>
      </c>
      <c r="B40" s="456" t="s">
        <v>26</v>
      </c>
      <c r="C40" s="499" t="s">
        <v>169</v>
      </c>
      <c r="D40" s="456">
        <v>2907016905</v>
      </c>
      <c r="E40" s="457"/>
      <c r="F40" s="458" t="s">
        <v>640</v>
      </c>
      <c r="G40" s="459">
        <v>149581.17000000001</v>
      </c>
      <c r="H40" s="460"/>
      <c r="I40" s="461">
        <v>149581.17000000001</v>
      </c>
      <c r="J40" s="461">
        <f>153471.66+127023.14</f>
        <v>280494.8</v>
      </c>
      <c r="K40" s="462">
        <f t="shared" si="1"/>
        <v>430075.97</v>
      </c>
      <c r="L40" s="461">
        <v>116844.63</v>
      </c>
      <c r="M40" s="461">
        <v>89146.58</v>
      </c>
      <c r="N40" s="461">
        <v>61852.03</v>
      </c>
      <c r="O40" s="462">
        <f t="shared" si="14"/>
        <v>267843.24</v>
      </c>
      <c r="P40" s="461"/>
      <c r="Q40" s="461"/>
      <c r="R40" s="461"/>
      <c r="S40" s="462">
        <f t="shared" si="15"/>
        <v>0</v>
      </c>
      <c r="T40" s="461"/>
      <c r="U40" s="461"/>
      <c r="V40" s="461"/>
      <c r="W40" s="462">
        <f t="shared" si="16"/>
        <v>0</v>
      </c>
      <c r="X40" s="464">
        <f t="shared" si="17"/>
        <v>697919.21</v>
      </c>
      <c r="Y40" s="464" t="e">
        <f>G40+'1 Дельта Т - СВОД'!#REF!-0.01</f>
        <v>#REF!</v>
      </c>
      <c r="Z40" s="465" t="e">
        <f t="shared" si="4"/>
        <v>#REF!</v>
      </c>
      <c r="AA40" s="470"/>
      <c r="AB40" s="466" t="e">
        <f t="shared" si="13"/>
        <v>#REF!</v>
      </c>
      <c r="AC40" s="467"/>
      <c r="AD40" s="468"/>
    </row>
    <row r="41" spans="1:30" s="469" customFormat="1" ht="27.75" customHeight="1">
      <c r="A41" s="473">
        <f t="shared" si="9"/>
        <v>32</v>
      </c>
      <c r="B41" s="456" t="s">
        <v>56</v>
      </c>
      <c r="C41" s="499" t="s">
        <v>392</v>
      </c>
      <c r="D41" s="456">
        <v>2918012331</v>
      </c>
      <c r="E41" s="457"/>
      <c r="F41" s="458" t="s">
        <v>646</v>
      </c>
      <c r="G41" s="459">
        <v>3932238.46</v>
      </c>
      <c r="H41" s="461"/>
      <c r="I41" s="461">
        <v>3932238.46</v>
      </c>
      <c r="J41" s="461">
        <f>4019188.87+3937976.39</f>
        <v>7957165.2599999998</v>
      </c>
      <c r="K41" s="462">
        <f t="shared" si="1"/>
        <v>11889403.719999999</v>
      </c>
      <c r="L41" s="461">
        <v>4085558.51</v>
      </c>
      <c r="M41" s="461">
        <v>3961342.39</v>
      </c>
      <c r="N41" s="461">
        <v>403171.36</v>
      </c>
      <c r="O41" s="462">
        <f t="shared" si="14"/>
        <v>8450072.2599999998</v>
      </c>
      <c r="P41" s="461"/>
      <c r="Q41" s="461"/>
      <c r="R41" s="461"/>
      <c r="S41" s="462">
        <f t="shared" si="15"/>
        <v>0</v>
      </c>
      <c r="T41" s="461"/>
      <c r="U41" s="461"/>
      <c r="V41" s="461"/>
      <c r="W41" s="462">
        <f t="shared" si="16"/>
        <v>0</v>
      </c>
      <c r="X41" s="464">
        <f t="shared" si="17"/>
        <v>20339475.979999997</v>
      </c>
      <c r="Y41" s="464" t="e">
        <f>G41+'1 Дельта Т - СВОД'!#REF!</f>
        <v>#REF!</v>
      </c>
      <c r="Z41" s="465" t="e">
        <f t="shared" si="4"/>
        <v>#REF!</v>
      </c>
      <c r="AA41" s="483" t="s">
        <v>556</v>
      </c>
      <c r="AB41" s="466" t="e">
        <f t="shared" si="13"/>
        <v>#REF!</v>
      </c>
      <c r="AC41" s="467"/>
      <c r="AD41" s="468"/>
    </row>
    <row r="42" spans="1:30" s="469" customFormat="1" ht="27.75" customHeight="1">
      <c r="A42" s="473">
        <f t="shared" si="9"/>
        <v>33</v>
      </c>
      <c r="B42" s="456" t="s">
        <v>26</v>
      </c>
      <c r="C42" s="499" t="s">
        <v>692</v>
      </c>
      <c r="D42" s="456" t="s">
        <v>989</v>
      </c>
      <c r="E42" s="457"/>
      <c r="F42" s="458" t="s">
        <v>693</v>
      </c>
      <c r="G42" s="459">
        <v>0</v>
      </c>
      <c r="H42" s="486"/>
      <c r="I42" s="461"/>
      <c r="J42" s="461">
        <f>6038285.79+6876987.89</f>
        <v>12915273.68</v>
      </c>
      <c r="K42" s="462">
        <f>SUM(H42:J42)</f>
        <v>12915273.68</v>
      </c>
      <c r="L42" s="461">
        <v>5919047.2699999996</v>
      </c>
      <c r="M42" s="461">
        <v>5503111.4500000002</v>
      </c>
      <c r="N42" s="461">
        <v>3073228.07</v>
      </c>
      <c r="O42" s="462">
        <f>SUM(L42:N42)</f>
        <v>14495386.789999999</v>
      </c>
      <c r="P42" s="461"/>
      <c r="Q42" s="461"/>
      <c r="R42" s="461"/>
      <c r="S42" s="462">
        <f>SUM(P42:R42)</f>
        <v>0</v>
      </c>
      <c r="T42" s="461"/>
      <c r="U42" s="461"/>
      <c r="V42" s="461"/>
      <c r="W42" s="462">
        <f>SUM(T42:V42)</f>
        <v>0</v>
      </c>
      <c r="X42" s="464">
        <f>K42+O42+S42+W42</f>
        <v>27410660.469999999</v>
      </c>
      <c r="Y42" s="464" t="e">
        <f>G42+'1 Дельта Т - СВОД'!#REF!</f>
        <v>#REF!</v>
      </c>
      <c r="Z42" s="465" t="e">
        <f t="shared" si="4"/>
        <v>#REF!</v>
      </c>
      <c r="AA42" s="483" t="s">
        <v>694</v>
      </c>
      <c r="AB42" s="466" t="e">
        <f t="shared" si="13"/>
        <v>#REF!</v>
      </c>
      <c r="AC42" s="467"/>
      <c r="AD42" s="468"/>
    </row>
    <row r="43" spans="1:30" s="469" customFormat="1" ht="27.75" customHeight="1">
      <c r="A43" s="473">
        <f t="shared" si="9"/>
        <v>34</v>
      </c>
      <c r="B43" s="456" t="s">
        <v>26</v>
      </c>
      <c r="C43" s="499" t="s">
        <v>44</v>
      </c>
      <c r="D43" s="456" t="s">
        <v>45</v>
      </c>
      <c r="E43" s="457"/>
      <c r="F43" s="458" t="s">
        <v>691</v>
      </c>
      <c r="G43" s="459">
        <v>144335.87</v>
      </c>
      <c r="H43" s="487"/>
      <c r="I43" s="461"/>
      <c r="J43" s="461">
        <f>144335.87+144307.98+144307.98</f>
        <v>432951.82999999996</v>
      </c>
      <c r="K43" s="462">
        <f t="shared" si="1"/>
        <v>432951.82999999996</v>
      </c>
      <c r="L43" s="461">
        <v>144307.98000000001</v>
      </c>
      <c r="M43" s="461">
        <v>144307.98000000001</v>
      </c>
      <c r="N43" s="461">
        <v>72084.28</v>
      </c>
      <c r="O43" s="462">
        <f t="shared" si="14"/>
        <v>360700.24</v>
      </c>
      <c r="P43" s="461"/>
      <c r="Q43" s="461"/>
      <c r="R43" s="461"/>
      <c r="S43" s="462">
        <f t="shared" si="15"/>
        <v>0</v>
      </c>
      <c r="T43" s="461"/>
      <c r="U43" s="461"/>
      <c r="V43" s="461"/>
      <c r="W43" s="462">
        <f t="shared" si="16"/>
        <v>0</v>
      </c>
      <c r="X43" s="464">
        <f t="shared" si="17"/>
        <v>793652.07</v>
      </c>
      <c r="Y43" s="464" t="e">
        <f>G43+'1 Дельта Т - СВОД'!#REF!</f>
        <v>#REF!</v>
      </c>
      <c r="Z43" s="465" t="e">
        <f t="shared" si="4"/>
        <v>#REF!</v>
      </c>
      <c r="AA43" s="470"/>
      <c r="AB43" s="466" t="e">
        <f t="shared" si="13"/>
        <v>#REF!</v>
      </c>
      <c r="AC43" s="467"/>
      <c r="AD43" s="468"/>
    </row>
    <row r="44" spans="1:30" s="94" customFormat="1" ht="27.75" customHeight="1">
      <c r="A44" s="473">
        <f t="shared" si="9"/>
        <v>35</v>
      </c>
      <c r="B44" s="471" t="s">
        <v>26</v>
      </c>
      <c r="C44" s="500" t="s">
        <v>38</v>
      </c>
      <c r="D44" s="471">
        <v>2901252021</v>
      </c>
      <c r="E44" s="457"/>
      <c r="F44" s="458" t="s">
        <v>1174</v>
      </c>
      <c r="G44" s="459">
        <v>1537862.53</v>
      </c>
      <c r="H44" s="460"/>
      <c r="I44" s="461">
        <v>1537862.53</v>
      </c>
      <c r="J44" s="461">
        <f>1619834.4+1410912.33</f>
        <v>3030746.73</v>
      </c>
      <c r="K44" s="462">
        <f t="shared" si="1"/>
        <v>4568609.26</v>
      </c>
      <c r="L44" s="461">
        <v>1479431.87</v>
      </c>
      <c r="M44" s="461">
        <v>1305494.68</v>
      </c>
      <c r="N44" s="461">
        <v>763792.05</v>
      </c>
      <c r="O44" s="462">
        <f t="shared" si="14"/>
        <v>3548718.5999999996</v>
      </c>
      <c r="P44" s="461"/>
      <c r="Q44" s="461"/>
      <c r="R44" s="461"/>
      <c r="S44" s="462">
        <f t="shared" si="15"/>
        <v>0</v>
      </c>
      <c r="T44" s="461"/>
      <c r="U44" s="461"/>
      <c r="V44" s="461"/>
      <c r="W44" s="462">
        <f t="shared" si="16"/>
        <v>0</v>
      </c>
      <c r="X44" s="464">
        <f t="shared" si="17"/>
        <v>8117327.8599999994</v>
      </c>
      <c r="Y44" s="464" t="e">
        <f>G44+'1 Дельта Т - СВОД'!#REF!+0.02</f>
        <v>#REF!</v>
      </c>
      <c r="Z44" s="465" t="e">
        <f t="shared" si="4"/>
        <v>#REF!</v>
      </c>
      <c r="AA44" s="472"/>
      <c r="AB44" s="466" t="e">
        <f t="shared" si="13"/>
        <v>#REF!</v>
      </c>
      <c r="AC44" s="467"/>
      <c r="AD44" s="468"/>
    </row>
    <row r="45" spans="1:30" s="469" customFormat="1" ht="27.75" customHeight="1">
      <c r="A45" s="473">
        <f t="shared" si="9"/>
        <v>36</v>
      </c>
      <c r="B45" s="456" t="s">
        <v>26</v>
      </c>
      <c r="C45" s="499" t="s">
        <v>136</v>
      </c>
      <c r="D45" s="456">
        <v>7736186950</v>
      </c>
      <c r="E45" s="457"/>
      <c r="F45" s="458" t="s">
        <v>1208</v>
      </c>
      <c r="G45" s="459">
        <v>476835.88</v>
      </c>
      <c r="H45" s="460"/>
      <c r="I45" s="460"/>
      <c r="J45" s="461">
        <v>476835.88</v>
      </c>
      <c r="K45" s="462">
        <f t="shared" si="1"/>
        <v>476835.88</v>
      </c>
      <c r="L45" s="461">
        <v>1556878.73</v>
      </c>
      <c r="M45" s="461">
        <v>455950.79</v>
      </c>
      <c r="N45" s="461">
        <v>284549.37</v>
      </c>
      <c r="O45" s="462">
        <f t="shared" si="14"/>
        <v>2297378.89</v>
      </c>
      <c r="P45" s="461"/>
      <c r="Q45" s="461"/>
      <c r="R45" s="461"/>
      <c r="S45" s="462">
        <f t="shared" si="15"/>
        <v>0</v>
      </c>
      <c r="T45" s="461"/>
      <c r="U45" s="461"/>
      <c r="V45" s="461"/>
      <c r="W45" s="462">
        <f t="shared" si="16"/>
        <v>0</v>
      </c>
      <c r="X45" s="464">
        <f t="shared" si="17"/>
        <v>2774214.77</v>
      </c>
      <c r="Y45" s="464" t="e">
        <f>G45+'1 Дельта Т - СВОД'!#REF!</f>
        <v>#REF!</v>
      </c>
      <c r="Z45" s="465" t="e">
        <f>Y45-X45</f>
        <v>#REF!</v>
      </c>
      <c r="AA45" s="470"/>
      <c r="AB45" s="466" t="e">
        <f t="shared" si="13"/>
        <v>#REF!</v>
      </c>
      <c r="AC45" s="467"/>
      <c r="AD45" s="468"/>
    </row>
    <row r="46" spans="1:30" s="469" customFormat="1" ht="27.75" customHeight="1">
      <c r="A46" s="473">
        <f t="shared" si="9"/>
        <v>37</v>
      </c>
      <c r="B46" s="456" t="s">
        <v>26</v>
      </c>
      <c r="C46" s="499" t="s">
        <v>580</v>
      </c>
      <c r="D46" s="456">
        <v>2907018878</v>
      </c>
      <c r="E46" s="457"/>
      <c r="F46" s="458"/>
      <c r="G46" s="459">
        <v>5524479.2000000002</v>
      </c>
      <c r="H46" s="460">
        <v>5524479.2000000002</v>
      </c>
      <c r="I46" s="460"/>
      <c r="J46" s="461">
        <f>2129468+1750718.54</f>
        <v>3880186.54</v>
      </c>
      <c r="K46" s="462">
        <f t="shared" si="1"/>
        <v>9404665.7400000002</v>
      </c>
      <c r="L46" s="461">
        <v>2144951.48</v>
      </c>
      <c r="M46" s="461">
        <v>1669448.12</v>
      </c>
      <c r="N46" s="461">
        <v>677271.89</v>
      </c>
      <c r="O46" s="462">
        <f t="shared" si="14"/>
        <v>4491671.49</v>
      </c>
      <c r="P46" s="461"/>
      <c r="Q46" s="461"/>
      <c r="R46" s="461"/>
      <c r="S46" s="462"/>
      <c r="T46" s="461"/>
      <c r="U46" s="461"/>
      <c r="V46" s="461"/>
      <c r="W46" s="462">
        <f>SUM(T46:V46)</f>
        <v>0</v>
      </c>
      <c r="X46" s="464">
        <f>K46+O46+S46+W46</f>
        <v>13896337.23</v>
      </c>
      <c r="Y46" s="464" t="e">
        <f>G46+'1 Дельта Т - СВОД'!#REF!+0.01</f>
        <v>#REF!</v>
      </c>
      <c r="Z46" s="465" t="e">
        <f t="shared" ref="Z46:Z55" si="20">Y46-X46</f>
        <v>#REF!</v>
      </c>
      <c r="AA46" s="470"/>
      <c r="AB46" s="466" t="e">
        <f t="shared" si="13"/>
        <v>#REF!</v>
      </c>
      <c r="AC46" s="467"/>
      <c r="AD46" s="468"/>
    </row>
    <row r="47" spans="1:30" s="94" customFormat="1" ht="27.75" customHeight="1">
      <c r="A47" s="473">
        <f t="shared" si="9"/>
        <v>38</v>
      </c>
      <c r="B47" s="471" t="s">
        <v>26</v>
      </c>
      <c r="C47" s="500" t="s">
        <v>243</v>
      </c>
      <c r="D47" s="471">
        <v>2922008546</v>
      </c>
      <c r="E47" s="457"/>
      <c r="F47" s="458"/>
      <c r="G47" s="459">
        <v>24319350.399999999</v>
      </c>
      <c r="H47" s="460">
        <v>24319350.399999999</v>
      </c>
      <c r="I47" s="461"/>
      <c r="J47" s="461">
        <f>26264715.74+23822647.44</f>
        <v>50087363.18</v>
      </c>
      <c r="K47" s="462">
        <f t="shared" si="1"/>
        <v>74406713.579999998</v>
      </c>
      <c r="L47" s="461">
        <v>23838288.190000001</v>
      </c>
      <c r="M47" s="461">
        <v>22718886.940000001</v>
      </c>
      <c r="N47" s="461">
        <v>12303354.93</v>
      </c>
      <c r="O47" s="462">
        <f t="shared" si="14"/>
        <v>58860530.060000002</v>
      </c>
      <c r="P47" s="461"/>
      <c r="Q47" s="461"/>
      <c r="R47" s="461"/>
      <c r="S47" s="462">
        <f t="shared" si="15"/>
        <v>0</v>
      </c>
      <c r="T47" s="461"/>
      <c r="U47" s="461"/>
      <c r="V47" s="461"/>
      <c r="W47" s="462">
        <f t="shared" si="16"/>
        <v>0</v>
      </c>
      <c r="X47" s="464">
        <f t="shared" si="17"/>
        <v>133267243.64</v>
      </c>
      <c r="Y47" s="464" t="e">
        <f>G47+'1 Дельта Т - СВОД'!#REF!</f>
        <v>#REF!</v>
      </c>
      <c r="Z47" s="465" t="e">
        <f t="shared" si="20"/>
        <v>#REF!</v>
      </c>
      <c r="AA47" s="472" t="s">
        <v>1210</v>
      </c>
      <c r="AB47" s="466" t="e">
        <f t="shared" si="13"/>
        <v>#REF!</v>
      </c>
      <c r="AC47" s="467"/>
      <c r="AD47" s="468"/>
    </row>
    <row r="48" spans="1:30" s="94" customFormat="1" ht="27.75" customHeight="1">
      <c r="A48" s="473">
        <f t="shared" si="9"/>
        <v>39</v>
      </c>
      <c r="B48" s="471" t="s">
        <v>26</v>
      </c>
      <c r="C48" s="500" t="s">
        <v>47</v>
      </c>
      <c r="D48" s="471" t="s">
        <v>48</v>
      </c>
      <c r="E48" s="457"/>
      <c r="F48" s="458"/>
      <c r="G48" s="459">
        <v>5436952.5499999998</v>
      </c>
      <c r="H48" s="460"/>
      <c r="I48" s="461">
        <v>5436952.5499999998</v>
      </c>
      <c r="J48" s="461">
        <f>7435705.22+6741923.35</f>
        <v>14177628.57</v>
      </c>
      <c r="K48" s="462">
        <f t="shared" si="1"/>
        <v>19614581.120000001</v>
      </c>
      <c r="L48" s="461">
        <v>6682621.0599999996</v>
      </c>
      <c r="M48" s="461">
        <v>6081409.4299999997</v>
      </c>
      <c r="N48" s="461">
        <v>4902883.84</v>
      </c>
      <c r="O48" s="462">
        <f t="shared" si="14"/>
        <v>17666914.329999998</v>
      </c>
      <c r="P48" s="461"/>
      <c r="Q48" s="461"/>
      <c r="R48" s="461"/>
      <c r="S48" s="462">
        <f t="shared" si="15"/>
        <v>0</v>
      </c>
      <c r="T48" s="461"/>
      <c r="U48" s="461"/>
      <c r="V48" s="461"/>
      <c r="W48" s="462">
        <f t="shared" si="16"/>
        <v>0</v>
      </c>
      <c r="X48" s="464">
        <f t="shared" si="17"/>
        <v>37281495.450000003</v>
      </c>
      <c r="Y48" s="464" t="e">
        <f>G48+'1 Дельта Т - СВОД'!#REF!</f>
        <v>#REF!</v>
      </c>
      <c r="Z48" s="465" t="e">
        <f t="shared" si="20"/>
        <v>#REF!</v>
      </c>
      <c r="AA48" s="472" t="s">
        <v>363</v>
      </c>
      <c r="AB48" s="466" t="e">
        <f t="shared" si="13"/>
        <v>#REF!</v>
      </c>
      <c r="AC48" s="467"/>
      <c r="AD48" s="468"/>
    </row>
    <row r="49" spans="1:30" s="469" customFormat="1" ht="27.75" customHeight="1">
      <c r="A49" s="473">
        <f t="shared" si="9"/>
        <v>40</v>
      </c>
      <c r="B49" s="456" t="s">
        <v>26</v>
      </c>
      <c r="C49" s="499" t="s">
        <v>245</v>
      </c>
      <c r="D49" s="456" t="s">
        <v>46</v>
      </c>
      <c r="E49" s="457"/>
      <c r="F49" s="458" t="s">
        <v>677</v>
      </c>
      <c r="G49" s="459">
        <v>434390.71</v>
      </c>
      <c r="H49" s="460"/>
      <c r="I49" s="461">
        <v>434390.71</v>
      </c>
      <c r="J49" s="461">
        <f>434390.71+434390.71</f>
        <v>868781.42</v>
      </c>
      <c r="K49" s="462">
        <f t="shared" si="1"/>
        <v>1303172.1300000001</v>
      </c>
      <c r="L49" s="461">
        <v>434390.71</v>
      </c>
      <c r="M49" s="461">
        <v>434390.71</v>
      </c>
      <c r="N49" s="461">
        <v>434390.71</v>
      </c>
      <c r="O49" s="462">
        <f t="shared" si="14"/>
        <v>1303172.1300000001</v>
      </c>
      <c r="P49" s="461"/>
      <c r="Q49" s="461"/>
      <c r="R49" s="461"/>
      <c r="S49" s="462">
        <f t="shared" si="15"/>
        <v>0</v>
      </c>
      <c r="T49" s="461"/>
      <c r="U49" s="461"/>
      <c r="V49" s="461"/>
      <c r="W49" s="488">
        <f t="shared" si="16"/>
        <v>0</v>
      </c>
      <c r="X49" s="464">
        <f t="shared" si="17"/>
        <v>2606344.2600000002</v>
      </c>
      <c r="Y49" s="464" t="e">
        <f>G49+'1 Дельта Т - СВОД'!#REF!</f>
        <v>#REF!</v>
      </c>
      <c r="Z49" s="465" t="e">
        <f t="shared" si="20"/>
        <v>#REF!</v>
      </c>
      <c r="AA49" s="470"/>
      <c r="AB49" s="466" t="e">
        <f t="shared" si="13"/>
        <v>#REF!</v>
      </c>
      <c r="AC49" s="467"/>
      <c r="AD49" s="468"/>
    </row>
    <row r="50" spans="1:30" s="469" customFormat="1" ht="27.75" customHeight="1">
      <c r="A50" s="473">
        <f t="shared" si="9"/>
        <v>41</v>
      </c>
      <c r="B50" s="456" t="s">
        <v>26</v>
      </c>
      <c r="C50" s="499" t="s">
        <v>49</v>
      </c>
      <c r="D50" s="456">
        <v>2922007704</v>
      </c>
      <c r="E50" s="457"/>
      <c r="F50" s="458" t="s">
        <v>681</v>
      </c>
      <c r="G50" s="489">
        <v>177288.88</v>
      </c>
      <c r="H50" s="486"/>
      <c r="I50" s="461">
        <v>177288.88</v>
      </c>
      <c r="J50" s="461">
        <f>170359.91+176994.03</f>
        <v>347353.94</v>
      </c>
      <c r="K50" s="462">
        <f t="shared" si="1"/>
        <v>524642.82000000007</v>
      </c>
      <c r="L50" s="461">
        <v>145297.66</v>
      </c>
      <c r="M50" s="461">
        <v>127311.81</v>
      </c>
      <c r="N50" s="461">
        <v>78197.17</v>
      </c>
      <c r="O50" s="462">
        <f t="shared" si="14"/>
        <v>350806.63999999996</v>
      </c>
      <c r="P50" s="461"/>
      <c r="Q50" s="461"/>
      <c r="R50" s="461"/>
      <c r="S50" s="462">
        <f t="shared" si="15"/>
        <v>0</v>
      </c>
      <c r="T50" s="461"/>
      <c r="U50" s="461"/>
      <c r="V50" s="461"/>
      <c r="W50" s="463">
        <f t="shared" si="16"/>
        <v>0</v>
      </c>
      <c r="X50" s="464">
        <f t="shared" si="17"/>
        <v>875449.46</v>
      </c>
      <c r="Y50" s="464" t="e">
        <f>G50+'1 Дельта Т - СВОД'!#REF!+0.01</f>
        <v>#REF!</v>
      </c>
      <c r="Z50" s="465" t="e">
        <f t="shared" si="20"/>
        <v>#REF!</v>
      </c>
      <c r="AA50" s="470"/>
      <c r="AB50" s="466" t="e">
        <f t="shared" si="13"/>
        <v>#REF!</v>
      </c>
      <c r="AC50" s="467"/>
      <c r="AD50" s="468"/>
    </row>
    <row r="51" spans="1:30" s="469" customFormat="1" ht="27.75" customHeight="1">
      <c r="A51" s="473">
        <f t="shared" si="9"/>
        <v>42</v>
      </c>
      <c r="B51" s="456" t="s">
        <v>26</v>
      </c>
      <c r="C51" s="499" t="s">
        <v>54</v>
      </c>
      <c r="D51" s="456" t="s">
        <v>55</v>
      </c>
      <c r="E51" s="457"/>
      <c r="F51" s="458"/>
      <c r="G51" s="459">
        <v>970260.63</v>
      </c>
      <c r="H51" s="460"/>
      <c r="I51" s="461">
        <v>970260.63</v>
      </c>
      <c r="J51" s="461">
        <f>1002170.79+1037191.89</f>
        <v>2039362.6800000002</v>
      </c>
      <c r="K51" s="462">
        <f t="shared" si="1"/>
        <v>3009623.31</v>
      </c>
      <c r="L51" s="461">
        <v>985965.35</v>
      </c>
      <c r="M51" s="461">
        <v>965285.11</v>
      </c>
      <c r="N51" s="461">
        <v>431514.33</v>
      </c>
      <c r="O51" s="463">
        <f t="shared" si="14"/>
        <v>2382764.79</v>
      </c>
      <c r="P51" s="461"/>
      <c r="Q51" s="461"/>
      <c r="R51" s="461"/>
      <c r="S51" s="463">
        <f t="shared" si="15"/>
        <v>0</v>
      </c>
      <c r="T51" s="461"/>
      <c r="U51" s="461"/>
      <c r="V51" s="461"/>
      <c r="W51" s="462">
        <f t="shared" si="16"/>
        <v>0</v>
      </c>
      <c r="X51" s="464">
        <f t="shared" si="17"/>
        <v>5392388.0999999996</v>
      </c>
      <c r="Y51" s="464" t="e">
        <f>G51+'1 Дельта Т - СВОД'!#REF!+0.01</f>
        <v>#REF!</v>
      </c>
      <c r="Z51" s="465" t="e">
        <f t="shared" si="20"/>
        <v>#REF!</v>
      </c>
      <c r="AA51" s="470" t="s">
        <v>441</v>
      </c>
      <c r="AB51" s="466" t="e">
        <f t="shared" si="13"/>
        <v>#REF!</v>
      </c>
      <c r="AC51" s="467"/>
      <c r="AD51" s="468"/>
    </row>
    <row r="52" spans="1:30" s="94" customFormat="1" ht="27.75" customHeight="1">
      <c r="A52" s="473">
        <f t="shared" si="9"/>
        <v>43</v>
      </c>
      <c r="B52" s="471" t="s">
        <v>26</v>
      </c>
      <c r="C52" s="500" t="s">
        <v>139</v>
      </c>
      <c r="D52" s="471">
        <v>2923007175</v>
      </c>
      <c r="E52" s="457"/>
      <c r="F52" s="458" t="s">
        <v>672</v>
      </c>
      <c r="G52" s="459">
        <v>5058554.51</v>
      </c>
      <c r="H52" s="460"/>
      <c r="I52" s="461">
        <v>5058554.51</v>
      </c>
      <c r="J52" s="461">
        <f>5473665.88+5208372.79</f>
        <v>10682038.67</v>
      </c>
      <c r="K52" s="462">
        <f t="shared" si="1"/>
        <v>15740593.18</v>
      </c>
      <c r="L52" s="461">
        <v>4564760.55</v>
      </c>
      <c r="M52" s="461">
        <v>4595274.59</v>
      </c>
      <c r="N52" s="461">
        <v>3054804.98</v>
      </c>
      <c r="O52" s="462">
        <f t="shared" si="14"/>
        <v>12214840.120000001</v>
      </c>
      <c r="P52" s="461"/>
      <c r="Q52" s="461"/>
      <c r="R52" s="461"/>
      <c r="S52" s="462">
        <f t="shared" si="15"/>
        <v>0</v>
      </c>
      <c r="T52" s="461"/>
      <c r="U52" s="461"/>
      <c r="V52" s="461"/>
      <c r="W52" s="462">
        <f t="shared" si="16"/>
        <v>0</v>
      </c>
      <c r="X52" s="464">
        <f t="shared" si="17"/>
        <v>27955433.300000001</v>
      </c>
      <c r="Y52" s="464" t="e">
        <f>G52+'1 Дельта Т - СВОД'!#REF!-0.01</f>
        <v>#REF!</v>
      </c>
      <c r="Z52" s="465" t="e">
        <f t="shared" si="20"/>
        <v>#REF!</v>
      </c>
      <c r="AA52" s="472"/>
      <c r="AB52" s="466" t="e">
        <f t="shared" si="13"/>
        <v>#REF!</v>
      </c>
      <c r="AC52" s="467"/>
      <c r="AD52" s="468"/>
    </row>
    <row r="53" spans="1:30" s="469" customFormat="1" ht="27.75" customHeight="1">
      <c r="A53" s="473">
        <f t="shared" si="9"/>
        <v>44</v>
      </c>
      <c r="B53" s="456" t="s">
        <v>26</v>
      </c>
      <c r="C53" s="499" t="s">
        <v>57</v>
      </c>
      <c r="D53" s="456">
        <v>2912006268</v>
      </c>
      <c r="E53" s="457"/>
      <c r="F53" s="458"/>
      <c r="G53" s="459">
        <v>151731.24</v>
      </c>
      <c r="H53" s="460"/>
      <c r="I53" s="461">
        <v>151731.24</v>
      </c>
      <c r="J53" s="461">
        <v>319137.12</v>
      </c>
      <c r="K53" s="462">
        <f t="shared" si="1"/>
        <v>470868.36</v>
      </c>
      <c r="L53" s="461">
        <v>136689.5</v>
      </c>
      <c r="M53" s="461">
        <v>128981.29</v>
      </c>
      <c r="N53" s="461">
        <v>81883.61</v>
      </c>
      <c r="O53" s="462">
        <f t="shared" si="14"/>
        <v>347554.39999999997</v>
      </c>
      <c r="P53" s="461"/>
      <c r="Q53" s="461"/>
      <c r="R53" s="461"/>
      <c r="S53" s="462">
        <f t="shared" si="15"/>
        <v>0</v>
      </c>
      <c r="T53" s="461"/>
      <c r="U53" s="461"/>
      <c r="V53" s="461"/>
      <c r="W53" s="462">
        <f t="shared" si="16"/>
        <v>0</v>
      </c>
      <c r="X53" s="464">
        <f t="shared" si="17"/>
        <v>818422.76</v>
      </c>
      <c r="Y53" s="464" t="e">
        <f>G53+'1 Дельта Т - СВОД'!#REF!</f>
        <v>#REF!</v>
      </c>
      <c r="Z53" s="465" t="e">
        <f t="shared" si="20"/>
        <v>#REF!</v>
      </c>
      <c r="AA53" s="470"/>
      <c r="AB53" s="466" t="e">
        <f t="shared" si="13"/>
        <v>#REF!</v>
      </c>
      <c r="AC53" s="467"/>
      <c r="AD53" s="468"/>
    </row>
    <row r="54" spans="1:30" s="469" customFormat="1" ht="27.75" customHeight="1">
      <c r="A54" s="473">
        <f t="shared" si="9"/>
        <v>45</v>
      </c>
      <c r="B54" s="456" t="s">
        <v>26</v>
      </c>
      <c r="C54" s="499" t="s">
        <v>195</v>
      </c>
      <c r="D54" s="456">
        <v>2911005649</v>
      </c>
      <c r="E54" s="457"/>
      <c r="F54" s="458" t="s">
        <v>642</v>
      </c>
      <c r="G54" s="482">
        <v>8697825.4700000007</v>
      </c>
      <c r="H54" s="461"/>
      <c r="I54" s="461">
        <v>8697825.4700000007</v>
      </c>
      <c r="J54" s="461">
        <f>8879470.53+8803290.24</f>
        <v>17682760.77</v>
      </c>
      <c r="K54" s="462">
        <f t="shared" si="1"/>
        <v>26380586.240000002</v>
      </c>
      <c r="L54" s="461">
        <v>7859168.9299999997</v>
      </c>
      <c r="M54" s="461">
        <v>6776375.0700000003</v>
      </c>
      <c r="N54" s="461">
        <v>3471032.64</v>
      </c>
      <c r="O54" s="462">
        <f t="shared" si="14"/>
        <v>18106576.640000001</v>
      </c>
      <c r="P54" s="461"/>
      <c r="Q54" s="461"/>
      <c r="R54" s="461"/>
      <c r="S54" s="462">
        <f t="shared" si="15"/>
        <v>0</v>
      </c>
      <c r="T54" s="461"/>
      <c r="U54" s="461"/>
      <c r="V54" s="461"/>
      <c r="W54" s="462">
        <f t="shared" si="16"/>
        <v>0</v>
      </c>
      <c r="X54" s="464">
        <f t="shared" si="17"/>
        <v>44487162.880000003</v>
      </c>
      <c r="Y54" s="464" t="e">
        <f>G54+'1 Дельта Т - СВОД'!#REF!-0.01</f>
        <v>#REF!</v>
      </c>
      <c r="Z54" s="465" t="e">
        <f t="shared" si="20"/>
        <v>#REF!</v>
      </c>
      <c r="AA54" s="470"/>
      <c r="AB54" s="466" t="e">
        <f t="shared" si="13"/>
        <v>#REF!</v>
      </c>
      <c r="AC54" s="467"/>
      <c r="AD54" s="468"/>
    </row>
    <row r="55" spans="1:30" s="469" customFormat="1" ht="27.75" customHeight="1">
      <c r="A55" s="473">
        <f t="shared" si="9"/>
        <v>46</v>
      </c>
      <c r="B55" s="456" t="s">
        <v>26</v>
      </c>
      <c r="C55" s="499" t="s">
        <v>196</v>
      </c>
      <c r="D55" s="456">
        <v>2914003625</v>
      </c>
      <c r="E55" s="457"/>
      <c r="F55" s="458" t="s">
        <v>654</v>
      </c>
      <c r="G55" s="482">
        <v>5531178.9199999999</v>
      </c>
      <c r="H55" s="461">
        <v>5531178.9199999999</v>
      </c>
      <c r="I55" s="461"/>
      <c r="J55" s="461">
        <f>5910764.18+5826561.98</f>
        <v>11737326.16</v>
      </c>
      <c r="K55" s="462">
        <f t="shared" si="1"/>
        <v>17268505.079999998</v>
      </c>
      <c r="L55" s="461">
        <v>5013256.93</v>
      </c>
      <c r="M55" s="461">
        <v>4824436.29</v>
      </c>
      <c r="N55" s="461">
        <v>2114806.7000000002</v>
      </c>
      <c r="O55" s="462">
        <f t="shared" si="14"/>
        <v>11952499.919999998</v>
      </c>
      <c r="P55" s="461"/>
      <c r="Q55" s="461"/>
      <c r="R55" s="461"/>
      <c r="S55" s="462">
        <f t="shared" si="15"/>
        <v>0</v>
      </c>
      <c r="T55" s="461"/>
      <c r="U55" s="461"/>
      <c r="V55" s="461"/>
      <c r="W55" s="462">
        <f t="shared" si="16"/>
        <v>0</v>
      </c>
      <c r="X55" s="464">
        <f t="shared" si="17"/>
        <v>29221004.999999996</v>
      </c>
      <c r="Y55" s="464" t="e">
        <f>G55+'1 Дельта Т - СВОД'!#REF!+0.01</f>
        <v>#REF!</v>
      </c>
      <c r="Z55" s="465" t="e">
        <f t="shared" si="20"/>
        <v>#REF!</v>
      </c>
      <c r="AA55" s="470"/>
      <c r="AB55" s="466" t="e">
        <f t="shared" si="13"/>
        <v>#REF!</v>
      </c>
      <c r="AC55" s="468"/>
      <c r="AD55" s="468"/>
    </row>
    <row r="56" spans="1:30" s="469" customFormat="1" ht="27.75" customHeight="1">
      <c r="A56" s="473">
        <f t="shared" si="9"/>
        <v>47</v>
      </c>
      <c r="B56" s="456" t="s">
        <v>26</v>
      </c>
      <c r="C56" s="499" t="s">
        <v>309</v>
      </c>
      <c r="D56" s="456">
        <v>2901294110</v>
      </c>
      <c r="E56" s="457"/>
      <c r="F56" s="458" t="s">
        <v>616</v>
      </c>
      <c r="G56" s="490">
        <v>28684715.649999999</v>
      </c>
      <c r="H56" s="491">
        <v>28684715.649999999</v>
      </c>
      <c r="I56" s="461"/>
      <c r="J56" s="461">
        <f>33336657.99+30079442.26</f>
        <v>63416100.25</v>
      </c>
      <c r="K56" s="462">
        <f t="shared" si="1"/>
        <v>92100815.900000006</v>
      </c>
      <c r="L56" s="461">
        <v>28355957.379999999</v>
      </c>
      <c r="M56" s="461">
        <v>26452390.530000001</v>
      </c>
      <c r="N56" s="461">
        <v>14240265.65</v>
      </c>
      <c r="O56" s="462">
        <f t="shared" si="14"/>
        <v>69048613.560000002</v>
      </c>
      <c r="P56" s="461"/>
      <c r="Q56" s="461"/>
      <c r="R56" s="461"/>
      <c r="S56" s="462">
        <f t="shared" si="15"/>
        <v>0</v>
      </c>
      <c r="T56" s="461"/>
      <c r="U56" s="461"/>
      <c r="V56" s="461"/>
      <c r="W56" s="462">
        <f t="shared" si="16"/>
        <v>0</v>
      </c>
      <c r="X56" s="464">
        <f t="shared" si="17"/>
        <v>161149429.46000001</v>
      </c>
      <c r="Y56" s="464" t="e">
        <f>G56+'1 Дельта Т - СВОД'!#REF!+0.01</f>
        <v>#REF!</v>
      </c>
      <c r="Z56" s="465" t="e">
        <f>(Y56-X56)</f>
        <v>#REF!</v>
      </c>
      <c r="AA56" s="470" t="s">
        <v>488</v>
      </c>
      <c r="AB56" s="466" t="e">
        <f t="shared" ref="AB56:AB78" si="21">Y56-I56-H56</f>
        <v>#REF!</v>
      </c>
      <c r="AC56" s="467"/>
      <c r="AD56" s="468"/>
    </row>
    <row r="57" spans="1:30" s="469" customFormat="1" ht="27.75" customHeight="1">
      <c r="A57" s="473">
        <f t="shared" si="9"/>
        <v>48</v>
      </c>
      <c r="B57" s="456" t="s">
        <v>56</v>
      </c>
      <c r="C57" s="499" t="s">
        <v>548</v>
      </c>
      <c r="D57" s="456">
        <v>2918012540</v>
      </c>
      <c r="E57" s="457"/>
      <c r="F57" s="458" t="s">
        <v>645</v>
      </c>
      <c r="G57" s="490">
        <v>1867062.9</v>
      </c>
      <c r="H57" s="491"/>
      <c r="I57" s="461">
        <v>1867062.9</v>
      </c>
      <c r="J57" s="461">
        <f>1890395.14+1890395.14</f>
        <v>3780790.28</v>
      </c>
      <c r="K57" s="462">
        <f t="shared" si="1"/>
        <v>5647853.1799999997</v>
      </c>
      <c r="L57" s="461">
        <v>1890395.14</v>
      </c>
      <c r="M57" s="461">
        <v>1890395.14</v>
      </c>
      <c r="N57" s="461">
        <v>0</v>
      </c>
      <c r="O57" s="462">
        <f t="shared" si="14"/>
        <v>3780790.28</v>
      </c>
      <c r="P57" s="461"/>
      <c r="Q57" s="461"/>
      <c r="R57" s="461"/>
      <c r="S57" s="462">
        <f>SUM(P57:R57)</f>
        <v>0</v>
      </c>
      <c r="T57" s="461"/>
      <c r="U57" s="461"/>
      <c r="V57" s="461"/>
      <c r="W57" s="462">
        <f>SUM(T57:V57)</f>
        <v>0</v>
      </c>
      <c r="X57" s="464">
        <f>K57+O57+S57+W57</f>
        <v>9428643.459999999</v>
      </c>
      <c r="Y57" s="464" t="e">
        <f>G57+'1 Дельта Т - СВОД'!#REF!</f>
        <v>#REF!</v>
      </c>
      <c r="Z57" s="465" t="e">
        <f>(Y57-X57)</f>
        <v>#REF!</v>
      </c>
      <c r="AA57" s="470" t="s">
        <v>549</v>
      </c>
      <c r="AB57" s="466" t="e">
        <f t="shared" si="21"/>
        <v>#REF!</v>
      </c>
      <c r="AC57" s="467"/>
      <c r="AD57" s="468"/>
    </row>
    <row r="58" spans="1:30" s="469" customFormat="1" ht="27.75" customHeight="1">
      <c r="A58" s="473">
        <f t="shared" si="9"/>
        <v>49</v>
      </c>
      <c r="B58" s="456" t="s">
        <v>26</v>
      </c>
      <c r="C58" s="499" t="s">
        <v>311</v>
      </c>
      <c r="D58" s="456">
        <v>2901294127</v>
      </c>
      <c r="E58" s="457"/>
      <c r="F58" s="458" t="s">
        <v>609</v>
      </c>
      <c r="G58" s="490">
        <v>18043738.359999999</v>
      </c>
      <c r="H58" s="491">
        <v>18043738.359999999</v>
      </c>
      <c r="I58" s="461"/>
      <c r="J58" s="461">
        <f>22380493.28+18871342.25</f>
        <v>41251835.530000001</v>
      </c>
      <c r="K58" s="462">
        <f t="shared" ref="K58:K94" si="22">SUM(H58:J58)</f>
        <v>59295573.890000001</v>
      </c>
      <c r="L58" s="461">
        <v>18953905.34</v>
      </c>
      <c r="M58" s="461">
        <v>17332095.899999999</v>
      </c>
      <c r="N58" s="461">
        <v>13623847.800000001</v>
      </c>
      <c r="O58" s="462">
        <f t="shared" si="14"/>
        <v>49909849.039999992</v>
      </c>
      <c r="P58" s="461"/>
      <c r="Q58" s="461"/>
      <c r="R58" s="461"/>
      <c r="S58" s="462">
        <f t="shared" si="15"/>
        <v>0</v>
      </c>
      <c r="T58" s="461"/>
      <c r="U58" s="461"/>
      <c r="V58" s="461"/>
      <c r="W58" s="462">
        <f t="shared" si="16"/>
        <v>0</v>
      </c>
      <c r="X58" s="464">
        <f t="shared" si="17"/>
        <v>109205422.92999999</v>
      </c>
      <c r="Y58" s="464" t="e">
        <f>G58+'1 Дельта Т - СВОД'!#REF!-0.02</f>
        <v>#REF!</v>
      </c>
      <c r="Z58" s="465" t="e">
        <f>(Y58-X58)</f>
        <v>#REF!</v>
      </c>
      <c r="AA58" s="483" t="s">
        <v>486</v>
      </c>
      <c r="AB58" s="466" t="e">
        <f t="shared" si="21"/>
        <v>#REF!</v>
      </c>
      <c r="AC58" s="467"/>
      <c r="AD58" s="468"/>
    </row>
    <row r="59" spans="1:30" s="469" customFormat="1" ht="27.75" customHeight="1">
      <c r="A59" s="473">
        <f t="shared" si="9"/>
        <v>50</v>
      </c>
      <c r="B59" s="456" t="s">
        <v>26</v>
      </c>
      <c r="C59" s="499" t="s">
        <v>393</v>
      </c>
      <c r="D59" s="456">
        <v>2923007640</v>
      </c>
      <c r="E59" s="457"/>
      <c r="F59" s="458" t="s">
        <v>674</v>
      </c>
      <c r="G59" s="490">
        <v>1478464.92</v>
      </c>
      <c r="H59" s="491"/>
      <c r="I59" s="461">
        <v>1478464.92</v>
      </c>
      <c r="J59" s="461">
        <f>1478464.92+1478464.92</f>
        <v>2956929.84</v>
      </c>
      <c r="K59" s="462">
        <f t="shared" si="22"/>
        <v>4435394.76</v>
      </c>
      <c r="L59" s="461">
        <v>1478464.92</v>
      </c>
      <c r="M59" s="461">
        <v>1478464.92</v>
      </c>
      <c r="N59" s="461">
        <v>1478464.92</v>
      </c>
      <c r="O59" s="462">
        <f t="shared" si="14"/>
        <v>4435394.76</v>
      </c>
      <c r="P59" s="461"/>
      <c r="Q59" s="461"/>
      <c r="R59" s="461"/>
      <c r="S59" s="462">
        <f t="shared" si="15"/>
        <v>0</v>
      </c>
      <c r="T59" s="461"/>
      <c r="U59" s="461"/>
      <c r="V59" s="461"/>
      <c r="W59" s="462">
        <f t="shared" si="16"/>
        <v>0</v>
      </c>
      <c r="X59" s="464">
        <f t="shared" si="17"/>
        <v>8870789.5199999996</v>
      </c>
      <c r="Y59" s="464" t="e">
        <f>G59+'1 Дельта Т - СВОД'!#REF!</f>
        <v>#REF!</v>
      </c>
      <c r="Z59" s="465" t="e">
        <f t="shared" ref="Z59:Z80" si="23">Y59-X59</f>
        <v>#REF!</v>
      </c>
      <c r="AA59" s="470"/>
      <c r="AB59" s="466" t="e">
        <f t="shared" si="21"/>
        <v>#REF!</v>
      </c>
      <c r="AC59" s="467"/>
      <c r="AD59" s="468"/>
    </row>
    <row r="60" spans="1:30" s="469" customFormat="1" ht="27.75" customHeight="1">
      <c r="A60" s="473">
        <f t="shared" si="9"/>
        <v>51</v>
      </c>
      <c r="B60" s="456" t="s">
        <v>26</v>
      </c>
      <c r="C60" s="499" t="s">
        <v>358</v>
      </c>
      <c r="D60" s="456">
        <v>2904030161</v>
      </c>
      <c r="E60" s="457"/>
      <c r="F60" s="458" t="s">
        <v>675</v>
      </c>
      <c r="G60" s="490">
        <v>9527924.5</v>
      </c>
      <c r="H60" s="491"/>
      <c r="I60" s="461">
        <v>9527924.5</v>
      </c>
      <c r="J60" s="461">
        <f>7451483.58+6394929.51</f>
        <v>13846413.09</v>
      </c>
      <c r="K60" s="462">
        <f t="shared" si="22"/>
        <v>23374337.59</v>
      </c>
      <c r="L60" s="461">
        <v>6229429.5999999996</v>
      </c>
      <c r="M60" s="461">
        <v>5278344.87</v>
      </c>
      <c r="N60" s="461">
        <v>3173790.82</v>
      </c>
      <c r="O60" s="462">
        <f t="shared" si="14"/>
        <v>14681565.289999999</v>
      </c>
      <c r="P60" s="461"/>
      <c r="Q60" s="461"/>
      <c r="R60" s="461"/>
      <c r="S60" s="462">
        <f t="shared" si="15"/>
        <v>0</v>
      </c>
      <c r="T60" s="461"/>
      <c r="U60" s="461"/>
      <c r="V60" s="461"/>
      <c r="W60" s="462">
        <f t="shared" si="16"/>
        <v>0</v>
      </c>
      <c r="X60" s="464">
        <f t="shared" si="17"/>
        <v>38055902.879999995</v>
      </c>
      <c r="Y60" s="464" t="e">
        <f>G60+'1 Дельта Т - СВОД'!#REF!-0.01</f>
        <v>#REF!</v>
      </c>
      <c r="Z60" s="465" t="e">
        <f t="shared" si="23"/>
        <v>#REF!</v>
      </c>
      <c r="AA60" s="470" t="s">
        <v>498</v>
      </c>
      <c r="AB60" s="466" t="e">
        <f t="shared" si="21"/>
        <v>#REF!</v>
      </c>
      <c r="AC60" s="467"/>
      <c r="AD60" s="468"/>
    </row>
    <row r="61" spans="1:30" s="469" customFormat="1" ht="27.75" customHeight="1">
      <c r="A61" s="473">
        <f t="shared" si="9"/>
        <v>52</v>
      </c>
      <c r="B61" s="456" t="s">
        <v>26</v>
      </c>
      <c r="C61" s="499" t="s">
        <v>64</v>
      </c>
      <c r="D61" s="456" t="s">
        <v>65</v>
      </c>
      <c r="E61" s="457"/>
      <c r="F61" s="458" t="s">
        <v>1189</v>
      </c>
      <c r="G61" s="459">
        <v>269806.90999999997</v>
      </c>
      <c r="H61" s="491"/>
      <c r="I61" s="461">
        <v>269806.90999999997</v>
      </c>
      <c r="J61" s="461">
        <f>269806.91+269806.91</f>
        <v>539613.81999999995</v>
      </c>
      <c r="K61" s="462">
        <f t="shared" si="22"/>
        <v>809420.73</v>
      </c>
      <c r="L61" s="461">
        <v>269806.90999999997</v>
      </c>
      <c r="M61" s="461">
        <v>269806.90999999997</v>
      </c>
      <c r="N61" s="461">
        <v>130539.16</v>
      </c>
      <c r="O61" s="463">
        <f t="shared" si="14"/>
        <v>670152.98</v>
      </c>
      <c r="P61" s="461"/>
      <c r="Q61" s="461"/>
      <c r="R61" s="461"/>
      <c r="S61" s="463">
        <f t="shared" si="15"/>
        <v>0</v>
      </c>
      <c r="T61" s="461"/>
      <c r="U61" s="461"/>
      <c r="V61" s="461"/>
      <c r="W61" s="463">
        <f t="shared" si="16"/>
        <v>0</v>
      </c>
      <c r="X61" s="464">
        <f t="shared" si="17"/>
        <v>1479573.71</v>
      </c>
      <c r="Y61" s="464" t="e">
        <f>G61+'1 Дельта Т - СВОД'!#REF!</f>
        <v>#REF!</v>
      </c>
      <c r="Z61" s="465" t="e">
        <f t="shared" si="23"/>
        <v>#REF!</v>
      </c>
      <c r="AA61" s="470"/>
      <c r="AB61" s="466" t="e">
        <f t="shared" si="21"/>
        <v>#REF!</v>
      </c>
      <c r="AC61" s="467"/>
      <c r="AD61" s="468"/>
    </row>
    <row r="62" spans="1:30" s="469" customFormat="1" ht="27.75" customHeight="1">
      <c r="A62" s="473">
        <f t="shared" si="9"/>
        <v>53</v>
      </c>
      <c r="B62" s="456" t="s">
        <v>26</v>
      </c>
      <c r="C62" s="499" t="s">
        <v>68</v>
      </c>
      <c r="D62" s="456">
        <v>2923007104</v>
      </c>
      <c r="E62" s="457"/>
      <c r="F62" s="458" t="s">
        <v>656</v>
      </c>
      <c r="G62" s="459">
        <v>2425662.21</v>
      </c>
      <c r="H62" s="460"/>
      <c r="I62" s="461">
        <v>2425662.21</v>
      </c>
      <c r="J62" s="461">
        <f>2425662.21+2425662.21</f>
        <v>4851324.42</v>
      </c>
      <c r="K62" s="462">
        <f t="shared" si="22"/>
        <v>7276986.6299999999</v>
      </c>
      <c r="L62" s="461">
        <v>2425662.21</v>
      </c>
      <c r="M62" s="461">
        <v>2425662.21</v>
      </c>
      <c r="N62" s="461">
        <v>2425662.21</v>
      </c>
      <c r="O62" s="462">
        <f t="shared" ref="O62:O82" si="24">SUM(L62:N62)</f>
        <v>7276986.6299999999</v>
      </c>
      <c r="P62" s="461"/>
      <c r="Q62" s="461"/>
      <c r="R62" s="461"/>
      <c r="S62" s="462">
        <f t="shared" si="15"/>
        <v>0</v>
      </c>
      <c r="T62" s="461"/>
      <c r="U62" s="461"/>
      <c r="V62" s="461"/>
      <c r="W62" s="462">
        <f t="shared" ref="W62:W82" si="25">SUM(T62:V62)</f>
        <v>0</v>
      </c>
      <c r="X62" s="464">
        <f t="shared" ref="X62:X82" si="26">K62+O62+S62+W62</f>
        <v>14553973.26</v>
      </c>
      <c r="Y62" s="464" t="e">
        <f>G62+'1 Дельта Т - СВОД'!#REF!+0.01</f>
        <v>#REF!</v>
      </c>
      <c r="Z62" s="465" t="e">
        <f t="shared" si="23"/>
        <v>#REF!</v>
      </c>
      <c r="AA62" s="470"/>
      <c r="AB62" s="466" t="e">
        <f t="shared" si="21"/>
        <v>#REF!</v>
      </c>
      <c r="AC62" s="467"/>
      <c r="AD62" s="468"/>
    </row>
    <row r="63" spans="1:30" s="469" customFormat="1" ht="27.75" customHeight="1">
      <c r="A63" s="473">
        <f t="shared" si="9"/>
        <v>54</v>
      </c>
      <c r="B63" s="456" t="s">
        <v>26</v>
      </c>
      <c r="C63" s="499" t="s">
        <v>69</v>
      </c>
      <c r="D63" s="456">
        <v>2906006238</v>
      </c>
      <c r="E63" s="457"/>
      <c r="F63" s="458" t="s">
        <v>1173</v>
      </c>
      <c r="G63" s="459">
        <v>12489098.07</v>
      </c>
      <c r="H63" s="460">
        <v>12489098.07</v>
      </c>
      <c r="I63" s="461"/>
      <c r="J63" s="461">
        <f>12420708.6+12981417.02</f>
        <v>25402125.619999997</v>
      </c>
      <c r="K63" s="462">
        <f t="shared" si="22"/>
        <v>37891223.689999998</v>
      </c>
      <c r="L63" s="461">
        <v>12134985.42</v>
      </c>
      <c r="M63" s="461">
        <v>11768869.5</v>
      </c>
      <c r="N63" s="461">
        <v>10213184.789999999</v>
      </c>
      <c r="O63" s="462">
        <f t="shared" si="24"/>
        <v>34117039.710000001</v>
      </c>
      <c r="P63" s="461"/>
      <c r="Q63" s="461"/>
      <c r="R63" s="461"/>
      <c r="S63" s="462">
        <f t="shared" si="15"/>
        <v>0</v>
      </c>
      <c r="T63" s="461"/>
      <c r="U63" s="461"/>
      <c r="V63" s="461"/>
      <c r="W63" s="463">
        <f t="shared" si="25"/>
        <v>0</v>
      </c>
      <c r="X63" s="464">
        <f t="shared" si="26"/>
        <v>72008263.400000006</v>
      </c>
      <c r="Y63" s="464" t="e">
        <f>G63+'1 Дельта Т - СВОД'!#REF!+0.01</f>
        <v>#REF!</v>
      </c>
      <c r="Z63" s="465" t="e">
        <f t="shared" si="23"/>
        <v>#REF!</v>
      </c>
      <c r="AA63" s="470" t="s">
        <v>369</v>
      </c>
      <c r="AB63" s="466" t="e">
        <f t="shared" si="21"/>
        <v>#REF!</v>
      </c>
      <c r="AC63" s="467"/>
      <c r="AD63" s="468"/>
    </row>
    <row r="64" spans="1:30" s="94" customFormat="1" ht="27.75" customHeight="1">
      <c r="A64" s="473">
        <f t="shared" si="9"/>
        <v>55</v>
      </c>
      <c r="B64" s="471" t="s">
        <v>26</v>
      </c>
      <c r="C64" s="500" t="s">
        <v>70</v>
      </c>
      <c r="D64" s="471">
        <v>2921126730</v>
      </c>
      <c r="E64" s="457"/>
      <c r="F64" s="458" t="s">
        <v>619</v>
      </c>
      <c r="G64" s="492">
        <v>4748598.1399999997</v>
      </c>
      <c r="H64" s="460">
        <v>4748598.1399999997</v>
      </c>
      <c r="I64" s="461"/>
      <c r="J64" s="461">
        <f>4763758.04+4748193.46</f>
        <v>9511951.5</v>
      </c>
      <c r="K64" s="462">
        <f t="shared" si="22"/>
        <v>14260549.640000001</v>
      </c>
      <c r="L64" s="461">
        <v>4717064.3099999996</v>
      </c>
      <c r="M64" s="461">
        <v>4729515.97</v>
      </c>
      <c r="N64" s="461">
        <v>4704612.6500000004</v>
      </c>
      <c r="O64" s="462">
        <f t="shared" si="24"/>
        <v>14151192.93</v>
      </c>
      <c r="P64" s="461"/>
      <c r="Q64" s="461"/>
      <c r="R64" s="461"/>
      <c r="S64" s="462">
        <f t="shared" si="15"/>
        <v>0</v>
      </c>
      <c r="T64" s="461"/>
      <c r="U64" s="461"/>
      <c r="V64" s="461"/>
      <c r="W64" s="462">
        <f t="shared" si="25"/>
        <v>0</v>
      </c>
      <c r="X64" s="464">
        <f t="shared" si="26"/>
        <v>28411742.57</v>
      </c>
      <c r="Y64" s="464" t="e">
        <f>G64+'1 Дельта Т - СВОД'!#REF!+0.03</f>
        <v>#REF!</v>
      </c>
      <c r="Z64" s="465" t="e">
        <f t="shared" si="23"/>
        <v>#REF!</v>
      </c>
      <c r="AA64" s="472"/>
      <c r="AB64" s="466" t="e">
        <f t="shared" si="21"/>
        <v>#REF!</v>
      </c>
      <c r="AC64" s="467"/>
      <c r="AD64" s="468"/>
    </row>
    <row r="65" spans="1:30" s="94" customFormat="1" ht="27.75" customHeight="1">
      <c r="A65" s="473">
        <f t="shared" si="9"/>
        <v>56</v>
      </c>
      <c r="B65" s="471" t="s">
        <v>26</v>
      </c>
      <c r="C65" s="500" t="s">
        <v>582</v>
      </c>
      <c r="D65" s="471">
        <v>2901250754</v>
      </c>
      <c r="E65" s="457"/>
      <c r="F65" s="458" t="s">
        <v>626</v>
      </c>
      <c r="G65" s="492">
        <v>11644430.310000001</v>
      </c>
      <c r="H65" s="460"/>
      <c r="I65" s="461">
        <v>11644430.310000001</v>
      </c>
      <c r="J65" s="461">
        <f>12037241.23+11726897.82</f>
        <v>23764139.050000001</v>
      </c>
      <c r="K65" s="462">
        <f t="shared" si="22"/>
        <v>35408569.359999999</v>
      </c>
      <c r="L65" s="461">
        <v>11669349.5</v>
      </c>
      <c r="M65" s="461">
        <v>11566914.810000001</v>
      </c>
      <c r="N65" s="461">
        <v>11515338.48</v>
      </c>
      <c r="O65" s="462">
        <f t="shared" ref="O65" si="27">SUM(L65:N65)</f>
        <v>34751602.790000007</v>
      </c>
      <c r="P65" s="461"/>
      <c r="Q65" s="461"/>
      <c r="R65" s="461"/>
      <c r="S65" s="462">
        <f t="shared" ref="S65" si="28">SUM(P65:R65)</f>
        <v>0</v>
      </c>
      <c r="T65" s="461"/>
      <c r="U65" s="461"/>
      <c r="V65" s="461"/>
      <c r="W65" s="462">
        <f>SUM(T65:V65)</f>
        <v>0</v>
      </c>
      <c r="X65" s="464">
        <f>K65+O65+S65+W65</f>
        <v>70160172.150000006</v>
      </c>
      <c r="Y65" s="464" t="e">
        <f>G65+'1 Дельта Т - СВОД'!#REF!</f>
        <v>#REF!</v>
      </c>
      <c r="Z65" s="465" t="e">
        <f t="shared" si="23"/>
        <v>#REF!</v>
      </c>
      <c r="AA65" s="472" t="s">
        <v>584</v>
      </c>
      <c r="AB65" s="466" t="e">
        <f t="shared" si="21"/>
        <v>#REF!</v>
      </c>
      <c r="AC65" s="467"/>
      <c r="AD65" s="468"/>
    </row>
    <row r="66" spans="1:30" s="94" customFormat="1" ht="27.75" customHeight="1">
      <c r="A66" s="473">
        <f t="shared" si="9"/>
        <v>57</v>
      </c>
      <c r="B66" s="471" t="s">
        <v>26</v>
      </c>
      <c r="C66" s="500" t="s">
        <v>494</v>
      </c>
      <c r="D66" s="471">
        <v>2910005276</v>
      </c>
      <c r="E66" s="457"/>
      <c r="F66" s="458" t="s">
        <v>690</v>
      </c>
      <c r="G66" s="459">
        <v>1596974.74</v>
      </c>
      <c r="H66" s="460">
        <v>1596974.74</v>
      </c>
      <c r="I66" s="461"/>
      <c r="J66" s="461">
        <f>1577801.44+1542759.13</f>
        <v>3120560.57</v>
      </c>
      <c r="K66" s="462">
        <f t="shared" si="22"/>
        <v>4717535.3099999996</v>
      </c>
      <c r="L66" s="461">
        <v>1596948.52</v>
      </c>
      <c r="M66" s="461">
        <v>1597116.22</v>
      </c>
      <c r="N66" s="461">
        <v>1597116.22</v>
      </c>
      <c r="O66" s="462">
        <f t="shared" si="24"/>
        <v>4791180.96</v>
      </c>
      <c r="P66" s="461"/>
      <c r="Q66" s="461"/>
      <c r="R66" s="461"/>
      <c r="S66" s="462">
        <f>SUM(P66:R66)</f>
        <v>0</v>
      </c>
      <c r="T66" s="461"/>
      <c r="U66" s="461"/>
      <c r="V66" s="461"/>
      <c r="W66" s="462">
        <f>SUM(T66:V66)</f>
        <v>0</v>
      </c>
      <c r="X66" s="464">
        <f>K66+O66+S66+W66</f>
        <v>9508716.2699999996</v>
      </c>
      <c r="Y66" s="464" t="e">
        <f>G66+'1 Дельта Т - СВОД'!#REF!-0.01</f>
        <v>#REF!</v>
      </c>
      <c r="Z66" s="465" t="e">
        <f t="shared" si="23"/>
        <v>#REF!</v>
      </c>
      <c r="AA66" s="472" t="s">
        <v>1214</v>
      </c>
      <c r="AB66" s="466" t="e">
        <f t="shared" si="21"/>
        <v>#REF!</v>
      </c>
      <c r="AC66" s="467"/>
      <c r="AD66" s="468"/>
    </row>
    <row r="67" spans="1:30" s="94" customFormat="1" ht="27.75" customHeight="1">
      <c r="A67" s="473">
        <f t="shared" si="9"/>
        <v>58</v>
      </c>
      <c r="B67" s="471" t="s">
        <v>26</v>
      </c>
      <c r="C67" s="500" t="s">
        <v>312</v>
      </c>
      <c r="D67" s="471">
        <v>2901265373</v>
      </c>
      <c r="E67" s="457"/>
      <c r="F67" s="458" t="s">
        <v>664</v>
      </c>
      <c r="G67" s="459">
        <v>459608.36</v>
      </c>
      <c r="H67" s="460"/>
      <c r="I67" s="461">
        <v>459608.36</v>
      </c>
      <c r="J67" s="461">
        <f>616244.24+601220.89</f>
        <v>1217465.1299999999</v>
      </c>
      <c r="K67" s="462">
        <f t="shared" si="22"/>
        <v>1677073.4899999998</v>
      </c>
      <c r="L67" s="461">
        <v>596669.16</v>
      </c>
      <c r="M67" s="461">
        <v>597261.14</v>
      </c>
      <c r="N67" s="461">
        <v>232127.9</v>
      </c>
      <c r="O67" s="462">
        <f t="shared" si="24"/>
        <v>1426058.2</v>
      </c>
      <c r="P67" s="461"/>
      <c r="Q67" s="461"/>
      <c r="R67" s="461"/>
      <c r="S67" s="462">
        <f t="shared" ref="S67:S70" si="29">SUM(P67:R67)</f>
        <v>0</v>
      </c>
      <c r="T67" s="461"/>
      <c r="U67" s="461"/>
      <c r="V67" s="461"/>
      <c r="W67" s="462">
        <f t="shared" si="25"/>
        <v>0</v>
      </c>
      <c r="X67" s="464">
        <f t="shared" si="26"/>
        <v>3103131.6899999995</v>
      </c>
      <c r="Y67" s="464" t="e">
        <f>G67+'1 Дельта Т - СВОД'!#REF!</f>
        <v>#REF!</v>
      </c>
      <c r="Z67" s="465" t="e">
        <f t="shared" si="23"/>
        <v>#REF!</v>
      </c>
      <c r="AA67" s="472" t="s">
        <v>499</v>
      </c>
      <c r="AB67" s="466" t="e">
        <f t="shared" si="21"/>
        <v>#REF!</v>
      </c>
      <c r="AC67" s="467"/>
      <c r="AD67" s="468"/>
    </row>
    <row r="68" spans="1:30" s="94" customFormat="1" ht="27.75" customHeight="1">
      <c r="A68" s="473">
        <f t="shared" si="9"/>
        <v>59</v>
      </c>
      <c r="B68" s="471" t="s">
        <v>26</v>
      </c>
      <c r="C68" s="500" t="s">
        <v>229</v>
      </c>
      <c r="D68" s="471">
        <v>2923006943</v>
      </c>
      <c r="E68" s="457"/>
      <c r="F68" s="458" t="s">
        <v>711</v>
      </c>
      <c r="G68" s="459">
        <v>965286.94</v>
      </c>
      <c r="H68" s="460"/>
      <c r="I68" s="461">
        <v>965286.94</v>
      </c>
      <c r="J68" s="461">
        <f>1053828.89+1045674.34</f>
        <v>2099503.23</v>
      </c>
      <c r="K68" s="462">
        <f t="shared" si="22"/>
        <v>3064790.17</v>
      </c>
      <c r="L68" s="461">
        <v>933086.28</v>
      </c>
      <c r="M68" s="461">
        <v>882110.45</v>
      </c>
      <c r="N68" s="461">
        <v>795152.13</v>
      </c>
      <c r="O68" s="462">
        <f t="shared" si="24"/>
        <v>2610348.86</v>
      </c>
      <c r="P68" s="461"/>
      <c r="Q68" s="461"/>
      <c r="R68" s="461"/>
      <c r="S68" s="462">
        <f t="shared" si="29"/>
        <v>0</v>
      </c>
      <c r="T68" s="461"/>
      <c r="U68" s="461"/>
      <c r="V68" s="461"/>
      <c r="W68" s="462">
        <f t="shared" si="25"/>
        <v>0</v>
      </c>
      <c r="X68" s="464">
        <f t="shared" si="26"/>
        <v>5675139.0299999993</v>
      </c>
      <c r="Y68" s="464" t="e">
        <f>G68+'1 Дельта Т - СВОД'!#REF!</f>
        <v>#REF!</v>
      </c>
      <c r="Z68" s="465" t="e">
        <f t="shared" si="23"/>
        <v>#REF!</v>
      </c>
      <c r="AA68" s="472"/>
      <c r="AB68" s="466" t="e">
        <f t="shared" si="21"/>
        <v>#REF!</v>
      </c>
      <c r="AC68" s="467"/>
      <c r="AD68" s="468"/>
    </row>
    <row r="69" spans="1:30" s="469" customFormat="1" ht="27.75" customHeight="1">
      <c r="A69" s="473">
        <f t="shared" si="9"/>
        <v>60</v>
      </c>
      <c r="B69" s="456" t="s">
        <v>26</v>
      </c>
      <c r="C69" s="499" t="s">
        <v>207</v>
      </c>
      <c r="D69" s="456">
        <v>2923007418</v>
      </c>
      <c r="E69" s="457"/>
      <c r="F69" s="458" t="s">
        <v>608</v>
      </c>
      <c r="G69" s="459">
        <v>1125256.4099999999</v>
      </c>
      <c r="H69" s="460"/>
      <c r="I69" s="461">
        <v>1125256.4099999999</v>
      </c>
      <c r="J69" s="461">
        <f>1089662.76+1010034.49</f>
        <v>2099697.25</v>
      </c>
      <c r="K69" s="462">
        <f t="shared" si="22"/>
        <v>3224953.66</v>
      </c>
      <c r="L69" s="461">
        <v>1024158.81</v>
      </c>
      <c r="M69" s="461">
        <v>852772.47</v>
      </c>
      <c r="N69" s="461">
        <v>639383.23</v>
      </c>
      <c r="O69" s="462">
        <f t="shared" si="24"/>
        <v>2516314.5099999998</v>
      </c>
      <c r="P69" s="461"/>
      <c r="Q69" s="461"/>
      <c r="R69" s="461"/>
      <c r="S69" s="462">
        <f t="shared" si="29"/>
        <v>0</v>
      </c>
      <c r="T69" s="461"/>
      <c r="U69" s="461"/>
      <c r="V69" s="461"/>
      <c r="W69" s="493">
        <f t="shared" si="25"/>
        <v>0</v>
      </c>
      <c r="X69" s="464">
        <f>K69+O69+S69+W69</f>
        <v>5741268.1699999999</v>
      </c>
      <c r="Y69" s="464" t="e">
        <f>G69+'1 Дельта Т - СВОД'!#REF!+0.01</f>
        <v>#REF!</v>
      </c>
      <c r="Z69" s="465" t="e">
        <f t="shared" si="23"/>
        <v>#REF!</v>
      </c>
      <c r="AA69" s="470"/>
      <c r="AB69" s="466" t="e">
        <f t="shared" si="21"/>
        <v>#REF!</v>
      </c>
      <c r="AC69" s="467"/>
      <c r="AD69" s="468"/>
    </row>
    <row r="70" spans="1:30" s="469" customFormat="1" ht="27.75" customHeight="1">
      <c r="A70" s="473">
        <f t="shared" si="9"/>
        <v>61</v>
      </c>
      <c r="B70" s="456" t="s">
        <v>26</v>
      </c>
      <c r="C70" s="499" t="s">
        <v>157</v>
      </c>
      <c r="D70" s="456">
        <v>2901192407</v>
      </c>
      <c r="E70" s="457"/>
      <c r="F70" s="458" t="s">
        <v>607</v>
      </c>
      <c r="G70" s="459">
        <v>10944137.58</v>
      </c>
      <c r="H70" s="460">
        <v>10944137.58</v>
      </c>
      <c r="I70" s="461"/>
      <c r="J70" s="461">
        <f>10964413.49+10347377.43</f>
        <v>21311790.920000002</v>
      </c>
      <c r="K70" s="462">
        <f t="shared" si="22"/>
        <v>32255928.5</v>
      </c>
      <c r="L70" s="461">
        <v>9506906.4199999999</v>
      </c>
      <c r="M70" s="461">
        <v>9176711.7400000002</v>
      </c>
      <c r="N70" s="461">
        <v>7135702.8300000001</v>
      </c>
      <c r="O70" s="462">
        <f t="shared" si="24"/>
        <v>25819320.990000002</v>
      </c>
      <c r="P70" s="461"/>
      <c r="Q70" s="461"/>
      <c r="R70" s="461"/>
      <c r="S70" s="462">
        <f t="shared" si="29"/>
        <v>0</v>
      </c>
      <c r="T70" s="461"/>
      <c r="U70" s="461"/>
      <c r="V70" s="461"/>
      <c r="W70" s="493">
        <f t="shared" si="25"/>
        <v>0</v>
      </c>
      <c r="X70" s="464">
        <f t="shared" si="26"/>
        <v>58075249.490000002</v>
      </c>
      <c r="Y70" s="464" t="e">
        <f>G70+'1 Дельта Т - СВОД'!#REF!-0.01</f>
        <v>#REF!</v>
      </c>
      <c r="Z70" s="465" t="e">
        <f t="shared" si="23"/>
        <v>#REF!</v>
      </c>
      <c r="AA70" s="470"/>
      <c r="AB70" s="466" t="e">
        <f t="shared" si="21"/>
        <v>#REF!</v>
      </c>
      <c r="AC70" s="467"/>
      <c r="AD70" s="468"/>
    </row>
    <row r="71" spans="1:30" s="469" customFormat="1" ht="27.75" customHeight="1">
      <c r="A71" s="473">
        <f t="shared" si="9"/>
        <v>62</v>
      </c>
      <c r="B71" s="456" t="s">
        <v>26</v>
      </c>
      <c r="C71" s="499" t="s">
        <v>370</v>
      </c>
      <c r="D71" s="456">
        <v>2923007633</v>
      </c>
      <c r="E71" s="457"/>
      <c r="F71" s="458" t="s">
        <v>670</v>
      </c>
      <c r="G71" s="459">
        <v>627313.71</v>
      </c>
      <c r="H71" s="460"/>
      <c r="I71" s="461">
        <v>627313.71</v>
      </c>
      <c r="J71" s="461">
        <f>769828.56+791571.44</f>
        <v>1561400</v>
      </c>
      <c r="K71" s="462">
        <f t="shared" si="22"/>
        <v>2188713.71</v>
      </c>
      <c r="L71" s="461">
        <v>666658.18999999994</v>
      </c>
      <c r="M71" s="461">
        <v>589939.36</v>
      </c>
      <c r="N71" s="461">
        <v>370522.52</v>
      </c>
      <c r="O71" s="462">
        <f t="shared" si="24"/>
        <v>1627120.0699999998</v>
      </c>
      <c r="P71" s="461"/>
      <c r="Q71" s="461"/>
      <c r="R71" s="461"/>
      <c r="S71" s="462"/>
      <c r="T71" s="461"/>
      <c r="U71" s="461"/>
      <c r="V71" s="461"/>
      <c r="W71" s="493">
        <f t="shared" si="25"/>
        <v>0</v>
      </c>
      <c r="X71" s="464">
        <f t="shared" si="26"/>
        <v>3815833.78</v>
      </c>
      <c r="Y71" s="464" t="e">
        <f>G71+'1 Дельта Т - СВОД'!#REF!</f>
        <v>#REF!</v>
      </c>
      <c r="Z71" s="465" t="e">
        <f t="shared" si="23"/>
        <v>#REF!</v>
      </c>
      <c r="AA71" s="470"/>
      <c r="AB71" s="466" t="e">
        <f t="shared" si="21"/>
        <v>#REF!</v>
      </c>
      <c r="AC71" s="467"/>
      <c r="AD71" s="468"/>
    </row>
    <row r="72" spans="1:30" s="94" customFormat="1" ht="27.75" customHeight="1">
      <c r="A72" s="473">
        <f t="shared" si="9"/>
        <v>63</v>
      </c>
      <c r="B72" s="471" t="s">
        <v>26</v>
      </c>
      <c r="C72" s="500" t="s">
        <v>1217</v>
      </c>
      <c r="D72" s="471">
        <v>2906008443</v>
      </c>
      <c r="E72" s="457"/>
      <c r="F72" s="458" t="s">
        <v>658</v>
      </c>
      <c r="G72" s="459">
        <v>1012362.72</v>
      </c>
      <c r="H72" s="460"/>
      <c r="I72" s="461">
        <v>1012362.72</v>
      </c>
      <c r="J72" s="461">
        <f>2563124.79+2081438.16</f>
        <v>4644562.95</v>
      </c>
      <c r="K72" s="462">
        <f t="shared" si="22"/>
        <v>5656925.6699999999</v>
      </c>
      <c r="L72" s="461">
        <v>1953204.74</v>
      </c>
      <c r="M72" s="461">
        <v>1732250.12</v>
      </c>
      <c r="N72" s="461">
        <v>1388903.51</v>
      </c>
      <c r="O72" s="462">
        <f t="shared" si="24"/>
        <v>5074358.37</v>
      </c>
      <c r="P72" s="461"/>
      <c r="Q72" s="461"/>
      <c r="R72" s="461"/>
      <c r="S72" s="462">
        <f>SUM(P72:R72)</f>
        <v>0</v>
      </c>
      <c r="T72" s="461"/>
      <c r="U72" s="461"/>
      <c r="V72" s="461"/>
      <c r="W72" s="463">
        <f t="shared" si="25"/>
        <v>0</v>
      </c>
      <c r="X72" s="464">
        <f t="shared" si="26"/>
        <v>10731284.039999999</v>
      </c>
      <c r="Y72" s="464" t="e">
        <f>G72+'1 Дельта Т - СВОД'!#REF!-0.03</f>
        <v>#REF!</v>
      </c>
      <c r="Z72" s="465" t="e">
        <f t="shared" si="23"/>
        <v>#REF!</v>
      </c>
      <c r="AA72" s="472"/>
      <c r="AB72" s="466" t="e">
        <f t="shared" si="21"/>
        <v>#REF!</v>
      </c>
      <c r="AC72" s="467"/>
      <c r="AD72" s="468"/>
    </row>
    <row r="73" spans="1:30" s="469" customFormat="1" ht="27.75" customHeight="1">
      <c r="A73" s="473">
        <f t="shared" si="9"/>
        <v>64</v>
      </c>
      <c r="B73" s="456" t="s">
        <v>56</v>
      </c>
      <c r="C73" s="499" t="s">
        <v>493</v>
      </c>
      <c r="D73" s="456">
        <v>2901150333</v>
      </c>
      <c r="E73" s="457"/>
      <c r="F73" s="458" t="s">
        <v>698</v>
      </c>
      <c r="G73" s="459">
        <v>23780315.48</v>
      </c>
      <c r="H73" s="460"/>
      <c r="I73" s="461">
        <v>23780315.48</v>
      </c>
      <c r="J73" s="461">
        <f>23786766.89+20642535.14</f>
        <v>44429302.030000001</v>
      </c>
      <c r="K73" s="462">
        <f>SUM(H73:J73)</f>
        <v>68209617.510000005</v>
      </c>
      <c r="L73" s="461">
        <v>22857500.02</v>
      </c>
      <c r="M73" s="461">
        <v>17477828.199999999</v>
      </c>
      <c r="N73" s="461">
        <v>12487358.75</v>
      </c>
      <c r="O73" s="463">
        <f>SUM(L73:N73)</f>
        <v>52822686.969999999</v>
      </c>
      <c r="P73" s="461"/>
      <c r="Q73" s="461"/>
      <c r="R73" s="461"/>
      <c r="S73" s="463">
        <f>SUM(P73:R73)</f>
        <v>0</v>
      </c>
      <c r="T73" s="461"/>
      <c r="U73" s="461"/>
      <c r="V73" s="461"/>
      <c r="W73" s="462">
        <f>SUM(T73:V73)</f>
        <v>0</v>
      </c>
      <c r="X73" s="464">
        <f>K73+O73+S73+W73</f>
        <v>121032304.48</v>
      </c>
      <c r="Y73" s="464" t="e">
        <f>G73+'1 Дельта Т - СВОД'!#REF!</f>
        <v>#REF!</v>
      </c>
      <c r="Z73" s="465" t="e">
        <f>Y73-X73</f>
        <v>#REF!</v>
      </c>
      <c r="AA73" s="483" t="s">
        <v>485</v>
      </c>
      <c r="AB73" s="466" t="e">
        <f>Y73-I73-H73</f>
        <v>#REF!</v>
      </c>
      <c r="AC73" s="467"/>
      <c r="AD73" s="468"/>
    </row>
    <row r="74" spans="1:30" s="469" customFormat="1" ht="27.75" customHeight="1">
      <c r="A74" s="473">
        <f t="shared" si="9"/>
        <v>65</v>
      </c>
      <c r="B74" s="456" t="s">
        <v>26</v>
      </c>
      <c r="C74" s="499" t="s">
        <v>77</v>
      </c>
      <c r="D74" s="456" t="s">
        <v>78</v>
      </c>
      <c r="E74" s="457"/>
      <c r="F74" s="458" t="s">
        <v>660</v>
      </c>
      <c r="G74" s="492">
        <v>46348.53</v>
      </c>
      <c r="H74" s="487"/>
      <c r="I74" s="461">
        <v>46348.53</v>
      </c>
      <c r="J74" s="461">
        <f>46348.53+46348.53</f>
        <v>92697.06</v>
      </c>
      <c r="K74" s="462">
        <f t="shared" si="22"/>
        <v>139045.59</v>
      </c>
      <c r="L74" s="461">
        <v>46348.53</v>
      </c>
      <c r="M74" s="461">
        <v>46348.53</v>
      </c>
      <c r="N74" s="461">
        <v>23206.23</v>
      </c>
      <c r="O74" s="462">
        <f t="shared" si="24"/>
        <v>115903.29</v>
      </c>
      <c r="P74" s="461"/>
      <c r="Q74" s="461"/>
      <c r="R74" s="461"/>
      <c r="S74" s="462">
        <f>SUM(P74:R74)</f>
        <v>0</v>
      </c>
      <c r="T74" s="461"/>
      <c r="U74" s="461"/>
      <c r="V74" s="461"/>
      <c r="W74" s="463">
        <f t="shared" si="25"/>
        <v>0</v>
      </c>
      <c r="X74" s="464">
        <f t="shared" si="26"/>
        <v>254948.88</v>
      </c>
      <c r="Y74" s="464" t="e">
        <f>G74+'1 Дельта Т - СВОД'!#REF!+0.02</f>
        <v>#REF!</v>
      </c>
      <c r="Z74" s="465" t="e">
        <f t="shared" si="23"/>
        <v>#REF!</v>
      </c>
      <c r="AA74" s="483"/>
      <c r="AB74" s="466" t="e">
        <f t="shared" si="21"/>
        <v>#REF!</v>
      </c>
      <c r="AC74" s="467"/>
      <c r="AD74" s="468"/>
    </row>
    <row r="75" spans="1:30" s="94" customFormat="1" ht="27.75" customHeight="1">
      <c r="A75" s="473">
        <f t="shared" si="9"/>
        <v>66</v>
      </c>
      <c r="B75" s="471" t="s">
        <v>26</v>
      </c>
      <c r="C75" s="500" t="s">
        <v>149</v>
      </c>
      <c r="D75" s="494">
        <v>2907016373</v>
      </c>
      <c r="E75" s="457"/>
      <c r="F75" s="458" t="s">
        <v>701</v>
      </c>
      <c r="G75" s="459">
        <v>4696843.37</v>
      </c>
      <c r="H75" s="460"/>
      <c r="I75" s="461">
        <v>4696843.37</v>
      </c>
      <c r="J75" s="461">
        <f>4409496.64+4392490.26</f>
        <v>8801986.8999999985</v>
      </c>
      <c r="K75" s="462">
        <f t="shared" si="22"/>
        <v>13498830.27</v>
      </c>
      <c r="L75" s="461">
        <v>4398499.79</v>
      </c>
      <c r="M75" s="461">
        <v>4437346.18</v>
      </c>
      <c r="N75" s="461">
        <v>1888678</v>
      </c>
      <c r="O75" s="462">
        <f t="shared" si="24"/>
        <v>10724523.969999999</v>
      </c>
      <c r="P75" s="461"/>
      <c r="Q75" s="495"/>
      <c r="R75" s="461"/>
      <c r="S75" s="462">
        <f t="shared" ref="S75:S80" si="30">SUM(P75:R75)</f>
        <v>0</v>
      </c>
      <c r="T75" s="461"/>
      <c r="U75" s="461"/>
      <c r="V75" s="461"/>
      <c r="W75" s="462">
        <f t="shared" si="25"/>
        <v>0</v>
      </c>
      <c r="X75" s="464">
        <f t="shared" si="26"/>
        <v>24223354.239999998</v>
      </c>
      <c r="Y75" s="464" t="e">
        <f>G75+'1 Дельта Т - СВОД'!#REF!+0.01</f>
        <v>#REF!</v>
      </c>
      <c r="Z75" s="465" t="e">
        <f t="shared" si="23"/>
        <v>#REF!</v>
      </c>
      <c r="AA75" s="472" t="s">
        <v>378</v>
      </c>
      <c r="AB75" s="466" t="e">
        <f t="shared" si="21"/>
        <v>#REF!</v>
      </c>
      <c r="AC75" s="467"/>
      <c r="AD75" s="468"/>
    </row>
    <row r="76" spans="1:30" s="94" customFormat="1" ht="27.75" customHeight="1">
      <c r="A76" s="473">
        <f t="shared" si="9"/>
        <v>67</v>
      </c>
      <c r="B76" s="471" t="s">
        <v>26</v>
      </c>
      <c r="C76" s="500" t="s">
        <v>144</v>
      </c>
      <c r="D76" s="494">
        <v>2907015570</v>
      </c>
      <c r="E76" s="457"/>
      <c r="F76" s="458" t="s">
        <v>705</v>
      </c>
      <c r="G76" s="459">
        <v>2237672.5099999998</v>
      </c>
      <c r="H76" s="460">
        <v>2237672.5099999998</v>
      </c>
      <c r="I76" s="461"/>
      <c r="J76" s="461">
        <f>2454968.42+2290536.03</f>
        <v>4745504.4499999993</v>
      </c>
      <c r="K76" s="462">
        <f t="shared" si="22"/>
        <v>6983176.959999999</v>
      </c>
      <c r="L76" s="461">
        <v>1970800.52</v>
      </c>
      <c r="M76" s="461">
        <v>1828178.59</v>
      </c>
      <c r="N76" s="461">
        <v>1072165.97</v>
      </c>
      <c r="O76" s="462">
        <f t="shared" si="24"/>
        <v>4871145.08</v>
      </c>
      <c r="P76" s="461"/>
      <c r="Q76" s="461"/>
      <c r="R76" s="461"/>
      <c r="S76" s="462">
        <f t="shared" si="30"/>
        <v>0</v>
      </c>
      <c r="T76" s="461"/>
      <c r="U76" s="461"/>
      <c r="V76" s="461"/>
      <c r="W76" s="462">
        <f t="shared" si="25"/>
        <v>0</v>
      </c>
      <c r="X76" s="464">
        <f t="shared" si="26"/>
        <v>11854322.039999999</v>
      </c>
      <c r="Y76" s="464" t="e">
        <f>G76+'1 Дельта Т - СВОД'!#REF!+0.01</f>
        <v>#REF!</v>
      </c>
      <c r="Z76" s="465" t="e">
        <f t="shared" si="23"/>
        <v>#REF!</v>
      </c>
      <c r="AA76" s="472"/>
      <c r="AB76" s="466" t="e">
        <f t="shared" si="21"/>
        <v>#REF!</v>
      </c>
      <c r="AC76" s="467"/>
      <c r="AD76" s="468"/>
    </row>
    <row r="77" spans="1:30" s="469" customFormat="1" ht="27.75" customHeight="1">
      <c r="A77" s="473">
        <f t="shared" si="9"/>
        <v>68</v>
      </c>
      <c r="B77" s="456" t="s">
        <v>26</v>
      </c>
      <c r="C77" s="499" t="s">
        <v>187</v>
      </c>
      <c r="D77" s="496">
        <v>2921011754</v>
      </c>
      <c r="E77" s="457"/>
      <c r="F77" s="458" t="s">
        <v>1175</v>
      </c>
      <c r="G77" s="459">
        <v>1118817.6200000001</v>
      </c>
      <c r="H77" s="460"/>
      <c r="I77" s="461">
        <v>1118817.6200000001</v>
      </c>
      <c r="J77" s="461">
        <f>1241179+1150848.58</f>
        <v>2392027.58</v>
      </c>
      <c r="K77" s="462">
        <f t="shared" si="22"/>
        <v>3510845.2</v>
      </c>
      <c r="L77" s="461">
        <v>1018467.91</v>
      </c>
      <c r="M77" s="461">
        <v>1061794.8400000001</v>
      </c>
      <c r="N77" s="461">
        <v>845808.78</v>
      </c>
      <c r="O77" s="462">
        <f t="shared" si="24"/>
        <v>2926071.5300000003</v>
      </c>
      <c r="P77" s="461"/>
      <c r="Q77" s="461"/>
      <c r="R77" s="461"/>
      <c r="S77" s="462">
        <f t="shared" si="30"/>
        <v>0</v>
      </c>
      <c r="T77" s="461"/>
      <c r="U77" s="461"/>
      <c r="V77" s="461"/>
      <c r="W77" s="462">
        <f t="shared" si="25"/>
        <v>0</v>
      </c>
      <c r="X77" s="464">
        <f t="shared" si="26"/>
        <v>6436916.7300000004</v>
      </c>
      <c r="Y77" s="464" t="e">
        <f>G77+'1 Дельта Т - СВОД'!#REF!</f>
        <v>#REF!</v>
      </c>
      <c r="Z77" s="465" t="e">
        <f t="shared" si="23"/>
        <v>#REF!</v>
      </c>
      <c r="AA77" s="470"/>
      <c r="AB77" s="466" t="e">
        <f t="shared" si="21"/>
        <v>#REF!</v>
      </c>
      <c r="AC77" s="467"/>
      <c r="AD77" s="468"/>
    </row>
    <row r="78" spans="1:30" s="94" customFormat="1" ht="27.75" customHeight="1">
      <c r="A78" s="473">
        <f t="shared" si="9"/>
        <v>69</v>
      </c>
      <c r="B78" s="471" t="s">
        <v>26</v>
      </c>
      <c r="C78" s="500" t="s">
        <v>132</v>
      </c>
      <c r="D78" s="494">
        <v>2922008803</v>
      </c>
      <c r="E78" s="457"/>
      <c r="F78" s="458" t="s">
        <v>671</v>
      </c>
      <c r="G78" s="459">
        <v>1861575.37</v>
      </c>
      <c r="H78" s="460"/>
      <c r="I78" s="461">
        <v>1861575.37</v>
      </c>
      <c r="J78" s="461">
        <f>1856020.65+1851637.68</f>
        <v>3707658.33</v>
      </c>
      <c r="K78" s="462">
        <f t="shared" si="22"/>
        <v>5569233.7000000002</v>
      </c>
      <c r="L78" s="461">
        <v>1837623.41</v>
      </c>
      <c r="M78" s="461">
        <v>1849032.22</v>
      </c>
      <c r="N78" s="461">
        <v>1002473.99</v>
      </c>
      <c r="O78" s="462">
        <f t="shared" si="24"/>
        <v>4689129.62</v>
      </c>
      <c r="P78" s="461"/>
      <c r="Q78" s="461"/>
      <c r="R78" s="461"/>
      <c r="S78" s="462">
        <f t="shared" si="30"/>
        <v>0</v>
      </c>
      <c r="T78" s="461"/>
      <c r="U78" s="461"/>
      <c r="V78" s="461"/>
      <c r="W78" s="462">
        <f t="shared" si="25"/>
        <v>0</v>
      </c>
      <c r="X78" s="464">
        <f t="shared" si="26"/>
        <v>10258363.32</v>
      </c>
      <c r="Y78" s="464" t="e">
        <f>G78+'1 Дельта Т - СВОД'!#REF!</f>
        <v>#REF!</v>
      </c>
      <c r="Z78" s="465" t="e">
        <f t="shared" si="23"/>
        <v>#REF!</v>
      </c>
      <c r="AA78" s="505" t="s">
        <v>1213</v>
      </c>
      <c r="AB78" s="466" t="e">
        <f t="shared" si="21"/>
        <v>#REF!</v>
      </c>
      <c r="AC78" s="467"/>
      <c r="AD78" s="468"/>
    </row>
    <row r="79" spans="1:30" s="94" customFormat="1" ht="27.75" customHeight="1">
      <c r="A79" s="473">
        <f t="shared" si="9"/>
        <v>70</v>
      </c>
      <c r="B79" s="471" t="s">
        <v>26</v>
      </c>
      <c r="C79" s="500" t="s">
        <v>510</v>
      </c>
      <c r="D79" s="494">
        <v>2912007007</v>
      </c>
      <c r="E79" s="457"/>
      <c r="F79" s="458" t="s">
        <v>710</v>
      </c>
      <c r="G79" s="459">
        <v>18875514.09</v>
      </c>
      <c r="H79" s="461"/>
      <c r="I79" s="461">
        <v>18875514.09</v>
      </c>
      <c r="J79" s="461">
        <f>20294500.94+19796858.14</f>
        <v>40091359.079999998</v>
      </c>
      <c r="K79" s="462">
        <f t="shared" si="22"/>
        <v>58966873.170000002</v>
      </c>
      <c r="L79" s="461">
        <v>18485012.52</v>
      </c>
      <c r="M79" s="461">
        <v>16942702.870000001</v>
      </c>
      <c r="N79" s="461">
        <v>13389884.01</v>
      </c>
      <c r="O79" s="462">
        <f t="shared" si="24"/>
        <v>48817599.399999999</v>
      </c>
      <c r="P79" s="461"/>
      <c r="Q79" s="495"/>
      <c r="R79" s="461"/>
      <c r="S79" s="462"/>
      <c r="T79" s="461"/>
      <c r="U79" s="461"/>
      <c r="V79" s="461"/>
      <c r="W79" s="462">
        <f t="shared" si="25"/>
        <v>0</v>
      </c>
      <c r="X79" s="464">
        <f>K79+O79+S79+W79</f>
        <v>107784472.56999999</v>
      </c>
      <c r="Y79" s="464" t="e">
        <f>G79+'1 Дельта Т - СВОД'!#REF!-0.01</f>
        <v>#REF!</v>
      </c>
      <c r="Z79" s="465" t="e">
        <f t="shared" si="23"/>
        <v>#REF!</v>
      </c>
      <c r="AA79" s="472" t="s">
        <v>547</v>
      </c>
      <c r="AB79" s="466" t="e">
        <f t="shared" ref="AB79:AB94" si="31">Y79-I79-H79</f>
        <v>#REF!</v>
      </c>
      <c r="AC79" s="467"/>
      <c r="AD79" s="468"/>
    </row>
    <row r="80" spans="1:30" s="94" customFormat="1" ht="27.75" customHeight="1">
      <c r="A80" s="473">
        <f t="shared" si="9"/>
        <v>71</v>
      </c>
      <c r="B80" s="471" t="s">
        <v>26</v>
      </c>
      <c r="C80" s="500" t="s">
        <v>155</v>
      </c>
      <c r="D80" s="494">
        <v>2912006620</v>
      </c>
      <c r="E80" s="457"/>
      <c r="F80" s="458" t="s">
        <v>709</v>
      </c>
      <c r="G80" s="459">
        <v>1357284.08</v>
      </c>
      <c r="H80" s="461"/>
      <c r="I80" s="461">
        <v>1357284.08</v>
      </c>
      <c r="J80" s="461">
        <f>1321419.17+1431313.83</f>
        <v>2752733</v>
      </c>
      <c r="K80" s="462">
        <f t="shared" si="22"/>
        <v>4110017.08</v>
      </c>
      <c r="L80" s="461">
        <v>1494217.56</v>
      </c>
      <c r="M80" s="461">
        <v>1305089.5</v>
      </c>
      <c r="N80" s="461">
        <v>208912.45</v>
      </c>
      <c r="O80" s="462">
        <f t="shared" si="24"/>
        <v>3008219.5100000002</v>
      </c>
      <c r="P80" s="461"/>
      <c r="Q80" s="495"/>
      <c r="R80" s="461"/>
      <c r="S80" s="462">
        <f t="shared" si="30"/>
        <v>0</v>
      </c>
      <c r="T80" s="461"/>
      <c r="U80" s="461"/>
      <c r="V80" s="461"/>
      <c r="W80" s="462">
        <f t="shared" si="25"/>
        <v>0</v>
      </c>
      <c r="X80" s="464">
        <f t="shared" si="26"/>
        <v>7118236.5899999999</v>
      </c>
      <c r="Y80" s="464" t="e">
        <f>G80+'1 Дельта Т - СВОД'!#REF!-0.02</f>
        <v>#REF!</v>
      </c>
      <c r="Z80" s="465" t="e">
        <f t="shared" si="23"/>
        <v>#REF!</v>
      </c>
      <c r="AA80" s="472"/>
      <c r="AB80" s="466" t="e">
        <f t="shared" si="31"/>
        <v>#REF!</v>
      </c>
      <c r="AC80" s="467"/>
      <c r="AD80" s="468"/>
    </row>
    <row r="81" spans="1:103" s="94" customFormat="1" ht="27.75" customHeight="1">
      <c r="A81" s="473">
        <f t="shared" si="9"/>
        <v>72</v>
      </c>
      <c r="B81" s="471" t="s">
        <v>26</v>
      </c>
      <c r="C81" s="500" t="s">
        <v>230</v>
      </c>
      <c r="D81" s="471">
        <v>2904022428</v>
      </c>
      <c r="E81" s="457"/>
      <c r="F81" s="458" t="s">
        <v>678</v>
      </c>
      <c r="G81" s="459">
        <v>802953.91</v>
      </c>
      <c r="H81" s="460"/>
      <c r="I81" s="461">
        <v>802953.91</v>
      </c>
      <c r="J81" s="461">
        <f>774287.72+691562.54</f>
        <v>1465850.26</v>
      </c>
      <c r="K81" s="462">
        <f t="shared" si="22"/>
        <v>2268804.17</v>
      </c>
      <c r="L81" s="461">
        <v>700735.96</v>
      </c>
      <c r="M81" s="461">
        <v>517375.66</v>
      </c>
      <c r="N81" s="461">
        <v>178317.13</v>
      </c>
      <c r="O81" s="462">
        <f t="shared" si="24"/>
        <v>1396428.75</v>
      </c>
      <c r="P81" s="461"/>
      <c r="Q81" s="461"/>
      <c r="R81" s="461"/>
      <c r="S81" s="462">
        <f>SUM(P81:R81)</f>
        <v>0</v>
      </c>
      <c r="T81" s="461"/>
      <c r="U81" s="461"/>
      <c r="V81" s="461"/>
      <c r="W81" s="462">
        <f t="shared" si="25"/>
        <v>0</v>
      </c>
      <c r="X81" s="464">
        <f t="shared" si="26"/>
        <v>3665232.92</v>
      </c>
      <c r="Y81" s="464" t="e">
        <f>G81+'1 Дельта Т - СВОД'!#REF!</f>
        <v>#REF!</v>
      </c>
      <c r="Z81" s="465" t="e">
        <f t="shared" ref="Z81:Z94" si="32">Y81-X81</f>
        <v>#REF!</v>
      </c>
      <c r="AA81" s="472" t="s">
        <v>350</v>
      </c>
      <c r="AB81" s="466" t="e">
        <f t="shared" si="31"/>
        <v>#REF!</v>
      </c>
      <c r="AC81" s="467"/>
      <c r="AD81" s="468"/>
    </row>
    <row r="82" spans="1:103" s="94" customFormat="1" ht="27.75" customHeight="1">
      <c r="A82" s="473">
        <f t="shared" ref="A82:A87" si="33">A81+1</f>
        <v>73</v>
      </c>
      <c r="B82" s="471" t="s">
        <v>26</v>
      </c>
      <c r="C82" s="500" t="s">
        <v>147</v>
      </c>
      <c r="D82" s="471">
        <v>2923007344</v>
      </c>
      <c r="E82" s="457"/>
      <c r="F82" s="458" t="s">
        <v>662</v>
      </c>
      <c r="G82" s="459">
        <v>6492970</v>
      </c>
      <c r="H82" s="460"/>
      <c r="I82" s="461">
        <v>6492970</v>
      </c>
      <c r="J82" s="461">
        <f>5511718.33+6292308.57</f>
        <v>11804026.9</v>
      </c>
      <c r="K82" s="462">
        <f t="shared" si="22"/>
        <v>18296996.899999999</v>
      </c>
      <c r="L82" s="461">
        <v>6038794.5999999996</v>
      </c>
      <c r="M82" s="461">
        <v>4937315.0199999996</v>
      </c>
      <c r="N82" s="461">
        <v>3260289.05</v>
      </c>
      <c r="O82" s="462">
        <f t="shared" si="24"/>
        <v>14236398.669999998</v>
      </c>
      <c r="P82" s="461"/>
      <c r="Q82" s="461"/>
      <c r="R82" s="461"/>
      <c r="S82" s="462">
        <f>SUM(P82:R82)</f>
        <v>0</v>
      </c>
      <c r="T82" s="461"/>
      <c r="U82" s="461"/>
      <c r="V82" s="461"/>
      <c r="W82" s="462">
        <f t="shared" si="25"/>
        <v>0</v>
      </c>
      <c r="X82" s="464">
        <f t="shared" si="26"/>
        <v>32533395.569999997</v>
      </c>
      <c r="Y82" s="464" t="e">
        <f>G82+'1 Дельта Т - СВОД'!#REF!</f>
        <v>#REF!</v>
      </c>
      <c r="Z82" s="465" t="e">
        <f t="shared" si="32"/>
        <v>#REF!</v>
      </c>
      <c r="AA82" s="472" t="s">
        <v>487</v>
      </c>
      <c r="AB82" s="466" t="e">
        <f t="shared" si="31"/>
        <v>#REF!</v>
      </c>
      <c r="AC82" s="467"/>
      <c r="AD82" s="468"/>
    </row>
    <row r="83" spans="1:103" s="469" customFormat="1" ht="27.75" customHeight="1">
      <c r="A83" s="473">
        <f t="shared" si="33"/>
        <v>74</v>
      </c>
      <c r="B83" s="456" t="s">
        <v>26</v>
      </c>
      <c r="C83" s="499" t="s">
        <v>325</v>
      </c>
      <c r="D83" s="456" t="s">
        <v>87</v>
      </c>
      <c r="E83" s="457"/>
      <c r="F83" s="458" t="s">
        <v>676</v>
      </c>
      <c r="G83" s="459">
        <v>336238.15</v>
      </c>
      <c r="H83" s="460"/>
      <c r="I83" s="461">
        <v>336238.15</v>
      </c>
      <c r="J83" s="461">
        <f>324942.4+346035.61</f>
        <v>670978.01</v>
      </c>
      <c r="K83" s="462">
        <f t="shared" si="22"/>
        <v>1007216.16</v>
      </c>
      <c r="L83" s="461">
        <v>326401.71000000002</v>
      </c>
      <c r="M83" s="461">
        <v>324452.24</v>
      </c>
      <c r="N83" s="461">
        <v>62744.92</v>
      </c>
      <c r="O83" s="462">
        <f t="shared" ref="O83:O85" si="34">SUM(L83:N83)</f>
        <v>713598.87</v>
      </c>
      <c r="P83" s="461"/>
      <c r="Q83" s="461"/>
      <c r="R83" s="461"/>
      <c r="S83" s="462">
        <f t="shared" ref="S83:S86" si="35">SUM(P83:R83)</f>
        <v>0</v>
      </c>
      <c r="T83" s="461"/>
      <c r="U83" s="461"/>
      <c r="V83" s="461"/>
      <c r="W83" s="462">
        <f t="shared" ref="W83:W85" si="36">SUM(T83:V83)</f>
        <v>0</v>
      </c>
      <c r="X83" s="464">
        <f t="shared" ref="X83:X85" si="37">K83+O83+S83+W83</f>
        <v>1720815.03</v>
      </c>
      <c r="Y83" s="464" t="e">
        <f>G83+'1 Дельта Т - СВОД'!#REF!</f>
        <v>#REF!</v>
      </c>
      <c r="Z83" s="465" t="e">
        <f t="shared" si="32"/>
        <v>#REF!</v>
      </c>
      <c r="AA83" s="470" t="s">
        <v>554</v>
      </c>
      <c r="AB83" s="466" t="e">
        <f t="shared" si="31"/>
        <v>#REF!</v>
      </c>
      <c r="AC83" s="467"/>
      <c r="AD83" s="468"/>
    </row>
    <row r="84" spans="1:103" s="469" customFormat="1" ht="27.75" customHeight="1">
      <c r="A84" s="473">
        <f t="shared" si="33"/>
        <v>75</v>
      </c>
      <c r="B84" s="456" t="s">
        <v>26</v>
      </c>
      <c r="C84" s="499" t="s">
        <v>80</v>
      </c>
      <c r="D84" s="456" t="s">
        <v>81</v>
      </c>
      <c r="E84" s="457"/>
      <c r="F84" s="458" t="s">
        <v>643</v>
      </c>
      <c r="G84" s="459">
        <v>37477346.890000001</v>
      </c>
      <c r="H84" s="460"/>
      <c r="I84" s="461">
        <v>37477346.890000001</v>
      </c>
      <c r="J84" s="461">
        <f>39524777.69+36903380.89</f>
        <v>76428158.579999998</v>
      </c>
      <c r="K84" s="462">
        <f t="shared" si="22"/>
        <v>113905505.47</v>
      </c>
      <c r="L84" s="461">
        <v>36281576.450000003</v>
      </c>
      <c r="M84" s="461">
        <v>33218621.390000001</v>
      </c>
      <c r="N84" s="461">
        <v>23216167.77</v>
      </c>
      <c r="O84" s="462">
        <f t="shared" si="34"/>
        <v>92716365.609999999</v>
      </c>
      <c r="P84" s="461"/>
      <c r="Q84" s="461"/>
      <c r="R84" s="461"/>
      <c r="S84" s="462">
        <f t="shared" si="35"/>
        <v>0</v>
      </c>
      <c r="T84" s="461"/>
      <c r="U84" s="461"/>
      <c r="V84" s="461"/>
      <c r="W84" s="462">
        <f t="shared" si="36"/>
        <v>0</v>
      </c>
      <c r="X84" s="464">
        <f t="shared" si="37"/>
        <v>206621871.07999998</v>
      </c>
      <c r="Y84" s="464" t="e">
        <f>G84+'1 Дельта Т - СВОД'!#REF!-0.01</f>
        <v>#REF!</v>
      </c>
      <c r="Z84" s="465" t="e">
        <f t="shared" si="32"/>
        <v>#REF!</v>
      </c>
      <c r="AA84" s="470" t="s">
        <v>540</v>
      </c>
      <c r="AB84" s="466" t="e">
        <f t="shared" si="31"/>
        <v>#REF!</v>
      </c>
      <c r="AC84" s="467"/>
      <c r="AD84" s="468"/>
    </row>
    <row r="85" spans="1:103" s="469" customFormat="1" ht="27.75" customHeight="1">
      <c r="A85" s="473">
        <f t="shared" si="33"/>
        <v>76</v>
      </c>
      <c r="B85" s="456" t="s">
        <v>26</v>
      </c>
      <c r="C85" s="499" t="s">
        <v>90</v>
      </c>
      <c r="D85" s="456" t="s">
        <v>91</v>
      </c>
      <c r="E85" s="457"/>
      <c r="F85" s="458" t="s">
        <v>632</v>
      </c>
      <c r="G85" s="459">
        <v>2472599.88</v>
      </c>
      <c r="H85" s="460">
        <v>2472599.88</v>
      </c>
      <c r="I85" s="461"/>
      <c r="J85" s="461">
        <f>2494849.21+2428116.01</f>
        <v>4922965.22</v>
      </c>
      <c r="K85" s="462">
        <f t="shared" si="22"/>
        <v>7395565.0999999996</v>
      </c>
      <c r="L85" s="461">
        <v>2370031</v>
      </c>
      <c r="M85" s="461">
        <v>2164443.79</v>
      </c>
      <c r="N85" s="461">
        <v>1054066.19</v>
      </c>
      <c r="O85" s="462">
        <f t="shared" si="34"/>
        <v>5588540.9800000004</v>
      </c>
      <c r="P85" s="461"/>
      <c r="Q85" s="461"/>
      <c r="R85" s="461"/>
      <c r="S85" s="462">
        <f t="shared" si="35"/>
        <v>0</v>
      </c>
      <c r="T85" s="461"/>
      <c r="U85" s="461"/>
      <c r="V85" s="461"/>
      <c r="W85" s="463">
        <f t="shared" si="36"/>
        <v>0</v>
      </c>
      <c r="X85" s="464">
        <f t="shared" si="37"/>
        <v>12984106.08</v>
      </c>
      <c r="Y85" s="464" t="e">
        <f>G85+'1 Дельта Т - СВОД'!#REF!+0.01</f>
        <v>#REF!</v>
      </c>
      <c r="Z85" s="465" t="e">
        <f t="shared" si="32"/>
        <v>#REF!</v>
      </c>
      <c r="AA85" s="470"/>
      <c r="AB85" s="466" t="e">
        <f t="shared" si="31"/>
        <v>#REF!</v>
      </c>
      <c r="AC85" s="467"/>
      <c r="AD85" s="468"/>
    </row>
    <row r="86" spans="1:103" s="469" customFormat="1" ht="27.75" customHeight="1">
      <c r="A86" s="473">
        <f t="shared" si="33"/>
        <v>77</v>
      </c>
      <c r="B86" s="456" t="s">
        <v>26</v>
      </c>
      <c r="C86" s="499" t="s">
        <v>203</v>
      </c>
      <c r="D86" s="456">
        <v>2920016693</v>
      </c>
      <c r="E86" s="457"/>
      <c r="F86" s="458" t="s">
        <v>631</v>
      </c>
      <c r="G86" s="459">
        <v>2260278.86</v>
      </c>
      <c r="H86" s="460">
        <v>2260278.86</v>
      </c>
      <c r="I86" s="461"/>
      <c r="J86" s="461">
        <f>2534451.56+2290520.59</f>
        <v>4824972.1500000004</v>
      </c>
      <c r="K86" s="462">
        <f t="shared" si="22"/>
        <v>7085251.0099999998</v>
      </c>
      <c r="L86" s="461">
        <v>2405467.2999999998</v>
      </c>
      <c r="M86" s="461">
        <v>2249132.79</v>
      </c>
      <c r="N86" s="461">
        <v>1085346.53</v>
      </c>
      <c r="O86" s="462">
        <f t="shared" ref="O86:O94" si="38">SUM(L86:N86)</f>
        <v>5739946.6200000001</v>
      </c>
      <c r="P86" s="461"/>
      <c r="Q86" s="461"/>
      <c r="R86" s="461"/>
      <c r="S86" s="462">
        <f t="shared" si="35"/>
        <v>0</v>
      </c>
      <c r="T86" s="461"/>
      <c r="U86" s="461"/>
      <c r="V86" s="461"/>
      <c r="W86" s="463">
        <f t="shared" ref="W86:W94" si="39">SUM(T86:V86)</f>
        <v>0</v>
      </c>
      <c r="X86" s="464">
        <f t="shared" ref="X86:X94" si="40">K86+O86+S86+W86</f>
        <v>12825197.629999999</v>
      </c>
      <c r="Y86" s="464" t="e">
        <f>G86+'1 Дельта Т - СВОД'!#REF!</f>
        <v>#REF!</v>
      </c>
      <c r="Z86" s="465" t="e">
        <f t="shared" si="32"/>
        <v>#REF!</v>
      </c>
      <c r="AA86" s="470" t="s">
        <v>377</v>
      </c>
      <c r="AB86" s="466" t="e">
        <f t="shared" si="31"/>
        <v>#REF!</v>
      </c>
      <c r="AC86" s="467"/>
      <c r="AD86" s="468"/>
    </row>
    <row r="87" spans="1:103" s="94" customFormat="1" ht="27.75" customHeight="1">
      <c r="A87" s="473">
        <f t="shared" si="33"/>
        <v>78</v>
      </c>
      <c r="B87" s="471" t="s">
        <v>26</v>
      </c>
      <c r="C87" s="500" t="s">
        <v>92</v>
      </c>
      <c r="D87" s="471">
        <v>2901230116</v>
      </c>
      <c r="E87" s="457"/>
      <c r="F87" s="458" t="s">
        <v>673</v>
      </c>
      <c r="G87" s="459">
        <v>3660621.7</v>
      </c>
      <c r="H87" s="460"/>
      <c r="I87" s="461">
        <v>3660621.7</v>
      </c>
      <c r="J87" s="461">
        <f>3660621.7+3660621.7</f>
        <v>7321243.4000000004</v>
      </c>
      <c r="K87" s="462">
        <f t="shared" si="22"/>
        <v>10981865.100000001</v>
      </c>
      <c r="L87" s="461">
        <v>3660621.7</v>
      </c>
      <c r="M87" s="461">
        <v>3660621.7</v>
      </c>
      <c r="N87" s="461">
        <v>3660621.7</v>
      </c>
      <c r="O87" s="462">
        <f t="shared" si="38"/>
        <v>10981865.100000001</v>
      </c>
      <c r="P87" s="461"/>
      <c r="Q87" s="461"/>
      <c r="R87" s="461"/>
      <c r="S87" s="462">
        <f t="shared" ref="S87:S94" si="41">SUM(P87:R87)</f>
        <v>0</v>
      </c>
      <c r="T87" s="461"/>
      <c r="U87" s="461"/>
      <c r="V87" s="461"/>
      <c r="W87" s="462">
        <f t="shared" si="39"/>
        <v>0</v>
      </c>
      <c r="X87" s="464">
        <f t="shared" si="40"/>
        <v>21963730.200000003</v>
      </c>
      <c r="Y87" s="464" t="e">
        <f>G87+'1 Дельта Т - СВОД'!#REF!+0.01</f>
        <v>#REF!</v>
      </c>
      <c r="Z87" s="465" t="e">
        <f t="shared" si="32"/>
        <v>#REF!</v>
      </c>
      <c r="AA87" s="472"/>
      <c r="AB87" s="466" t="e">
        <f t="shared" si="31"/>
        <v>#REF!</v>
      </c>
      <c r="AC87" s="467"/>
      <c r="AD87" s="468"/>
    </row>
    <row r="88" spans="1:103" s="469" customFormat="1" ht="27.75" customHeight="1">
      <c r="A88" s="473">
        <f>A87+1</f>
        <v>79</v>
      </c>
      <c r="B88" s="456" t="s">
        <v>26</v>
      </c>
      <c r="C88" s="499" t="s">
        <v>93</v>
      </c>
      <c r="D88" s="456" t="s">
        <v>94</v>
      </c>
      <c r="E88" s="457"/>
      <c r="F88" s="458" t="s">
        <v>663</v>
      </c>
      <c r="G88" s="459">
        <v>3783626.68</v>
      </c>
      <c r="H88" s="460"/>
      <c r="I88" s="461">
        <v>3783626.68</v>
      </c>
      <c r="J88" s="461">
        <f>3239102.31+3587132.19</f>
        <v>6826234.5</v>
      </c>
      <c r="K88" s="462">
        <f t="shared" si="22"/>
        <v>10609861.18</v>
      </c>
      <c r="L88" s="461">
        <v>3377713.82</v>
      </c>
      <c r="M88" s="461">
        <v>3033667.4</v>
      </c>
      <c r="N88" s="461">
        <v>2009666.42</v>
      </c>
      <c r="O88" s="462">
        <f t="shared" si="38"/>
        <v>8421047.6400000006</v>
      </c>
      <c r="P88" s="461"/>
      <c r="Q88" s="497"/>
      <c r="R88" s="461"/>
      <c r="S88" s="462">
        <f t="shared" si="41"/>
        <v>0</v>
      </c>
      <c r="T88" s="461"/>
      <c r="U88" s="461"/>
      <c r="V88" s="461"/>
      <c r="W88" s="462">
        <f t="shared" si="39"/>
        <v>0</v>
      </c>
      <c r="X88" s="464">
        <f t="shared" si="40"/>
        <v>19030908.82</v>
      </c>
      <c r="Y88" s="464" t="e">
        <f>G88+'1 Дельта Т - СВОД'!#REF!-0.01</f>
        <v>#REF!</v>
      </c>
      <c r="Z88" s="465" t="e">
        <f t="shared" si="32"/>
        <v>#REF!</v>
      </c>
      <c r="AA88" s="472"/>
      <c r="AB88" s="466" t="e">
        <f t="shared" si="31"/>
        <v>#REF!</v>
      </c>
      <c r="AC88" s="467"/>
      <c r="AD88" s="468"/>
    </row>
    <row r="89" spans="1:103" s="469" customFormat="1" ht="27.75" customHeight="1">
      <c r="A89" s="473">
        <f>A88+1</f>
        <v>80</v>
      </c>
      <c r="B89" s="456" t="s">
        <v>26</v>
      </c>
      <c r="C89" s="499" t="s">
        <v>166</v>
      </c>
      <c r="D89" s="456">
        <v>2923007217</v>
      </c>
      <c r="E89" s="457"/>
      <c r="F89" s="458" t="s">
        <v>657</v>
      </c>
      <c r="G89" s="459">
        <v>9329303.1199999992</v>
      </c>
      <c r="H89" s="460"/>
      <c r="I89" s="461">
        <v>9329303.1199999992</v>
      </c>
      <c r="J89" s="461">
        <f>9949521.19+8820812.18</f>
        <v>18770333.369999997</v>
      </c>
      <c r="K89" s="462">
        <f t="shared" si="22"/>
        <v>28099636.489999995</v>
      </c>
      <c r="L89" s="461">
        <v>8754003.9499999993</v>
      </c>
      <c r="M89" s="461">
        <v>7914582.1399999997</v>
      </c>
      <c r="N89" s="461">
        <v>5953325.4100000001</v>
      </c>
      <c r="O89" s="462">
        <f t="shared" si="38"/>
        <v>22621911.5</v>
      </c>
      <c r="P89" s="461"/>
      <c r="Q89" s="498"/>
      <c r="R89" s="498"/>
      <c r="S89" s="462">
        <f t="shared" si="41"/>
        <v>0</v>
      </c>
      <c r="T89" s="461"/>
      <c r="U89" s="461"/>
      <c r="V89" s="461"/>
      <c r="W89" s="462">
        <f t="shared" si="39"/>
        <v>0</v>
      </c>
      <c r="X89" s="464">
        <f t="shared" si="40"/>
        <v>50721547.989999995</v>
      </c>
      <c r="Y89" s="464" t="e">
        <f>G89+'1 Дельта Т - СВОД'!#REF!+0.02</f>
        <v>#REF!</v>
      </c>
      <c r="Z89" s="465" t="e">
        <f t="shared" si="32"/>
        <v>#REF!</v>
      </c>
      <c r="AA89" s="470" t="s">
        <v>373</v>
      </c>
      <c r="AB89" s="466" t="e">
        <f t="shared" si="31"/>
        <v>#REF!</v>
      </c>
      <c r="AC89" s="467"/>
      <c r="AD89" s="468"/>
    </row>
    <row r="90" spans="1:103" s="469" customFormat="1" ht="27.75" customHeight="1">
      <c r="A90" s="473">
        <f>A89+1</f>
        <v>81</v>
      </c>
      <c r="B90" s="456" t="s">
        <v>26</v>
      </c>
      <c r="C90" s="499" t="s">
        <v>96</v>
      </c>
      <c r="D90" s="456">
        <v>2918011948</v>
      </c>
      <c r="E90" s="457"/>
      <c r="F90" s="458" t="s">
        <v>655</v>
      </c>
      <c r="G90" s="459">
        <v>34928392.460000001</v>
      </c>
      <c r="H90" s="487"/>
      <c r="I90" s="461">
        <v>34928392.460000001</v>
      </c>
      <c r="J90" s="461">
        <f>49660887.51+35687613.96</f>
        <v>85348501.469999999</v>
      </c>
      <c r="K90" s="462">
        <f t="shared" si="22"/>
        <v>120276893.93000001</v>
      </c>
      <c r="L90" s="461">
        <v>40892202.020000003</v>
      </c>
      <c r="M90" s="461">
        <v>33279038.300000001</v>
      </c>
      <c r="N90" s="461">
        <v>23412776.73</v>
      </c>
      <c r="O90" s="462">
        <f t="shared" si="38"/>
        <v>97584017.050000012</v>
      </c>
      <c r="P90" s="461"/>
      <c r="Q90" s="461"/>
      <c r="R90" s="461"/>
      <c r="S90" s="462">
        <f t="shared" si="41"/>
        <v>0</v>
      </c>
      <c r="T90" s="461"/>
      <c r="U90" s="461"/>
      <c r="V90" s="461"/>
      <c r="W90" s="462">
        <f t="shared" si="39"/>
        <v>0</v>
      </c>
      <c r="X90" s="464">
        <f t="shared" si="40"/>
        <v>217860910.98000002</v>
      </c>
      <c r="Y90" s="464" t="e">
        <f>G90+'1 Дельта Т - СВОД'!#REF!+0.01</f>
        <v>#REF!</v>
      </c>
      <c r="Z90" s="465" t="e">
        <f t="shared" si="32"/>
        <v>#REF!</v>
      </c>
      <c r="AA90" s="470" t="s">
        <v>596</v>
      </c>
      <c r="AB90" s="466" t="e">
        <f t="shared" si="31"/>
        <v>#REF!</v>
      </c>
      <c r="AC90" s="467"/>
      <c r="AD90" s="468"/>
    </row>
    <row r="91" spans="1:103" s="94" customFormat="1" ht="27.75" customHeight="1">
      <c r="A91" s="473">
        <f>A90+1</f>
        <v>82</v>
      </c>
      <c r="B91" s="471" t="s">
        <v>247</v>
      </c>
      <c r="C91" s="500" t="s">
        <v>501</v>
      </c>
      <c r="D91" s="471" t="s">
        <v>60</v>
      </c>
      <c r="E91" s="457"/>
      <c r="F91" s="458" t="s">
        <v>625</v>
      </c>
      <c r="G91" s="459">
        <v>46848.21</v>
      </c>
      <c r="H91" s="460"/>
      <c r="I91" s="461">
        <v>46848.21</v>
      </c>
      <c r="J91" s="461">
        <f>46848.21+46848.21</f>
        <v>93696.42</v>
      </c>
      <c r="K91" s="462">
        <f t="shared" si="22"/>
        <v>140544.63</v>
      </c>
      <c r="L91" s="461">
        <v>46848.21</v>
      </c>
      <c r="M91" s="461">
        <v>46848.21</v>
      </c>
      <c r="N91" s="461">
        <v>22667.77</v>
      </c>
      <c r="O91" s="462">
        <f t="shared" si="38"/>
        <v>116364.19</v>
      </c>
      <c r="P91" s="461"/>
      <c r="Q91" s="461"/>
      <c r="R91" s="461"/>
      <c r="S91" s="462">
        <f t="shared" si="41"/>
        <v>0</v>
      </c>
      <c r="T91" s="461"/>
      <c r="U91" s="461"/>
      <c r="V91" s="461"/>
      <c r="W91" s="462">
        <f t="shared" si="39"/>
        <v>0</v>
      </c>
      <c r="X91" s="464">
        <f t="shared" si="40"/>
        <v>256908.82</v>
      </c>
      <c r="Y91" s="464" t="e">
        <f>G91+'1 Дельта Т - СВОД'!#REF!</f>
        <v>#REF!</v>
      </c>
      <c r="Z91" s="465" t="e">
        <f t="shared" si="32"/>
        <v>#REF!</v>
      </c>
      <c r="AA91" s="470" t="s">
        <v>199</v>
      </c>
      <c r="AB91" s="466" t="e">
        <f t="shared" si="31"/>
        <v>#REF!</v>
      </c>
      <c r="AC91" s="467"/>
      <c r="AD91" s="468"/>
    </row>
    <row r="92" spans="1:103" s="469" customFormat="1" ht="27.75" customHeight="1">
      <c r="A92" s="473">
        <f t="shared" ref="A92:A94" si="42">A91+1</f>
        <v>83</v>
      </c>
      <c r="B92" s="456" t="s">
        <v>247</v>
      </c>
      <c r="C92" s="499" t="s">
        <v>249</v>
      </c>
      <c r="D92" s="456">
        <v>7606053324</v>
      </c>
      <c r="E92" s="457"/>
      <c r="F92" s="458" t="s">
        <v>684</v>
      </c>
      <c r="G92" s="492">
        <v>119014100.11</v>
      </c>
      <c r="H92" s="487"/>
      <c r="I92" s="461">
        <v>119014100.11</v>
      </c>
      <c r="J92" s="461">
        <f>136419499.63+114023558</f>
        <v>250443057.63</v>
      </c>
      <c r="K92" s="462">
        <f t="shared" si="22"/>
        <v>369457157.74000001</v>
      </c>
      <c r="L92" s="461">
        <v>117966267.01000001</v>
      </c>
      <c r="M92" s="461">
        <v>103642777.69</v>
      </c>
      <c r="N92" s="461">
        <v>72513467.609999999</v>
      </c>
      <c r="O92" s="462">
        <f t="shared" si="38"/>
        <v>294122512.31</v>
      </c>
      <c r="P92" s="461"/>
      <c r="Q92" s="461"/>
      <c r="R92" s="461"/>
      <c r="S92" s="462">
        <f t="shared" si="41"/>
        <v>0</v>
      </c>
      <c r="T92" s="461"/>
      <c r="U92" s="461"/>
      <c r="V92" s="461"/>
      <c r="W92" s="463">
        <f t="shared" si="39"/>
        <v>0</v>
      </c>
      <c r="X92" s="464">
        <f t="shared" si="40"/>
        <v>663579670.04999995</v>
      </c>
      <c r="Y92" s="464" t="e">
        <f>G92+'1 Дельта Т - СВОД'!#REF!+0.02</f>
        <v>#REF!</v>
      </c>
      <c r="Z92" s="465" t="e">
        <f t="shared" si="32"/>
        <v>#REF!</v>
      </c>
      <c r="AA92" s="470" t="s">
        <v>563</v>
      </c>
      <c r="AB92" s="466" t="e">
        <f t="shared" si="31"/>
        <v>#REF!</v>
      </c>
      <c r="AC92" s="467"/>
      <c r="AD92" s="468"/>
    </row>
    <row r="93" spans="1:103" s="94" customFormat="1" ht="27.75" customHeight="1">
      <c r="A93" s="473">
        <f t="shared" si="42"/>
        <v>84</v>
      </c>
      <c r="B93" s="471" t="s">
        <v>117</v>
      </c>
      <c r="C93" s="500" t="s">
        <v>118</v>
      </c>
      <c r="D93" s="471" t="s">
        <v>119</v>
      </c>
      <c r="E93" s="457"/>
      <c r="F93" s="458" t="s">
        <v>1183</v>
      </c>
      <c r="G93" s="459">
        <v>6989814.21</v>
      </c>
      <c r="H93" s="460"/>
      <c r="I93" s="461">
        <v>6989814.21</v>
      </c>
      <c r="J93" s="461">
        <f>7194412.78+6758037.41</f>
        <v>13952450.190000001</v>
      </c>
      <c r="K93" s="462">
        <f t="shared" si="22"/>
        <v>20942264.400000002</v>
      </c>
      <c r="L93" s="461">
        <v>6803550.6600000001</v>
      </c>
      <c r="M93" s="461">
        <v>6556864.46</v>
      </c>
      <c r="N93" s="461">
        <v>5885445.25</v>
      </c>
      <c r="O93" s="462">
        <f t="shared" si="38"/>
        <v>19245860.370000001</v>
      </c>
      <c r="P93" s="461"/>
      <c r="Q93" s="461"/>
      <c r="R93" s="461"/>
      <c r="S93" s="462">
        <f t="shared" si="41"/>
        <v>0</v>
      </c>
      <c r="T93" s="461"/>
      <c r="U93" s="461"/>
      <c r="V93" s="461"/>
      <c r="W93" s="462">
        <f t="shared" si="39"/>
        <v>0</v>
      </c>
      <c r="X93" s="464">
        <f t="shared" si="40"/>
        <v>40188124.770000003</v>
      </c>
      <c r="Y93" s="464" t="e">
        <f>G93+'1 Дельта Т - СВОД'!#REF!</f>
        <v>#REF!</v>
      </c>
      <c r="Z93" s="465" t="e">
        <f t="shared" si="32"/>
        <v>#REF!</v>
      </c>
      <c r="AA93" s="472" t="s">
        <v>366</v>
      </c>
      <c r="AB93" s="466" t="e">
        <f t="shared" si="31"/>
        <v>#REF!</v>
      </c>
      <c r="AC93" s="467"/>
      <c r="AD93" s="468"/>
    </row>
    <row r="94" spans="1:103" s="469" customFormat="1" ht="27.75" customHeight="1">
      <c r="A94" s="473">
        <f t="shared" si="42"/>
        <v>85</v>
      </c>
      <c r="B94" s="456" t="s">
        <v>98</v>
      </c>
      <c r="C94" s="499" t="s">
        <v>99</v>
      </c>
      <c r="D94" s="456" t="s">
        <v>100</v>
      </c>
      <c r="E94" s="457"/>
      <c r="F94" s="458" t="s">
        <v>652</v>
      </c>
      <c r="G94" s="459">
        <v>221117.02</v>
      </c>
      <c r="H94" s="460"/>
      <c r="I94" s="460">
        <v>221117.02</v>
      </c>
      <c r="J94" s="461">
        <f>221133.69+221133.69</f>
        <v>442267.38</v>
      </c>
      <c r="K94" s="462">
        <f t="shared" si="22"/>
        <v>663384.4</v>
      </c>
      <c r="L94" s="461">
        <v>221133.69</v>
      </c>
      <c r="M94" s="461">
        <v>221133.69</v>
      </c>
      <c r="N94" s="461">
        <v>221117.02</v>
      </c>
      <c r="O94" s="462">
        <f t="shared" si="38"/>
        <v>663384.4</v>
      </c>
      <c r="P94" s="461"/>
      <c r="Q94" s="461"/>
      <c r="R94" s="461"/>
      <c r="S94" s="462">
        <f t="shared" si="41"/>
        <v>0</v>
      </c>
      <c r="T94" s="461"/>
      <c r="U94" s="461"/>
      <c r="V94" s="461"/>
      <c r="W94" s="462">
        <f t="shared" si="39"/>
        <v>0</v>
      </c>
      <c r="X94" s="464">
        <f t="shared" si="40"/>
        <v>1326768.8</v>
      </c>
      <c r="Y94" s="464" t="e">
        <f>G94+'1 Дельта Т - СВОД'!#REF!-0.02</f>
        <v>#REF!</v>
      </c>
      <c r="Z94" s="465" t="e">
        <f t="shared" si="32"/>
        <v>#REF!</v>
      </c>
      <c r="AA94" s="483"/>
      <c r="AB94" s="466" t="e">
        <f t="shared" si="31"/>
        <v>#REF!</v>
      </c>
      <c r="AC94" s="467"/>
      <c r="AD94" s="468"/>
    </row>
    <row r="95" spans="1:103" s="30" customFormat="1" ht="17.25" customHeight="1">
      <c r="A95" s="397"/>
      <c r="B95" s="97" t="s">
        <v>26</v>
      </c>
      <c r="C95" s="98" t="s">
        <v>198</v>
      </c>
      <c r="D95" s="118">
        <v>352536837</v>
      </c>
      <c r="E95" s="87"/>
      <c r="F95" s="28"/>
      <c r="G95" s="370">
        <v>4479092.47</v>
      </c>
      <c r="H95" s="63"/>
      <c r="I95" s="9">
        <v>4479092.47</v>
      </c>
      <c r="J95" s="9"/>
      <c r="K95" s="21">
        <f>SUM(H95:J95)</f>
        <v>4479092.47</v>
      </c>
      <c r="L95" s="9">
        <v>0</v>
      </c>
      <c r="M95" s="9"/>
      <c r="N95" s="9"/>
      <c r="O95" s="21">
        <f>SUM(L95:N95)</f>
        <v>0</v>
      </c>
      <c r="P95" s="9"/>
      <c r="Q95" s="9"/>
      <c r="R95" s="9"/>
      <c r="S95" s="21">
        <f>SUM(P95:R95)</f>
        <v>0</v>
      </c>
      <c r="T95" s="9"/>
      <c r="U95" s="9"/>
      <c r="V95" s="9"/>
      <c r="W95" s="21">
        <f>SUM(T95:V95)</f>
        <v>0</v>
      </c>
      <c r="X95" s="46">
        <f>K95+O95+S95+W95</f>
        <v>4479092.47</v>
      </c>
      <c r="Y95" s="46" t="e">
        <f>G95+'1 Дельта Т - СВОД'!#REF!</f>
        <v>#REF!</v>
      </c>
      <c r="Z95" s="502" t="e">
        <f>Y95-X95</f>
        <v>#REF!</v>
      </c>
      <c r="AA95" s="388" t="s">
        <v>697</v>
      </c>
      <c r="AB95" s="16" t="e">
        <f>Y95-I95-H95</f>
        <v>#REF!</v>
      </c>
      <c r="AC95" s="106"/>
      <c r="AD95" s="117"/>
    </row>
    <row r="96" spans="1:103" s="42" customFormat="1">
      <c r="A96" s="399"/>
      <c r="B96" s="400"/>
      <c r="C96" s="401" t="s">
        <v>154</v>
      </c>
      <c r="D96" s="402"/>
      <c r="E96" s="403"/>
      <c r="F96" s="404"/>
      <c r="G96" s="405">
        <f>SUM(G10:G95)</f>
        <v>599696798.41999996</v>
      </c>
      <c r="H96" s="406">
        <f>SUM(H10:H95)</f>
        <v>152800393.75</v>
      </c>
      <c r="I96" s="406">
        <f t="shared" ref="I96:X96" si="43">SUM(I10:I95)</f>
        <v>446226917.25</v>
      </c>
      <c r="J96" s="406">
        <f t="shared" si="43"/>
        <v>1239333447.7400002</v>
      </c>
      <c r="K96" s="406">
        <f t="shared" si="43"/>
        <v>1838360758.7400005</v>
      </c>
      <c r="L96" s="406">
        <f t="shared" si="43"/>
        <v>586326505.68999994</v>
      </c>
      <c r="M96" s="406">
        <f>SUM(M10:M95)</f>
        <v>525357275.32999992</v>
      </c>
      <c r="N96" s="406">
        <f t="shared" si="43"/>
        <v>366327585.7299999</v>
      </c>
      <c r="O96" s="406">
        <f t="shared" si="43"/>
        <v>1478011366.75</v>
      </c>
      <c r="P96" s="406">
        <f t="shared" si="43"/>
        <v>0</v>
      </c>
      <c r="Q96" s="406">
        <f t="shared" si="43"/>
        <v>0</v>
      </c>
      <c r="R96" s="406">
        <f t="shared" si="43"/>
        <v>0</v>
      </c>
      <c r="S96" s="406">
        <f t="shared" si="43"/>
        <v>0</v>
      </c>
      <c r="T96" s="406">
        <f t="shared" si="43"/>
        <v>0</v>
      </c>
      <c r="U96" s="406">
        <f t="shared" si="43"/>
        <v>0</v>
      </c>
      <c r="V96" s="406">
        <f t="shared" si="43"/>
        <v>0</v>
      </c>
      <c r="W96" s="406">
        <f t="shared" si="43"/>
        <v>0</v>
      </c>
      <c r="X96" s="406">
        <f t="shared" si="43"/>
        <v>3316372125.4900007</v>
      </c>
      <c r="Y96" s="406" t="e">
        <f>SUM(Y10:Y95)+0.01</f>
        <v>#REF!</v>
      </c>
      <c r="Z96" s="406" t="e">
        <f>SUM(Z10:Z95)+0.01</f>
        <v>#REF!</v>
      </c>
      <c r="AA96" s="396"/>
      <c r="AB96" s="329"/>
      <c r="AC96" s="248"/>
      <c r="AD96" s="117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  <c r="BN96" s="248"/>
      <c r="BO96" s="248"/>
      <c r="BP96" s="248"/>
      <c r="BQ96" s="248"/>
      <c r="BR96" s="248"/>
      <c r="BS96" s="248"/>
      <c r="BT96" s="248"/>
      <c r="BU96" s="248"/>
      <c r="BV96" s="248"/>
      <c r="BW96" s="248"/>
      <c r="BX96" s="248"/>
      <c r="BY96" s="248"/>
      <c r="BZ96" s="248"/>
      <c r="CA96" s="248"/>
      <c r="CB96" s="248"/>
      <c r="CC96" s="248"/>
      <c r="CD96" s="248"/>
      <c r="CE96" s="248"/>
      <c r="CF96" s="248"/>
      <c r="CG96" s="248"/>
      <c r="CH96" s="248"/>
      <c r="CI96" s="248"/>
      <c r="CJ96" s="248"/>
      <c r="CK96" s="248"/>
      <c r="CL96" s="248"/>
      <c r="CM96" s="248"/>
      <c r="CN96" s="248"/>
      <c r="CO96" s="248"/>
      <c r="CP96" s="248"/>
      <c r="CQ96" s="248"/>
      <c r="CR96" s="248"/>
      <c r="CS96" s="248"/>
      <c r="CT96" s="248"/>
      <c r="CU96" s="248"/>
      <c r="CV96" s="248"/>
      <c r="CW96" s="248"/>
      <c r="CX96" s="248"/>
      <c r="CY96" s="248"/>
    </row>
    <row r="97" spans="1:30" ht="15.75" customHeight="1">
      <c r="A97" s="94"/>
      <c r="C97" s="31"/>
      <c r="G97" s="41"/>
      <c r="H97" s="95"/>
      <c r="I97" s="96"/>
      <c r="K97" s="49"/>
      <c r="M97" s="49"/>
      <c r="O97" s="31"/>
      <c r="S97" s="31"/>
      <c r="W97" s="31"/>
      <c r="X97" s="89"/>
      <c r="Y97" s="45"/>
      <c r="Z97" s="90"/>
      <c r="AA97" s="31"/>
    </row>
    <row r="98" spans="1:30" ht="14.25" customHeight="1">
      <c r="A98" s="528" t="s">
        <v>447</v>
      </c>
      <c r="B98" s="526"/>
      <c r="C98" s="526"/>
      <c r="D98" s="526"/>
      <c r="E98" s="526"/>
      <c r="F98" s="526"/>
      <c r="G98" s="379"/>
      <c r="H98" s="380"/>
      <c r="I98" s="381"/>
      <c r="J98" s="382"/>
      <c r="K98" s="378"/>
      <c r="L98" s="383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84"/>
      <c r="Y98" s="384"/>
      <c r="Z98" s="385"/>
      <c r="AA98" s="31"/>
    </row>
    <row r="99" spans="1:30">
      <c r="A99" s="372">
        <v>1</v>
      </c>
      <c r="B99" s="8" t="s">
        <v>448</v>
      </c>
      <c r="C99" s="22" t="s">
        <v>449</v>
      </c>
      <c r="D99" s="23">
        <v>2914001089</v>
      </c>
      <c r="E99" s="87"/>
      <c r="F99" s="28" t="s">
        <v>706</v>
      </c>
      <c r="G99" s="363">
        <v>192804.14</v>
      </c>
      <c r="H99" s="63"/>
      <c r="I99" s="9"/>
      <c r="J99" s="9">
        <f>192804.14+472880.48</f>
        <v>665684.62</v>
      </c>
      <c r="K99" s="21">
        <f>SUM(H99:J99)</f>
        <v>665684.62</v>
      </c>
      <c r="L99" s="9">
        <v>172203.41</v>
      </c>
      <c r="M99" s="9">
        <v>141115.03</v>
      </c>
      <c r="N99" s="9">
        <v>68637.899999999994</v>
      </c>
      <c r="O99" s="21">
        <f>SUM(L99:N99)</f>
        <v>381956.33999999997</v>
      </c>
      <c r="P99" s="9"/>
      <c r="Q99" s="9"/>
      <c r="R99" s="9"/>
      <c r="S99" s="21">
        <f>SUM(P99:R99)</f>
        <v>0</v>
      </c>
      <c r="T99" s="9"/>
      <c r="U99" s="9"/>
      <c r="V99" s="9"/>
      <c r="W99" s="21">
        <f>SUM(T99:V99)</f>
        <v>0</v>
      </c>
      <c r="X99" s="46">
        <f>K99+O99+S99+W99</f>
        <v>1047640.96</v>
      </c>
      <c r="Y99" s="46" t="e">
        <f>G99+'1 Дельта Т - СВОД'!#REF!</f>
        <v>#REF!</v>
      </c>
      <c r="Z99" s="386" t="e">
        <f>Y99-X99</f>
        <v>#REF!</v>
      </c>
      <c r="AA99" s="371"/>
      <c r="AB99" s="37" t="e">
        <f>Y99-I99</f>
        <v>#REF!</v>
      </c>
      <c r="AC99" s="106"/>
      <c r="AD99" s="117"/>
    </row>
    <row r="100" spans="1:30" ht="27.75" customHeight="1">
      <c r="A100" s="372">
        <v>2</v>
      </c>
      <c r="B100" s="8" t="s">
        <v>454</v>
      </c>
      <c r="C100" s="22" t="s">
        <v>455</v>
      </c>
      <c r="D100" s="23">
        <v>2908002905</v>
      </c>
      <c r="E100" s="87"/>
      <c r="F100" s="28"/>
      <c r="G100" s="363">
        <v>0</v>
      </c>
      <c r="H100" s="63"/>
      <c r="I100" s="9"/>
      <c r="J100" s="9"/>
      <c r="K100" s="21">
        <f>SUM(H100:J100)</f>
        <v>0</v>
      </c>
      <c r="L100" s="9"/>
      <c r="M100" s="9"/>
      <c r="N100" s="9"/>
      <c r="O100" s="21">
        <f>SUM(L100:N100)</f>
        <v>0</v>
      </c>
      <c r="P100" s="9"/>
      <c r="Q100" s="9"/>
      <c r="R100" s="9"/>
      <c r="S100" s="21">
        <f>SUM(P100:R100)</f>
        <v>0</v>
      </c>
      <c r="T100" s="9"/>
      <c r="U100" s="9"/>
      <c r="V100" s="9"/>
      <c r="W100" s="21">
        <f>SUM(T100:V100)</f>
        <v>0</v>
      </c>
      <c r="X100" s="46">
        <f>K100+O100+S100+W100</f>
        <v>0</v>
      </c>
      <c r="Y100" s="46">
        <f>G100</f>
        <v>0</v>
      </c>
      <c r="Z100" s="386">
        <f>Y100-X100</f>
        <v>0</v>
      </c>
      <c r="AA100" s="371"/>
    </row>
    <row r="101" spans="1:30" ht="26.25" customHeight="1">
      <c r="A101" s="372">
        <v>3</v>
      </c>
      <c r="B101" s="8"/>
      <c r="C101" s="22" t="s">
        <v>457</v>
      </c>
      <c r="D101" s="23">
        <v>7729314745</v>
      </c>
      <c r="E101" s="87"/>
      <c r="F101" s="28" t="s">
        <v>707</v>
      </c>
      <c r="G101" s="363">
        <v>18584834.010000002</v>
      </c>
      <c r="H101" s="63"/>
      <c r="I101" s="9">
        <v>18584834.010000002</v>
      </c>
      <c r="J101" s="9">
        <f>18516175.09+18500829.05</f>
        <v>37017004.140000001</v>
      </c>
      <c r="K101" s="21">
        <f>SUM(H101:J101)</f>
        <v>55601838.150000006</v>
      </c>
      <c r="L101" s="9">
        <v>18114387.050000001</v>
      </c>
      <c r="M101" s="9">
        <v>18007858.91</v>
      </c>
      <c r="N101" s="9">
        <v>16679634.189999999</v>
      </c>
      <c r="O101" s="21">
        <f>SUM(L101:N101)</f>
        <v>52801880.149999999</v>
      </c>
      <c r="P101" s="9"/>
      <c r="Q101" s="9"/>
      <c r="R101" s="9"/>
      <c r="S101" s="21">
        <f>SUM(P101:R101)</f>
        <v>0</v>
      </c>
      <c r="T101" s="9"/>
      <c r="U101" s="9"/>
      <c r="V101" s="9"/>
      <c r="W101" s="21">
        <f>SUM(T101:V101)</f>
        <v>0</v>
      </c>
      <c r="X101" s="46">
        <f t="shared" ref="X101" si="44">K101+O101+S101+W101</f>
        <v>108403718.30000001</v>
      </c>
      <c r="Y101" s="46" t="e">
        <f>G101+'1 Дельта Т - СВОД'!#REF!+0.06</f>
        <v>#REF!</v>
      </c>
      <c r="Z101" s="386" t="e">
        <f>Y101-X101</f>
        <v>#REF!</v>
      </c>
      <c r="AA101" s="371"/>
      <c r="AB101" s="37" t="e">
        <f>Y101-I101</f>
        <v>#REF!</v>
      </c>
    </row>
    <row r="102" spans="1:30" ht="26.25">
      <c r="A102" s="372">
        <v>4</v>
      </c>
      <c r="B102" s="8" t="s">
        <v>454</v>
      </c>
      <c r="C102" s="22" t="s">
        <v>472</v>
      </c>
      <c r="D102" s="23">
        <v>2919003788</v>
      </c>
      <c r="E102" s="87"/>
      <c r="F102" s="28" t="s">
        <v>1190</v>
      </c>
      <c r="G102" s="363">
        <v>16785.13</v>
      </c>
      <c r="H102" s="63"/>
      <c r="I102" s="9">
        <v>16785.13</v>
      </c>
      <c r="J102" s="9"/>
      <c r="K102" s="21">
        <f>SUM(H102:J102)</f>
        <v>16785.13</v>
      </c>
      <c r="L102" s="9">
        <v>50355.39</v>
      </c>
      <c r="M102" s="9">
        <v>16785.13</v>
      </c>
      <c r="N102" s="9">
        <v>11911.72</v>
      </c>
      <c r="O102" s="21">
        <f>SUM(L102:N102)</f>
        <v>79052.240000000005</v>
      </c>
      <c r="P102" s="9"/>
      <c r="Q102" s="9"/>
      <c r="R102" s="9"/>
      <c r="S102" s="21">
        <f>SUM(P102:R102)</f>
        <v>0</v>
      </c>
      <c r="T102" s="9"/>
      <c r="U102" s="9"/>
      <c r="V102" s="9"/>
      <c r="W102" s="21">
        <f>SUM(T102:V102)</f>
        <v>0</v>
      </c>
      <c r="X102" s="46">
        <f>K102+O102+S102+W102</f>
        <v>95837.37000000001</v>
      </c>
      <c r="Y102" s="46" t="e">
        <f>G102+'1 Дельта Т - СВОД'!#REF!</f>
        <v>#REF!</v>
      </c>
      <c r="Z102" s="386" t="e">
        <f>Y102-X102</f>
        <v>#REF!</v>
      </c>
      <c r="AA102" s="371"/>
    </row>
    <row r="103" spans="1:30">
      <c r="A103" s="372">
        <v>5</v>
      </c>
      <c r="B103" s="8" t="s">
        <v>454</v>
      </c>
      <c r="C103" s="22" t="s">
        <v>473</v>
      </c>
      <c r="D103" s="23">
        <v>2919003805</v>
      </c>
      <c r="E103" s="87"/>
      <c r="F103" s="28"/>
      <c r="G103" s="363">
        <v>9263.36</v>
      </c>
      <c r="H103" s="63"/>
      <c r="I103" s="9"/>
      <c r="J103" s="9"/>
      <c r="K103" s="21">
        <f>SUM(H103:J103)</f>
        <v>0</v>
      </c>
      <c r="L103" s="9"/>
      <c r="M103" s="9">
        <v>9263.36</v>
      </c>
      <c r="N103" s="9"/>
      <c r="O103" s="21">
        <f>SUM(L103:N103)</f>
        <v>9263.36</v>
      </c>
      <c r="P103" s="9"/>
      <c r="Q103" s="9"/>
      <c r="R103" s="9"/>
      <c r="S103" s="21">
        <f>SUM(P103:R103)</f>
        <v>0</v>
      </c>
      <c r="T103" s="9"/>
      <c r="U103" s="9"/>
      <c r="V103" s="9"/>
      <c r="W103" s="21">
        <f>SUM(T103:V103)</f>
        <v>0</v>
      </c>
      <c r="X103" s="46">
        <f>K103+O103+S103+W103</f>
        <v>9263.36</v>
      </c>
      <c r="Y103" s="46">
        <f>G103</f>
        <v>9263.36</v>
      </c>
      <c r="Z103" s="503">
        <f>Y103-X103</f>
        <v>0</v>
      </c>
      <c r="AA103" s="371"/>
    </row>
    <row r="104" spans="1:30">
      <c r="A104" s="373"/>
      <c r="B104" s="374"/>
      <c r="C104" s="374"/>
      <c r="D104" s="374"/>
      <c r="E104" s="375"/>
      <c r="F104" s="376"/>
      <c r="G104" s="377">
        <f>SUM(G99:G103)</f>
        <v>18803686.640000001</v>
      </c>
      <c r="H104" s="387">
        <f>SUM(H99:H103)</f>
        <v>0</v>
      </c>
      <c r="I104" s="387">
        <f t="shared" ref="I104:W104" si="45">SUM(I99:I103)</f>
        <v>18601619.140000001</v>
      </c>
      <c r="J104" s="387">
        <f t="shared" si="45"/>
        <v>37682688.759999998</v>
      </c>
      <c r="K104" s="387">
        <f t="shared" si="45"/>
        <v>56284307.900000006</v>
      </c>
      <c r="L104" s="387">
        <f t="shared" si="45"/>
        <v>18336945.850000001</v>
      </c>
      <c r="M104" s="387">
        <f>SUM(M99:M103)</f>
        <v>18175022.43</v>
      </c>
      <c r="N104" s="387">
        <f t="shared" si="45"/>
        <v>16760183.810000001</v>
      </c>
      <c r="O104" s="387">
        <f t="shared" si="45"/>
        <v>53272152.090000004</v>
      </c>
      <c r="P104" s="387">
        <f t="shared" si="45"/>
        <v>0</v>
      </c>
      <c r="Q104" s="387">
        <f t="shared" si="45"/>
        <v>0</v>
      </c>
      <c r="R104" s="387">
        <f t="shared" si="45"/>
        <v>0</v>
      </c>
      <c r="S104" s="387">
        <f t="shared" si="45"/>
        <v>0</v>
      </c>
      <c r="T104" s="387">
        <f t="shared" si="45"/>
        <v>0</v>
      </c>
      <c r="U104" s="387">
        <f t="shared" si="45"/>
        <v>0</v>
      </c>
      <c r="V104" s="387">
        <f t="shared" si="45"/>
        <v>0</v>
      </c>
      <c r="W104" s="387">
        <f t="shared" si="45"/>
        <v>0</v>
      </c>
      <c r="X104" s="387">
        <f>SUM(X99:X103)</f>
        <v>109556459.99000001</v>
      </c>
      <c r="Y104" s="387" t="e">
        <f>SUM(Y99:Y103)-0.01</f>
        <v>#REF!</v>
      </c>
      <c r="Z104" s="387" t="e">
        <f>SUM(Z99:Z103)-0.01</f>
        <v>#REF!</v>
      </c>
      <c r="AA104" s="31"/>
    </row>
    <row r="105" spans="1:30">
      <c r="C105" s="31"/>
      <c r="G105" s="39"/>
      <c r="I105" s="43"/>
      <c r="K105" s="31"/>
      <c r="O105" s="31"/>
      <c r="S105" s="31"/>
      <c r="W105" s="31"/>
      <c r="X105" s="91"/>
      <c r="Y105" s="92"/>
      <c r="Z105" s="504"/>
      <c r="AA105" s="31"/>
    </row>
    <row r="106" spans="1:30">
      <c r="A106" s="501" t="s">
        <v>1172</v>
      </c>
      <c r="B106" s="526" t="s">
        <v>1171</v>
      </c>
      <c r="C106" s="526"/>
      <c r="D106" s="526"/>
      <c r="E106" s="526"/>
      <c r="F106" s="527"/>
      <c r="G106" s="441"/>
      <c r="H106" s="380"/>
      <c r="I106" s="381"/>
      <c r="J106" s="382"/>
      <c r="K106" s="378"/>
      <c r="L106" s="383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84"/>
      <c r="Y106" s="384"/>
      <c r="Z106" s="385"/>
      <c r="AB106" s="330"/>
    </row>
    <row r="107" spans="1:30" s="30" customFormat="1" ht="24.75" customHeight="1">
      <c r="A107" s="443"/>
      <c r="B107" s="302"/>
      <c r="C107" s="98" t="s">
        <v>42</v>
      </c>
      <c r="D107" s="20" t="s">
        <v>43</v>
      </c>
      <c r="E107" s="87"/>
      <c r="F107" s="28"/>
      <c r="G107" s="363"/>
      <c r="H107" s="63"/>
      <c r="I107" s="9"/>
      <c r="J107" s="9"/>
      <c r="K107" s="21">
        <f t="shared" ref="K107:K148" si="46">SUM(H107:J107)</f>
        <v>0</v>
      </c>
      <c r="L107" s="9"/>
      <c r="M107" s="9"/>
      <c r="N107" s="9"/>
      <c r="O107" s="436">
        <f t="shared" ref="O107:O148" si="47">SUM(L107:N107)</f>
        <v>0</v>
      </c>
      <c r="P107" s="437"/>
      <c r="Q107" s="437"/>
      <c r="R107" s="437"/>
      <c r="S107" s="436">
        <f>SUM(P107:R107)</f>
        <v>0</v>
      </c>
      <c r="T107" s="437"/>
      <c r="U107" s="437"/>
      <c r="V107" s="437"/>
      <c r="W107" s="436">
        <f t="shared" ref="W107:W148" si="48">SUM(T107:V107)</f>
        <v>0</v>
      </c>
      <c r="X107" s="436">
        <f t="shared" ref="X107:X148" si="49">K107+O107+S107+W107</f>
        <v>0</v>
      </c>
      <c r="Y107" s="436"/>
      <c r="Z107" s="438">
        <f t="shared" ref="Z107:Z148" si="50">Y107-X107</f>
        <v>0</v>
      </c>
      <c r="AA107" s="389" t="s">
        <v>362</v>
      </c>
      <c r="AB107" s="16">
        <f t="shared" ref="AB107:AB148" si="51">Y107-I107-H107</f>
        <v>0</v>
      </c>
      <c r="AC107" s="106"/>
      <c r="AD107" s="117"/>
    </row>
    <row r="108" spans="1:30" s="30" customFormat="1" ht="26.25" customHeight="1">
      <c r="A108" s="372"/>
      <c r="B108" s="97" t="s">
        <v>52</v>
      </c>
      <c r="C108" s="98" t="s">
        <v>53</v>
      </c>
      <c r="D108" s="105">
        <v>290222043671</v>
      </c>
      <c r="E108" s="103"/>
      <c r="F108" s="28"/>
      <c r="G108" s="363"/>
      <c r="H108" s="99"/>
      <c r="I108" s="100"/>
      <c r="J108" s="100"/>
      <c r="K108" s="21">
        <f t="shared" si="46"/>
        <v>0</v>
      </c>
      <c r="L108" s="100"/>
      <c r="M108" s="100"/>
      <c r="N108" s="100"/>
      <c r="O108" s="436">
        <f t="shared" si="47"/>
        <v>0</v>
      </c>
      <c r="P108" s="437"/>
      <c r="Q108" s="437"/>
      <c r="R108" s="437"/>
      <c r="S108" s="436">
        <f>SUM(P108:R108)</f>
        <v>0</v>
      </c>
      <c r="T108" s="437"/>
      <c r="U108" s="437"/>
      <c r="V108" s="437"/>
      <c r="W108" s="436">
        <f t="shared" si="48"/>
        <v>0</v>
      </c>
      <c r="X108" s="436">
        <f t="shared" si="49"/>
        <v>0</v>
      </c>
      <c r="Y108" s="436">
        <f>G108+факт!BD38</f>
        <v>0</v>
      </c>
      <c r="Z108" s="438">
        <f t="shared" si="50"/>
        <v>0</v>
      </c>
      <c r="AA108" s="389" t="s">
        <v>351</v>
      </c>
      <c r="AB108" s="16">
        <f t="shared" si="51"/>
        <v>0</v>
      </c>
      <c r="AC108" s="117"/>
      <c r="AD108" s="117"/>
    </row>
    <row r="109" spans="1:30" s="30" customFormat="1" ht="25.5" customHeight="1">
      <c r="A109" s="397"/>
      <c r="B109" s="97" t="s">
        <v>52</v>
      </c>
      <c r="C109" s="98" t="s">
        <v>545</v>
      </c>
      <c r="D109" s="105">
        <v>290406794205</v>
      </c>
      <c r="E109" s="87"/>
      <c r="F109" s="28"/>
      <c r="G109" s="363"/>
      <c r="H109" s="9"/>
      <c r="I109" s="9"/>
      <c r="J109" s="9"/>
      <c r="K109" s="21">
        <f t="shared" si="46"/>
        <v>0</v>
      </c>
      <c r="L109" s="9"/>
      <c r="M109" s="9"/>
      <c r="N109" s="9"/>
      <c r="O109" s="436">
        <f t="shared" si="47"/>
        <v>0</v>
      </c>
      <c r="P109" s="437"/>
      <c r="Q109" s="437"/>
      <c r="R109" s="437"/>
      <c r="S109" s="436"/>
      <c r="T109" s="437"/>
      <c r="U109" s="437"/>
      <c r="V109" s="437"/>
      <c r="W109" s="436">
        <f t="shared" si="48"/>
        <v>0</v>
      </c>
      <c r="X109" s="436">
        <f t="shared" si="49"/>
        <v>0</v>
      </c>
      <c r="Y109" s="436">
        <f>G109+факт!BD41</f>
        <v>0</v>
      </c>
      <c r="Z109" s="438">
        <f t="shared" si="50"/>
        <v>0</v>
      </c>
      <c r="AA109" s="388" t="s">
        <v>598</v>
      </c>
      <c r="AB109" s="16">
        <f t="shared" si="51"/>
        <v>0</v>
      </c>
      <c r="AC109" s="106"/>
      <c r="AD109" s="117"/>
    </row>
    <row r="110" spans="1:30">
      <c r="A110" s="372"/>
      <c r="B110" s="97" t="s">
        <v>101</v>
      </c>
      <c r="C110" s="98" t="s">
        <v>110</v>
      </c>
      <c r="D110" s="23" t="s">
        <v>111</v>
      </c>
      <c r="E110" s="87"/>
      <c r="F110" s="28"/>
      <c r="G110" s="363"/>
      <c r="H110" s="9"/>
      <c r="I110" s="62"/>
      <c r="J110" s="9"/>
      <c r="K110" s="21">
        <f t="shared" si="46"/>
        <v>0</v>
      </c>
      <c r="L110" s="9"/>
      <c r="M110" s="9"/>
      <c r="N110" s="9"/>
      <c r="O110" s="436">
        <f t="shared" si="47"/>
        <v>0</v>
      </c>
      <c r="P110" s="439"/>
      <c r="Q110" s="437"/>
      <c r="R110" s="437"/>
      <c r="S110" s="436">
        <f t="shared" ref="S110:S125" si="52">SUM(P110:R110)</f>
        <v>0</v>
      </c>
      <c r="T110" s="437"/>
      <c r="U110" s="437"/>
      <c r="V110" s="437"/>
      <c r="W110" s="436">
        <f t="shared" si="48"/>
        <v>0</v>
      </c>
      <c r="X110" s="436">
        <f t="shared" si="49"/>
        <v>0</v>
      </c>
      <c r="Y110" s="436">
        <f>G110+факт!BD42</f>
        <v>0</v>
      </c>
      <c r="Z110" s="438">
        <f t="shared" si="50"/>
        <v>0</v>
      </c>
      <c r="AA110" s="389" t="s">
        <v>357</v>
      </c>
      <c r="AB110" s="16">
        <f t="shared" si="51"/>
        <v>0</v>
      </c>
      <c r="AC110" s="106"/>
      <c r="AD110" s="117"/>
    </row>
    <row r="111" spans="1:30" s="30" customFormat="1" ht="27.75" customHeight="1">
      <c r="A111" s="372"/>
      <c r="B111" s="97" t="s">
        <v>101</v>
      </c>
      <c r="C111" s="98" t="s">
        <v>102</v>
      </c>
      <c r="D111" s="20" t="s">
        <v>103</v>
      </c>
      <c r="E111" s="87"/>
      <c r="F111" s="28"/>
      <c r="G111" s="363"/>
      <c r="H111" s="63"/>
      <c r="I111" s="9"/>
      <c r="J111" s="9"/>
      <c r="K111" s="21">
        <f t="shared" si="46"/>
        <v>0</v>
      </c>
      <c r="L111" s="9"/>
      <c r="M111" s="9"/>
      <c r="N111" s="9"/>
      <c r="O111" s="436">
        <f t="shared" si="47"/>
        <v>0</v>
      </c>
      <c r="P111" s="437"/>
      <c r="Q111" s="437"/>
      <c r="R111" s="437"/>
      <c r="S111" s="436">
        <f t="shared" si="52"/>
        <v>0</v>
      </c>
      <c r="T111" s="437"/>
      <c r="U111" s="437"/>
      <c r="V111" s="437"/>
      <c r="W111" s="440">
        <f t="shared" si="48"/>
        <v>0</v>
      </c>
      <c r="X111" s="436">
        <f t="shared" si="49"/>
        <v>0</v>
      </c>
      <c r="Y111" s="436">
        <f>G111+факт!BD48</f>
        <v>0</v>
      </c>
      <c r="Z111" s="438">
        <f t="shared" si="50"/>
        <v>0</v>
      </c>
      <c r="AA111" s="389" t="s">
        <v>505</v>
      </c>
      <c r="AB111" s="16">
        <f t="shared" si="51"/>
        <v>0</v>
      </c>
      <c r="AC111" s="106"/>
      <c r="AD111" s="117"/>
    </row>
    <row r="112" spans="1:30" ht="26.25">
      <c r="A112" s="372"/>
      <c r="B112" s="97" t="s">
        <v>179</v>
      </c>
      <c r="C112" s="98" t="s">
        <v>202</v>
      </c>
      <c r="D112" s="23">
        <v>2912004912</v>
      </c>
      <c r="E112" s="87"/>
      <c r="F112" s="28"/>
      <c r="G112" s="363"/>
      <c r="H112" s="63"/>
      <c r="I112" s="9"/>
      <c r="J112" s="9"/>
      <c r="K112" s="21">
        <f t="shared" si="46"/>
        <v>0</v>
      </c>
      <c r="L112" s="9"/>
      <c r="M112" s="9"/>
      <c r="N112" s="9"/>
      <c r="O112" s="436">
        <f t="shared" si="47"/>
        <v>0</v>
      </c>
      <c r="P112" s="437"/>
      <c r="Q112" s="437"/>
      <c r="R112" s="437"/>
      <c r="S112" s="436">
        <f t="shared" si="52"/>
        <v>0</v>
      </c>
      <c r="T112" s="437"/>
      <c r="U112" s="437"/>
      <c r="V112" s="437"/>
      <c r="W112" s="436">
        <f t="shared" si="48"/>
        <v>0</v>
      </c>
      <c r="X112" s="436">
        <f t="shared" si="49"/>
        <v>0</v>
      </c>
      <c r="Y112" s="436">
        <f>G112+факт!BD56</f>
        <v>0</v>
      </c>
      <c r="Z112" s="438">
        <f t="shared" si="50"/>
        <v>0</v>
      </c>
      <c r="AA112" s="389" t="s">
        <v>506</v>
      </c>
      <c r="AB112" s="16">
        <f t="shared" si="51"/>
        <v>0</v>
      </c>
      <c r="AC112" s="106"/>
      <c r="AD112" s="117"/>
    </row>
    <row r="113" spans="1:30" s="30" customFormat="1">
      <c r="A113" s="372"/>
      <c r="B113" s="97" t="s">
        <v>101</v>
      </c>
      <c r="C113" s="98" t="s">
        <v>108</v>
      </c>
      <c r="D113" s="20" t="s">
        <v>109</v>
      </c>
      <c r="E113" s="87"/>
      <c r="F113" s="28"/>
      <c r="G113" s="364"/>
      <c r="H113" s="88"/>
      <c r="I113" s="9"/>
      <c r="J113" s="9"/>
      <c r="K113" s="21">
        <f t="shared" si="46"/>
        <v>0</v>
      </c>
      <c r="L113" s="9"/>
      <c r="M113" s="9"/>
      <c r="N113" s="9"/>
      <c r="O113" s="440">
        <f t="shared" si="47"/>
        <v>0</v>
      </c>
      <c r="P113" s="437"/>
      <c r="Q113" s="437"/>
      <c r="R113" s="437"/>
      <c r="S113" s="440">
        <f t="shared" si="52"/>
        <v>0</v>
      </c>
      <c r="T113" s="437"/>
      <c r="U113" s="437"/>
      <c r="V113" s="437"/>
      <c r="W113" s="440">
        <f t="shared" si="48"/>
        <v>0</v>
      </c>
      <c r="X113" s="436">
        <f t="shared" si="49"/>
        <v>0</v>
      </c>
      <c r="Y113" s="436">
        <f>G113+факт!BD61</f>
        <v>0</v>
      </c>
      <c r="Z113" s="438">
        <f t="shared" si="50"/>
        <v>0</v>
      </c>
      <c r="AA113" s="388" t="s">
        <v>504</v>
      </c>
      <c r="AB113" s="16">
        <f t="shared" si="51"/>
        <v>0</v>
      </c>
      <c r="AC113" s="106"/>
      <c r="AD113" s="117"/>
    </row>
    <row r="114" spans="1:30">
      <c r="A114" s="372"/>
      <c r="B114" s="97" t="s">
        <v>101</v>
      </c>
      <c r="C114" s="98" t="s">
        <v>228</v>
      </c>
      <c r="D114" s="23">
        <v>2922006980</v>
      </c>
      <c r="E114" s="87"/>
      <c r="F114" s="28"/>
      <c r="G114" s="363"/>
      <c r="H114" s="63"/>
      <c r="I114" s="63"/>
      <c r="J114" s="9"/>
      <c r="K114" s="21">
        <f t="shared" si="46"/>
        <v>0</v>
      </c>
      <c r="L114" s="9"/>
      <c r="M114" s="9"/>
      <c r="N114" s="9"/>
      <c r="O114" s="436">
        <f t="shared" si="47"/>
        <v>0</v>
      </c>
      <c r="P114" s="437"/>
      <c r="Q114" s="437"/>
      <c r="R114" s="437"/>
      <c r="S114" s="436">
        <f t="shared" si="52"/>
        <v>0</v>
      </c>
      <c r="T114" s="437"/>
      <c r="U114" s="437"/>
      <c r="V114" s="437"/>
      <c r="W114" s="436">
        <f t="shared" si="48"/>
        <v>0</v>
      </c>
      <c r="X114" s="436">
        <f t="shared" si="49"/>
        <v>0</v>
      </c>
      <c r="Y114" s="436">
        <f>G114+факт!BD62</f>
        <v>0</v>
      </c>
      <c r="Z114" s="438">
        <f t="shared" si="50"/>
        <v>0</v>
      </c>
      <c r="AA114" s="389" t="s">
        <v>500</v>
      </c>
      <c r="AB114" s="16">
        <f t="shared" si="51"/>
        <v>0</v>
      </c>
      <c r="AC114" s="106"/>
      <c r="AD114" s="117"/>
    </row>
    <row r="115" spans="1:30" s="101" customFormat="1" ht="16.5" customHeight="1">
      <c r="A115" s="372"/>
      <c r="B115" s="97" t="s">
        <v>101</v>
      </c>
      <c r="C115" s="98" t="s">
        <v>138</v>
      </c>
      <c r="D115" s="118">
        <f>[1]финасир!$D$141</f>
        <v>2922007060</v>
      </c>
      <c r="E115" s="103"/>
      <c r="F115" s="28"/>
      <c r="G115" s="363"/>
      <c r="H115" s="99"/>
      <c r="I115" s="100"/>
      <c r="J115" s="100"/>
      <c r="K115" s="21">
        <f t="shared" si="46"/>
        <v>0</v>
      </c>
      <c r="L115" s="100"/>
      <c r="M115" s="100"/>
      <c r="N115" s="100"/>
      <c r="O115" s="93">
        <f t="shared" si="47"/>
        <v>0</v>
      </c>
      <c r="P115" s="100"/>
      <c r="Q115" s="100"/>
      <c r="R115" s="100"/>
      <c r="S115" s="93">
        <f t="shared" si="52"/>
        <v>0</v>
      </c>
      <c r="T115" s="100"/>
      <c r="U115" s="100"/>
      <c r="V115" s="100"/>
      <c r="W115" s="129">
        <f t="shared" si="48"/>
        <v>0</v>
      </c>
      <c r="X115" s="93">
        <f t="shared" si="49"/>
        <v>0</v>
      </c>
      <c r="Y115" s="93">
        <f>G115+факт!BD75</f>
        <v>0</v>
      </c>
      <c r="Z115" s="398">
        <f t="shared" si="50"/>
        <v>0</v>
      </c>
      <c r="AA115" s="389" t="s">
        <v>354</v>
      </c>
      <c r="AB115" s="16">
        <f t="shared" si="51"/>
        <v>0</v>
      </c>
      <c r="AC115" s="116"/>
      <c r="AD115" s="116"/>
    </row>
    <row r="116" spans="1:30" s="30" customFormat="1" ht="26.25" customHeight="1">
      <c r="A116" s="372"/>
      <c r="B116" s="97" t="s">
        <v>101</v>
      </c>
      <c r="C116" s="98" t="s">
        <v>124</v>
      </c>
      <c r="D116" s="20" t="s">
        <v>125</v>
      </c>
      <c r="E116" s="87"/>
      <c r="F116" s="28"/>
      <c r="G116" s="363"/>
      <c r="H116" s="63"/>
      <c r="I116" s="9"/>
      <c r="J116" s="9"/>
      <c r="K116" s="21">
        <f t="shared" si="46"/>
        <v>0</v>
      </c>
      <c r="L116" s="9"/>
      <c r="M116" s="9"/>
      <c r="N116" s="9"/>
      <c r="O116" s="21">
        <f t="shared" si="47"/>
        <v>0</v>
      </c>
      <c r="P116" s="9"/>
      <c r="Q116" s="9"/>
      <c r="R116" s="9"/>
      <c r="S116" s="21">
        <f t="shared" si="52"/>
        <v>0</v>
      </c>
      <c r="T116" s="9"/>
      <c r="U116" s="9"/>
      <c r="V116" s="9"/>
      <c r="W116" s="24">
        <f t="shared" si="48"/>
        <v>0</v>
      </c>
      <c r="X116" s="46">
        <f t="shared" si="49"/>
        <v>0</v>
      </c>
      <c r="Y116" s="46">
        <f>G116+факт!BD86</f>
        <v>0</v>
      </c>
      <c r="Z116" s="398">
        <f t="shared" si="50"/>
        <v>0</v>
      </c>
      <c r="AA116" s="389" t="s">
        <v>382</v>
      </c>
      <c r="AB116" s="16">
        <f t="shared" si="51"/>
        <v>0</v>
      </c>
      <c r="AC116" s="106"/>
      <c r="AD116" s="117"/>
    </row>
    <row r="117" spans="1:30" ht="24.75" customHeight="1">
      <c r="A117" s="397"/>
      <c r="B117" s="97" t="s">
        <v>26</v>
      </c>
      <c r="C117" s="98" t="s">
        <v>215</v>
      </c>
      <c r="D117" s="23">
        <v>2907017610</v>
      </c>
      <c r="E117" s="87"/>
      <c r="F117" s="28"/>
      <c r="G117" s="363"/>
      <c r="H117" s="63"/>
      <c r="I117" s="9"/>
      <c r="J117" s="9"/>
      <c r="K117" s="21">
        <f t="shared" si="46"/>
        <v>0</v>
      </c>
      <c r="L117" s="9"/>
      <c r="M117" s="9"/>
      <c r="N117" s="9"/>
      <c r="O117" s="21">
        <f t="shared" si="47"/>
        <v>0</v>
      </c>
      <c r="P117" s="9"/>
      <c r="Q117" s="9"/>
      <c r="R117" s="9"/>
      <c r="S117" s="21">
        <f t="shared" si="52"/>
        <v>0</v>
      </c>
      <c r="T117" s="9"/>
      <c r="U117" s="9"/>
      <c r="V117" s="9"/>
      <c r="W117" s="21">
        <f t="shared" si="48"/>
        <v>0</v>
      </c>
      <c r="X117" s="46">
        <f t="shared" si="49"/>
        <v>0</v>
      </c>
      <c r="Y117" s="46">
        <f>G117+факт!BD154</f>
        <v>0</v>
      </c>
      <c r="Z117" s="398">
        <f t="shared" si="50"/>
        <v>0</v>
      </c>
      <c r="AA117" s="371" t="s">
        <v>558</v>
      </c>
      <c r="AB117" s="16">
        <f t="shared" si="51"/>
        <v>0</v>
      </c>
      <c r="AC117" s="106"/>
      <c r="AD117" s="117"/>
    </row>
    <row r="118" spans="1:30" s="30" customFormat="1">
      <c r="A118" s="372"/>
      <c r="B118" s="97" t="s">
        <v>26</v>
      </c>
      <c r="C118" s="98" t="s">
        <v>30</v>
      </c>
      <c r="D118" s="20">
        <v>2920015594</v>
      </c>
      <c r="E118" s="87"/>
      <c r="F118" s="28"/>
      <c r="G118" s="365"/>
      <c r="H118" s="63"/>
      <c r="I118" s="9"/>
      <c r="J118" s="9"/>
      <c r="K118" s="21">
        <f t="shared" si="46"/>
        <v>0</v>
      </c>
      <c r="L118" s="9"/>
      <c r="M118" s="9"/>
      <c r="N118" s="9"/>
      <c r="O118" s="21">
        <f t="shared" si="47"/>
        <v>0</v>
      </c>
      <c r="P118" s="9"/>
      <c r="Q118" s="9"/>
      <c r="R118" s="9"/>
      <c r="S118" s="21">
        <f t="shared" si="52"/>
        <v>0</v>
      </c>
      <c r="T118" s="9"/>
      <c r="U118" s="9"/>
      <c r="V118" s="9"/>
      <c r="W118" s="21">
        <f t="shared" si="48"/>
        <v>0</v>
      </c>
      <c r="X118" s="46">
        <f t="shared" si="49"/>
        <v>0</v>
      </c>
      <c r="Y118" s="46">
        <f>G118+факт!BD162</f>
        <v>0</v>
      </c>
      <c r="Z118" s="398">
        <f t="shared" si="50"/>
        <v>0</v>
      </c>
      <c r="AA118" s="389" t="s">
        <v>368</v>
      </c>
      <c r="AB118" s="16">
        <f t="shared" si="51"/>
        <v>0</v>
      </c>
      <c r="AC118" s="106"/>
      <c r="AD118" s="117"/>
    </row>
    <row r="119" spans="1:30" s="101" customFormat="1">
      <c r="A119" s="372"/>
      <c r="B119" s="97" t="s">
        <v>26</v>
      </c>
      <c r="C119" s="98" t="s">
        <v>222</v>
      </c>
      <c r="D119" s="118">
        <v>2901284746</v>
      </c>
      <c r="E119" s="103"/>
      <c r="F119" s="28"/>
      <c r="G119" s="363"/>
      <c r="H119" s="99"/>
      <c r="I119" s="100"/>
      <c r="J119" s="100"/>
      <c r="K119" s="21">
        <f t="shared" si="46"/>
        <v>0</v>
      </c>
      <c r="L119" s="100"/>
      <c r="M119" s="100"/>
      <c r="N119" s="100"/>
      <c r="O119" s="93">
        <f t="shared" si="47"/>
        <v>0</v>
      </c>
      <c r="P119" s="100"/>
      <c r="Q119" s="100"/>
      <c r="R119" s="100"/>
      <c r="S119" s="93">
        <f t="shared" si="52"/>
        <v>0</v>
      </c>
      <c r="T119" s="100"/>
      <c r="U119" s="100"/>
      <c r="V119" s="100"/>
      <c r="W119" s="93">
        <f t="shared" si="48"/>
        <v>0</v>
      </c>
      <c r="X119" s="93">
        <f t="shared" si="49"/>
        <v>0</v>
      </c>
      <c r="Y119" s="93">
        <f>G119+факт!BD174</f>
        <v>0</v>
      </c>
      <c r="Z119" s="398">
        <f t="shared" si="50"/>
        <v>0</v>
      </c>
      <c r="AA119" s="389" t="s">
        <v>347</v>
      </c>
      <c r="AB119" s="16">
        <f t="shared" si="51"/>
        <v>0</v>
      </c>
      <c r="AC119" s="116"/>
      <c r="AD119" s="117"/>
    </row>
    <row r="120" spans="1:30" s="101" customFormat="1">
      <c r="A120" s="397"/>
      <c r="B120" s="97" t="s">
        <v>26</v>
      </c>
      <c r="C120" s="98" t="s">
        <v>50</v>
      </c>
      <c r="D120" s="118" t="s">
        <v>51</v>
      </c>
      <c r="E120" s="103"/>
      <c r="F120" s="119"/>
      <c r="G120" s="363"/>
      <c r="H120" s="99"/>
      <c r="I120" s="100"/>
      <c r="J120" s="100"/>
      <c r="K120" s="21">
        <f t="shared" si="46"/>
        <v>0</v>
      </c>
      <c r="L120" s="100"/>
      <c r="M120" s="100"/>
      <c r="N120" s="100"/>
      <c r="O120" s="93">
        <f t="shared" si="47"/>
        <v>0</v>
      </c>
      <c r="P120" s="100"/>
      <c r="Q120" s="100"/>
      <c r="R120" s="100"/>
      <c r="S120" s="93">
        <f t="shared" si="52"/>
        <v>0</v>
      </c>
      <c r="T120" s="100"/>
      <c r="U120" s="100"/>
      <c r="V120" s="100"/>
      <c r="W120" s="93">
        <f t="shared" si="48"/>
        <v>0</v>
      </c>
      <c r="X120" s="93">
        <f t="shared" si="49"/>
        <v>0</v>
      </c>
      <c r="Y120" s="93">
        <f>G120+факт!BD186</f>
        <v>0</v>
      </c>
      <c r="Z120" s="398">
        <f t="shared" si="50"/>
        <v>0</v>
      </c>
      <c r="AA120" s="389" t="s">
        <v>356</v>
      </c>
      <c r="AB120" s="16">
        <f t="shared" si="51"/>
        <v>0</v>
      </c>
      <c r="AC120" s="116"/>
      <c r="AD120" s="116"/>
    </row>
    <row r="121" spans="1:30" s="30" customFormat="1">
      <c r="A121" s="397"/>
      <c r="B121" s="97" t="s">
        <v>26</v>
      </c>
      <c r="C121" s="98" t="s">
        <v>188</v>
      </c>
      <c r="D121" s="20">
        <v>2901286856</v>
      </c>
      <c r="E121" s="87"/>
      <c r="F121" s="28"/>
      <c r="G121" s="364"/>
      <c r="H121" s="88"/>
      <c r="I121" s="9"/>
      <c r="J121" s="9"/>
      <c r="K121" s="21">
        <f t="shared" si="46"/>
        <v>0</v>
      </c>
      <c r="L121" s="9"/>
      <c r="M121" s="9"/>
      <c r="N121" s="9"/>
      <c r="O121" s="21">
        <f t="shared" si="47"/>
        <v>0</v>
      </c>
      <c r="P121" s="9"/>
      <c r="Q121" s="9"/>
      <c r="R121" s="9"/>
      <c r="S121" s="21">
        <f t="shared" si="52"/>
        <v>0</v>
      </c>
      <c r="T121" s="9"/>
      <c r="U121" s="9"/>
      <c r="V121" s="9"/>
      <c r="W121" s="21">
        <f t="shared" si="48"/>
        <v>0</v>
      </c>
      <c r="X121" s="46">
        <f t="shared" si="49"/>
        <v>0</v>
      </c>
      <c r="Y121" s="46">
        <f>факт!BD203+G121</f>
        <v>0</v>
      </c>
      <c r="Z121" s="398">
        <f t="shared" si="50"/>
        <v>0</v>
      </c>
      <c r="AA121" s="389" t="s">
        <v>513</v>
      </c>
      <c r="AB121" s="16">
        <f t="shared" si="51"/>
        <v>0</v>
      </c>
      <c r="AC121" s="106"/>
      <c r="AD121" s="117"/>
    </row>
    <row r="122" spans="1:30" s="30" customFormat="1">
      <c r="A122" s="397"/>
      <c r="B122" s="97" t="s">
        <v>26</v>
      </c>
      <c r="C122" s="98" t="s">
        <v>58</v>
      </c>
      <c r="D122" s="20">
        <v>2908003698</v>
      </c>
      <c r="E122" s="87"/>
      <c r="F122" s="28"/>
      <c r="G122" s="363"/>
      <c r="H122" s="104"/>
      <c r="I122" s="9"/>
      <c r="J122" s="9"/>
      <c r="K122" s="21">
        <f t="shared" si="46"/>
        <v>0</v>
      </c>
      <c r="L122" s="9"/>
      <c r="M122" s="9"/>
      <c r="N122" s="9"/>
      <c r="O122" s="21">
        <f t="shared" si="47"/>
        <v>0</v>
      </c>
      <c r="P122" s="9"/>
      <c r="Q122" s="9"/>
      <c r="R122" s="9"/>
      <c r="S122" s="21">
        <f t="shared" si="52"/>
        <v>0</v>
      </c>
      <c r="T122" s="9"/>
      <c r="U122" s="9"/>
      <c r="V122" s="9"/>
      <c r="W122" s="21">
        <f t="shared" si="48"/>
        <v>0</v>
      </c>
      <c r="X122" s="46">
        <f t="shared" si="49"/>
        <v>0</v>
      </c>
      <c r="Y122" s="46">
        <f>G122+факт!BD206</f>
        <v>0</v>
      </c>
      <c r="Z122" s="398">
        <f t="shared" si="50"/>
        <v>0</v>
      </c>
      <c r="AA122" s="389" t="s">
        <v>515</v>
      </c>
      <c r="AB122" s="16">
        <f t="shared" si="51"/>
        <v>0</v>
      </c>
      <c r="AC122" s="106"/>
      <c r="AD122" s="117"/>
    </row>
    <row r="123" spans="1:30" s="30" customFormat="1" ht="23.25" customHeight="1">
      <c r="A123" s="372"/>
      <c r="B123" s="97" t="s">
        <v>26</v>
      </c>
      <c r="C123" s="98" t="s">
        <v>130</v>
      </c>
      <c r="D123" s="20">
        <v>2909003179</v>
      </c>
      <c r="E123" s="87"/>
      <c r="F123" s="28"/>
      <c r="G123" s="367"/>
      <c r="H123" s="68"/>
      <c r="I123" s="9"/>
      <c r="J123" s="9"/>
      <c r="K123" s="21">
        <f t="shared" si="46"/>
        <v>0</v>
      </c>
      <c r="L123" s="9"/>
      <c r="M123" s="9"/>
      <c r="N123" s="9"/>
      <c r="O123" s="21">
        <f t="shared" si="47"/>
        <v>0</v>
      </c>
      <c r="P123" s="9"/>
      <c r="Q123" s="9"/>
      <c r="R123" s="9"/>
      <c r="S123" s="21">
        <f t="shared" si="52"/>
        <v>0</v>
      </c>
      <c r="T123" s="9"/>
      <c r="U123" s="9"/>
      <c r="V123" s="9"/>
      <c r="W123" s="21">
        <f t="shared" si="48"/>
        <v>0</v>
      </c>
      <c r="X123" s="46">
        <f t="shared" si="49"/>
        <v>0</v>
      </c>
      <c r="Y123" s="46">
        <f>G123+факт!BD214</f>
        <v>0</v>
      </c>
      <c r="Z123" s="398">
        <f t="shared" si="50"/>
        <v>0</v>
      </c>
      <c r="AA123" s="389" t="s">
        <v>396</v>
      </c>
      <c r="AB123" s="16">
        <f t="shared" si="51"/>
        <v>0</v>
      </c>
      <c r="AC123" s="106"/>
      <c r="AD123" s="117"/>
    </row>
    <row r="124" spans="1:30" s="30" customFormat="1">
      <c r="A124" s="372"/>
      <c r="B124" s="11" t="s">
        <v>26</v>
      </c>
      <c r="C124" s="98" t="s">
        <v>142</v>
      </c>
      <c r="D124" s="20">
        <v>2908004701</v>
      </c>
      <c r="E124" s="87"/>
      <c r="F124" s="28"/>
      <c r="G124" s="363"/>
      <c r="H124" s="68"/>
      <c r="I124" s="9"/>
      <c r="J124" s="9"/>
      <c r="K124" s="21">
        <f t="shared" si="46"/>
        <v>0</v>
      </c>
      <c r="L124" s="9"/>
      <c r="M124" s="9"/>
      <c r="N124" s="9"/>
      <c r="O124" s="21">
        <f t="shared" si="47"/>
        <v>0</v>
      </c>
      <c r="P124" s="9"/>
      <c r="Q124" s="25"/>
      <c r="R124" s="25"/>
      <c r="S124" s="21">
        <f t="shared" si="52"/>
        <v>0</v>
      </c>
      <c r="T124" s="9"/>
      <c r="U124" s="9"/>
      <c r="V124" s="9"/>
      <c r="W124" s="21">
        <f t="shared" si="48"/>
        <v>0</v>
      </c>
      <c r="X124" s="46">
        <f t="shared" si="49"/>
        <v>0</v>
      </c>
      <c r="Y124" s="46">
        <f>G124+факт!BD232</f>
        <v>0</v>
      </c>
      <c r="Z124" s="398">
        <f t="shared" si="50"/>
        <v>0</v>
      </c>
      <c r="AA124" s="389" t="s">
        <v>516</v>
      </c>
      <c r="AB124" s="16">
        <f t="shared" si="51"/>
        <v>0</v>
      </c>
      <c r="AC124" s="106"/>
      <c r="AD124" s="117"/>
    </row>
    <row r="125" spans="1:30" s="101" customFormat="1">
      <c r="A125" s="372"/>
      <c r="B125" s="97" t="s">
        <v>26</v>
      </c>
      <c r="C125" s="98" t="s">
        <v>66</v>
      </c>
      <c r="D125" s="118" t="s">
        <v>67</v>
      </c>
      <c r="E125" s="103"/>
      <c r="F125" s="28"/>
      <c r="G125" s="363"/>
      <c r="H125" s="99"/>
      <c r="I125" s="100"/>
      <c r="J125" s="100"/>
      <c r="K125" s="21">
        <f t="shared" si="46"/>
        <v>0</v>
      </c>
      <c r="L125" s="100"/>
      <c r="M125" s="100"/>
      <c r="N125" s="100"/>
      <c r="O125" s="93">
        <f t="shared" si="47"/>
        <v>0</v>
      </c>
      <c r="P125" s="100"/>
      <c r="Q125" s="100"/>
      <c r="R125" s="100"/>
      <c r="S125" s="93">
        <f t="shared" si="52"/>
        <v>0</v>
      </c>
      <c r="T125" s="100"/>
      <c r="U125" s="100"/>
      <c r="V125" s="100"/>
      <c r="W125" s="93">
        <f t="shared" si="48"/>
        <v>0</v>
      </c>
      <c r="X125" s="93">
        <f t="shared" si="49"/>
        <v>0</v>
      </c>
      <c r="Y125" s="93">
        <f>G125+факт!BD247</f>
        <v>0</v>
      </c>
      <c r="Z125" s="398">
        <f t="shared" si="50"/>
        <v>0</v>
      </c>
      <c r="AA125" s="389" t="s">
        <v>345</v>
      </c>
      <c r="AB125" s="16">
        <f t="shared" si="51"/>
        <v>0</v>
      </c>
      <c r="AC125" s="116"/>
      <c r="AD125" s="116"/>
    </row>
    <row r="126" spans="1:30">
      <c r="A126" s="397"/>
      <c r="B126" s="97" t="s">
        <v>26</v>
      </c>
      <c r="C126" s="98" t="s">
        <v>214</v>
      </c>
      <c r="D126" s="23">
        <v>2901291990</v>
      </c>
      <c r="E126" s="87"/>
      <c r="F126" s="28"/>
      <c r="G126" s="363"/>
      <c r="H126" s="63"/>
      <c r="I126" s="9"/>
      <c r="J126" s="9"/>
      <c r="K126" s="21">
        <f t="shared" si="46"/>
        <v>0</v>
      </c>
      <c r="L126" s="9"/>
      <c r="M126" s="9"/>
      <c r="N126" s="9"/>
      <c r="O126" s="21">
        <f t="shared" si="47"/>
        <v>0</v>
      </c>
      <c r="P126" s="9"/>
      <c r="Q126" s="9"/>
      <c r="R126" s="9"/>
      <c r="S126" s="21"/>
      <c r="T126" s="9"/>
      <c r="U126" s="9"/>
      <c r="V126" s="9"/>
      <c r="W126" s="21">
        <f t="shared" si="48"/>
        <v>0</v>
      </c>
      <c r="X126" s="46">
        <f t="shared" si="49"/>
        <v>0</v>
      </c>
      <c r="Y126" s="46">
        <f>G126+факт!BD259</f>
        <v>0</v>
      </c>
      <c r="Z126" s="398">
        <f t="shared" si="50"/>
        <v>0</v>
      </c>
      <c r="AA126" s="389" t="s">
        <v>480</v>
      </c>
      <c r="AB126" s="16">
        <f t="shared" si="51"/>
        <v>0</v>
      </c>
      <c r="AC126" s="106"/>
      <c r="AD126" s="117"/>
    </row>
    <row r="127" spans="1:30" ht="24.75">
      <c r="A127" s="372"/>
      <c r="B127" s="97" t="s">
        <v>26</v>
      </c>
      <c r="C127" s="98" t="s">
        <v>253</v>
      </c>
      <c r="D127" s="23">
        <v>2923006774</v>
      </c>
      <c r="E127" s="87"/>
      <c r="F127" s="28"/>
      <c r="G127" s="363"/>
      <c r="H127" s="63"/>
      <c r="I127" s="9"/>
      <c r="J127" s="9"/>
      <c r="K127" s="21">
        <f t="shared" si="46"/>
        <v>0</v>
      </c>
      <c r="L127" s="9"/>
      <c r="M127" s="9"/>
      <c r="N127" s="9"/>
      <c r="O127" s="21">
        <f t="shared" si="47"/>
        <v>0</v>
      </c>
      <c r="P127" s="9"/>
      <c r="Q127" s="9"/>
      <c r="R127" s="9"/>
      <c r="S127" s="21">
        <f>SUM(P127:R127)</f>
        <v>0</v>
      </c>
      <c r="T127" s="9"/>
      <c r="U127" s="9"/>
      <c r="V127" s="9"/>
      <c r="W127" s="21">
        <f t="shared" si="48"/>
        <v>0</v>
      </c>
      <c r="X127" s="46">
        <f t="shared" si="49"/>
        <v>0</v>
      </c>
      <c r="Y127" s="46">
        <f>G127+факт!BD266</f>
        <v>0</v>
      </c>
      <c r="Z127" s="398">
        <f t="shared" si="50"/>
        <v>0</v>
      </c>
      <c r="AA127" s="389" t="s">
        <v>383</v>
      </c>
      <c r="AB127" s="16">
        <f t="shared" si="51"/>
        <v>0</v>
      </c>
      <c r="AC127" s="106"/>
      <c r="AD127" s="117"/>
    </row>
    <row r="128" spans="1:30" s="101" customFormat="1">
      <c r="A128" s="372"/>
      <c r="B128" s="97" t="s">
        <v>26</v>
      </c>
      <c r="C128" s="98" t="s">
        <v>73</v>
      </c>
      <c r="D128" s="118" t="s">
        <v>74</v>
      </c>
      <c r="E128" s="103"/>
      <c r="F128" s="119"/>
      <c r="G128" s="363"/>
      <c r="H128" s="99"/>
      <c r="I128" s="100"/>
      <c r="J128" s="100"/>
      <c r="K128" s="21">
        <f t="shared" si="46"/>
        <v>0</v>
      </c>
      <c r="L128" s="100"/>
      <c r="M128" s="100"/>
      <c r="N128" s="100"/>
      <c r="O128" s="93">
        <f t="shared" si="47"/>
        <v>0</v>
      </c>
      <c r="P128" s="100"/>
      <c r="Q128" s="100"/>
      <c r="R128" s="100"/>
      <c r="S128" s="93">
        <f>SUM(P128:R128)</f>
        <v>0</v>
      </c>
      <c r="T128" s="100"/>
      <c r="U128" s="100"/>
      <c r="V128" s="100"/>
      <c r="W128" s="93">
        <f t="shared" si="48"/>
        <v>0</v>
      </c>
      <c r="X128" s="93">
        <f t="shared" si="49"/>
        <v>0</v>
      </c>
      <c r="Y128" s="93">
        <f>G128+факт!BD270</f>
        <v>0</v>
      </c>
      <c r="Z128" s="398">
        <f t="shared" si="50"/>
        <v>0</v>
      </c>
      <c r="AA128" s="389" t="s">
        <v>344</v>
      </c>
      <c r="AB128" s="16">
        <f t="shared" si="51"/>
        <v>0</v>
      </c>
      <c r="AC128" s="116"/>
      <c r="AD128" s="116"/>
    </row>
    <row r="129" spans="1:30" s="30" customFormat="1" ht="24.75" customHeight="1">
      <c r="A129" s="372"/>
      <c r="B129" s="97" t="s">
        <v>26</v>
      </c>
      <c r="C129" s="98" t="s">
        <v>131</v>
      </c>
      <c r="D129" s="20">
        <v>2920013847</v>
      </c>
      <c r="E129" s="87"/>
      <c r="F129" s="28"/>
      <c r="G129" s="366"/>
      <c r="H129" s="81"/>
      <c r="I129" s="9"/>
      <c r="J129" s="9"/>
      <c r="K129" s="21">
        <f t="shared" si="46"/>
        <v>0</v>
      </c>
      <c r="L129" s="9"/>
      <c r="M129" s="9"/>
      <c r="N129" s="9"/>
      <c r="O129" s="21">
        <f t="shared" si="47"/>
        <v>0</v>
      </c>
      <c r="P129" s="9"/>
      <c r="Q129" s="9"/>
      <c r="R129" s="9"/>
      <c r="S129" s="21">
        <f>SUM(P129:R129)</f>
        <v>0</v>
      </c>
      <c r="T129" s="9"/>
      <c r="U129" s="9"/>
      <c r="V129" s="9"/>
      <c r="W129" s="24">
        <f t="shared" si="48"/>
        <v>0</v>
      </c>
      <c r="X129" s="46">
        <f t="shared" si="49"/>
        <v>0</v>
      </c>
      <c r="Y129" s="46">
        <f>G129+факт!BD283</f>
        <v>0</v>
      </c>
      <c r="Z129" s="398">
        <f t="shared" si="50"/>
        <v>0</v>
      </c>
      <c r="AA129" s="389" t="s">
        <v>381</v>
      </c>
      <c r="AB129" s="16">
        <f t="shared" si="51"/>
        <v>0</v>
      </c>
      <c r="AC129" s="106"/>
      <c r="AD129" s="117"/>
    </row>
    <row r="130" spans="1:30" s="30" customFormat="1">
      <c r="A130" s="372"/>
      <c r="B130" s="97" t="s">
        <v>26</v>
      </c>
      <c r="C130" s="98" t="s">
        <v>75</v>
      </c>
      <c r="D130" s="20" t="s">
        <v>76</v>
      </c>
      <c r="E130" s="87"/>
      <c r="F130" s="28"/>
      <c r="G130" s="363"/>
      <c r="H130" s="63"/>
      <c r="I130" s="9"/>
      <c r="J130" s="9"/>
      <c r="K130" s="21">
        <f t="shared" si="46"/>
        <v>0</v>
      </c>
      <c r="L130" s="9"/>
      <c r="M130" s="9"/>
      <c r="N130" s="9"/>
      <c r="O130" s="21">
        <f t="shared" si="47"/>
        <v>0</v>
      </c>
      <c r="P130" s="51"/>
      <c r="Q130" s="9"/>
      <c r="R130" s="9"/>
      <c r="S130" s="21">
        <f>SUM(P130:R130)</f>
        <v>0</v>
      </c>
      <c r="T130" s="9"/>
      <c r="U130" s="9"/>
      <c r="V130" s="9"/>
      <c r="W130" s="24">
        <f t="shared" si="48"/>
        <v>0</v>
      </c>
      <c r="X130" s="46">
        <f t="shared" si="49"/>
        <v>0</v>
      </c>
      <c r="Y130" s="46">
        <f>G130+факт!BD284</f>
        <v>0</v>
      </c>
      <c r="Z130" s="398">
        <f t="shared" si="50"/>
        <v>0</v>
      </c>
      <c r="AA130" s="388" t="s">
        <v>583</v>
      </c>
      <c r="AB130" s="16">
        <f t="shared" si="51"/>
        <v>0</v>
      </c>
      <c r="AC130" s="106"/>
      <c r="AD130" s="117"/>
    </row>
    <row r="131" spans="1:30" s="30" customFormat="1" ht="42" customHeight="1">
      <c r="A131" s="397"/>
      <c r="B131" s="97" t="s">
        <v>26</v>
      </c>
      <c r="C131" s="98" t="s">
        <v>172</v>
      </c>
      <c r="D131" s="54">
        <v>2907017176</v>
      </c>
      <c r="E131" s="87"/>
      <c r="F131" s="303"/>
      <c r="G131" s="363"/>
      <c r="H131" s="63"/>
      <c r="I131" s="9"/>
      <c r="J131" s="9"/>
      <c r="K131" s="21">
        <f t="shared" si="46"/>
        <v>0</v>
      </c>
      <c r="L131" s="9"/>
      <c r="M131" s="9"/>
      <c r="N131" s="9"/>
      <c r="O131" s="21">
        <f t="shared" si="47"/>
        <v>0</v>
      </c>
      <c r="P131" s="9"/>
      <c r="Q131" s="9"/>
      <c r="R131" s="9"/>
      <c r="S131" s="21">
        <f>SUM(P131:R131)</f>
        <v>0</v>
      </c>
      <c r="T131" s="9"/>
      <c r="U131" s="9"/>
      <c r="V131" s="9"/>
      <c r="W131" s="24">
        <f t="shared" si="48"/>
        <v>0</v>
      </c>
      <c r="X131" s="21">
        <f t="shared" si="49"/>
        <v>0</v>
      </c>
      <c r="Y131" s="21">
        <f>G131+факт!BD293</f>
        <v>0</v>
      </c>
      <c r="Z131" s="398">
        <f t="shared" si="50"/>
        <v>0</v>
      </c>
      <c r="AA131" s="389" t="s">
        <v>365</v>
      </c>
      <c r="AB131" s="16">
        <f t="shared" si="51"/>
        <v>0</v>
      </c>
      <c r="AC131" s="117"/>
      <c r="AD131" s="117"/>
    </row>
    <row r="132" spans="1:30">
      <c r="A132" s="397"/>
      <c r="B132" s="97" t="s">
        <v>26</v>
      </c>
      <c r="C132" s="98" t="s">
        <v>225</v>
      </c>
      <c r="D132" s="23">
        <v>2920016252</v>
      </c>
      <c r="E132" s="87"/>
      <c r="F132" s="28"/>
      <c r="G132" s="363"/>
      <c r="H132" s="63"/>
      <c r="I132" s="9"/>
      <c r="J132" s="9"/>
      <c r="K132" s="21">
        <f t="shared" si="46"/>
        <v>0</v>
      </c>
      <c r="L132" s="9"/>
      <c r="M132" s="9"/>
      <c r="N132" s="9"/>
      <c r="O132" s="21">
        <f t="shared" si="47"/>
        <v>0</v>
      </c>
      <c r="P132" s="9"/>
      <c r="Q132" s="9"/>
      <c r="R132" s="9"/>
      <c r="S132" s="21"/>
      <c r="T132" s="9"/>
      <c r="U132" s="9"/>
      <c r="V132" s="9"/>
      <c r="W132" s="21">
        <f t="shared" si="48"/>
        <v>0</v>
      </c>
      <c r="X132" s="46">
        <f t="shared" si="49"/>
        <v>0</v>
      </c>
      <c r="Y132" s="46">
        <f>G132+факт!BD297</f>
        <v>0</v>
      </c>
      <c r="Z132" s="398">
        <f t="shared" si="50"/>
        <v>0</v>
      </c>
      <c r="AA132" s="389" t="s">
        <v>380</v>
      </c>
      <c r="AB132" s="16">
        <f t="shared" si="51"/>
        <v>0</v>
      </c>
      <c r="AC132" s="106"/>
      <c r="AD132" s="117"/>
    </row>
    <row r="133" spans="1:30" s="102" customFormat="1">
      <c r="A133" s="397"/>
      <c r="B133" s="337" t="s">
        <v>56</v>
      </c>
      <c r="C133" s="338" t="s">
        <v>529</v>
      </c>
      <c r="D133" s="20">
        <v>2907018652</v>
      </c>
      <c r="E133" s="87"/>
      <c r="F133" s="28"/>
      <c r="G133" s="368"/>
      <c r="H133" s="69"/>
      <c r="I133" s="9"/>
      <c r="J133" s="9"/>
      <c r="K133" s="21">
        <f t="shared" si="46"/>
        <v>0</v>
      </c>
      <c r="L133" s="9"/>
      <c r="M133" s="9"/>
      <c r="N133" s="9"/>
      <c r="O133" s="21">
        <f t="shared" si="47"/>
        <v>0</v>
      </c>
      <c r="P133" s="9"/>
      <c r="Q133" s="9"/>
      <c r="R133" s="9"/>
      <c r="S133" s="21"/>
      <c r="T133" s="9"/>
      <c r="U133" s="9"/>
      <c r="V133" s="9"/>
      <c r="W133" s="21">
        <f t="shared" si="48"/>
        <v>0</v>
      </c>
      <c r="X133" s="46">
        <f t="shared" si="49"/>
        <v>0</v>
      </c>
      <c r="Y133" s="46">
        <f>G133+факт!BD292</f>
        <v>0</v>
      </c>
      <c r="Z133" s="398">
        <f t="shared" si="50"/>
        <v>0</v>
      </c>
      <c r="AA133" s="390"/>
      <c r="AB133" s="16">
        <f t="shared" si="51"/>
        <v>0</v>
      </c>
      <c r="AC133" s="106"/>
      <c r="AD133" s="117"/>
    </row>
    <row r="134" spans="1:30">
      <c r="A134" s="372"/>
      <c r="B134" s="97" t="s">
        <v>26</v>
      </c>
      <c r="C134" s="98" t="s">
        <v>176</v>
      </c>
      <c r="D134" s="331">
        <v>2907015524</v>
      </c>
      <c r="E134" s="87"/>
      <c r="F134" s="28"/>
      <c r="G134" s="363"/>
      <c r="H134" s="63"/>
      <c r="I134" s="9"/>
      <c r="J134" s="9"/>
      <c r="K134" s="21">
        <f t="shared" si="46"/>
        <v>0</v>
      </c>
      <c r="L134" s="9"/>
      <c r="M134" s="9"/>
      <c r="N134" s="9"/>
      <c r="O134" s="21">
        <f t="shared" si="47"/>
        <v>0</v>
      </c>
      <c r="P134" s="9"/>
      <c r="Q134" s="12"/>
      <c r="R134" s="9"/>
      <c r="S134" s="21">
        <f t="shared" ref="S134:S148" si="53">SUM(P134:R134)</f>
        <v>0</v>
      </c>
      <c r="T134" s="9"/>
      <c r="U134" s="9"/>
      <c r="V134" s="9"/>
      <c r="W134" s="21">
        <f t="shared" si="48"/>
        <v>0</v>
      </c>
      <c r="X134" s="46">
        <f t="shared" si="49"/>
        <v>0</v>
      </c>
      <c r="Y134" s="46">
        <f>G134+факт!BD321</f>
        <v>0</v>
      </c>
      <c r="Z134" s="398">
        <f t="shared" si="50"/>
        <v>0</v>
      </c>
      <c r="AA134" s="389" t="s">
        <v>491</v>
      </c>
      <c r="AB134" s="16">
        <f t="shared" si="51"/>
        <v>0</v>
      </c>
      <c r="AC134" s="106"/>
      <c r="AD134" s="117"/>
    </row>
    <row r="135" spans="1:30" s="101" customFormat="1">
      <c r="A135" s="372"/>
      <c r="B135" s="97" t="s">
        <v>26</v>
      </c>
      <c r="C135" s="98" t="s">
        <v>134</v>
      </c>
      <c r="D135" s="118">
        <v>2910004650</v>
      </c>
      <c r="E135" s="103"/>
      <c r="F135" s="28"/>
      <c r="G135" s="363"/>
      <c r="H135" s="128"/>
      <c r="I135" s="100"/>
      <c r="J135" s="100"/>
      <c r="K135" s="21">
        <f t="shared" si="46"/>
        <v>0</v>
      </c>
      <c r="L135" s="100"/>
      <c r="M135" s="100"/>
      <c r="N135" s="100"/>
      <c r="O135" s="93">
        <f t="shared" si="47"/>
        <v>0</v>
      </c>
      <c r="P135" s="100"/>
      <c r="Q135" s="100"/>
      <c r="R135" s="100"/>
      <c r="S135" s="93">
        <f t="shared" si="53"/>
        <v>0</v>
      </c>
      <c r="T135" s="100"/>
      <c r="U135" s="100"/>
      <c r="V135" s="100"/>
      <c r="W135" s="93">
        <f t="shared" si="48"/>
        <v>0</v>
      </c>
      <c r="X135" s="93">
        <f t="shared" si="49"/>
        <v>0</v>
      </c>
      <c r="Y135" s="93">
        <f>G135+факт!BD328</f>
        <v>0</v>
      </c>
      <c r="Z135" s="398">
        <f t="shared" si="50"/>
        <v>0</v>
      </c>
      <c r="AA135" s="389" t="s">
        <v>352</v>
      </c>
      <c r="AB135" s="16">
        <f t="shared" si="51"/>
        <v>0</v>
      </c>
      <c r="AC135" s="116"/>
      <c r="AD135" s="117"/>
    </row>
    <row r="136" spans="1:30" s="30" customFormat="1">
      <c r="A136" s="397"/>
      <c r="B136" s="97" t="s">
        <v>26</v>
      </c>
      <c r="C136" s="98" t="s">
        <v>189</v>
      </c>
      <c r="D136" s="331">
        <v>2910005075</v>
      </c>
      <c r="E136" s="87"/>
      <c r="F136" s="28"/>
      <c r="G136" s="363"/>
      <c r="H136" s="63"/>
      <c r="I136" s="9"/>
      <c r="J136" s="9"/>
      <c r="K136" s="21">
        <f t="shared" si="46"/>
        <v>0</v>
      </c>
      <c r="L136" s="9"/>
      <c r="M136" s="9"/>
      <c r="N136" s="9"/>
      <c r="O136" s="21">
        <f t="shared" si="47"/>
        <v>0</v>
      </c>
      <c r="P136" s="9"/>
      <c r="Q136" s="9"/>
      <c r="R136" s="9"/>
      <c r="S136" s="21">
        <f t="shared" si="53"/>
        <v>0</v>
      </c>
      <c r="T136" s="9"/>
      <c r="U136" s="9"/>
      <c r="V136" s="9"/>
      <c r="W136" s="24">
        <f t="shared" si="48"/>
        <v>0</v>
      </c>
      <c r="X136" s="46">
        <f t="shared" si="49"/>
        <v>0</v>
      </c>
      <c r="Y136" s="46">
        <f>G136+факт!BD332</f>
        <v>0</v>
      </c>
      <c r="Z136" s="398">
        <f t="shared" si="50"/>
        <v>0</v>
      </c>
      <c r="AA136" s="389" t="s">
        <v>497</v>
      </c>
      <c r="AB136" s="16">
        <f t="shared" si="51"/>
        <v>0</v>
      </c>
      <c r="AC136" s="106"/>
      <c r="AD136" s="117"/>
    </row>
    <row r="137" spans="1:30" ht="24.75">
      <c r="A137" s="372"/>
      <c r="B137" s="97" t="s">
        <v>26</v>
      </c>
      <c r="C137" s="98" t="s">
        <v>313</v>
      </c>
      <c r="D137" s="23">
        <v>2920016862</v>
      </c>
      <c r="E137" s="87"/>
      <c r="F137" s="28"/>
      <c r="G137" s="363"/>
      <c r="H137" s="63"/>
      <c r="I137" s="9"/>
      <c r="J137" s="9"/>
      <c r="K137" s="21">
        <f t="shared" si="46"/>
        <v>0</v>
      </c>
      <c r="L137" s="9"/>
      <c r="M137" s="9"/>
      <c r="N137" s="9"/>
      <c r="O137" s="21">
        <f t="shared" si="47"/>
        <v>0</v>
      </c>
      <c r="P137" s="9"/>
      <c r="Q137" s="9"/>
      <c r="R137" s="9"/>
      <c r="S137" s="21">
        <f t="shared" si="53"/>
        <v>0</v>
      </c>
      <c r="T137" s="9"/>
      <c r="U137" s="9"/>
      <c r="V137" s="9"/>
      <c r="W137" s="21">
        <f t="shared" si="48"/>
        <v>0</v>
      </c>
      <c r="X137" s="46">
        <f t="shared" si="49"/>
        <v>0</v>
      </c>
      <c r="Y137" s="46">
        <f>G137+факт!BD338</f>
        <v>0</v>
      </c>
      <c r="Z137" s="398">
        <f t="shared" si="50"/>
        <v>0</v>
      </c>
      <c r="AA137" s="389" t="s">
        <v>379</v>
      </c>
      <c r="AB137" s="16">
        <f t="shared" si="51"/>
        <v>0</v>
      </c>
      <c r="AC137" s="106"/>
      <c r="AD137" s="117"/>
    </row>
    <row r="138" spans="1:30" ht="25.5" customHeight="1">
      <c r="A138" s="397"/>
      <c r="B138" s="97" t="s">
        <v>26</v>
      </c>
      <c r="C138" s="98" t="s">
        <v>148</v>
      </c>
      <c r="D138" s="23">
        <v>2908004966</v>
      </c>
      <c r="E138" s="87"/>
      <c r="F138" s="28"/>
      <c r="G138" s="363"/>
      <c r="H138" s="63"/>
      <c r="I138" s="9"/>
      <c r="J138" s="9"/>
      <c r="K138" s="21">
        <f t="shared" si="46"/>
        <v>0</v>
      </c>
      <c r="L138" s="9"/>
      <c r="M138" s="9"/>
      <c r="N138" s="9"/>
      <c r="O138" s="21">
        <f t="shared" si="47"/>
        <v>0</v>
      </c>
      <c r="P138" s="9"/>
      <c r="Q138" s="9"/>
      <c r="R138" s="9"/>
      <c r="S138" s="21">
        <f t="shared" si="53"/>
        <v>0</v>
      </c>
      <c r="T138" s="9"/>
      <c r="U138" s="9"/>
      <c r="V138" s="9"/>
      <c r="W138" s="21">
        <f t="shared" si="48"/>
        <v>0</v>
      </c>
      <c r="X138" s="46">
        <f t="shared" si="49"/>
        <v>0</v>
      </c>
      <c r="Y138" s="46">
        <f>G138+факт!BD341</f>
        <v>0</v>
      </c>
      <c r="Z138" s="398">
        <f t="shared" si="50"/>
        <v>0</v>
      </c>
      <c r="AA138" s="389" t="s">
        <v>517</v>
      </c>
      <c r="AB138" s="16">
        <f t="shared" si="51"/>
        <v>0</v>
      </c>
      <c r="AC138" s="106"/>
      <c r="AD138" s="117"/>
    </row>
    <row r="139" spans="1:30" s="30" customFormat="1" ht="26.25" customHeight="1">
      <c r="A139" s="372"/>
      <c r="B139" s="97" t="s">
        <v>56</v>
      </c>
      <c r="C139" s="98" t="s">
        <v>322</v>
      </c>
      <c r="D139" s="20">
        <v>2912006740</v>
      </c>
      <c r="E139" s="87"/>
      <c r="F139" s="28"/>
      <c r="G139" s="363"/>
      <c r="H139" s="63"/>
      <c r="I139" s="9"/>
      <c r="J139" s="9"/>
      <c r="K139" s="21">
        <f t="shared" si="46"/>
        <v>0</v>
      </c>
      <c r="L139" s="9"/>
      <c r="M139" s="9"/>
      <c r="N139" s="9"/>
      <c r="O139" s="21">
        <f t="shared" si="47"/>
        <v>0</v>
      </c>
      <c r="P139" s="9"/>
      <c r="Q139" s="9"/>
      <c r="R139" s="9"/>
      <c r="S139" s="21">
        <f t="shared" si="53"/>
        <v>0</v>
      </c>
      <c r="T139" s="9"/>
      <c r="U139" s="9"/>
      <c r="V139" s="9"/>
      <c r="W139" s="21">
        <f t="shared" si="48"/>
        <v>0</v>
      </c>
      <c r="X139" s="46">
        <f t="shared" si="49"/>
        <v>0</v>
      </c>
      <c r="Y139" s="46">
        <f>G139+факт!BD350</f>
        <v>0</v>
      </c>
      <c r="Z139" s="398">
        <f t="shared" si="50"/>
        <v>0</v>
      </c>
      <c r="AA139" s="389" t="s">
        <v>490</v>
      </c>
      <c r="AB139" s="16">
        <f t="shared" si="51"/>
        <v>0</v>
      </c>
      <c r="AC139" s="106"/>
      <c r="AD139" s="117"/>
    </row>
    <row r="140" spans="1:30" s="127" customFormat="1" ht="26.25" customHeight="1">
      <c r="A140" s="372"/>
      <c r="B140" s="120" t="s">
        <v>26</v>
      </c>
      <c r="C140" s="121" t="s">
        <v>84</v>
      </c>
      <c r="D140" s="122">
        <v>2904022749</v>
      </c>
      <c r="E140" s="103"/>
      <c r="F140" s="28"/>
      <c r="G140" s="369"/>
      <c r="H140" s="123"/>
      <c r="I140" s="100"/>
      <c r="J140" s="100"/>
      <c r="K140" s="21">
        <f t="shared" si="46"/>
        <v>0</v>
      </c>
      <c r="L140" s="124"/>
      <c r="M140" s="124"/>
      <c r="N140" s="125"/>
      <c r="O140" s="126">
        <f t="shared" si="47"/>
        <v>0</v>
      </c>
      <c r="P140" s="124"/>
      <c r="Q140" s="124"/>
      <c r="R140" s="124"/>
      <c r="S140" s="126">
        <f t="shared" si="53"/>
        <v>0</v>
      </c>
      <c r="T140" s="124"/>
      <c r="U140" s="124"/>
      <c r="V140" s="124"/>
      <c r="W140" s="126">
        <f t="shared" si="48"/>
        <v>0</v>
      </c>
      <c r="X140" s="93">
        <f t="shared" si="49"/>
        <v>0</v>
      </c>
      <c r="Y140" s="126">
        <f>G140+факт!BD370</f>
        <v>0</v>
      </c>
      <c r="Z140" s="398">
        <f t="shared" si="50"/>
        <v>0</v>
      </c>
      <c r="AA140" s="391" t="s">
        <v>349</v>
      </c>
      <c r="AB140" s="16">
        <f t="shared" si="51"/>
        <v>0</v>
      </c>
      <c r="AC140" s="116"/>
      <c r="AD140" s="117"/>
    </row>
    <row r="141" spans="1:30">
      <c r="A141" s="397"/>
      <c r="B141" s="97" t="s">
        <v>26</v>
      </c>
      <c r="C141" s="98" t="s">
        <v>145</v>
      </c>
      <c r="D141" s="23" t="s">
        <v>83</v>
      </c>
      <c r="E141" s="87"/>
      <c r="F141" s="28"/>
      <c r="G141" s="363"/>
      <c r="H141" s="63"/>
      <c r="I141" s="9"/>
      <c r="J141" s="9"/>
      <c r="K141" s="21">
        <f t="shared" si="46"/>
        <v>0</v>
      </c>
      <c r="L141" s="9"/>
      <c r="M141" s="9"/>
      <c r="N141" s="9"/>
      <c r="O141" s="21">
        <f t="shared" si="47"/>
        <v>0</v>
      </c>
      <c r="P141" s="9"/>
      <c r="Q141" s="9"/>
      <c r="R141" s="9"/>
      <c r="S141" s="21">
        <f t="shared" si="53"/>
        <v>0</v>
      </c>
      <c r="T141" s="9"/>
      <c r="U141" s="9"/>
      <c r="V141" s="9"/>
      <c r="W141" s="21">
        <f t="shared" si="48"/>
        <v>0</v>
      </c>
      <c r="X141" s="46">
        <f t="shared" si="49"/>
        <v>0</v>
      </c>
      <c r="Y141" s="46">
        <f>G141+факт!BD371</f>
        <v>0</v>
      </c>
      <c r="Z141" s="398">
        <f t="shared" si="50"/>
        <v>0</v>
      </c>
      <c r="AA141" s="392"/>
      <c r="AB141" s="16">
        <f t="shared" si="51"/>
        <v>0</v>
      </c>
      <c r="AC141" s="106"/>
      <c r="AD141" s="117"/>
    </row>
    <row r="142" spans="1:30" s="101" customFormat="1">
      <c r="A142" s="372"/>
      <c r="B142" s="97" t="s">
        <v>26</v>
      </c>
      <c r="C142" s="98" t="s">
        <v>89</v>
      </c>
      <c r="D142" s="118">
        <v>2922008497</v>
      </c>
      <c r="E142" s="103"/>
      <c r="F142" s="28"/>
      <c r="G142" s="363"/>
      <c r="H142" s="99"/>
      <c r="I142" s="100"/>
      <c r="J142" s="100"/>
      <c r="K142" s="21">
        <f t="shared" si="46"/>
        <v>0</v>
      </c>
      <c r="L142" s="100"/>
      <c r="M142" s="100"/>
      <c r="N142" s="100"/>
      <c r="O142" s="93">
        <f t="shared" si="47"/>
        <v>0</v>
      </c>
      <c r="P142" s="100"/>
      <c r="Q142" s="100"/>
      <c r="R142" s="100"/>
      <c r="S142" s="93">
        <f t="shared" si="53"/>
        <v>0</v>
      </c>
      <c r="T142" s="100"/>
      <c r="U142" s="100"/>
      <c r="V142" s="100"/>
      <c r="W142" s="93">
        <f t="shared" si="48"/>
        <v>0</v>
      </c>
      <c r="X142" s="93">
        <f t="shared" si="49"/>
        <v>0</v>
      </c>
      <c r="Y142" s="93">
        <f>G142</f>
        <v>0</v>
      </c>
      <c r="Z142" s="398">
        <f t="shared" si="50"/>
        <v>0</v>
      </c>
      <c r="AA142" s="393"/>
      <c r="AB142" s="16">
        <f t="shared" si="51"/>
        <v>0</v>
      </c>
      <c r="AC142" s="116"/>
      <c r="AD142" s="117"/>
    </row>
    <row r="143" spans="1:30" s="30" customFormat="1" ht="24" customHeight="1">
      <c r="A143" s="397"/>
      <c r="B143" s="97" t="s">
        <v>26</v>
      </c>
      <c r="C143" s="98" t="s">
        <v>88</v>
      </c>
      <c r="D143" s="118">
        <v>2924005452</v>
      </c>
      <c r="E143" s="87"/>
      <c r="F143" s="28"/>
      <c r="G143" s="363"/>
      <c r="H143" s="63"/>
      <c r="I143" s="9"/>
      <c r="J143" s="9"/>
      <c r="K143" s="21">
        <f t="shared" si="46"/>
        <v>0</v>
      </c>
      <c r="L143" s="9"/>
      <c r="M143" s="9"/>
      <c r="N143" s="9"/>
      <c r="O143" s="21">
        <f t="shared" si="47"/>
        <v>0</v>
      </c>
      <c r="P143" s="9"/>
      <c r="Q143" s="9"/>
      <c r="R143" s="9"/>
      <c r="S143" s="21">
        <f t="shared" si="53"/>
        <v>0</v>
      </c>
      <c r="T143" s="9"/>
      <c r="U143" s="9"/>
      <c r="V143" s="9"/>
      <c r="W143" s="24">
        <f t="shared" si="48"/>
        <v>0</v>
      </c>
      <c r="X143" s="46">
        <f t="shared" si="49"/>
        <v>0</v>
      </c>
      <c r="Y143" s="46">
        <f>G143+факт!BD377</f>
        <v>0</v>
      </c>
      <c r="Z143" s="398">
        <f t="shared" si="50"/>
        <v>0</v>
      </c>
      <c r="AA143" s="388"/>
      <c r="AB143" s="16">
        <f t="shared" si="51"/>
        <v>0</v>
      </c>
      <c r="AC143" s="106"/>
      <c r="AD143" s="117"/>
    </row>
    <row r="144" spans="1:30" s="30" customFormat="1" ht="24" customHeight="1">
      <c r="A144" s="397"/>
      <c r="B144" s="97" t="s">
        <v>26</v>
      </c>
      <c r="C144" s="98" t="s">
        <v>158</v>
      </c>
      <c r="D144" s="20">
        <v>2922009317</v>
      </c>
      <c r="E144" s="87"/>
      <c r="F144" s="28"/>
      <c r="G144" s="363"/>
      <c r="H144" s="63"/>
      <c r="I144" s="9"/>
      <c r="J144" s="9"/>
      <c r="K144" s="21">
        <f t="shared" si="46"/>
        <v>0</v>
      </c>
      <c r="L144" s="9"/>
      <c r="M144" s="9"/>
      <c r="N144" s="9"/>
      <c r="O144" s="21">
        <f t="shared" si="47"/>
        <v>0</v>
      </c>
      <c r="P144" s="9"/>
      <c r="Q144" s="65"/>
      <c r="R144" s="65"/>
      <c r="S144" s="21">
        <f t="shared" si="53"/>
        <v>0</v>
      </c>
      <c r="T144" s="9"/>
      <c r="U144" s="9"/>
      <c r="V144" s="9"/>
      <c r="W144" s="21">
        <f t="shared" si="48"/>
        <v>0</v>
      </c>
      <c r="X144" s="46">
        <f t="shared" si="49"/>
        <v>0</v>
      </c>
      <c r="Y144" s="46">
        <f>G144+факт!BD386</f>
        <v>0</v>
      </c>
      <c r="Z144" s="398">
        <f t="shared" si="50"/>
        <v>0</v>
      </c>
      <c r="AA144" s="389" t="s">
        <v>557</v>
      </c>
      <c r="AB144" s="16">
        <f t="shared" si="51"/>
        <v>0</v>
      </c>
      <c r="AC144" s="106"/>
      <c r="AD144" s="117"/>
    </row>
    <row r="145" spans="1:30" s="30" customFormat="1">
      <c r="A145" s="372"/>
      <c r="B145" s="97" t="s">
        <v>26</v>
      </c>
      <c r="C145" s="98" t="s">
        <v>97</v>
      </c>
      <c r="D145" s="118">
        <v>2915004011</v>
      </c>
      <c r="E145" s="103"/>
      <c r="F145" s="28"/>
      <c r="G145" s="366"/>
      <c r="H145" s="128"/>
      <c r="I145" s="100"/>
      <c r="J145" s="100"/>
      <c r="K145" s="21">
        <f t="shared" si="46"/>
        <v>0</v>
      </c>
      <c r="L145" s="100"/>
      <c r="M145" s="100"/>
      <c r="N145" s="100"/>
      <c r="O145" s="93">
        <f t="shared" si="47"/>
        <v>0</v>
      </c>
      <c r="P145" s="100"/>
      <c r="Q145" s="100"/>
      <c r="R145" s="100"/>
      <c r="S145" s="93">
        <f t="shared" si="53"/>
        <v>0</v>
      </c>
      <c r="T145" s="100"/>
      <c r="U145" s="100"/>
      <c r="V145" s="100"/>
      <c r="W145" s="129">
        <f t="shared" si="48"/>
        <v>0</v>
      </c>
      <c r="X145" s="93">
        <f t="shared" si="49"/>
        <v>0</v>
      </c>
      <c r="Y145" s="93">
        <f>G145+факт!BD397</f>
        <v>0</v>
      </c>
      <c r="Z145" s="398">
        <f t="shared" si="50"/>
        <v>0</v>
      </c>
      <c r="AA145" s="394" t="s">
        <v>348</v>
      </c>
      <c r="AB145" s="16">
        <f t="shared" si="51"/>
        <v>0</v>
      </c>
      <c r="AC145" s="106"/>
      <c r="AD145" s="117"/>
    </row>
    <row r="146" spans="1:30" s="30" customFormat="1" ht="36.75">
      <c r="A146" s="372"/>
      <c r="B146" s="97" t="s">
        <v>95</v>
      </c>
      <c r="C146" s="98" t="s">
        <v>96</v>
      </c>
      <c r="D146" s="20">
        <v>2901248674</v>
      </c>
      <c r="E146" s="87"/>
      <c r="F146" s="28"/>
      <c r="G146" s="363"/>
      <c r="H146" s="63"/>
      <c r="I146" s="9"/>
      <c r="J146" s="9"/>
      <c r="K146" s="21">
        <f t="shared" si="46"/>
        <v>0</v>
      </c>
      <c r="L146" s="9"/>
      <c r="M146" s="9"/>
      <c r="N146" s="9"/>
      <c r="O146" s="21">
        <f t="shared" si="47"/>
        <v>0</v>
      </c>
      <c r="P146" s="9"/>
      <c r="Q146" s="9"/>
      <c r="R146" s="9"/>
      <c r="S146" s="21">
        <f t="shared" si="53"/>
        <v>0</v>
      </c>
      <c r="T146" s="9"/>
      <c r="U146" s="9"/>
      <c r="V146" s="9"/>
      <c r="W146" s="21">
        <f t="shared" si="48"/>
        <v>0</v>
      </c>
      <c r="X146" s="46">
        <f t="shared" si="49"/>
        <v>0</v>
      </c>
      <c r="Y146" s="46">
        <f>G146+факт!BD398</f>
        <v>0</v>
      </c>
      <c r="Z146" s="398">
        <f t="shared" si="50"/>
        <v>0</v>
      </c>
      <c r="AA146" s="388" t="s">
        <v>394</v>
      </c>
      <c r="AB146" s="16">
        <f t="shared" si="51"/>
        <v>0</v>
      </c>
      <c r="AC146" s="106"/>
      <c r="AD146" s="117"/>
    </row>
    <row r="147" spans="1:30" s="101" customFormat="1">
      <c r="A147" s="372"/>
      <c r="B147" s="97" t="s">
        <v>26</v>
      </c>
      <c r="C147" s="98" t="s">
        <v>168</v>
      </c>
      <c r="D147" s="118">
        <v>2922009194</v>
      </c>
      <c r="E147" s="103"/>
      <c r="F147" s="28"/>
      <c r="G147" s="363"/>
      <c r="H147" s="99"/>
      <c r="I147" s="100"/>
      <c r="J147" s="100"/>
      <c r="K147" s="21">
        <f t="shared" si="46"/>
        <v>0</v>
      </c>
      <c r="L147" s="100"/>
      <c r="M147" s="100"/>
      <c r="N147" s="100"/>
      <c r="O147" s="93">
        <f t="shared" si="47"/>
        <v>0</v>
      </c>
      <c r="P147" s="100"/>
      <c r="Q147" s="100"/>
      <c r="R147" s="100"/>
      <c r="S147" s="93">
        <f t="shared" si="53"/>
        <v>0</v>
      </c>
      <c r="T147" s="100"/>
      <c r="U147" s="100"/>
      <c r="V147" s="100"/>
      <c r="W147" s="93">
        <f t="shared" si="48"/>
        <v>0</v>
      </c>
      <c r="X147" s="93">
        <f t="shared" si="49"/>
        <v>0</v>
      </c>
      <c r="Y147" s="93">
        <f>G147+факт!BD402</f>
        <v>0</v>
      </c>
      <c r="Z147" s="398">
        <f t="shared" si="50"/>
        <v>0</v>
      </c>
      <c r="AA147" s="389" t="s">
        <v>346</v>
      </c>
      <c r="AB147" s="16">
        <f t="shared" si="51"/>
        <v>0</v>
      </c>
      <c r="AC147" s="116"/>
      <c r="AD147" s="116"/>
    </row>
    <row r="148" spans="1:30" s="30" customFormat="1">
      <c r="A148" s="444"/>
      <c r="B148" s="445" t="s">
        <v>129</v>
      </c>
      <c r="C148" s="446" t="s">
        <v>40</v>
      </c>
      <c r="D148" s="447">
        <v>2921000738</v>
      </c>
      <c r="E148" s="448"/>
      <c r="F148" s="449"/>
      <c r="G148" s="450"/>
      <c r="H148" s="451"/>
      <c r="I148" s="452"/>
      <c r="J148" s="452"/>
      <c r="K148" s="453">
        <f t="shared" si="46"/>
        <v>0</v>
      </c>
      <c r="L148" s="452"/>
      <c r="M148" s="452"/>
      <c r="N148" s="452"/>
      <c r="O148" s="453">
        <f t="shared" si="47"/>
        <v>0</v>
      </c>
      <c r="P148" s="452"/>
      <c r="Q148" s="452"/>
      <c r="R148" s="452"/>
      <c r="S148" s="453">
        <f t="shared" si="53"/>
        <v>0</v>
      </c>
      <c r="T148" s="452"/>
      <c r="U148" s="452"/>
      <c r="V148" s="452"/>
      <c r="W148" s="453">
        <f t="shared" si="48"/>
        <v>0</v>
      </c>
      <c r="X148" s="454">
        <f t="shared" si="49"/>
        <v>0</v>
      </c>
      <c r="Y148" s="454">
        <f>G148+факт!BD423</f>
        <v>0</v>
      </c>
      <c r="Z148" s="455">
        <f t="shared" si="50"/>
        <v>0</v>
      </c>
      <c r="AA148" s="395" t="s">
        <v>395</v>
      </c>
      <c r="AB148" s="16">
        <f t="shared" si="51"/>
        <v>0</v>
      </c>
      <c r="AC148" s="106"/>
      <c r="AD148" s="117"/>
    </row>
    <row r="149" spans="1:30">
      <c r="C149" s="31"/>
      <c r="G149" s="38"/>
      <c r="I149" s="37"/>
      <c r="K149" s="31"/>
      <c r="O149" s="31"/>
      <c r="S149" s="31"/>
      <c r="W149" s="31"/>
      <c r="X149" s="52"/>
      <c r="Y149" s="52"/>
      <c r="Z149" s="45"/>
    </row>
    <row r="150" spans="1:30">
      <c r="C150" s="31"/>
      <c r="G150" s="38"/>
      <c r="I150" s="43"/>
      <c r="K150" s="31"/>
      <c r="O150" s="31"/>
      <c r="S150" s="31"/>
      <c r="W150" s="31"/>
      <c r="X150" s="52"/>
      <c r="Y150" s="52"/>
      <c r="Z150" s="44"/>
    </row>
    <row r="151" spans="1:30">
      <c r="C151" s="31"/>
      <c r="G151" s="38"/>
      <c r="K151" s="31"/>
      <c r="O151" s="31"/>
      <c r="S151" s="31"/>
      <c r="W151" s="31"/>
      <c r="X151" s="52"/>
      <c r="Y151" s="52"/>
      <c r="Z151" s="31"/>
    </row>
    <row r="152" spans="1:30">
      <c r="C152" s="31"/>
      <c r="G152" s="38"/>
      <c r="I152" s="37"/>
      <c r="K152" s="31"/>
      <c r="O152" s="31"/>
      <c r="S152" s="31"/>
      <c r="W152" s="31"/>
      <c r="X152" s="52"/>
      <c r="Y152" s="52"/>
      <c r="Z152" s="31"/>
    </row>
    <row r="153" spans="1:30">
      <c r="C153" s="31"/>
      <c r="G153" s="38"/>
      <c r="I153" s="43"/>
      <c r="K153" s="31"/>
      <c r="O153" s="31"/>
      <c r="S153" s="31"/>
      <c r="W153" s="31"/>
      <c r="X153" s="52"/>
      <c r="Y153" s="52"/>
      <c r="Z153" s="31"/>
    </row>
    <row r="154" spans="1:30">
      <c r="C154" s="31"/>
      <c r="G154" s="38"/>
      <c r="K154" s="31"/>
      <c r="O154" s="31"/>
      <c r="S154" s="31"/>
      <c r="W154" s="31"/>
      <c r="X154" s="52"/>
      <c r="Y154" s="52"/>
      <c r="Z154" s="31"/>
    </row>
    <row r="155" spans="1:30">
      <c r="C155" s="31"/>
      <c r="G155" s="38"/>
      <c r="I155" s="43"/>
      <c r="K155" s="31"/>
      <c r="O155" s="31"/>
      <c r="S155" s="31"/>
      <c r="W155" s="31"/>
      <c r="X155" s="52"/>
      <c r="Y155" s="52"/>
      <c r="Z155" s="31"/>
    </row>
    <row r="156" spans="1:30">
      <c r="C156" s="31"/>
      <c r="G156" s="38"/>
      <c r="K156" s="31"/>
      <c r="O156" s="31"/>
      <c r="S156" s="31"/>
      <c r="W156" s="31"/>
      <c r="X156" s="52"/>
      <c r="Y156" s="52"/>
      <c r="Z156" s="31"/>
    </row>
    <row r="157" spans="1:30">
      <c r="C157" s="31"/>
      <c r="G157" s="38"/>
      <c r="K157" s="31"/>
      <c r="O157" s="31"/>
      <c r="S157" s="31"/>
      <c r="W157" s="31"/>
      <c r="X157" s="52"/>
      <c r="Y157" s="52"/>
      <c r="Z157" s="31"/>
    </row>
    <row r="158" spans="1:30">
      <c r="C158" s="31"/>
      <c r="G158" s="38"/>
      <c r="K158" s="31"/>
      <c r="O158" s="31"/>
      <c r="S158" s="31"/>
      <c r="W158" s="31"/>
      <c r="X158" s="52"/>
      <c r="Y158" s="52"/>
      <c r="Z158" s="31"/>
    </row>
    <row r="159" spans="1:30">
      <c r="C159" s="31"/>
      <c r="G159" s="38"/>
      <c r="K159" s="31"/>
      <c r="O159" s="31"/>
      <c r="S159" s="31"/>
      <c r="W159" s="31"/>
      <c r="X159" s="52"/>
      <c r="Y159" s="52"/>
      <c r="Z159" s="31"/>
    </row>
    <row r="160" spans="1:30">
      <c r="C160" s="31"/>
      <c r="G160" s="38"/>
      <c r="K160" s="31"/>
      <c r="O160" s="31"/>
      <c r="S160" s="31"/>
      <c r="W160" s="31"/>
      <c r="X160" s="52"/>
      <c r="Y160" s="52"/>
      <c r="Z160" s="31"/>
    </row>
    <row r="161" spans="3:26">
      <c r="C161" s="31"/>
      <c r="G161" s="38"/>
      <c r="K161" s="31"/>
      <c r="O161" s="31"/>
      <c r="S161" s="31"/>
      <c r="W161" s="31"/>
      <c r="X161" s="52"/>
      <c r="Y161" s="52"/>
      <c r="Z161" s="31"/>
    </row>
    <row r="162" spans="3:26">
      <c r="C162" s="31"/>
      <c r="G162" s="38"/>
      <c r="K162" s="31"/>
      <c r="O162" s="31"/>
      <c r="S162" s="31"/>
      <c r="W162" s="31"/>
      <c r="X162" s="52"/>
      <c r="Y162" s="52"/>
      <c r="Z162" s="31"/>
    </row>
    <row r="163" spans="3:26">
      <c r="C163" s="31"/>
      <c r="G163" s="38"/>
      <c r="K163" s="31"/>
      <c r="O163" s="31"/>
      <c r="S163" s="31"/>
      <c r="W163" s="31"/>
      <c r="X163" s="52"/>
      <c r="Y163" s="52"/>
      <c r="Z163" s="31"/>
    </row>
    <row r="164" spans="3:26">
      <c r="C164" s="31"/>
      <c r="G164" s="38"/>
      <c r="K164" s="31"/>
      <c r="O164" s="31"/>
      <c r="S164" s="31"/>
      <c r="W164" s="31"/>
      <c r="X164" s="52"/>
      <c r="Y164" s="52"/>
      <c r="Z164" s="31"/>
    </row>
    <row r="165" spans="3:26">
      <c r="C165" s="31"/>
      <c r="G165" s="38"/>
      <c r="K165" s="31"/>
      <c r="O165" s="31"/>
      <c r="S165" s="31"/>
      <c r="W165" s="31"/>
      <c r="X165" s="52"/>
      <c r="Y165" s="52"/>
      <c r="Z165" s="31"/>
    </row>
    <row r="166" spans="3:26">
      <c r="C166" s="31"/>
      <c r="G166" s="38"/>
      <c r="K166" s="31"/>
      <c r="O166" s="31"/>
      <c r="S166" s="31"/>
      <c r="W166" s="31"/>
      <c r="X166" s="52"/>
      <c r="Y166" s="52"/>
      <c r="Z166" s="31"/>
    </row>
    <row r="167" spans="3:26">
      <c r="C167" s="31"/>
      <c r="G167" s="38"/>
      <c r="K167" s="31"/>
      <c r="O167" s="31"/>
      <c r="S167" s="31"/>
      <c r="W167" s="31"/>
      <c r="X167" s="52"/>
      <c r="Y167" s="52"/>
      <c r="Z167" s="31"/>
    </row>
    <row r="168" spans="3:26">
      <c r="C168" s="31"/>
      <c r="G168" s="38"/>
      <c r="K168" s="31"/>
      <c r="O168" s="31"/>
      <c r="S168" s="31"/>
      <c r="W168" s="31"/>
      <c r="X168" s="52"/>
      <c r="Y168" s="52"/>
      <c r="Z168" s="31"/>
    </row>
    <row r="169" spans="3:26">
      <c r="C169" s="31"/>
      <c r="G169" s="38"/>
      <c r="K169" s="31"/>
      <c r="O169" s="31"/>
      <c r="S169" s="31"/>
      <c r="W169" s="31"/>
      <c r="X169" s="52"/>
      <c r="Y169" s="52"/>
      <c r="Z169" s="31"/>
    </row>
    <row r="170" spans="3:26">
      <c r="C170" s="31"/>
      <c r="G170" s="38"/>
      <c r="K170" s="31"/>
      <c r="O170" s="31"/>
      <c r="S170" s="31"/>
      <c r="W170" s="31"/>
      <c r="X170" s="52"/>
      <c r="Y170" s="52"/>
      <c r="Z170" s="31"/>
    </row>
    <row r="171" spans="3:26">
      <c r="C171" s="31"/>
      <c r="G171" s="38"/>
      <c r="K171" s="31"/>
      <c r="O171" s="31"/>
      <c r="S171" s="31"/>
      <c r="W171" s="31"/>
      <c r="X171" s="52"/>
      <c r="Y171" s="52"/>
      <c r="Z171" s="31"/>
    </row>
    <row r="172" spans="3:26">
      <c r="C172" s="31"/>
      <c r="G172" s="38"/>
      <c r="K172" s="31"/>
      <c r="O172" s="31"/>
      <c r="S172" s="31"/>
      <c r="W172" s="31"/>
      <c r="X172" s="52"/>
      <c r="Y172" s="52"/>
      <c r="Z172" s="31"/>
    </row>
    <row r="173" spans="3:26">
      <c r="C173" s="31"/>
      <c r="G173" s="38"/>
      <c r="K173" s="31"/>
      <c r="O173" s="31"/>
      <c r="S173" s="31"/>
      <c r="W173" s="31"/>
      <c r="X173" s="52"/>
      <c r="Y173" s="52"/>
      <c r="Z173" s="31"/>
    </row>
    <row r="174" spans="3:26">
      <c r="C174" s="31"/>
      <c r="G174" s="38"/>
      <c r="K174" s="31"/>
      <c r="O174" s="31"/>
      <c r="S174" s="31"/>
      <c r="W174" s="31"/>
      <c r="X174" s="52"/>
      <c r="Y174" s="52"/>
      <c r="Z174" s="31"/>
    </row>
    <row r="175" spans="3:26">
      <c r="C175" s="31"/>
      <c r="G175" s="38"/>
      <c r="K175" s="31"/>
      <c r="O175" s="31"/>
      <c r="S175" s="31"/>
      <c r="W175" s="31"/>
      <c r="X175" s="52"/>
      <c r="Y175" s="52"/>
      <c r="Z175" s="31"/>
    </row>
    <row r="176" spans="3:26">
      <c r="C176" s="31"/>
      <c r="G176" s="38"/>
      <c r="K176" s="31"/>
      <c r="O176" s="31"/>
      <c r="S176" s="31"/>
      <c r="W176" s="31"/>
      <c r="X176" s="52"/>
      <c r="Y176" s="52"/>
      <c r="Z176" s="31"/>
    </row>
    <row r="177" spans="3:26">
      <c r="C177" s="31"/>
      <c r="G177" s="38"/>
      <c r="K177" s="31"/>
      <c r="O177" s="31"/>
      <c r="S177" s="31"/>
      <c r="W177" s="31"/>
      <c r="X177" s="52"/>
      <c r="Y177" s="52"/>
      <c r="Z177" s="31"/>
    </row>
    <row r="178" spans="3:26">
      <c r="C178" s="31"/>
      <c r="G178" s="38"/>
      <c r="K178" s="31"/>
      <c r="O178" s="31"/>
      <c r="S178" s="31"/>
      <c r="W178" s="31"/>
      <c r="X178" s="52"/>
      <c r="Y178" s="52"/>
      <c r="Z178" s="31"/>
    </row>
    <row r="179" spans="3:26">
      <c r="C179" s="31"/>
      <c r="G179" s="38"/>
      <c r="K179" s="31"/>
      <c r="O179" s="31"/>
      <c r="S179" s="31"/>
      <c r="W179" s="31"/>
      <c r="X179" s="52"/>
      <c r="Y179" s="52"/>
      <c r="Z179" s="31"/>
    </row>
    <row r="180" spans="3:26">
      <c r="C180" s="31"/>
      <c r="G180" s="38"/>
      <c r="K180" s="31"/>
      <c r="O180" s="31"/>
      <c r="S180" s="31"/>
      <c r="W180" s="31"/>
      <c r="X180" s="52"/>
      <c r="Y180" s="52"/>
      <c r="Z180" s="31"/>
    </row>
    <row r="181" spans="3:26">
      <c r="C181" s="31"/>
      <c r="G181" s="38"/>
      <c r="K181" s="31"/>
      <c r="O181" s="31"/>
      <c r="S181" s="31"/>
      <c r="W181" s="31"/>
      <c r="X181" s="52"/>
      <c r="Y181" s="52"/>
      <c r="Z181" s="31"/>
    </row>
    <row r="182" spans="3:26">
      <c r="C182" s="31"/>
      <c r="G182" s="38"/>
      <c r="K182" s="31"/>
      <c r="O182" s="31"/>
      <c r="S182" s="31"/>
      <c r="W182" s="31"/>
      <c r="X182" s="52"/>
      <c r="Y182" s="52"/>
      <c r="Z182" s="31"/>
    </row>
    <row r="183" spans="3:26">
      <c r="C183" s="31"/>
      <c r="G183" s="38"/>
      <c r="K183" s="31"/>
      <c r="O183" s="31"/>
      <c r="S183" s="31"/>
      <c r="W183" s="31"/>
      <c r="X183" s="52"/>
      <c r="Y183" s="52"/>
      <c r="Z183" s="31"/>
    </row>
    <row r="184" spans="3:26">
      <c r="C184" s="31"/>
      <c r="G184" s="38"/>
      <c r="K184" s="31"/>
      <c r="O184" s="31"/>
      <c r="S184" s="31"/>
      <c r="W184" s="31"/>
      <c r="X184" s="52"/>
      <c r="Y184" s="52"/>
      <c r="Z184" s="31"/>
    </row>
    <row r="185" spans="3:26">
      <c r="C185" s="31"/>
      <c r="G185" s="38"/>
      <c r="K185" s="31"/>
      <c r="O185" s="31"/>
      <c r="S185" s="31"/>
      <c r="W185" s="31"/>
      <c r="X185" s="52"/>
      <c r="Y185" s="52"/>
      <c r="Z185" s="31"/>
    </row>
    <row r="186" spans="3:26">
      <c r="C186" s="31"/>
      <c r="G186" s="38"/>
      <c r="K186" s="31"/>
      <c r="O186" s="31"/>
      <c r="S186" s="31"/>
      <c r="W186" s="31"/>
      <c r="X186" s="52"/>
      <c r="Y186" s="52"/>
      <c r="Z186" s="31"/>
    </row>
    <row r="187" spans="3:26">
      <c r="C187" s="31"/>
      <c r="G187" s="38"/>
      <c r="K187" s="31"/>
      <c r="O187" s="31"/>
      <c r="S187" s="31"/>
      <c r="W187" s="31"/>
      <c r="X187" s="52"/>
      <c r="Y187" s="52"/>
      <c r="Z187" s="31"/>
    </row>
    <row r="188" spans="3:26">
      <c r="C188" s="31"/>
      <c r="G188" s="38"/>
      <c r="K188" s="31"/>
      <c r="O188" s="31"/>
      <c r="S188" s="31"/>
      <c r="W188" s="31"/>
      <c r="X188" s="52"/>
      <c r="Y188" s="52"/>
      <c r="Z188" s="31"/>
    </row>
    <row r="189" spans="3:26">
      <c r="C189" s="31"/>
      <c r="G189" s="38"/>
      <c r="K189" s="31"/>
      <c r="O189" s="31"/>
      <c r="S189" s="31"/>
      <c r="W189" s="31"/>
      <c r="X189" s="52"/>
      <c r="Y189" s="52"/>
      <c r="Z189" s="31"/>
    </row>
    <row r="190" spans="3:26">
      <c r="C190" s="31"/>
      <c r="G190" s="38"/>
      <c r="K190" s="31"/>
      <c r="O190" s="31"/>
      <c r="S190" s="31"/>
      <c r="W190" s="31"/>
      <c r="X190" s="52"/>
      <c r="Y190" s="52"/>
      <c r="Z190" s="31"/>
    </row>
    <row r="191" spans="3:26">
      <c r="C191" s="31"/>
      <c r="G191" s="38"/>
      <c r="K191" s="31"/>
      <c r="O191" s="31"/>
      <c r="S191" s="31"/>
      <c r="W191" s="31"/>
      <c r="X191" s="52"/>
      <c r="Y191" s="52"/>
      <c r="Z191" s="31"/>
    </row>
    <row r="192" spans="3:26">
      <c r="C192" s="31"/>
      <c r="G192" s="38"/>
      <c r="K192" s="31"/>
      <c r="O192" s="31"/>
      <c r="S192" s="31"/>
      <c r="W192" s="31"/>
      <c r="X192" s="52"/>
      <c r="Y192" s="52"/>
      <c r="Z192" s="31"/>
    </row>
    <row r="193" spans="3:26">
      <c r="C193" s="31"/>
      <c r="G193" s="38"/>
      <c r="K193" s="31"/>
      <c r="O193" s="31"/>
      <c r="S193" s="31"/>
      <c r="W193" s="31"/>
      <c r="X193" s="52"/>
      <c r="Y193" s="52"/>
      <c r="Z193" s="31"/>
    </row>
    <row r="194" spans="3:26">
      <c r="C194" s="31"/>
      <c r="G194" s="38"/>
      <c r="K194" s="31"/>
      <c r="O194" s="31"/>
      <c r="S194" s="31"/>
      <c r="W194" s="31"/>
      <c r="X194" s="52"/>
      <c r="Y194" s="52"/>
      <c r="Z194" s="31"/>
    </row>
    <row r="195" spans="3:26">
      <c r="C195" s="31"/>
      <c r="G195" s="38"/>
      <c r="K195" s="31"/>
      <c r="O195" s="31"/>
      <c r="S195" s="31"/>
      <c r="W195" s="31"/>
      <c r="X195" s="52"/>
      <c r="Y195" s="52"/>
      <c r="Z195" s="31"/>
    </row>
    <row r="196" spans="3:26">
      <c r="C196" s="31"/>
      <c r="G196" s="38"/>
      <c r="K196" s="31"/>
      <c r="O196" s="31"/>
      <c r="S196" s="31"/>
      <c r="W196" s="31"/>
      <c r="X196" s="52"/>
      <c r="Y196" s="52"/>
      <c r="Z196" s="31"/>
    </row>
    <row r="197" spans="3:26">
      <c r="C197" s="31"/>
      <c r="G197" s="38"/>
      <c r="K197" s="31"/>
      <c r="O197" s="31"/>
      <c r="S197" s="31"/>
      <c r="W197" s="31"/>
      <c r="X197" s="52"/>
      <c r="Y197" s="52"/>
      <c r="Z197" s="31"/>
    </row>
    <row r="198" spans="3:26">
      <c r="C198" s="31"/>
      <c r="G198" s="38"/>
      <c r="K198" s="31"/>
      <c r="O198" s="31"/>
      <c r="S198" s="31"/>
      <c r="W198" s="31"/>
      <c r="X198" s="52"/>
      <c r="Y198" s="52"/>
      <c r="Z198" s="31"/>
    </row>
    <row r="199" spans="3:26">
      <c r="C199" s="31"/>
      <c r="G199" s="38"/>
      <c r="K199" s="31"/>
      <c r="O199" s="31"/>
      <c r="S199" s="31"/>
      <c r="W199" s="31"/>
      <c r="X199" s="52"/>
      <c r="Y199" s="52"/>
      <c r="Z199" s="31"/>
    </row>
    <row r="200" spans="3:26">
      <c r="C200" s="31"/>
      <c r="G200" s="38"/>
      <c r="K200" s="31"/>
      <c r="O200" s="31"/>
      <c r="S200" s="31"/>
      <c r="W200" s="31"/>
      <c r="X200" s="52"/>
      <c r="Y200" s="52"/>
      <c r="Z200" s="31"/>
    </row>
    <row r="201" spans="3:26">
      <c r="C201" s="31"/>
      <c r="G201" s="38"/>
      <c r="K201" s="31"/>
      <c r="O201" s="31"/>
      <c r="S201" s="31"/>
      <c r="W201" s="31"/>
      <c r="X201" s="52"/>
      <c r="Y201" s="52"/>
      <c r="Z201" s="31"/>
    </row>
    <row r="202" spans="3:26">
      <c r="C202" s="31"/>
      <c r="G202" s="38"/>
      <c r="K202" s="31"/>
      <c r="O202" s="31"/>
      <c r="S202" s="31"/>
      <c r="W202" s="31"/>
      <c r="X202" s="52"/>
      <c r="Y202" s="52"/>
      <c r="Z202" s="31"/>
    </row>
    <row r="203" spans="3:26">
      <c r="C203" s="31"/>
      <c r="G203" s="38"/>
      <c r="K203" s="31"/>
      <c r="O203" s="31"/>
      <c r="S203" s="31"/>
      <c r="W203" s="31"/>
      <c r="X203" s="52"/>
      <c r="Y203" s="52"/>
      <c r="Z203" s="31"/>
    </row>
    <row r="204" spans="3:26">
      <c r="C204" s="31"/>
      <c r="G204" s="38"/>
      <c r="K204" s="31"/>
      <c r="O204" s="31"/>
      <c r="S204" s="31"/>
      <c r="W204" s="31"/>
      <c r="X204" s="52"/>
      <c r="Y204" s="52"/>
      <c r="Z204" s="31"/>
    </row>
    <row r="205" spans="3:26">
      <c r="C205" s="31"/>
      <c r="G205" s="38"/>
      <c r="K205" s="31"/>
      <c r="O205" s="31"/>
      <c r="S205" s="31"/>
      <c r="W205" s="31"/>
      <c r="X205" s="52"/>
      <c r="Y205" s="52"/>
      <c r="Z205" s="31"/>
    </row>
    <row r="206" spans="3:26">
      <c r="C206" s="31"/>
      <c r="G206" s="38"/>
      <c r="K206" s="31"/>
      <c r="O206" s="31"/>
      <c r="S206" s="31"/>
      <c r="W206" s="31"/>
      <c r="X206" s="52"/>
      <c r="Y206" s="52"/>
      <c r="Z206" s="31"/>
    </row>
    <row r="207" spans="3:26">
      <c r="C207" s="31"/>
      <c r="G207" s="38"/>
      <c r="K207" s="31"/>
      <c r="O207" s="31"/>
      <c r="S207" s="31"/>
      <c r="W207" s="31"/>
      <c r="X207" s="52"/>
      <c r="Y207" s="52"/>
      <c r="Z207" s="31"/>
    </row>
    <row r="208" spans="3:26">
      <c r="C208" s="31"/>
      <c r="G208" s="38"/>
      <c r="K208" s="31"/>
      <c r="O208" s="31"/>
      <c r="S208" s="31"/>
      <c r="W208" s="31"/>
      <c r="X208" s="52"/>
      <c r="Y208" s="52"/>
      <c r="Z208" s="31"/>
    </row>
    <row r="209" spans="3:26">
      <c r="C209" s="31"/>
      <c r="G209" s="38"/>
      <c r="K209" s="31"/>
      <c r="O209" s="31"/>
      <c r="S209" s="31"/>
      <c r="W209" s="31"/>
      <c r="X209" s="52"/>
      <c r="Y209" s="52"/>
      <c r="Z209" s="31"/>
    </row>
    <row r="210" spans="3:26">
      <c r="C210" s="31"/>
      <c r="G210" s="38"/>
      <c r="K210" s="31"/>
      <c r="O210" s="31"/>
      <c r="S210" s="31"/>
      <c r="W210" s="31"/>
      <c r="X210" s="52"/>
      <c r="Y210" s="52"/>
      <c r="Z210" s="31"/>
    </row>
    <row r="211" spans="3:26">
      <c r="C211" s="31"/>
      <c r="G211" s="38"/>
      <c r="K211" s="31"/>
      <c r="O211" s="31"/>
      <c r="S211" s="31"/>
      <c r="W211" s="31"/>
      <c r="X211" s="52"/>
      <c r="Y211" s="52"/>
      <c r="Z211" s="31"/>
    </row>
    <row r="212" spans="3:26">
      <c r="C212" s="31"/>
      <c r="G212" s="38"/>
      <c r="K212" s="31"/>
      <c r="O212" s="31"/>
      <c r="S212" s="31"/>
      <c r="W212" s="31"/>
      <c r="X212" s="52"/>
      <c r="Y212" s="52"/>
      <c r="Z212" s="31"/>
    </row>
    <row r="213" spans="3:26">
      <c r="C213" s="31"/>
      <c r="G213" s="38"/>
      <c r="K213" s="31"/>
      <c r="O213" s="31"/>
      <c r="S213" s="31"/>
      <c r="W213" s="31"/>
      <c r="X213" s="52"/>
      <c r="Y213" s="52"/>
      <c r="Z213" s="31"/>
    </row>
    <row r="214" spans="3:26">
      <c r="C214" s="31"/>
      <c r="G214" s="38"/>
      <c r="K214" s="31"/>
      <c r="O214" s="31"/>
      <c r="S214" s="31"/>
      <c r="W214" s="31"/>
      <c r="X214" s="52"/>
      <c r="Y214" s="52"/>
      <c r="Z214" s="31"/>
    </row>
    <row r="215" spans="3:26">
      <c r="C215" s="31"/>
      <c r="G215" s="38"/>
      <c r="K215" s="31"/>
      <c r="O215" s="31"/>
      <c r="S215" s="31"/>
      <c r="W215" s="31"/>
      <c r="X215" s="52"/>
      <c r="Y215" s="52"/>
      <c r="Z215" s="31"/>
    </row>
    <row r="216" spans="3:26">
      <c r="C216" s="31"/>
      <c r="G216" s="38"/>
      <c r="K216" s="31"/>
      <c r="O216" s="31"/>
      <c r="S216" s="31"/>
      <c r="W216" s="31"/>
      <c r="X216" s="52"/>
      <c r="Y216" s="52"/>
      <c r="Z216" s="31"/>
    </row>
    <row r="217" spans="3:26">
      <c r="C217" s="31"/>
      <c r="G217" s="38"/>
      <c r="K217" s="31"/>
      <c r="O217" s="31"/>
      <c r="S217" s="31"/>
      <c r="W217" s="31"/>
      <c r="X217" s="52"/>
      <c r="Y217" s="52"/>
      <c r="Z217" s="31"/>
    </row>
    <row r="218" spans="3:26">
      <c r="C218" s="31"/>
      <c r="G218" s="38"/>
      <c r="K218" s="31"/>
      <c r="O218" s="31"/>
      <c r="S218" s="31"/>
      <c r="W218" s="31"/>
      <c r="X218" s="52"/>
      <c r="Y218" s="52"/>
      <c r="Z218" s="31"/>
    </row>
    <row r="219" spans="3:26">
      <c r="C219" s="31"/>
      <c r="G219" s="38"/>
      <c r="K219" s="31"/>
      <c r="O219" s="31"/>
      <c r="S219" s="31"/>
      <c r="W219" s="31"/>
      <c r="X219" s="52"/>
      <c r="Y219" s="52"/>
      <c r="Z219" s="31"/>
    </row>
    <row r="220" spans="3:26">
      <c r="C220" s="31"/>
      <c r="G220" s="38"/>
      <c r="K220" s="31"/>
      <c r="O220" s="31"/>
      <c r="S220" s="31"/>
      <c r="W220" s="31"/>
      <c r="X220" s="52"/>
      <c r="Y220" s="52"/>
      <c r="Z220" s="31"/>
    </row>
    <row r="221" spans="3:26">
      <c r="C221" s="31"/>
      <c r="G221" s="38"/>
      <c r="K221" s="31"/>
      <c r="O221" s="31"/>
      <c r="S221" s="31"/>
      <c r="W221" s="31"/>
      <c r="X221" s="52"/>
      <c r="Y221" s="52"/>
      <c r="Z221" s="31"/>
    </row>
    <row r="222" spans="3:26">
      <c r="C222" s="31"/>
      <c r="G222" s="38"/>
      <c r="K222" s="31"/>
      <c r="O222" s="31"/>
      <c r="S222" s="31"/>
      <c r="W222" s="31"/>
      <c r="X222" s="52"/>
      <c r="Y222" s="52"/>
      <c r="Z222" s="31"/>
    </row>
    <row r="223" spans="3:26">
      <c r="C223" s="31"/>
      <c r="G223" s="38"/>
      <c r="K223" s="31"/>
      <c r="O223" s="31"/>
      <c r="S223" s="31"/>
      <c r="W223" s="31"/>
      <c r="X223" s="52"/>
      <c r="Y223" s="52"/>
      <c r="Z223" s="31"/>
    </row>
    <row r="224" spans="3:26">
      <c r="C224" s="31"/>
      <c r="G224" s="38"/>
      <c r="K224" s="31"/>
      <c r="O224" s="31"/>
      <c r="S224" s="31"/>
      <c r="W224" s="31"/>
      <c r="X224" s="52"/>
      <c r="Y224" s="52"/>
      <c r="Z224" s="31"/>
    </row>
    <row r="225" spans="3:26">
      <c r="C225" s="31"/>
      <c r="G225" s="38"/>
      <c r="K225" s="31"/>
      <c r="O225" s="31"/>
      <c r="S225" s="31"/>
      <c r="W225" s="31"/>
      <c r="X225" s="52"/>
      <c r="Y225" s="52"/>
      <c r="Z225" s="31"/>
    </row>
    <row r="226" spans="3:26">
      <c r="C226" s="31"/>
      <c r="G226" s="38"/>
      <c r="K226" s="31"/>
      <c r="O226" s="31"/>
      <c r="S226" s="31"/>
      <c r="W226" s="31"/>
      <c r="X226" s="52"/>
      <c r="Y226" s="52"/>
      <c r="Z226" s="31"/>
    </row>
    <row r="227" spans="3:26">
      <c r="C227" s="31"/>
      <c r="G227" s="38"/>
      <c r="K227" s="31"/>
      <c r="O227" s="31"/>
      <c r="S227" s="31"/>
      <c r="W227" s="31"/>
      <c r="X227" s="52"/>
      <c r="Y227" s="52"/>
      <c r="Z227" s="31"/>
    </row>
    <row r="228" spans="3:26">
      <c r="C228" s="31"/>
      <c r="G228" s="38"/>
      <c r="K228" s="31"/>
      <c r="O228" s="31"/>
      <c r="S228" s="31"/>
      <c r="W228" s="31"/>
      <c r="X228" s="52"/>
      <c r="Y228" s="52"/>
      <c r="Z228" s="31"/>
    </row>
    <row r="229" spans="3:26">
      <c r="C229" s="31"/>
      <c r="G229" s="38"/>
      <c r="K229" s="31"/>
      <c r="O229" s="31"/>
      <c r="S229" s="31"/>
      <c r="W229" s="31"/>
      <c r="X229" s="52"/>
      <c r="Y229" s="52"/>
      <c r="Z229" s="31"/>
    </row>
    <row r="230" spans="3:26">
      <c r="C230" s="31"/>
      <c r="G230" s="38"/>
      <c r="K230" s="31"/>
      <c r="O230" s="31"/>
      <c r="S230" s="31"/>
      <c r="W230" s="31"/>
      <c r="X230" s="52"/>
      <c r="Y230" s="52"/>
      <c r="Z230" s="31"/>
    </row>
    <row r="231" spans="3:26">
      <c r="C231" s="31"/>
      <c r="G231" s="38"/>
      <c r="K231" s="31"/>
      <c r="O231" s="31"/>
      <c r="S231" s="31"/>
      <c r="W231" s="31"/>
      <c r="X231" s="52"/>
      <c r="Y231" s="52"/>
      <c r="Z231" s="31"/>
    </row>
    <row r="232" spans="3:26">
      <c r="C232" s="31"/>
      <c r="G232" s="38"/>
      <c r="K232" s="31"/>
      <c r="O232" s="31"/>
      <c r="S232" s="31"/>
      <c r="W232" s="31"/>
      <c r="X232" s="52"/>
      <c r="Y232" s="52"/>
      <c r="Z232" s="31"/>
    </row>
    <row r="233" spans="3:26">
      <c r="C233" s="31"/>
      <c r="G233" s="38"/>
      <c r="K233" s="31"/>
      <c r="O233" s="31"/>
      <c r="S233" s="31"/>
      <c r="W233" s="31"/>
      <c r="X233" s="52"/>
      <c r="Y233" s="52"/>
      <c r="Z233" s="31"/>
    </row>
    <row r="234" spans="3:26">
      <c r="C234" s="31"/>
      <c r="G234" s="38"/>
      <c r="K234" s="31"/>
      <c r="O234" s="31"/>
      <c r="S234" s="31"/>
      <c r="W234" s="31"/>
      <c r="X234" s="52"/>
      <c r="Y234" s="52"/>
      <c r="Z234" s="31"/>
    </row>
    <row r="235" spans="3:26">
      <c r="C235" s="31"/>
      <c r="G235" s="38"/>
      <c r="K235" s="31"/>
      <c r="O235" s="31"/>
      <c r="S235" s="31"/>
      <c r="W235" s="31"/>
      <c r="X235" s="52"/>
      <c r="Y235" s="52"/>
      <c r="Z235" s="31"/>
    </row>
    <row r="236" spans="3:26">
      <c r="C236" s="31"/>
      <c r="G236" s="38"/>
      <c r="K236" s="31"/>
      <c r="O236" s="31"/>
      <c r="S236" s="31"/>
      <c r="W236" s="31"/>
      <c r="X236" s="52"/>
      <c r="Y236" s="52"/>
      <c r="Z236" s="31"/>
    </row>
    <row r="237" spans="3:26">
      <c r="C237" s="31"/>
      <c r="G237" s="38"/>
      <c r="K237" s="31"/>
      <c r="O237" s="31"/>
      <c r="S237" s="31"/>
      <c r="W237" s="31"/>
      <c r="X237" s="52"/>
      <c r="Y237" s="52"/>
      <c r="Z237" s="31"/>
    </row>
    <row r="238" spans="3:26">
      <c r="C238" s="31"/>
      <c r="G238" s="38"/>
      <c r="K238" s="31"/>
      <c r="O238" s="31"/>
      <c r="S238" s="31"/>
      <c r="W238" s="31"/>
      <c r="X238" s="52"/>
      <c r="Y238" s="52"/>
      <c r="Z238" s="31"/>
    </row>
    <row r="239" spans="3:26">
      <c r="C239" s="31"/>
      <c r="G239" s="38"/>
      <c r="K239" s="31"/>
      <c r="O239" s="31"/>
      <c r="S239" s="31"/>
      <c r="W239" s="31"/>
      <c r="X239" s="52"/>
      <c r="Y239" s="52"/>
      <c r="Z239" s="31"/>
    </row>
    <row r="240" spans="3:26">
      <c r="C240" s="31"/>
      <c r="G240" s="38"/>
      <c r="K240" s="31"/>
      <c r="O240" s="31"/>
      <c r="S240" s="31"/>
      <c r="W240" s="31"/>
      <c r="X240" s="52"/>
      <c r="Y240" s="52"/>
      <c r="Z240" s="31"/>
    </row>
    <row r="241" spans="3:26">
      <c r="C241" s="31"/>
      <c r="G241" s="38"/>
      <c r="K241" s="31"/>
      <c r="O241" s="31"/>
      <c r="S241" s="31"/>
      <c r="W241" s="31"/>
      <c r="X241" s="52"/>
      <c r="Y241" s="52"/>
      <c r="Z241" s="31"/>
    </row>
    <row r="242" spans="3:26">
      <c r="C242" s="31"/>
      <c r="G242" s="38"/>
      <c r="K242" s="31"/>
      <c r="O242" s="31"/>
      <c r="S242" s="31"/>
      <c r="W242" s="31"/>
      <c r="X242" s="52"/>
      <c r="Y242" s="52"/>
      <c r="Z242" s="31"/>
    </row>
    <row r="243" spans="3:26">
      <c r="C243" s="31"/>
      <c r="G243" s="38"/>
      <c r="K243" s="31"/>
      <c r="O243" s="31"/>
      <c r="S243" s="31"/>
      <c r="W243" s="31"/>
      <c r="X243" s="52"/>
      <c r="Y243" s="52"/>
      <c r="Z243" s="31"/>
    </row>
    <row r="244" spans="3:26">
      <c r="C244" s="31"/>
      <c r="G244" s="38"/>
      <c r="K244" s="31"/>
      <c r="O244" s="31"/>
      <c r="S244" s="31"/>
      <c r="W244" s="31"/>
      <c r="X244" s="52"/>
      <c r="Y244" s="52"/>
      <c r="Z244" s="49" t="e">
        <f>Z7+#REF!+L20+#REF!+#REF!+#REF!+L33</f>
        <v>#REF!</v>
      </c>
    </row>
    <row r="245" spans="3:26">
      <c r="C245" s="31"/>
      <c r="G245" s="38"/>
      <c r="K245" s="31"/>
      <c r="O245" s="31"/>
      <c r="S245" s="31"/>
      <c r="W245" s="31"/>
      <c r="X245" s="52"/>
      <c r="Y245" s="52"/>
      <c r="Z245" s="50">
        <v>157720823.37</v>
      </c>
    </row>
    <row r="246" spans="3:26">
      <c r="C246" s="31"/>
      <c r="G246" s="38"/>
      <c r="K246" s="31"/>
      <c r="O246" s="31"/>
      <c r="S246" s="31"/>
      <c r="W246" s="31"/>
      <c r="X246" s="52"/>
      <c r="Y246" s="52"/>
      <c r="Z246" s="49" t="e">
        <f>Z244-Z245</f>
        <v>#REF!</v>
      </c>
    </row>
    <row r="247" spans="3:26">
      <c r="C247" s="31"/>
      <c r="G247" s="38"/>
      <c r="K247" s="31"/>
      <c r="O247" s="31"/>
      <c r="S247" s="31"/>
      <c r="W247" s="31"/>
      <c r="X247" s="52"/>
      <c r="Y247" s="52"/>
      <c r="Z247" s="31"/>
    </row>
    <row r="248" spans="3:26">
      <c r="C248" s="31"/>
      <c r="G248" s="38"/>
      <c r="K248" s="31"/>
      <c r="O248" s="31"/>
      <c r="S248" s="31"/>
      <c r="W248" s="31"/>
      <c r="X248" s="52"/>
      <c r="Y248" s="52"/>
      <c r="Z248" s="31"/>
    </row>
    <row r="249" spans="3:26">
      <c r="C249" s="31"/>
      <c r="G249" s="38"/>
      <c r="K249" s="31"/>
      <c r="O249" s="31"/>
      <c r="S249" s="31"/>
      <c r="W249" s="31"/>
      <c r="X249" s="52"/>
      <c r="Y249" s="52"/>
      <c r="Z249" s="31"/>
    </row>
    <row r="250" spans="3:26">
      <c r="C250" s="31"/>
      <c r="G250" s="38"/>
      <c r="K250" s="31"/>
      <c r="O250" s="31"/>
      <c r="S250" s="31"/>
      <c r="W250" s="31"/>
      <c r="X250" s="52"/>
      <c r="Y250" s="52"/>
      <c r="Z250" s="31"/>
    </row>
    <row r="251" spans="3:26">
      <c r="C251" s="31"/>
      <c r="G251" s="38"/>
      <c r="K251" s="31"/>
      <c r="O251" s="31"/>
      <c r="S251" s="31"/>
      <c r="W251" s="31"/>
      <c r="X251" s="52"/>
      <c r="Y251" s="52"/>
      <c r="Z251" s="31"/>
    </row>
    <row r="252" spans="3:26">
      <c r="C252" s="31"/>
      <c r="G252" s="38"/>
      <c r="K252" s="31"/>
      <c r="O252" s="31"/>
      <c r="S252" s="31"/>
      <c r="W252" s="31"/>
      <c r="X252" s="52"/>
      <c r="Y252" s="52"/>
      <c r="Z252" s="31"/>
    </row>
    <row r="253" spans="3:26">
      <c r="C253" s="31"/>
      <c r="G253" s="38"/>
      <c r="K253" s="31"/>
      <c r="O253" s="31"/>
      <c r="S253" s="31"/>
      <c r="W253" s="31"/>
      <c r="X253" s="52"/>
      <c r="Y253" s="52"/>
      <c r="Z253" s="31"/>
    </row>
    <row r="254" spans="3:26">
      <c r="C254" s="31"/>
      <c r="G254" s="38"/>
      <c r="K254" s="31"/>
      <c r="O254" s="31"/>
      <c r="S254" s="31"/>
      <c r="W254" s="31"/>
      <c r="X254" s="52"/>
      <c r="Y254" s="52"/>
      <c r="Z254" s="31"/>
    </row>
    <row r="255" spans="3:26">
      <c r="C255" s="31"/>
      <c r="G255" s="38"/>
      <c r="K255" s="31"/>
      <c r="O255" s="31"/>
      <c r="S255" s="31"/>
      <c r="W255" s="31"/>
      <c r="X255" s="52"/>
      <c r="Y255" s="52"/>
      <c r="Z255" s="31"/>
    </row>
    <row r="256" spans="3:26">
      <c r="C256" s="31"/>
      <c r="G256" s="38"/>
      <c r="K256" s="31"/>
      <c r="O256" s="31"/>
      <c r="S256" s="31"/>
      <c r="W256" s="31"/>
      <c r="X256" s="52"/>
      <c r="Y256" s="52"/>
      <c r="Z256" s="31"/>
    </row>
    <row r="257" spans="3:26">
      <c r="C257" s="31"/>
      <c r="G257" s="38"/>
      <c r="K257" s="31"/>
      <c r="O257" s="31"/>
      <c r="S257" s="31"/>
      <c r="W257" s="31"/>
      <c r="X257" s="52"/>
      <c r="Y257" s="52"/>
      <c r="Z257" s="31"/>
    </row>
    <row r="258" spans="3:26">
      <c r="C258" s="31"/>
      <c r="G258" s="38"/>
      <c r="K258" s="31"/>
      <c r="O258" s="31"/>
      <c r="S258" s="31"/>
      <c r="W258" s="31"/>
      <c r="X258" s="52"/>
      <c r="Y258" s="52"/>
      <c r="Z258" s="31"/>
    </row>
    <row r="259" spans="3:26">
      <c r="C259" s="31"/>
      <c r="G259" s="38"/>
      <c r="K259" s="31"/>
      <c r="O259" s="31"/>
      <c r="S259" s="31"/>
      <c r="W259" s="31"/>
      <c r="X259" s="52"/>
      <c r="Y259" s="52"/>
      <c r="Z259" s="31"/>
    </row>
    <row r="260" spans="3:26">
      <c r="C260" s="31"/>
      <c r="G260" s="38"/>
      <c r="K260" s="31"/>
      <c r="O260" s="31"/>
      <c r="S260" s="31"/>
      <c r="W260" s="31"/>
      <c r="X260" s="52"/>
      <c r="Y260" s="52"/>
      <c r="Z260" s="31"/>
    </row>
    <row r="261" spans="3:26">
      <c r="C261" s="31"/>
      <c r="G261" s="38"/>
      <c r="K261" s="31"/>
      <c r="O261" s="31"/>
      <c r="S261" s="31"/>
      <c r="W261" s="31"/>
      <c r="X261" s="52"/>
      <c r="Y261" s="52"/>
      <c r="Z261" s="31"/>
    </row>
    <row r="262" spans="3:26">
      <c r="C262" s="31"/>
      <c r="G262" s="38"/>
      <c r="K262" s="31"/>
      <c r="O262" s="31"/>
      <c r="S262" s="31"/>
      <c r="W262" s="31"/>
      <c r="X262" s="52"/>
      <c r="Y262" s="52"/>
      <c r="Z262" s="31"/>
    </row>
    <row r="263" spans="3:26">
      <c r="C263" s="31"/>
      <c r="G263" s="38"/>
      <c r="K263" s="31"/>
      <c r="O263" s="31"/>
      <c r="S263" s="31"/>
      <c r="W263" s="31"/>
      <c r="X263" s="52"/>
      <c r="Y263" s="52"/>
      <c r="Z263" s="31"/>
    </row>
    <row r="264" spans="3:26">
      <c r="C264" s="31"/>
      <c r="G264" s="38"/>
      <c r="K264" s="31"/>
      <c r="O264" s="31"/>
      <c r="S264" s="31"/>
      <c r="W264" s="31"/>
      <c r="X264" s="52"/>
      <c r="Y264" s="52"/>
      <c r="Z264" s="31"/>
    </row>
    <row r="265" spans="3:26">
      <c r="C265" s="31"/>
      <c r="G265" s="38"/>
      <c r="K265" s="31"/>
      <c r="O265" s="31"/>
      <c r="S265" s="31"/>
      <c r="W265" s="31"/>
      <c r="X265" s="52"/>
      <c r="Y265" s="52"/>
      <c r="Z265" s="31"/>
    </row>
    <row r="266" spans="3:26">
      <c r="C266" s="31"/>
      <c r="G266" s="38"/>
      <c r="K266" s="31"/>
      <c r="O266" s="31"/>
      <c r="S266" s="31"/>
      <c r="W266" s="31"/>
      <c r="X266" s="52"/>
      <c r="Y266" s="52"/>
      <c r="Z266" s="31"/>
    </row>
    <row r="267" spans="3:26">
      <c r="C267" s="31"/>
      <c r="G267" s="38"/>
      <c r="K267" s="31"/>
      <c r="O267" s="31"/>
      <c r="S267" s="31"/>
      <c r="W267" s="31"/>
      <c r="X267" s="52"/>
      <c r="Y267" s="52"/>
      <c r="Z267" s="31"/>
    </row>
    <row r="268" spans="3:26">
      <c r="C268" s="31"/>
      <c r="G268" s="38"/>
      <c r="K268" s="31"/>
      <c r="O268" s="31"/>
      <c r="S268" s="31"/>
      <c r="W268" s="31"/>
      <c r="X268" s="52"/>
      <c r="Y268" s="52"/>
      <c r="Z268" s="31"/>
    </row>
    <row r="269" spans="3:26">
      <c r="C269" s="31"/>
      <c r="G269" s="38"/>
      <c r="K269" s="31"/>
      <c r="O269" s="31"/>
      <c r="S269" s="31"/>
      <c r="W269" s="31"/>
      <c r="X269" s="52"/>
      <c r="Y269" s="52"/>
      <c r="Z269" s="31"/>
    </row>
    <row r="270" spans="3:26">
      <c r="C270" s="31"/>
      <c r="G270" s="38"/>
      <c r="K270" s="31"/>
      <c r="O270" s="31"/>
      <c r="S270" s="31"/>
      <c r="W270" s="31"/>
      <c r="X270" s="52"/>
      <c r="Y270" s="52"/>
      <c r="Z270" s="31"/>
    </row>
    <row r="271" spans="3:26">
      <c r="C271" s="31"/>
      <c r="G271" s="38"/>
      <c r="K271" s="31"/>
      <c r="O271" s="31"/>
      <c r="S271" s="31"/>
      <c r="W271" s="31"/>
      <c r="X271" s="52"/>
      <c r="Y271" s="52"/>
      <c r="Z271" s="31"/>
    </row>
    <row r="272" spans="3:26">
      <c r="C272" s="31"/>
      <c r="G272" s="38"/>
      <c r="K272" s="31"/>
      <c r="O272" s="31"/>
      <c r="S272" s="31"/>
      <c r="W272" s="31"/>
      <c r="X272" s="52"/>
      <c r="Y272" s="52"/>
      <c r="Z272" s="31"/>
    </row>
    <row r="273" spans="3:26">
      <c r="C273" s="31"/>
      <c r="G273" s="38"/>
      <c r="K273" s="31"/>
      <c r="O273" s="31"/>
      <c r="S273" s="31"/>
      <c r="W273" s="31"/>
      <c r="X273" s="52"/>
      <c r="Y273" s="52"/>
      <c r="Z273" s="31"/>
    </row>
    <row r="274" spans="3:26">
      <c r="C274" s="31"/>
      <c r="G274" s="38"/>
      <c r="K274" s="31"/>
      <c r="O274" s="31"/>
      <c r="S274" s="31"/>
      <c r="W274" s="31"/>
      <c r="X274" s="52"/>
      <c r="Y274" s="52"/>
      <c r="Z274" s="31"/>
    </row>
    <row r="275" spans="3:26">
      <c r="C275" s="31"/>
      <c r="G275" s="38"/>
      <c r="K275" s="31"/>
      <c r="O275" s="31"/>
      <c r="S275" s="31"/>
      <c r="W275" s="31"/>
      <c r="X275" s="52"/>
      <c r="Y275" s="52"/>
      <c r="Z275" s="31"/>
    </row>
    <row r="276" spans="3:26">
      <c r="C276" s="31"/>
      <c r="G276" s="38"/>
      <c r="K276" s="31"/>
      <c r="O276" s="31"/>
      <c r="S276" s="31"/>
      <c r="W276" s="31"/>
      <c r="X276" s="52"/>
      <c r="Y276" s="52"/>
      <c r="Z276" s="31"/>
    </row>
    <row r="277" spans="3:26">
      <c r="C277" s="31"/>
      <c r="G277" s="38"/>
      <c r="K277" s="31"/>
      <c r="O277" s="31"/>
      <c r="S277" s="31"/>
      <c r="W277" s="31"/>
      <c r="X277" s="52"/>
      <c r="Y277" s="52"/>
      <c r="Z277" s="31"/>
    </row>
    <row r="278" spans="3:26">
      <c r="C278" s="31"/>
      <c r="G278" s="38"/>
      <c r="K278" s="31"/>
      <c r="O278" s="31"/>
      <c r="S278" s="31"/>
      <c r="W278" s="31"/>
      <c r="X278" s="52"/>
      <c r="Y278" s="52"/>
      <c r="Z278" s="31"/>
    </row>
    <row r="279" spans="3:26">
      <c r="C279" s="31"/>
      <c r="G279" s="38"/>
      <c r="K279" s="31"/>
      <c r="O279" s="31"/>
      <c r="S279" s="31"/>
      <c r="W279" s="31"/>
      <c r="X279" s="52"/>
      <c r="Y279" s="52"/>
      <c r="Z279" s="31"/>
    </row>
    <row r="280" spans="3:26">
      <c r="C280" s="31"/>
      <c r="G280" s="38"/>
      <c r="K280" s="31"/>
      <c r="O280" s="31"/>
      <c r="S280" s="31"/>
      <c r="W280" s="31"/>
      <c r="X280" s="52"/>
      <c r="Y280" s="52"/>
      <c r="Z280" s="31"/>
    </row>
    <row r="281" spans="3:26">
      <c r="C281" s="31"/>
      <c r="G281" s="38"/>
      <c r="K281" s="31"/>
      <c r="O281" s="31"/>
      <c r="S281" s="31"/>
      <c r="W281" s="31"/>
      <c r="X281" s="52"/>
      <c r="Y281" s="52"/>
      <c r="Z281" s="31"/>
    </row>
    <row r="282" spans="3:26">
      <c r="C282" s="31"/>
      <c r="G282" s="38"/>
      <c r="K282" s="31"/>
      <c r="O282" s="31"/>
      <c r="S282" s="31"/>
      <c r="W282" s="31"/>
      <c r="X282" s="52"/>
      <c r="Y282" s="52"/>
      <c r="Z282" s="31"/>
    </row>
    <row r="283" spans="3:26">
      <c r="C283" s="31"/>
      <c r="G283" s="38"/>
      <c r="K283" s="31"/>
      <c r="O283" s="31"/>
      <c r="S283" s="31"/>
      <c r="W283" s="31"/>
      <c r="X283" s="52"/>
      <c r="Y283" s="52"/>
      <c r="Z283" s="31"/>
    </row>
    <row r="284" spans="3:26">
      <c r="C284" s="31"/>
      <c r="G284" s="38"/>
      <c r="K284" s="31"/>
      <c r="O284" s="31"/>
      <c r="S284" s="31"/>
      <c r="W284" s="31"/>
      <c r="X284" s="52"/>
      <c r="Y284" s="52"/>
      <c r="Z284" s="31"/>
    </row>
    <row r="285" spans="3:26">
      <c r="C285" s="31"/>
      <c r="G285" s="38"/>
      <c r="K285" s="31"/>
      <c r="O285" s="31"/>
      <c r="S285" s="31"/>
      <c r="W285" s="31"/>
      <c r="X285" s="52"/>
      <c r="Y285" s="52"/>
      <c r="Z285" s="31"/>
    </row>
    <row r="286" spans="3:26">
      <c r="C286" s="31"/>
      <c r="G286" s="38"/>
      <c r="K286" s="31"/>
      <c r="O286" s="31"/>
      <c r="S286" s="31"/>
      <c r="W286" s="31"/>
      <c r="X286" s="52"/>
      <c r="Y286" s="52"/>
      <c r="Z286" s="31"/>
    </row>
    <row r="287" spans="3:26">
      <c r="C287" s="31"/>
      <c r="G287" s="38"/>
      <c r="K287" s="31"/>
      <c r="O287" s="31"/>
      <c r="S287" s="31"/>
      <c r="W287" s="31"/>
      <c r="X287" s="52"/>
      <c r="Y287" s="52"/>
      <c r="Z287" s="31"/>
    </row>
    <row r="288" spans="3:26">
      <c r="C288" s="31"/>
      <c r="G288" s="38"/>
      <c r="K288" s="31"/>
      <c r="O288" s="31"/>
      <c r="S288" s="31"/>
      <c r="W288" s="31"/>
      <c r="X288" s="52"/>
      <c r="Y288" s="52"/>
      <c r="Z288" s="31"/>
    </row>
    <row r="289" spans="3:26">
      <c r="C289" s="31"/>
      <c r="G289" s="38"/>
      <c r="K289" s="31"/>
      <c r="O289" s="31"/>
      <c r="S289" s="31"/>
      <c r="W289" s="31"/>
      <c r="X289" s="52"/>
      <c r="Y289" s="52"/>
      <c r="Z289" s="31"/>
    </row>
    <row r="290" spans="3:26">
      <c r="C290" s="31"/>
      <c r="G290" s="38"/>
      <c r="K290" s="31"/>
      <c r="O290" s="31"/>
      <c r="S290" s="31"/>
      <c r="W290" s="31"/>
      <c r="X290" s="52"/>
      <c r="Y290" s="52"/>
      <c r="Z290" s="31"/>
    </row>
    <row r="291" spans="3:26">
      <c r="C291" s="31"/>
      <c r="G291" s="38"/>
      <c r="K291" s="31"/>
      <c r="O291" s="31"/>
      <c r="S291" s="31"/>
      <c r="W291" s="31"/>
      <c r="X291" s="52"/>
      <c r="Y291" s="52"/>
      <c r="Z291" s="31"/>
    </row>
    <row r="292" spans="3:26">
      <c r="C292" s="31"/>
      <c r="G292" s="38"/>
      <c r="K292" s="31"/>
      <c r="O292" s="31"/>
      <c r="S292" s="31"/>
      <c r="W292" s="31"/>
      <c r="X292" s="52"/>
      <c r="Y292" s="52"/>
      <c r="Z292" s="31"/>
    </row>
    <row r="293" spans="3:26">
      <c r="C293" s="31"/>
      <c r="G293" s="38"/>
      <c r="K293" s="31"/>
      <c r="O293" s="31"/>
      <c r="S293" s="31"/>
      <c r="W293" s="31"/>
      <c r="X293" s="52"/>
      <c r="Y293" s="52"/>
      <c r="Z293" s="31"/>
    </row>
    <row r="294" spans="3:26">
      <c r="C294" s="31"/>
      <c r="G294" s="38"/>
      <c r="K294" s="31"/>
      <c r="O294" s="31"/>
      <c r="S294" s="31"/>
      <c r="W294" s="31"/>
      <c r="X294" s="52"/>
      <c r="Y294" s="52"/>
      <c r="Z294" s="31"/>
    </row>
    <row r="295" spans="3:26">
      <c r="C295" s="31"/>
      <c r="G295" s="38"/>
      <c r="K295" s="31"/>
      <c r="O295" s="31"/>
      <c r="S295" s="31"/>
      <c r="W295" s="31"/>
      <c r="X295" s="52"/>
      <c r="Y295" s="52"/>
      <c r="Z295" s="31"/>
    </row>
    <row r="296" spans="3:26">
      <c r="C296" s="31"/>
      <c r="G296" s="38"/>
      <c r="K296" s="31"/>
      <c r="O296" s="31"/>
      <c r="S296" s="31"/>
      <c r="W296" s="31"/>
      <c r="X296" s="52"/>
      <c r="Y296" s="52"/>
      <c r="Z296" s="31"/>
    </row>
    <row r="297" spans="3:26">
      <c r="C297" s="31"/>
      <c r="G297" s="38"/>
      <c r="K297" s="31"/>
      <c r="O297" s="31"/>
      <c r="S297" s="31"/>
      <c r="W297" s="31"/>
      <c r="X297" s="52"/>
      <c r="Y297" s="52"/>
      <c r="Z297" s="31"/>
    </row>
    <row r="298" spans="3:26">
      <c r="C298" s="31"/>
      <c r="G298" s="38"/>
      <c r="K298" s="31"/>
      <c r="O298" s="31"/>
      <c r="S298" s="31"/>
      <c r="W298" s="31"/>
      <c r="X298" s="52"/>
      <c r="Y298" s="52"/>
      <c r="Z298" s="31"/>
    </row>
    <row r="299" spans="3:26">
      <c r="C299" s="31"/>
      <c r="G299" s="38"/>
      <c r="K299" s="31"/>
      <c r="O299" s="31"/>
      <c r="S299" s="31"/>
      <c r="W299" s="31"/>
      <c r="X299" s="52"/>
      <c r="Y299" s="52"/>
      <c r="Z299" s="31"/>
    </row>
    <row r="300" spans="3:26">
      <c r="C300" s="31"/>
      <c r="G300" s="38"/>
      <c r="K300" s="31"/>
      <c r="O300" s="31"/>
      <c r="S300" s="31"/>
      <c r="W300" s="31"/>
      <c r="X300" s="52"/>
      <c r="Y300" s="52"/>
      <c r="Z300" s="31"/>
    </row>
    <row r="301" spans="3:26">
      <c r="C301" s="31"/>
      <c r="G301" s="38"/>
      <c r="K301" s="31"/>
      <c r="O301" s="31"/>
      <c r="S301" s="31"/>
      <c r="W301" s="31"/>
      <c r="X301" s="52"/>
      <c r="Y301" s="52"/>
      <c r="Z301" s="31"/>
    </row>
    <row r="302" spans="3:26">
      <c r="C302" s="31"/>
      <c r="G302" s="38"/>
      <c r="K302" s="31"/>
      <c r="O302" s="31"/>
      <c r="S302" s="31"/>
      <c r="W302" s="31"/>
      <c r="X302" s="52"/>
      <c r="Y302" s="52"/>
      <c r="Z302" s="31"/>
    </row>
    <row r="303" spans="3:26">
      <c r="C303" s="31"/>
      <c r="G303" s="38"/>
      <c r="K303" s="31"/>
      <c r="O303" s="31"/>
      <c r="S303" s="31"/>
      <c r="W303" s="31"/>
      <c r="X303" s="52"/>
      <c r="Y303" s="52"/>
      <c r="Z303" s="31"/>
    </row>
    <row r="304" spans="3:26">
      <c r="C304" s="31"/>
      <c r="G304" s="38"/>
      <c r="K304" s="31"/>
      <c r="O304" s="31"/>
      <c r="S304" s="31"/>
      <c r="W304" s="31"/>
      <c r="X304" s="52"/>
      <c r="Y304" s="52"/>
      <c r="Z304" s="31"/>
    </row>
    <row r="305" spans="3:26">
      <c r="C305" s="31"/>
      <c r="G305" s="38"/>
      <c r="K305" s="31"/>
      <c r="O305" s="31"/>
      <c r="S305" s="31"/>
      <c r="W305" s="31"/>
      <c r="X305" s="52"/>
      <c r="Y305" s="52"/>
      <c r="Z305" s="31"/>
    </row>
    <row r="306" spans="3:26">
      <c r="C306" s="31"/>
      <c r="G306" s="38"/>
      <c r="K306" s="31"/>
      <c r="O306" s="31"/>
      <c r="S306" s="31"/>
      <c r="W306" s="31"/>
      <c r="X306" s="52"/>
      <c r="Y306" s="52"/>
      <c r="Z306" s="31"/>
    </row>
    <row r="307" spans="3:26">
      <c r="C307" s="31"/>
      <c r="G307" s="38"/>
      <c r="K307" s="31"/>
      <c r="O307" s="31"/>
      <c r="S307" s="31"/>
      <c r="W307" s="31"/>
      <c r="X307" s="52"/>
      <c r="Y307" s="52"/>
      <c r="Z307" s="31"/>
    </row>
    <row r="308" spans="3:26">
      <c r="C308" s="31"/>
      <c r="G308" s="38"/>
      <c r="K308" s="31"/>
      <c r="O308" s="31"/>
      <c r="S308" s="31"/>
      <c r="W308" s="31"/>
      <c r="X308" s="52"/>
      <c r="Y308" s="52"/>
      <c r="Z308" s="31"/>
    </row>
    <row r="309" spans="3:26">
      <c r="C309" s="31"/>
      <c r="G309" s="38"/>
      <c r="K309" s="31"/>
      <c r="O309" s="31"/>
      <c r="S309" s="31"/>
      <c r="W309" s="31"/>
      <c r="X309" s="52"/>
      <c r="Y309" s="52"/>
      <c r="Z309" s="31"/>
    </row>
    <row r="310" spans="3:26">
      <c r="C310" s="31"/>
      <c r="G310" s="38"/>
      <c r="K310" s="31"/>
      <c r="O310" s="31"/>
      <c r="S310" s="31"/>
      <c r="W310" s="31"/>
      <c r="X310" s="52"/>
      <c r="Y310" s="52"/>
      <c r="Z310" s="31"/>
    </row>
    <row r="311" spans="3:26">
      <c r="C311" s="31"/>
      <c r="G311" s="38"/>
      <c r="K311" s="31"/>
      <c r="O311" s="31"/>
      <c r="S311" s="31"/>
      <c r="W311" s="31"/>
      <c r="X311" s="52"/>
      <c r="Y311" s="52"/>
      <c r="Z311" s="31"/>
    </row>
    <row r="312" spans="3:26">
      <c r="C312" s="31"/>
      <c r="G312" s="38"/>
      <c r="K312" s="31"/>
      <c r="O312" s="31"/>
      <c r="S312" s="31"/>
      <c r="W312" s="31"/>
      <c r="X312" s="52"/>
      <c r="Y312" s="52"/>
      <c r="Z312" s="31"/>
    </row>
    <row r="313" spans="3:26">
      <c r="C313" s="31"/>
      <c r="G313" s="38"/>
      <c r="K313" s="31"/>
      <c r="O313" s="31"/>
      <c r="S313" s="31"/>
      <c r="W313" s="31"/>
      <c r="X313" s="52"/>
      <c r="Y313" s="52"/>
      <c r="Z313" s="31"/>
    </row>
    <row r="314" spans="3:26">
      <c r="C314" s="31"/>
      <c r="G314" s="38"/>
      <c r="K314" s="31"/>
      <c r="O314" s="31"/>
      <c r="S314" s="31"/>
      <c r="W314" s="31"/>
      <c r="X314" s="52"/>
      <c r="Y314" s="52"/>
      <c r="Z314" s="31"/>
    </row>
    <row r="315" spans="3:26">
      <c r="C315" s="31"/>
      <c r="G315" s="38"/>
      <c r="K315" s="31"/>
      <c r="O315" s="31"/>
      <c r="S315" s="31"/>
      <c r="W315" s="31"/>
      <c r="X315" s="52"/>
      <c r="Y315" s="52"/>
      <c r="Z315" s="31"/>
    </row>
    <row r="316" spans="3:26">
      <c r="C316" s="31"/>
      <c r="G316" s="38"/>
      <c r="K316" s="31"/>
      <c r="O316" s="31"/>
      <c r="S316" s="31"/>
      <c r="W316" s="31"/>
      <c r="X316" s="52"/>
      <c r="Y316" s="52"/>
      <c r="Z316" s="31"/>
    </row>
    <row r="317" spans="3:26">
      <c r="C317" s="31"/>
      <c r="G317" s="38"/>
      <c r="K317" s="31"/>
      <c r="O317" s="31"/>
      <c r="S317" s="31"/>
      <c r="W317" s="31"/>
      <c r="X317" s="52"/>
      <c r="Y317" s="52"/>
      <c r="Z317" s="31"/>
    </row>
    <row r="318" spans="3:26">
      <c r="C318" s="31"/>
      <c r="G318" s="38"/>
      <c r="K318" s="31"/>
      <c r="O318" s="31"/>
      <c r="S318" s="31"/>
      <c r="W318" s="31"/>
      <c r="X318" s="52"/>
      <c r="Y318" s="52"/>
      <c r="Z318" s="31"/>
    </row>
    <row r="319" spans="3:26">
      <c r="C319" s="31"/>
      <c r="G319" s="38"/>
      <c r="K319" s="31"/>
      <c r="O319" s="31"/>
      <c r="S319" s="31"/>
      <c r="W319" s="31"/>
      <c r="X319" s="52"/>
      <c r="Y319" s="52"/>
      <c r="Z319" s="31"/>
    </row>
    <row r="320" spans="3:26">
      <c r="C320" s="31"/>
      <c r="G320" s="38"/>
      <c r="K320" s="31"/>
      <c r="O320" s="31"/>
      <c r="S320" s="31"/>
      <c r="W320" s="31"/>
      <c r="X320" s="52"/>
      <c r="Y320" s="52"/>
      <c r="Z320" s="31"/>
    </row>
    <row r="321" spans="3:26">
      <c r="C321" s="31"/>
      <c r="G321" s="38"/>
      <c r="K321" s="31"/>
      <c r="O321" s="31"/>
      <c r="S321" s="31"/>
      <c r="W321" s="31"/>
      <c r="X321" s="52"/>
      <c r="Y321" s="52"/>
      <c r="Z321" s="31"/>
    </row>
    <row r="322" spans="3:26">
      <c r="C322" s="31"/>
      <c r="G322" s="38"/>
      <c r="K322" s="31"/>
      <c r="O322" s="31"/>
      <c r="S322" s="31"/>
      <c r="W322" s="31"/>
      <c r="X322" s="52"/>
      <c r="Y322" s="52"/>
      <c r="Z322" s="31"/>
    </row>
    <row r="323" spans="3:26">
      <c r="C323" s="31"/>
      <c r="G323" s="38"/>
      <c r="K323" s="31"/>
      <c r="O323" s="31"/>
      <c r="S323" s="31"/>
      <c r="W323" s="31"/>
      <c r="X323" s="52"/>
      <c r="Y323" s="52"/>
      <c r="Z323" s="31"/>
    </row>
    <row r="324" spans="3:26">
      <c r="C324" s="31"/>
      <c r="G324" s="38"/>
      <c r="K324" s="31"/>
      <c r="O324" s="31"/>
      <c r="S324" s="31"/>
      <c r="W324" s="31"/>
      <c r="X324" s="52"/>
      <c r="Y324" s="52"/>
      <c r="Z324" s="31"/>
    </row>
    <row r="325" spans="3:26">
      <c r="C325" s="31"/>
      <c r="G325" s="38"/>
      <c r="K325" s="31"/>
      <c r="O325" s="31"/>
      <c r="S325" s="31"/>
      <c r="W325" s="31"/>
      <c r="X325" s="52"/>
      <c r="Y325" s="52"/>
      <c r="Z325" s="31"/>
    </row>
    <row r="326" spans="3:26">
      <c r="C326" s="31"/>
      <c r="G326" s="38"/>
      <c r="K326" s="31"/>
      <c r="O326" s="31"/>
      <c r="S326" s="31"/>
      <c r="W326" s="31"/>
      <c r="X326" s="52"/>
      <c r="Y326" s="52"/>
      <c r="Z326" s="31"/>
    </row>
    <row r="327" spans="3:26">
      <c r="C327" s="31"/>
      <c r="G327" s="38"/>
      <c r="K327" s="31"/>
      <c r="O327" s="31"/>
      <c r="S327" s="31"/>
      <c r="W327" s="31"/>
      <c r="X327" s="52"/>
      <c r="Y327" s="52"/>
      <c r="Z327" s="31"/>
    </row>
    <row r="328" spans="3:26">
      <c r="C328" s="31"/>
      <c r="G328" s="38"/>
      <c r="K328" s="31"/>
      <c r="O328" s="31"/>
      <c r="S328" s="31"/>
      <c r="W328" s="31"/>
      <c r="X328" s="52"/>
      <c r="Y328" s="52"/>
      <c r="Z328" s="31"/>
    </row>
    <row r="329" spans="3:26">
      <c r="C329" s="31"/>
      <c r="G329" s="38"/>
      <c r="K329" s="31"/>
      <c r="O329" s="31"/>
      <c r="S329" s="31"/>
      <c r="W329" s="31"/>
      <c r="X329" s="52"/>
      <c r="Y329" s="52"/>
      <c r="Z329" s="31"/>
    </row>
    <row r="330" spans="3:26">
      <c r="C330" s="31"/>
      <c r="G330" s="38"/>
      <c r="K330" s="31"/>
      <c r="O330" s="31"/>
      <c r="S330" s="31"/>
      <c r="W330" s="31"/>
      <c r="X330" s="52"/>
      <c r="Y330" s="52"/>
      <c r="Z330" s="31"/>
    </row>
    <row r="331" spans="3:26">
      <c r="C331" s="31"/>
      <c r="G331" s="38"/>
      <c r="K331" s="31"/>
      <c r="O331" s="31"/>
      <c r="S331" s="31"/>
      <c r="W331" s="31"/>
      <c r="X331" s="52"/>
      <c r="Y331" s="52"/>
      <c r="Z331" s="31"/>
    </row>
    <row r="332" spans="3:26">
      <c r="C332" s="31"/>
      <c r="G332" s="38"/>
      <c r="K332" s="31"/>
      <c r="O332" s="31"/>
      <c r="S332" s="31"/>
      <c r="W332" s="31"/>
      <c r="X332" s="52"/>
      <c r="Y332" s="52"/>
      <c r="Z332" s="31"/>
    </row>
    <row r="333" spans="3:26">
      <c r="C333" s="31"/>
      <c r="G333" s="38"/>
      <c r="K333" s="31"/>
      <c r="O333" s="31"/>
      <c r="S333" s="31"/>
      <c r="W333" s="31"/>
      <c r="X333" s="52"/>
      <c r="Y333" s="52"/>
      <c r="Z333" s="31"/>
    </row>
    <row r="334" spans="3:26">
      <c r="C334" s="31"/>
      <c r="G334" s="38"/>
      <c r="K334" s="31"/>
      <c r="O334" s="31"/>
      <c r="S334" s="31"/>
      <c r="W334" s="31"/>
      <c r="X334" s="52"/>
      <c r="Y334" s="52"/>
      <c r="Z334" s="31"/>
    </row>
    <row r="335" spans="3:26">
      <c r="C335" s="31"/>
      <c r="G335" s="38"/>
      <c r="K335" s="31"/>
      <c r="O335" s="31"/>
      <c r="S335" s="31"/>
      <c r="W335" s="31"/>
      <c r="X335" s="52"/>
      <c r="Y335" s="52"/>
      <c r="Z335" s="31"/>
    </row>
    <row r="336" spans="3:26">
      <c r="C336" s="31"/>
      <c r="G336" s="38"/>
      <c r="K336" s="31"/>
      <c r="O336" s="31"/>
      <c r="S336" s="31"/>
      <c r="W336" s="31"/>
      <c r="X336" s="52"/>
      <c r="Y336" s="52"/>
      <c r="Z336" s="31"/>
    </row>
    <row r="337" spans="3:26">
      <c r="C337" s="31"/>
      <c r="G337" s="38"/>
      <c r="K337" s="31"/>
      <c r="O337" s="31"/>
      <c r="S337" s="31"/>
      <c r="W337" s="31"/>
      <c r="X337" s="52"/>
      <c r="Y337" s="52"/>
      <c r="Z337" s="31"/>
    </row>
    <row r="338" spans="3:26">
      <c r="C338" s="31"/>
      <c r="G338" s="38"/>
      <c r="K338" s="31"/>
      <c r="O338" s="31"/>
      <c r="S338" s="31"/>
      <c r="W338" s="31"/>
      <c r="X338" s="52"/>
      <c r="Y338" s="52"/>
      <c r="Z338" s="31"/>
    </row>
    <row r="339" spans="3:26">
      <c r="C339" s="31"/>
      <c r="G339" s="38"/>
      <c r="K339" s="31"/>
      <c r="O339" s="31"/>
      <c r="S339" s="31"/>
      <c r="W339" s="31"/>
      <c r="X339" s="52"/>
      <c r="Y339" s="52"/>
      <c r="Z339" s="31"/>
    </row>
    <row r="340" spans="3:26">
      <c r="C340" s="31"/>
      <c r="G340" s="38"/>
      <c r="K340" s="31"/>
      <c r="O340" s="31"/>
      <c r="S340" s="31"/>
      <c r="W340" s="31"/>
      <c r="X340" s="52"/>
      <c r="Y340" s="52"/>
      <c r="Z340" s="31"/>
    </row>
    <row r="341" spans="3:26">
      <c r="C341" s="31"/>
      <c r="G341" s="38"/>
      <c r="K341" s="31"/>
      <c r="O341" s="31"/>
      <c r="S341" s="31"/>
      <c r="W341" s="31"/>
      <c r="X341" s="52"/>
      <c r="Y341" s="52"/>
      <c r="Z341" s="31"/>
    </row>
    <row r="342" spans="3:26">
      <c r="C342" s="31"/>
      <c r="G342" s="38"/>
      <c r="K342" s="31"/>
      <c r="O342" s="31"/>
      <c r="S342" s="31"/>
      <c r="W342" s="31"/>
      <c r="X342" s="52"/>
      <c r="Y342" s="52"/>
      <c r="Z342" s="31"/>
    </row>
    <row r="343" spans="3:26">
      <c r="C343" s="31"/>
      <c r="G343" s="38"/>
      <c r="K343" s="31"/>
      <c r="O343" s="31"/>
      <c r="S343" s="31"/>
      <c r="W343" s="31"/>
      <c r="X343" s="52"/>
      <c r="Y343" s="52"/>
      <c r="Z343" s="31"/>
    </row>
    <row r="344" spans="3:26">
      <c r="C344" s="31"/>
      <c r="G344" s="38"/>
      <c r="K344" s="31"/>
      <c r="O344" s="31"/>
      <c r="S344" s="31"/>
      <c r="W344" s="31"/>
      <c r="X344" s="52"/>
      <c r="Y344" s="52"/>
      <c r="Z344" s="31"/>
    </row>
    <row r="345" spans="3:26">
      <c r="C345" s="31"/>
      <c r="G345" s="38"/>
      <c r="K345" s="31"/>
      <c r="O345" s="31"/>
      <c r="S345" s="31"/>
      <c r="W345" s="31"/>
      <c r="X345" s="52"/>
      <c r="Y345" s="52"/>
      <c r="Z345" s="31"/>
    </row>
    <row r="346" spans="3:26">
      <c r="C346" s="31"/>
      <c r="G346" s="38"/>
      <c r="K346" s="31"/>
      <c r="O346" s="31"/>
      <c r="S346" s="31"/>
      <c r="W346" s="31"/>
      <c r="X346" s="52"/>
      <c r="Y346" s="52"/>
      <c r="Z346" s="31"/>
    </row>
    <row r="347" spans="3:26">
      <c r="C347" s="31"/>
      <c r="G347" s="38"/>
      <c r="K347" s="31"/>
      <c r="O347" s="31"/>
      <c r="S347" s="31"/>
      <c r="W347" s="31"/>
      <c r="X347" s="52"/>
      <c r="Y347" s="52"/>
      <c r="Z347" s="31"/>
    </row>
    <row r="348" spans="3:26">
      <c r="C348" s="31"/>
      <c r="G348" s="38"/>
      <c r="K348" s="31"/>
      <c r="O348" s="31"/>
      <c r="S348" s="31"/>
      <c r="W348" s="31"/>
      <c r="X348" s="52"/>
      <c r="Y348" s="52"/>
      <c r="Z348" s="31"/>
    </row>
    <row r="349" spans="3:26">
      <c r="C349" s="31"/>
      <c r="G349" s="38"/>
      <c r="K349" s="31"/>
      <c r="O349" s="31"/>
      <c r="S349" s="31"/>
      <c r="W349" s="31"/>
      <c r="X349" s="52"/>
      <c r="Y349" s="52"/>
      <c r="Z349" s="31"/>
    </row>
    <row r="350" spans="3:26">
      <c r="C350" s="31"/>
      <c r="G350" s="38"/>
      <c r="K350" s="31"/>
      <c r="O350" s="31"/>
      <c r="S350" s="31"/>
      <c r="W350" s="31"/>
      <c r="X350" s="52"/>
      <c r="Y350" s="52"/>
      <c r="Z350" s="31"/>
    </row>
    <row r="351" spans="3:26">
      <c r="C351" s="31"/>
      <c r="G351" s="38"/>
      <c r="K351" s="31"/>
      <c r="O351" s="31"/>
      <c r="S351" s="31"/>
      <c r="W351" s="31"/>
      <c r="X351" s="52"/>
      <c r="Y351" s="52"/>
      <c r="Z351" s="31"/>
    </row>
    <row r="352" spans="3:26">
      <c r="C352" s="31"/>
      <c r="G352" s="38"/>
      <c r="K352" s="31"/>
      <c r="O352" s="31"/>
      <c r="S352" s="31"/>
      <c r="W352" s="31"/>
      <c r="X352" s="52"/>
      <c r="Y352" s="52"/>
      <c r="Z352" s="31"/>
    </row>
    <row r="353" spans="3:26">
      <c r="C353" s="31"/>
      <c r="G353" s="38"/>
      <c r="K353" s="31"/>
      <c r="O353" s="31"/>
      <c r="S353" s="31"/>
      <c r="W353" s="31"/>
      <c r="X353" s="52"/>
      <c r="Y353" s="52"/>
      <c r="Z353" s="31"/>
    </row>
    <row r="354" spans="3:26">
      <c r="C354" s="31"/>
      <c r="G354" s="38"/>
      <c r="K354" s="31"/>
      <c r="O354" s="31"/>
      <c r="S354" s="31"/>
      <c r="W354" s="31"/>
      <c r="X354" s="52"/>
      <c r="Y354" s="52"/>
      <c r="Z354" s="31"/>
    </row>
    <row r="355" spans="3:26">
      <c r="C355" s="31"/>
      <c r="G355" s="38"/>
      <c r="K355" s="31"/>
      <c r="O355" s="31"/>
      <c r="S355" s="31"/>
      <c r="W355" s="31"/>
      <c r="X355" s="52"/>
      <c r="Y355" s="52"/>
      <c r="Z355" s="31"/>
    </row>
    <row r="356" spans="3:26">
      <c r="C356" s="31"/>
      <c r="G356" s="38"/>
      <c r="K356" s="31"/>
      <c r="O356" s="31"/>
      <c r="S356" s="31"/>
      <c r="W356" s="31"/>
      <c r="X356" s="52"/>
      <c r="Y356" s="52"/>
      <c r="Z356" s="31"/>
    </row>
    <row r="357" spans="3:26">
      <c r="C357" s="31"/>
      <c r="G357" s="38"/>
      <c r="K357" s="31"/>
      <c r="O357" s="31"/>
      <c r="S357" s="31"/>
      <c r="W357" s="31"/>
      <c r="X357" s="52"/>
      <c r="Y357" s="52"/>
      <c r="Z357" s="31"/>
    </row>
    <row r="358" spans="3:26">
      <c r="C358" s="31"/>
      <c r="G358" s="38"/>
      <c r="K358" s="31"/>
      <c r="O358" s="31"/>
      <c r="S358" s="31"/>
      <c r="W358" s="31"/>
      <c r="X358" s="52"/>
      <c r="Y358" s="52"/>
      <c r="Z358" s="31"/>
    </row>
    <row r="359" spans="3:26">
      <c r="C359" s="31"/>
      <c r="G359" s="38"/>
      <c r="K359" s="31"/>
      <c r="O359" s="31"/>
      <c r="S359" s="31"/>
      <c r="W359" s="31"/>
      <c r="X359" s="52"/>
      <c r="Y359" s="52"/>
      <c r="Z359" s="31"/>
    </row>
    <row r="360" spans="3:26">
      <c r="C360" s="31"/>
      <c r="G360" s="38"/>
      <c r="K360" s="31"/>
      <c r="O360" s="31"/>
      <c r="S360" s="31"/>
      <c r="W360" s="31"/>
      <c r="X360" s="52"/>
      <c r="Y360" s="52"/>
      <c r="Z360" s="31"/>
    </row>
    <row r="361" spans="3:26">
      <c r="C361" s="31"/>
      <c r="G361" s="38"/>
      <c r="K361" s="31"/>
      <c r="O361" s="31"/>
      <c r="S361" s="31"/>
      <c r="W361" s="31"/>
      <c r="X361" s="52"/>
      <c r="Y361" s="52"/>
      <c r="Z361" s="31"/>
    </row>
    <row r="362" spans="3:26">
      <c r="C362" s="31"/>
      <c r="G362" s="38"/>
      <c r="K362" s="31"/>
      <c r="O362" s="31"/>
      <c r="S362" s="31"/>
      <c r="W362" s="31"/>
      <c r="X362" s="52"/>
      <c r="Y362" s="52"/>
      <c r="Z362" s="31"/>
    </row>
    <row r="363" spans="3:26">
      <c r="C363" s="31"/>
      <c r="G363" s="38"/>
      <c r="K363" s="31"/>
      <c r="O363" s="31"/>
      <c r="S363" s="31"/>
      <c r="W363" s="31"/>
      <c r="X363" s="52"/>
      <c r="Y363" s="52"/>
      <c r="Z363" s="31"/>
    </row>
    <row r="364" spans="3:26">
      <c r="C364" s="31"/>
      <c r="G364" s="38"/>
      <c r="K364" s="31"/>
      <c r="O364" s="31"/>
      <c r="S364" s="31"/>
      <c r="W364" s="31"/>
      <c r="X364" s="52"/>
      <c r="Y364" s="52"/>
      <c r="Z364" s="31"/>
    </row>
    <row r="365" spans="3:26">
      <c r="C365" s="31"/>
      <c r="G365" s="38"/>
      <c r="K365" s="31"/>
      <c r="O365" s="31"/>
      <c r="S365" s="31"/>
      <c r="W365" s="31"/>
      <c r="X365" s="52"/>
      <c r="Y365" s="52"/>
      <c r="Z365" s="31"/>
    </row>
    <row r="366" spans="3:26">
      <c r="C366" s="31"/>
      <c r="G366" s="38"/>
      <c r="K366" s="31"/>
      <c r="O366" s="31"/>
      <c r="S366" s="31"/>
      <c r="W366" s="31"/>
      <c r="X366" s="52"/>
      <c r="Y366" s="52"/>
      <c r="Z366" s="31"/>
    </row>
    <row r="367" spans="3:26">
      <c r="C367" s="31"/>
      <c r="G367" s="38"/>
      <c r="K367" s="31"/>
      <c r="O367" s="31"/>
      <c r="S367" s="31"/>
      <c r="W367" s="31"/>
      <c r="X367" s="52"/>
      <c r="Y367" s="52"/>
      <c r="Z367" s="31"/>
    </row>
    <row r="368" spans="3:26">
      <c r="C368" s="31"/>
      <c r="G368" s="38"/>
      <c r="K368" s="31"/>
      <c r="O368" s="31"/>
      <c r="S368" s="31"/>
      <c r="W368" s="31"/>
      <c r="X368" s="52"/>
      <c r="Y368" s="52"/>
      <c r="Z368" s="31"/>
    </row>
    <row r="369" spans="3:26">
      <c r="C369" s="31"/>
      <c r="G369" s="38"/>
      <c r="K369" s="31"/>
      <c r="O369" s="31"/>
      <c r="S369" s="31"/>
      <c r="W369" s="31"/>
      <c r="X369" s="52"/>
      <c r="Y369" s="52"/>
      <c r="Z369" s="31"/>
    </row>
    <row r="370" spans="3:26">
      <c r="C370" s="31"/>
      <c r="G370" s="38"/>
      <c r="K370" s="31"/>
      <c r="O370" s="31"/>
      <c r="S370" s="31"/>
      <c r="W370" s="31"/>
      <c r="X370" s="52"/>
      <c r="Y370" s="52"/>
      <c r="Z370" s="31"/>
    </row>
    <row r="371" spans="3:26">
      <c r="C371" s="31"/>
      <c r="G371" s="38"/>
      <c r="K371" s="31"/>
      <c r="O371" s="31"/>
      <c r="S371" s="31"/>
      <c r="W371" s="31"/>
      <c r="X371" s="52"/>
      <c r="Y371" s="52"/>
      <c r="Z371" s="31"/>
    </row>
    <row r="372" spans="3:26">
      <c r="C372" s="31"/>
      <c r="G372" s="38"/>
      <c r="K372" s="31"/>
      <c r="O372" s="31"/>
      <c r="S372" s="31"/>
      <c r="W372" s="31"/>
      <c r="X372" s="52"/>
      <c r="Y372" s="52"/>
      <c r="Z372" s="31"/>
    </row>
    <row r="373" spans="3:26">
      <c r="C373" s="31"/>
      <c r="G373" s="38"/>
      <c r="K373" s="31"/>
      <c r="O373" s="31"/>
      <c r="S373" s="31"/>
      <c r="W373" s="31"/>
      <c r="X373" s="52"/>
      <c r="Y373" s="52"/>
      <c r="Z373" s="31"/>
    </row>
    <row r="374" spans="3:26">
      <c r="C374" s="31"/>
      <c r="G374" s="38"/>
      <c r="K374" s="31"/>
      <c r="O374" s="31"/>
      <c r="S374" s="31"/>
      <c r="W374" s="31"/>
      <c r="X374" s="52"/>
      <c r="Y374" s="52"/>
      <c r="Z374" s="31"/>
    </row>
    <row r="375" spans="3:26">
      <c r="C375" s="31"/>
      <c r="G375" s="38"/>
      <c r="K375" s="31"/>
      <c r="O375" s="31"/>
      <c r="S375" s="31"/>
      <c r="W375" s="31"/>
      <c r="X375" s="52"/>
      <c r="Y375" s="52"/>
      <c r="Z375" s="31"/>
    </row>
    <row r="376" spans="3:26">
      <c r="C376" s="31"/>
      <c r="G376" s="38"/>
      <c r="K376" s="31"/>
      <c r="O376" s="31"/>
      <c r="S376" s="31"/>
      <c r="W376" s="31"/>
      <c r="X376" s="52"/>
      <c r="Y376" s="52"/>
      <c r="Z376" s="31"/>
    </row>
    <row r="377" spans="3:26">
      <c r="C377" s="31"/>
      <c r="G377" s="38"/>
      <c r="K377" s="31"/>
      <c r="O377" s="31"/>
      <c r="S377" s="31"/>
      <c r="W377" s="31"/>
      <c r="X377" s="52"/>
      <c r="Y377" s="52"/>
      <c r="Z377" s="31"/>
    </row>
    <row r="378" spans="3:26">
      <c r="C378" s="31"/>
      <c r="G378" s="38"/>
      <c r="K378" s="31"/>
      <c r="O378" s="31"/>
      <c r="S378" s="31"/>
      <c r="W378" s="31"/>
      <c r="X378" s="52"/>
      <c r="Y378" s="52"/>
      <c r="Z378" s="31"/>
    </row>
    <row r="379" spans="3:26">
      <c r="C379" s="31"/>
      <c r="G379" s="38"/>
      <c r="K379" s="31"/>
      <c r="O379" s="31"/>
      <c r="S379" s="31"/>
      <c r="W379" s="31"/>
      <c r="X379" s="52"/>
      <c r="Y379" s="52"/>
      <c r="Z379" s="31"/>
    </row>
    <row r="380" spans="3:26">
      <c r="C380" s="31"/>
      <c r="G380" s="38"/>
      <c r="K380" s="31"/>
      <c r="O380" s="31"/>
      <c r="S380" s="31"/>
      <c r="W380" s="31"/>
      <c r="X380" s="52"/>
      <c r="Y380" s="52"/>
      <c r="Z380" s="31"/>
    </row>
    <row r="381" spans="3:26">
      <c r="C381" s="31"/>
      <c r="G381" s="38"/>
      <c r="K381" s="31"/>
      <c r="O381" s="31"/>
      <c r="S381" s="31"/>
      <c r="W381" s="31"/>
      <c r="X381" s="52"/>
      <c r="Y381" s="52"/>
      <c r="Z381" s="31"/>
    </row>
    <row r="382" spans="3:26">
      <c r="C382" s="31"/>
      <c r="G382" s="38"/>
      <c r="K382" s="31"/>
      <c r="O382" s="31"/>
      <c r="S382" s="31"/>
      <c r="W382" s="31"/>
      <c r="X382" s="52"/>
      <c r="Y382" s="52"/>
      <c r="Z382" s="31"/>
    </row>
    <row r="383" spans="3:26">
      <c r="C383" s="31"/>
      <c r="G383" s="38"/>
      <c r="K383" s="31"/>
      <c r="O383" s="31"/>
      <c r="S383" s="31"/>
      <c r="W383" s="31"/>
      <c r="X383" s="52"/>
      <c r="Y383" s="52"/>
      <c r="Z383" s="31"/>
    </row>
    <row r="384" spans="3:26">
      <c r="C384" s="31"/>
      <c r="G384" s="38"/>
      <c r="K384" s="31"/>
      <c r="O384" s="31"/>
      <c r="S384" s="31"/>
      <c r="W384" s="31"/>
      <c r="X384" s="52"/>
      <c r="Y384" s="52"/>
      <c r="Z384" s="31"/>
    </row>
    <row r="385" spans="3:26">
      <c r="C385" s="31"/>
      <c r="G385" s="38"/>
      <c r="K385" s="31"/>
      <c r="O385" s="31"/>
      <c r="S385" s="31"/>
      <c r="W385" s="31"/>
      <c r="X385" s="52"/>
      <c r="Y385" s="52"/>
      <c r="Z385" s="31"/>
    </row>
    <row r="386" spans="3:26">
      <c r="C386" s="31"/>
      <c r="G386" s="38"/>
      <c r="K386" s="31"/>
      <c r="O386" s="31"/>
      <c r="S386" s="31"/>
      <c r="W386" s="31"/>
      <c r="X386" s="52"/>
      <c r="Y386" s="52"/>
      <c r="Z386" s="31"/>
    </row>
    <row r="387" spans="3:26">
      <c r="C387" s="31"/>
      <c r="G387" s="38"/>
      <c r="K387" s="31"/>
      <c r="O387" s="31"/>
      <c r="S387" s="31"/>
      <c r="W387" s="31"/>
      <c r="X387" s="52"/>
      <c r="Y387" s="52"/>
      <c r="Z387" s="31"/>
    </row>
    <row r="388" spans="3:26">
      <c r="C388" s="31"/>
      <c r="G388" s="38"/>
      <c r="K388" s="31"/>
      <c r="O388" s="31"/>
      <c r="S388" s="31"/>
      <c r="W388" s="31"/>
      <c r="X388" s="52"/>
      <c r="Y388" s="52"/>
      <c r="Z388" s="31"/>
    </row>
    <row r="389" spans="3:26">
      <c r="C389" s="31"/>
      <c r="G389" s="38"/>
      <c r="K389" s="31"/>
      <c r="O389" s="31"/>
      <c r="S389" s="31"/>
      <c r="W389" s="31"/>
      <c r="X389" s="52"/>
      <c r="Y389" s="52"/>
      <c r="Z389" s="31"/>
    </row>
    <row r="390" spans="3:26">
      <c r="C390" s="31"/>
      <c r="G390" s="38"/>
      <c r="K390" s="31"/>
      <c r="O390" s="31"/>
      <c r="S390" s="31"/>
      <c r="W390" s="31"/>
      <c r="X390" s="52"/>
      <c r="Y390" s="52"/>
      <c r="Z390" s="31"/>
    </row>
    <row r="391" spans="3:26">
      <c r="C391" s="31"/>
      <c r="G391" s="38"/>
      <c r="K391" s="31"/>
      <c r="O391" s="31"/>
      <c r="S391" s="31"/>
      <c r="W391" s="31"/>
      <c r="X391" s="52"/>
      <c r="Y391" s="52"/>
      <c r="Z391" s="31"/>
    </row>
    <row r="392" spans="3:26">
      <c r="C392" s="31"/>
      <c r="G392" s="38"/>
      <c r="K392" s="31"/>
      <c r="O392" s="31"/>
      <c r="S392" s="31"/>
      <c r="W392" s="31"/>
      <c r="X392" s="52"/>
      <c r="Y392" s="52"/>
      <c r="Z392" s="31"/>
    </row>
    <row r="393" spans="3:26">
      <c r="C393" s="31"/>
      <c r="G393" s="38"/>
      <c r="K393" s="31"/>
      <c r="O393" s="31"/>
      <c r="S393" s="31"/>
      <c r="W393" s="31"/>
      <c r="X393" s="52"/>
      <c r="Y393" s="52"/>
      <c r="Z393" s="31"/>
    </row>
    <row r="394" spans="3:26">
      <c r="C394" s="31"/>
      <c r="G394" s="38"/>
      <c r="K394" s="31"/>
      <c r="O394" s="31"/>
      <c r="S394" s="31"/>
      <c r="W394" s="31"/>
      <c r="X394" s="52"/>
      <c r="Y394" s="52"/>
      <c r="Z394" s="31"/>
    </row>
    <row r="395" spans="3:26">
      <c r="C395" s="31"/>
      <c r="G395" s="38"/>
      <c r="K395" s="31"/>
      <c r="O395" s="31"/>
      <c r="S395" s="31"/>
      <c r="W395" s="31"/>
      <c r="X395" s="52"/>
      <c r="Y395" s="52"/>
      <c r="Z395" s="31"/>
    </row>
    <row r="396" spans="3:26">
      <c r="C396" s="31"/>
      <c r="G396" s="38"/>
      <c r="K396" s="31"/>
      <c r="O396" s="31"/>
      <c r="S396" s="31"/>
      <c r="W396" s="31"/>
      <c r="X396" s="52"/>
      <c r="Y396" s="52"/>
      <c r="Z396" s="31"/>
    </row>
    <row r="397" spans="3:26">
      <c r="C397" s="31"/>
      <c r="G397" s="38"/>
      <c r="K397" s="31"/>
      <c r="O397" s="31"/>
      <c r="S397" s="31"/>
      <c r="W397" s="31"/>
      <c r="X397" s="52"/>
      <c r="Y397" s="52"/>
      <c r="Z397" s="31"/>
    </row>
    <row r="398" spans="3:26">
      <c r="C398" s="31"/>
      <c r="G398" s="38"/>
      <c r="K398" s="31"/>
      <c r="O398" s="31"/>
      <c r="S398" s="31"/>
      <c r="W398" s="31"/>
      <c r="X398" s="52"/>
      <c r="Y398" s="52"/>
      <c r="Z398" s="31"/>
    </row>
    <row r="399" spans="3:26">
      <c r="C399" s="31"/>
      <c r="G399" s="38"/>
      <c r="K399" s="31"/>
      <c r="O399" s="31"/>
      <c r="S399" s="31"/>
      <c r="W399" s="31"/>
      <c r="X399" s="52"/>
      <c r="Y399" s="52"/>
      <c r="Z399" s="31"/>
    </row>
    <row r="400" spans="3:26">
      <c r="C400" s="31"/>
      <c r="G400" s="38"/>
      <c r="K400" s="31"/>
      <c r="O400" s="31"/>
      <c r="S400" s="31"/>
      <c r="W400" s="31"/>
      <c r="X400" s="52"/>
      <c r="Y400" s="52"/>
      <c r="Z400" s="31"/>
    </row>
    <row r="401" spans="3:28">
      <c r="C401" s="31"/>
      <c r="G401" s="38"/>
      <c r="K401" s="31"/>
      <c r="O401" s="31"/>
      <c r="S401" s="31"/>
      <c r="W401" s="31"/>
      <c r="X401" s="52"/>
      <c r="Y401" s="52"/>
      <c r="Z401" s="31"/>
    </row>
    <row r="402" spans="3:28">
      <c r="C402" s="31"/>
      <c r="G402" s="38"/>
      <c r="K402" s="31"/>
      <c r="O402" s="31"/>
      <c r="S402" s="31"/>
      <c r="W402" s="31"/>
      <c r="X402" s="52"/>
      <c r="Y402" s="52"/>
      <c r="Z402" s="31"/>
    </row>
    <row r="403" spans="3:28">
      <c r="C403" s="31"/>
      <c r="G403" s="38"/>
      <c r="K403" s="31"/>
      <c r="O403" s="31"/>
      <c r="S403" s="31"/>
      <c r="W403" s="31"/>
      <c r="X403" s="52"/>
      <c r="Y403" s="52"/>
      <c r="Z403" s="31"/>
      <c r="AB403" s="27" t="s">
        <v>178</v>
      </c>
    </row>
    <row r="427" spans="28:28">
      <c r="AB427" s="27" t="s">
        <v>178</v>
      </c>
    </row>
  </sheetData>
  <autoFilter ref="A8:Z104"/>
  <mergeCells count="13">
    <mergeCell ref="B106:F106"/>
    <mergeCell ref="A98:F98"/>
    <mergeCell ref="A9:F9"/>
    <mergeCell ref="A1:Z1"/>
    <mergeCell ref="F3:F7"/>
    <mergeCell ref="E3:E7"/>
    <mergeCell ref="D3:D7"/>
    <mergeCell ref="C3:C7"/>
    <mergeCell ref="B3:B7"/>
    <mergeCell ref="A3:A7"/>
    <mergeCell ref="X3:X4"/>
    <mergeCell ref="Y3:Y4"/>
    <mergeCell ref="Z3:Z4"/>
  </mergeCells>
  <pageMargins left="0" right="0" top="0.55118110236220474" bottom="0.35433070866141736" header="0.31496062992125984" footer="0.31496062992125984"/>
  <pageSetup paperSize="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85"/>
  <sheetViews>
    <sheetView tabSelected="1" zoomScale="70" zoomScaleNormal="70" zoomScaleSheetLayoutView="100" workbookViewId="0">
      <pane xSplit="11" ySplit="5" topLeftCell="L6" activePane="bottomRight" state="frozen"/>
      <selection pane="topRight" activeCell="K1" sqref="K1"/>
      <selection pane="bottomLeft" activeCell="A6" sqref="A6"/>
      <selection pane="bottomRight" activeCell="A7" sqref="A7"/>
    </sheetView>
  </sheetViews>
  <sheetFormatPr defaultColWidth="9.140625" defaultRowHeight="12.75" customHeight="1" outlineLevelRow="1" outlineLevelCol="1"/>
  <cols>
    <col min="1" max="1" width="9.7109375" style="361" hidden="1" customWidth="1" outlineLevel="1"/>
    <col min="2" max="2" width="6.85546875" style="361" hidden="1" customWidth="1" outlineLevel="1"/>
    <col min="3" max="3" width="23.28515625" style="361" customWidth="1" collapsed="1"/>
    <col min="4" max="4" width="33" style="356" hidden="1" customWidth="1" outlineLevel="1"/>
    <col min="5" max="5" width="59.5703125" style="355" customWidth="1" collapsed="1"/>
    <col min="6" max="6" width="60.7109375" style="355" customWidth="1"/>
    <col min="7" max="7" width="28" style="355" customWidth="1"/>
    <col min="8" max="8" width="16.28515625" style="355" customWidth="1"/>
    <col min="9" max="9" width="16.28515625" style="355" customWidth="1" outlineLevel="1"/>
    <col min="10" max="11" width="20.140625" style="355" customWidth="1"/>
    <col min="12" max="13" width="24" style="355" customWidth="1"/>
    <col min="14" max="16" width="24" style="355" customWidth="1" outlineLevel="1"/>
    <col min="17" max="17" width="26.42578125" style="355" customWidth="1"/>
    <col min="18" max="18" width="25.42578125" style="355" customWidth="1"/>
    <col min="19" max="21" width="26.7109375" style="355" customWidth="1" outlineLevel="1"/>
    <col min="22" max="22" width="27.85546875" style="355" customWidth="1"/>
    <col min="23" max="23" width="23.42578125" style="355" customWidth="1"/>
    <col min="24" max="24" width="27" style="355" customWidth="1" outlineLevel="1"/>
    <col min="25" max="26" width="9.140625" style="355"/>
    <col min="27" max="27" width="16.85546875" style="355" bestFit="1" customWidth="1"/>
    <col min="28" max="16384" width="9.140625" style="355"/>
  </cols>
  <sheetData>
    <row r="1" spans="1:24" ht="114" customHeight="1" outlineLevel="1">
      <c r="A1" s="576" t="s">
        <v>1222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</row>
    <row r="2" spans="1:24" ht="19.5" customHeight="1">
      <c r="A2" s="577"/>
      <c r="C2" s="516"/>
      <c r="D2" s="360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</row>
    <row r="3" spans="1:24" ht="59.25" customHeight="1">
      <c r="A3" s="578" t="s">
        <v>135</v>
      </c>
      <c r="B3" s="578"/>
      <c r="C3" s="578" t="s">
        <v>3</v>
      </c>
      <c r="D3" s="579" t="s">
        <v>140</v>
      </c>
      <c r="E3" s="578" t="s">
        <v>1128</v>
      </c>
      <c r="F3" s="578" t="s">
        <v>1127</v>
      </c>
      <c r="G3" s="578" t="s">
        <v>1129</v>
      </c>
      <c r="H3" s="580" t="s">
        <v>1126</v>
      </c>
      <c r="I3" s="580"/>
      <c r="J3" s="580" t="s">
        <v>1125</v>
      </c>
      <c r="K3" s="580"/>
      <c r="L3" s="581" t="s">
        <v>1218</v>
      </c>
      <c r="M3" s="581"/>
      <c r="N3" s="581"/>
      <c r="O3" s="581"/>
      <c r="P3" s="581"/>
      <c r="Q3" s="581" t="s">
        <v>1221</v>
      </c>
      <c r="R3" s="581"/>
      <c r="S3" s="581"/>
      <c r="T3" s="581"/>
      <c r="U3" s="581"/>
      <c r="V3" s="578" t="s">
        <v>1124</v>
      </c>
      <c r="W3" s="578" t="s">
        <v>1132</v>
      </c>
      <c r="X3" s="582" t="s">
        <v>1133</v>
      </c>
    </row>
    <row r="4" spans="1:24" s="358" customFormat="1" ht="30.75" customHeight="1">
      <c r="A4" s="578"/>
      <c r="B4" s="578"/>
      <c r="C4" s="578"/>
      <c r="D4" s="579"/>
      <c r="E4" s="578"/>
      <c r="F4" s="578"/>
      <c r="G4" s="578"/>
      <c r="H4" s="581" t="s">
        <v>1123</v>
      </c>
      <c r="I4" s="581" t="s">
        <v>1122</v>
      </c>
      <c r="J4" s="581" t="s">
        <v>1123</v>
      </c>
      <c r="K4" s="581" t="s">
        <v>1122</v>
      </c>
      <c r="L4" s="583" t="s">
        <v>8</v>
      </c>
      <c r="M4" s="583" t="s">
        <v>12</v>
      </c>
      <c r="N4" s="583" t="s">
        <v>16</v>
      </c>
      <c r="O4" s="583" t="s">
        <v>20</v>
      </c>
      <c r="P4" s="583" t="s">
        <v>1121</v>
      </c>
      <c r="Q4" s="583" t="s">
        <v>8</v>
      </c>
      <c r="R4" s="583" t="s">
        <v>12</v>
      </c>
      <c r="S4" s="583" t="s">
        <v>16</v>
      </c>
      <c r="T4" s="583" t="s">
        <v>20</v>
      </c>
      <c r="U4" s="583" t="s">
        <v>1121</v>
      </c>
      <c r="V4" s="578"/>
      <c r="W4" s="578"/>
      <c r="X4" s="582"/>
    </row>
    <row r="5" spans="1:24" s="358" customFormat="1" ht="59.25" customHeight="1">
      <c r="A5" s="578"/>
      <c r="B5" s="578"/>
      <c r="C5" s="578"/>
      <c r="D5" s="579"/>
      <c r="E5" s="578"/>
      <c r="F5" s="578"/>
      <c r="G5" s="578"/>
      <c r="H5" s="581"/>
      <c r="I5" s="581"/>
      <c r="J5" s="581"/>
      <c r="K5" s="581"/>
      <c r="L5" s="584" t="s">
        <v>1120</v>
      </c>
      <c r="M5" s="584" t="s">
        <v>1120</v>
      </c>
      <c r="N5" s="584" t="s">
        <v>1119</v>
      </c>
      <c r="O5" s="584" t="s">
        <v>1119</v>
      </c>
      <c r="P5" s="584" t="s">
        <v>1119</v>
      </c>
      <c r="Q5" s="584" t="s">
        <v>1120</v>
      </c>
      <c r="R5" s="584" t="s">
        <v>1120</v>
      </c>
      <c r="S5" s="584" t="s">
        <v>1119</v>
      </c>
      <c r="T5" s="584" t="s">
        <v>1119</v>
      </c>
      <c r="U5" s="584" t="s">
        <v>1119</v>
      </c>
      <c r="V5" s="578"/>
      <c r="W5" s="578"/>
      <c r="X5" s="582"/>
    </row>
    <row r="6" spans="1:24" s="358" customFormat="1" ht="9.75" customHeight="1">
      <c r="A6" s="585"/>
      <c r="B6" s="585"/>
      <c r="C6" s="585"/>
      <c r="D6" s="586"/>
      <c r="E6" s="585"/>
      <c r="F6" s="585"/>
      <c r="G6" s="585"/>
      <c r="H6" s="587"/>
      <c r="I6" s="587"/>
      <c r="J6" s="587"/>
      <c r="K6" s="587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5"/>
      <c r="W6" s="515"/>
      <c r="X6" s="515"/>
    </row>
    <row r="7" spans="1:24" s="357" customFormat="1" ht="46.5" customHeight="1">
      <c r="A7" s="514" t="s">
        <v>760</v>
      </c>
      <c r="B7" s="514" t="s">
        <v>1118</v>
      </c>
      <c r="C7" s="514" t="s">
        <v>1117</v>
      </c>
      <c r="D7" s="583"/>
      <c r="E7" s="512" t="s">
        <v>1116</v>
      </c>
      <c r="F7" s="512"/>
      <c r="G7" s="512" t="s">
        <v>1215</v>
      </c>
      <c r="H7" s="507" t="s">
        <v>713</v>
      </c>
      <c r="I7" s="507"/>
      <c r="J7" s="507" t="s">
        <v>713</v>
      </c>
      <c r="K7" s="507"/>
      <c r="L7" s="508">
        <f t="shared" ref="L7:T7" si="0">SUM(L8)</f>
        <v>55.710000000000008</v>
      </c>
      <c r="M7" s="508">
        <f t="shared" si="0"/>
        <v>25.210999999999999</v>
      </c>
      <c r="N7" s="508">
        <f t="shared" si="0"/>
        <v>7</v>
      </c>
      <c r="O7" s="508">
        <f t="shared" si="0"/>
        <v>40</v>
      </c>
      <c r="P7" s="508">
        <f t="shared" si="0"/>
        <v>127.92100000000001</v>
      </c>
      <c r="Q7" s="507">
        <f t="shared" si="0"/>
        <v>233156.37780000005</v>
      </c>
      <c r="R7" s="507">
        <f t="shared" si="0"/>
        <v>105512.57298</v>
      </c>
      <c r="S7" s="507">
        <f t="shared" si="0"/>
        <v>29296.260000000002</v>
      </c>
      <c r="T7" s="507">
        <f t="shared" si="0"/>
        <v>167407.20000000001</v>
      </c>
      <c r="U7" s="507">
        <f>SUM(U8)</f>
        <v>535372.41078000003</v>
      </c>
      <c r="V7" s="507">
        <v>74027.460000000006</v>
      </c>
      <c r="W7" s="518">
        <f>T7/3</f>
        <v>55802.400000000001</v>
      </c>
      <c r="X7" s="518">
        <f>U7+V7-W7</f>
        <v>553597.47077999997</v>
      </c>
    </row>
    <row r="8" spans="1:24" s="357" customFormat="1" ht="32.25" customHeight="1">
      <c r="A8" s="514"/>
      <c r="B8" s="514"/>
      <c r="C8" s="514"/>
      <c r="D8" s="512" t="s">
        <v>1116</v>
      </c>
      <c r="E8" s="506" t="s">
        <v>726</v>
      </c>
      <c r="F8" s="506" t="s">
        <v>766</v>
      </c>
      <c r="G8" s="506" t="s">
        <v>1130</v>
      </c>
      <c r="H8" s="507">
        <v>6165.18</v>
      </c>
      <c r="I8" s="507">
        <v>6165.18</v>
      </c>
      <c r="J8" s="507">
        <v>1980</v>
      </c>
      <c r="K8" s="507">
        <v>1980</v>
      </c>
      <c r="L8" s="508">
        <v>55.710000000000008</v>
      </c>
      <c r="M8" s="508">
        <v>25.210999999999999</v>
      </c>
      <c r="N8" s="508">
        <v>7</v>
      </c>
      <c r="O8" s="508">
        <v>40</v>
      </c>
      <c r="P8" s="508">
        <f t="shared" ref="P8:P71" si="1">SUM(L8:O8)</f>
        <v>127.92100000000001</v>
      </c>
      <c r="Q8" s="507">
        <f>(H8-J8)*L8</f>
        <v>233156.37780000005</v>
      </c>
      <c r="R8" s="507">
        <f>(H8-J8)*M8</f>
        <v>105512.57298</v>
      </c>
      <c r="S8" s="507">
        <f>(I8-J8)*N8</f>
        <v>29296.260000000002</v>
      </c>
      <c r="T8" s="507">
        <f>(I8-K8)*O8</f>
        <v>167407.20000000001</v>
      </c>
      <c r="U8" s="507">
        <f>SUM(Q8:T8)</f>
        <v>535372.41078000003</v>
      </c>
      <c r="V8" s="507" t="s">
        <v>713</v>
      </c>
      <c r="W8" s="518"/>
      <c r="X8" s="519"/>
    </row>
    <row r="9" spans="1:24" ht="42.75" customHeight="1">
      <c r="A9" s="514" t="s">
        <v>918</v>
      </c>
      <c r="B9" s="514" t="s">
        <v>1115</v>
      </c>
      <c r="C9" s="514" t="s">
        <v>1114</v>
      </c>
      <c r="D9" s="589"/>
      <c r="E9" s="512" t="s">
        <v>1113</v>
      </c>
      <c r="F9" s="512"/>
      <c r="G9" s="512" t="s">
        <v>1215</v>
      </c>
      <c r="H9" s="507" t="s">
        <v>713</v>
      </c>
      <c r="I9" s="507" t="s">
        <v>713</v>
      </c>
      <c r="J9" s="507" t="s">
        <v>713</v>
      </c>
      <c r="K9" s="507" t="s">
        <v>713</v>
      </c>
      <c r="L9" s="508">
        <f t="shared" ref="L9:T9" si="2">SUM(L10)</f>
        <v>1013.2869999999999</v>
      </c>
      <c r="M9" s="508">
        <f t="shared" si="2"/>
        <v>667.84100000000001</v>
      </c>
      <c r="N9" s="508">
        <f t="shared" si="2"/>
        <v>326.08999999999997</v>
      </c>
      <c r="O9" s="508">
        <f t="shared" si="2"/>
        <v>1006.979</v>
      </c>
      <c r="P9" s="508">
        <f t="shared" si="2"/>
        <v>3014.1970000000001</v>
      </c>
      <c r="Q9" s="507">
        <f t="shared" si="2"/>
        <v>15757717.332829999</v>
      </c>
      <c r="R9" s="507">
        <f t="shared" si="2"/>
        <v>10385655.496689999</v>
      </c>
      <c r="S9" s="507">
        <f t="shared" si="2"/>
        <v>5071054.9380999999</v>
      </c>
      <c r="T9" s="507">
        <f t="shared" si="2"/>
        <v>15659621.05711</v>
      </c>
      <c r="U9" s="507">
        <f>SUM(Q9:T9)</f>
        <v>46874048.824729994</v>
      </c>
      <c r="V9" s="507">
        <v>5235523.2699999996</v>
      </c>
      <c r="W9" s="518">
        <f>T9/3</f>
        <v>5219873.6857033335</v>
      </c>
      <c r="X9" s="518">
        <f>U9+V9-W9</f>
        <v>46889698.409026653</v>
      </c>
    </row>
    <row r="10" spans="1:24" ht="37.5" customHeight="1">
      <c r="A10" s="514"/>
      <c r="B10" s="514"/>
      <c r="C10" s="514"/>
      <c r="D10" s="512" t="s">
        <v>1113</v>
      </c>
      <c r="E10" s="506" t="s">
        <v>726</v>
      </c>
      <c r="F10" s="506" t="s">
        <v>1112</v>
      </c>
      <c r="G10" s="506" t="s">
        <v>1130</v>
      </c>
      <c r="H10" s="507">
        <v>17043.59</v>
      </c>
      <c r="I10" s="507">
        <v>17043.59</v>
      </c>
      <c r="J10" s="507">
        <v>1492.5</v>
      </c>
      <c r="K10" s="507">
        <v>1492.5</v>
      </c>
      <c r="L10" s="508">
        <v>1013.2869999999999</v>
      </c>
      <c r="M10" s="508">
        <v>667.84100000000001</v>
      </c>
      <c r="N10" s="508">
        <v>326.08999999999997</v>
      </c>
      <c r="O10" s="508">
        <v>1006.979</v>
      </c>
      <c r="P10" s="508">
        <f t="shared" si="1"/>
        <v>3014.1970000000001</v>
      </c>
      <c r="Q10" s="507">
        <f>(H10-J10)*L10</f>
        <v>15757717.332829999</v>
      </c>
      <c r="R10" s="507">
        <f>(H10-J10)*M10</f>
        <v>10385655.496689999</v>
      </c>
      <c r="S10" s="507">
        <f>(I10-J10)*N10</f>
        <v>5071054.9380999999</v>
      </c>
      <c r="T10" s="507">
        <f>(I10-K10)*O10</f>
        <v>15659621.05711</v>
      </c>
      <c r="U10" s="507">
        <f t="shared" ref="U10:U72" si="3">SUM(Q10:T10)</f>
        <v>46874048.824729994</v>
      </c>
      <c r="V10" s="507" t="s">
        <v>713</v>
      </c>
      <c r="W10" s="518"/>
      <c r="X10" s="519"/>
    </row>
    <row r="11" spans="1:24" ht="30.75" customHeight="1">
      <c r="A11" s="514" t="s">
        <v>735</v>
      </c>
      <c r="B11" s="514" t="s">
        <v>1111</v>
      </c>
      <c r="C11" s="514" t="s">
        <v>1110</v>
      </c>
      <c r="D11" s="589"/>
      <c r="E11" s="512" t="s">
        <v>1108</v>
      </c>
      <c r="F11" s="512"/>
      <c r="G11" s="512" t="s">
        <v>1215</v>
      </c>
      <c r="H11" s="507" t="s">
        <v>713</v>
      </c>
      <c r="I11" s="507" t="s">
        <v>713</v>
      </c>
      <c r="J11" s="507" t="s">
        <v>713</v>
      </c>
      <c r="K11" s="507" t="s">
        <v>713</v>
      </c>
      <c r="L11" s="508">
        <f t="shared" ref="L11:P11" si="4">SUM(L12:L13)</f>
        <v>28933.267</v>
      </c>
      <c r="M11" s="508">
        <f t="shared" si="4"/>
        <v>12531.529</v>
      </c>
      <c r="N11" s="508">
        <f t="shared" si="4"/>
        <v>4288.8230000000003</v>
      </c>
      <c r="O11" s="508">
        <f t="shared" si="4"/>
        <v>19607.617999999999</v>
      </c>
      <c r="P11" s="508">
        <f t="shared" si="4"/>
        <v>65361.237000000001</v>
      </c>
      <c r="Q11" s="507">
        <f>SUM(Q12:Q14)</f>
        <v>40466312.836429998</v>
      </c>
      <c r="R11" s="507">
        <f t="shared" ref="R11:T11" si="5">SUM(R12:R14)</f>
        <v>17754325.27468</v>
      </c>
      <c r="S11" s="507">
        <f t="shared" si="5"/>
        <v>6116144.7188299997</v>
      </c>
      <c r="T11" s="507">
        <f t="shared" si="5"/>
        <v>27654436.91674</v>
      </c>
      <c r="U11" s="507">
        <f>SUM(U12:U14)</f>
        <v>91991219.746679991</v>
      </c>
      <c r="V11" s="507">
        <v>14385917.859999999</v>
      </c>
      <c r="W11" s="518">
        <f>T11/3</f>
        <v>9218145.6389133334</v>
      </c>
      <c r="X11" s="518">
        <f>U11+V11-W11</f>
        <v>97158991.967766657</v>
      </c>
    </row>
    <row r="12" spans="1:24" ht="44.25" customHeight="1">
      <c r="A12" s="514"/>
      <c r="B12" s="514"/>
      <c r="C12" s="514"/>
      <c r="D12" s="512" t="s">
        <v>1108</v>
      </c>
      <c r="E12" s="506" t="s">
        <v>815</v>
      </c>
      <c r="F12" s="506" t="s">
        <v>1109</v>
      </c>
      <c r="G12" s="506" t="s">
        <v>1130</v>
      </c>
      <c r="H12" s="507">
        <v>2838.22</v>
      </c>
      <c r="I12" s="507">
        <v>2838.22</v>
      </c>
      <c r="J12" s="507">
        <v>1743.33</v>
      </c>
      <c r="K12" s="507">
        <v>1743.33</v>
      </c>
      <c r="L12" s="508">
        <v>2271.1469999999999</v>
      </c>
      <c r="M12" s="508">
        <v>842.97199999999998</v>
      </c>
      <c r="N12" s="508">
        <v>446.34699999999998</v>
      </c>
      <c r="O12" s="508">
        <v>1443.498</v>
      </c>
      <c r="P12" s="508">
        <f t="shared" si="1"/>
        <v>5003.9639999999999</v>
      </c>
      <c r="Q12" s="507">
        <f>(H12-J12)*L12</f>
        <v>2486656.1388299996</v>
      </c>
      <c r="R12" s="507">
        <f>(H12-J12)*M12</f>
        <v>922961.61307999992</v>
      </c>
      <c r="S12" s="507">
        <f>(I12-J12)*N12</f>
        <v>488700.8668299999</v>
      </c>
      <c r="T12" s="507">
        <f>(I12-K12)*O12</f>
        <v>1580471.52522</v>
      </c>
      <c r="U12" s="507">
        <f t="shared" si="3"/>
        <v>5478790.1439599991</v>
      </c>
      <c r="V12" s="507" t="s">
        <v>713</v>
      </c>
      <c r="W12" s="518"/>
      <c r="X12" s="519"/>
    </row>
    <row r="13" spans="1:24" ht="44.25" customHeight="1">
      <c r="A13" s="514"/>
      <c r="B13" s="514"/>
      <c r="C13" s="514"/>
      <c r="D13" s="512" t="s">
        <v>1108</v>
      </c>
      <c r="E13" s="506" t="s">
        <v>815</v>
      </c>
      <c r="F13" s="506" t="s">
        <v>996</v>
      </c>
      <c r="G13" s="506" t="s">
        <v>1130</v>
      </c>
      <c r="H13" s="507">
        <v>3091.98</v>
      </c>
      <c r="I13" s="507">
        <v>3091.98</v>
      </c>
      <c r="J13" s="507">
        <v>1667.5</v>
      </c>
      <c r="K13" s="507">
        <v>1667.5</v>
      </c>
      <c r="L13" s="508">
        <v>26662.12</v>
      </c>
      <c r="M13" s="508">
        <v>11688.557000000001</v>
      </c>
      <c r="N13" s="508">
        <v>3842.4760000000001</v>
      </c>
      <c r="O13" s="508">
        <v>18164.12</v>
      </c>
      <c r="P13" s="508">
        <f t="shared" si="1"/>
        <v>60357.273000000001</v>
      </c>
      <c r="Q13" s="507">
        <f>(H13-J13)*L13</f>
        <v>37979656.6976</v>
      </c>
      <c r="R13" s="507">
        <f>(H13-J13)*M13</f>
        <v>16650115.675360002</v>
      </c>
      <c r="S13" s="507">
        <f>(I13-J13)*N13</f>
        <v>5473530.2124800002</v>
      </c>
      <c r="T13" s="507">
        <f>(I13-K13)*O13</f>
        <v>25874425.657600001</v>
      </c>
      <c r="U13" s="507">
        <f t="shared" si="3"/>
        <v>85977728.243039995</v>
      </c>
      <c r="V13" s="507" t="s">
        <v>713</v>
      </c>
      <c r="W13" s="518"/>
      <c r="X13" s="519"/>
    </row>
    <row r="14" spans="1:24" ht="62.25" customHeight="1">
      <c r="A14" s="514"/>
      <c r="B14" s="514"/>
      <c r="C14" s="514"/>
      <c r="D14" s="512"/>
      <c r="E14" s="506" t="s">
        <v>815</v>
      </c>
      <c r="F14" s="506" t="s">
        <v>1212</v>
      </c>
      <c r="G14" s="506" t="s">
        <v>1131</v>
      </c>
      <c r="H14" s="507">
        <v>3091.98</v>
      </c>
      <c r="I14" s="507">
        <v>3091.98</v>
      </c>
      <c r="J14" s="507">
        <v>1667.5</v>
      </c>
      <c r="K14" s="507">
        <v>1667.5</v>
      </c>
      <c r="L14" s="508">
        <v>0</v>
      </c>
      <c r="M14" s="508">
        <v>127.238</v>
      </c>
      <c r="N14" s="508">
        <v>108.04900000000001</v>
      </c>
      <c r="O14" s="508">
        <v>140.07900000000001</v>
      </c>
      <c r="P14" s="508">
        <f t="shared" si="1"/>
        <v>375.36599999999999</v>
      </c>
      <c r="Q14" s="507">
        <f>(H14-J14)*L14</f>
        <v>0</v>
      </c>
      <c r="R14" s="507">
        <f>(H14-J14)*M14</f>
        <v>181247.98624</v>
      </c>
      <c r="S14" s="507">
        <f>(I14-J14)*N14</f>
        <v>153913.63952</v>
      </c>
      <c r="T14" s="507">
        <f>(I14-K14)*O14</f>
        <v>199539.73392000003</v>
      </c>
      <c r="U14" s="507">
        <f t="shared" si="3"/>
        <v>534701.35967999999</v>
      </c>
      <c r="V14" s="507"/>
      <c r="W14" s="518"/>
      <c r="X14" s="519"/>
    </row>
    <row r="15" spans="1:24" ht="30.75" customHeight="1">
      <c r="A15" s="514" t="s">
        <v>735</v>
      </c>
      <c r="B15" s="514" t="s">
        <v>1107</v>
      </c>
      <c r="C15" s="514" t="s">
        <v>63</v>
      </c>
      <c r="D15" s="589"/>
      <c r="E15" s="512" t="s">
        <v>1106</v>
      </c>
      <c r="F15" s="512"/>
      <c r="G15" s="512" t="s">
        <v>1215</v>
      </c>
      <c r="H15" s="507" t="s">
        <v>713</v>
      </c>
      <c r="I15" s="507" t="s">
        <v>713</v>
      </c>
      <c r="J15" s="507" t="s">
        <v>713</v>
      </c>
      <c r="K15" s="507" t="s">
        <v>713</v>
      </c>
      <c r="L15" s="508">
        <f t="shared" ref="L15:T15" si="6">SUM(L16:L17)</f>
        <v>25290.516000000003</v>
      </c>
      <c r="M15" s="508">
        <f t="shared" si="6"/>
        <v>13255.227999999999</v>
      </c>
      <c r="N15" s="508">
        <f t="shared" si="6"/>
        <v>5247</v>
      </c>
      <c r="O15" s="508">
        <f t="shared" si="6"/>
        <v>22885</v>
      </c>
      <c r="P15" s="508">
        <f t="shared" si="6"/>
        <v>66677.744000000006</v>
      </c>
      <c r="Q15" s="507">
        <f t="shared" si="6"/>
        <v>18990142.654080007</v>
      </c>
      <c r="R15" s="507">
        <f t="shared" si="6"/>
        <v>9953085.6006400008</v>
      </c>
      <c r="S15" s="507">
        <f t="shared" si="6"/>
        <v>3939867.3600000003</v>
      </c>
      <c r="T15" s="507">
        <f t="shared" si="6"/>
        <v>17183888.800000001</v>
      </c>
      <c r="U15" s="507">
        <f>SUM(U16:U17)</f>
        <v>50066984.414720014</v>
      </c>
      <c r="V15" s="507">
        <v>6784779.7300000004</v>
      </c>
      <c r="W15" s="518">
        <f>T15/3</f>
        <v>5727962.9333333336</v>
      </c>
      <c r="X15" s="518">
        <f>U15+V15-W15</f>
        <v>51123801.211386681</v>
      </c>
    </row>
    <row r="16" spans="1:24" ht="39.75" customHeight="1">
      <c r="A16" s="514"/>
      <c r="B16" s="514"/>
      <c r="C16" s="514"/>
      <c r="D16" s="512" t="s">
        <v>1106</v>
      </c>
      <c r="E16" s="506" t="s">
        <v>848</v>
      </c>
      <c r="F16" s="506" t="s">
        <v>890</v>
      </c>
      <c r="G16" s="506" t="s">
        <v>1130</v>
      </c>
      <c r="H16" s="507">
        <v>2276.71</v>
      </c>
      <c r="I16" s="507">
        <v>2276.71</v>
      </c>
      <c r="J16" s="507">
        <v>1525.83</v>
      </c>
      <c r="K16" s="507">
        <v>1525.83</v>
      </c>
      <c r="L16" s="508">
        <v>24173.710000000003</v>
      </c>
      <c r="M16" s="508">
        <v>12162.981</v>
      </c>
      <c r="N16" s="508">
        <v>4059</v>
      </c>
      <c r="O16" s="508">
        <v>21737</v>
      </c>
      <c r="P16" s="508">
        <f t="shared" si="1"/>
        <v>62132.691000000006</v>
      </c>
      <c r="Q16" s="507">
        <f>(H16-J16)*L16</f>
        <v>18151555.364800006</v>
      </c>
      <c r="R16" s="507">
        <f>(H16-J16)*M16</f>
        <v>9132939.1732800007</v>
      </c>
      <c r="S16" s="507">
        <f>(I16-J16)*N16</f>
        <v>3047821.9200000004</v>
      </c>
      <c r="T16" s="507">
        <f>(I16-K16)*O16</f>
        <v>16321878.560000002</v>
      </c>
      <c r="U16" s="507">
        <f t="shared" si="3"/>
        <v>46654195.018080011</v>
      </c>
      <c r="V16" s="507" t="s">
        <v>713</v>
      </c>
      <c r="W16" s="518"/>
      <c r="X16" s="519"/>
    </row>
    <row r="17" spans="1:24" ht="39.75" customHeight="1">
      <c r="A17" s="514"/>
      <c r="B17" s="514"/>
      <c r="C17" s="514"/>
      <c r="D17" s="512" t="s">
        <v>1106</v>
      </c>
      <c r="E17" s="506" t="s">
        <v>848</v>
      </c>
      <c r="F17" s="506" t="s">
        <v>890</v>
      </c>
      <c r="G17" s="506" t="s">
        <v>1131</v>
      </c>
      <c r="H17" s="507">
        <v>2276.71</v>
      </c>
      <c r="I17" s="507">
        <v>2276.71</v>
      </c>
      <c r="J17" s="507">
        <v>1525.83</v>
      </c>
      <c r="K17" s="507">
        <v>1525.83</v>
      </c>
      <c r="L17" s="508">
        <v>1116.806</v>
      </c>
      <c r="M17" s="508">
        <v>1092.2470000000001</v>
      </c>
      <c r="N17" s="508">
        <v>1188</v>
      </c>
      <c r="O17" s="508">
        <v>1148</v>
      </c>
      <c r="P17" s="508">
        <f t="shared" si="1"/>
        <v>4545.0529999999999</v>
      </c>
      <c r="Q17" s="507">
        <f>(H17-J17)*L17</f>
        <v>838587.28928000014</v>
      </c>
      <c r="R17" s="507">
        <f>(H17-J17)*M17</f>
        <v>820146.42736000021</v>
      </c>
      <c r="S17" s="507">
        <f>(I17-J17)*N17</f>
        <v>892045.44000000018</v>
      </c>
      <c r="T17" s="507">
        <f>(I17-K17)*O17</f>
        <v>862010.24000000011</v>
      </c>
      <c r="U17" s="507">
        <f t="shared" si="3"/>
        <v>3412789.3966400009</v>
      </c>
      <c r="V17" s="507" t="s">
        <v>713</v>
      </c>
      <c r="W17" s="518"/>
      <c r="X17" s="519"/>
    </row>
    <row r="18" spans="1:24" ht="30.75" customHeight="1">
      <c r="A18" s="514" t="s">
        <v>735</v>
      </c>
      <c r="B18" s="514" t="s">
        <v>1105</v>
      </c>
      <c r="C18" s="514" t="s">
        <v>1104</v>
      </c>
      <c r="D18" s="589"/>
      <c r="E18" s="512" t="s">
        <v>1103</v>
      </c>
      <c r="F18" s="512"/>
      <c r="G18" s="512" t="s">
        <v>1215</v>
      </c>
      <c r="H18" s="507" t="s">
        <v>713</v>
      </c>
      <c r="I18" s="507" t="s">
        <v>713</v>
      </c>
      <c r="J18" s="507" t="s">
        <v>713</v>
      </c>
      <c r="K18" s="507" t="s">
        <v>713</v>
      </c>
      <c r="L18" s="508">
        <f t="shared" ref="L18:T18" si="7">SUM(L19:L20)</f>
        <v>87552.342999999993</v>
      </c>
      <c r="M18" s="508">
        <f t="shared" si="7"/>
        <v>41515.18</v>
      </c>
      <c r="N18" s="508">
        <f t="shared" si="7"/>
        <v>20004.874</v>
      </c>
      <c r="O18" s="508">
        <f t="shared" si="7"/>
        <v>71382.546000000002</v>
      </c>
      <c r="P18" s="508">
        <f t="shared" si="7"/>
        <v>220454.943</v>
      </c>
      <c r="Q18" s="507">
        <f t="shared" si="7"/>
        <v>50525581.621870011</v>
      </c>
      <c r="R18" s="507">
        <f t="shared" si="7"/>
        <v>23957995.226200007</v>
      </c>
      <c r="S18" s="507">
        <f>SUM(S19:S20)</f>
        <v>11544612.736660004</v>
      </c>
      <c r="T18" s="507">
        <f t="shared" si="7"/>
        <v>41194153.471140012</v>
      </c>
      <c r="U18" s="507">
        <f>SUM(U19:U20)</f>
        <v>127222343.05587003</v>
      </c>
      <c r="V18" s="507">
        <v>17762567.41</v>
      </c>
      <c r="W18" s="518">
        <f>T18/3</f>
        <v>13731384.490380004</v>
      </c>
      <c r="X18" s="518">
        <f>U18+V18-W18</f>
        <v>131253525.97549002</v>
      </c>
    </row>
    <row r="19" spans="1:24" ht="42" customHeight="1">
      <c r="A19" s="514"/>
      <c r="B19" s="514"/>
      <c r="C19" s="514"/>
      <c r="D19" s="512" t="s">
        <v>1103</v>
      </c>
      <c r="E19" s="506" t="s">
        <v>1102</v>
      </c>
      <c r="F19" s="506" t="s">
        <v>714</v>
      </c>
      <c r="G19" s="506" t="s">
        <v>1130</v>
      </c>
      <c r="H19" s="507">
        <v>2109.59</v>
      </c>
      <c r="I19" s="507">
        <v>2109.59</v>
      </c>
      <c r="J19" s="507">
        <v>1532.5</v>
      </c>
      <c r="K19" s="507">
        <v>1532.5</v>
      </c>
      <c r="L19" s="508">
        <v>76471.062999999995</v>
      </c>
      <c r="M19" s="508">
        <v>31007.151000000002</v>
      </c>
      <c r="N19" s="508">
        <v>12676.114</v>
      </c>
      <c r="O19" s="508">
        <v>61141.563000000002</v>
      </c>
      <c r="P19" s="508">
        <f t="shared" si="1"/>
        <v>181295.891</v>
      </c>
      <c r="Q19" s="507">
        <f>(H19-J19)*L19</f>
        <v>44130685.746670008</v>
      </c>
      <c r="R19" s="507">
        <f>(H19-J19)*M19</f>
        <v>17893916.770590007</v>
      </c>
      <c r="S19" s="507">
        <f>(I19-J19)*N19</f>
        <v>7315258.6282600015</v>
      </c>
      <c r="T19" s="507">
        <f>(I19-K19)*O19</f>
        <v>35284184.591670007</v>
      </c>
      <c r="U19" s="507">
        <f t="shared" si="3"/>
        <v>104624045.73719002</v>
      </c>
      <c r="V19" s="507" t="s">
        <v>713</v>
      </c>
      <c r="W19" s="518"/>
      <c r="X19" s="519"/>
    </row>
    <row r="20" spans="1:24" ht="42" customHeight="1">
      <c r="A20" s="514"/>
      <c r="B20" s="514"/>
      <c r="C20" s="514"/>
      <c r="D20" s="512" t="s">
        <v>1103</v>
      </c>
      <c r="E20" s="506" t="s">
        <v>1102</v>
      </c>
      <c r="F20" s="506" t="s">
        <v>714</v>
      </c>
      <c r="G20" s="506" t="s">
        <v>1131</v>
      </c>
      <c r="H20" s="507">
        <v>2109.59</v>
      </c>
      <c r="I20" s="507">
        <v>2109.59</v>
      </c>
      <c r="J20" s="507">
        <v>1532.5</v>
      </c>
      <c r="K20" s="507">
        <v>1532.5</v>
      </c>
      <c r="L20" s="508">
        <v>11081.279999999999</v>
      </c>
      <c r="M20" s="508">
        <v>10508.028999999999</v>
      </c>
      <c r="N20" s="508">
        <v>7328.76</v>
      </c>
      <c r="O20" s="508">
        <v>10240.983</v>
      </c>
      <c r="P20" s="508">
        <f t="shared" si="1"/>
        <v>39159.051999999996</v>
      </c>
      <c r="Q20" s="507">
        <f>(H20-J20)*L20</f>
        <v>6394895.8752000006</v>
      </c>
      <c r="R20" s="507">
        <f>(H20-J20)*M20</f>
        <v>6064078.4556100005</v>
      </c>
      <c r="S20" s="507">
        <f>(I20-J20)*N20</f>
        <v>4229354.1084000012</v>
      </c>
      <c r="T20" s="507">
        <f>(I20-K20)*O20</f>
        <v>5909968.8794700019</v>
      </c>
      <c r="U20" s="507">
        <f t="shared" si="3"/>
        <v>22598297.318680003</v>
      </c>
      <c r="V20" s="507" t="s">
        <v>713</v>
      </c>
      <c r="W20" s="518"/>
      <c r="X20" s="519"/>
    </row>
    <row r="21" spans="1:24" ht="42" customHeight="1">
      <c r="A21" s="514"/>
      <c r="B21" s="514"/>
      <c r="C21" s="514"/>
      <c r="D21" s="512" t="s">
        <v>1103</v>
      </c>
      <c r="E21" s="506" t="s">
        <v>1102</v>
      </c>
      <c r="F21" s="506" t="s">
        <v>714</v>
      </c>
      <c r="G21" s="506" t="s">
        <v>579</v>
      </c>
      <c r="H21" s="507">
        <v>33.43</v>
      </c>
      <c r="I21" s="507">
        <v>33.43</v>
      </c>
      <c r="J21" s="507">
        <v>26.67</v>
      </c>
      <c r="K21" s="507">
        <v>26.67</v>
      </c>
      <c r="L21" s="508">
        <v>168371.73200000002</v>
      </c>
      <c r="M21" s="508">
        <v>153597.89800000002</v>
      </c>
      <c r="N21" s="508">
        <v>114864.69</v>
      </c>
      <c r="O21" s="508">
        <v>154978.54</v>
      </c>
      <c r="P21" s="508">
        <f t="shared" si="1"/>
        <v>591812.86</v>
      </c>
      <c r="Q21" s="507">
        <f>(H21-J21)*L21</f>
        <v>1138192.9083199997</v>
      </c>
      <c r="R21" s="507">
        <f>(H21-J21)*M21</f>
        <v>1038321.7904799999</v>
      </c>
      <c r="S21" s="507">
        <f>(I21-J21)*N21</f>
        <v>776485.30439999979</v>
      </c>
      <c r="T21" s="507">
        <f>(I21-K21)*O21</f>
        <v>1047654.9303999997</v>
      </c>
      <c r="U21" s="507">
        <f t="shared" si="3"/>
        <v>4000654.9335999992</v>
      </c>
      <c r="V21" s="507" t="s">
        <v>713</v>
      </c>
      <c r="W21" s="518"/>
      <c r="X21" s="519"/>
    </row>
    <row r="22" spans="1:24" ht="30.75" customHeight="1">
      <c r="A22" s="514" t="s">
        <v>1101</v>
      </c>
      <c r="B22" s="514" t="s">
        <v>1100</v>
      </c>
      <c r="C22" s="514" t="s">
        <v>1099</v>
      </c>
      <c r="D22" s="589"/>
      <c r="E22" s="512" t="s">
        <v>1098</v>
      </c>
      <c r="F22" s="512"/>
      <c r="G22" s="512" t="s">
        <v>1215</v>
      </c>
      <c r="H22" s="507" t="s">
        <v>713</v>
      </c>
      <c r="I22" s="507" t="s">
        <v>713</v>
      </c>
      <c r="J22" s="507" t="s">
        <v>713</v>
      </c>
      <c r="K22" s="507" t="s">
        <v>713</v>
      </c>
      <c r="L22" s="508">
        <f t="shared" ref="L22:U22" si="8">SUM(L23)</f>
        <v>48.453000000000003</v>
      </c>
      <c r="M22" s="508">
        <f t="shared" si="8"/>
        <v>25.302</v>
      </c>
      <c r="N22" s="508">
        <f t="shared" si="8"/>
        <v>14.02</v>
      </c>
      <c r="O22" s="508">
        <f t="shared" si="8"/>
        <v>48.51</v>
      </c>
      <c r="P22" s="508">
        <f t="shared" si="8"/>
        <v>136.285</v>
      </c>
      <c r="Q22" s="507">
        <f t="shared" si="8"/>
        <v>214401.13329000003</v>
      </c>
      <c r="R22" s="507">
        <f t="shared" si="8"/>
        <v>111959.57886000001</v>
      </c>
      <c r="S22" s="507">
        <f t="shared" si="8"/>
        <v>62037.518600000003</v>
      </c>
      <c r="T22" s="507">
        <f t="shared" si="8"/>
        <v>214653.35430000001</v>
      </c>
      <c r="U22" s="507">
        <f t="shared" si="8"/>
        <v>603051.58505000011</v>
      </c>
      <c r="V22" s="507">
        <v>71551.12</v>
      </c>
      <c r="W22" s="518">
        <f>T22/3</f>
        <v>71551.118100000007</v>
      </c>
      <c r="X22" s="518">
        <f>U22+V22-W22</f>
        <v>603051.58695000014</v>
      </c>
    </row>
    <row r="23" spans="1:24" ht="51.75" customHeight="1">
      <c r="A23" s="514"/>
      <c r="B23" s="514"/>
      <c r="C23" s="514"/>
      <c r="D23" s="512" t="s">
        <v>1098</v>
      </c>
      <c r="E23" s="506" t="s">
        <v>771</v>
      </c>
      <c r="F23" s="506" t="s">
        <v>1097</v>
      </c>
      <c r="G23" s="506" t="s">
        <v>1130</v>
      </c>
      <c r="H23" s="507">
        <v>5986.6</v>
      </c>
      <c r="I23" s="507">
        <v>5986.6</v>
      </c>
      <c r="J23" s="507">
        <v>1561.67</v>
      </c>
      <c r="K23" s="507">
        <v>1561.67</v>
      </c>
      <c r="L23" s="508">
        <v>48.453000000000003</v>
      </c>
      <c r="M23" s="508">
        <v>25.302</v>
      </c>
      <c r="N23" s="508">
        <v>14.02</v>
      </c>
      <c r="O23" s="508">
        <v>48.51</v>
      </c>
      <c r="P23" s="508">
        <f t="shared" si="1"/>
        <v>136.285</v>
      </c>
      <c r="Q23" s="507">
        <f>(H23-J23)*L23</f>
        <v>214401.13329000003</v>
      </c>
      <c r="R23" s="507">
        <f>(H23-J23)*M23</f>
        <v>111959.57886000001</v>
      </c>
      <c r="S23" s="507">
        <f>(I23-J23)*N23</f>
        <v>62037.518600000003</v>
      </c>
      <c r="T23" s="507">
        <f>(I23-K23)*O23</f>
        <v>214653.35430000001</v>
      </c>
      <c r="U23" s="507">
        <f t="shared" si="3"/>
        <v>603051.58505000011</v>
      </c>
      <c r="V23" s="507" t="s">
        <v>713</v>
      </c>
      <c r="W23" s="518"/>
      <c r="X23" s="519"/>
    </row>
    <row r="24" spans="1:24" ht="30.75" customHeight="1">
      <c r="A24" s="514" t="s">
        <v>1096</v>
      </c>
      <c r="B24" s="514" t="s">
        <v>1095</v>
      </c>
      <c r="C24" s="514" t="s">
        <v>1094</v>
      </c>
      <c r="D24" s="589"/>
      <c r="E24" s="512" t="s">
        <v>1093</v>
      </c>
      <c r="F24" s="512"/>
      <c r="G24" s="512" t="s">
        <v>1215</v>
      </c>
      <c r="H24" s="507" t="s">
        <v>713</v>
      </c>
      <c r="I24" s="507" t="s">
        <v>713</v>
      </c>
      <c r="J24" s="507" t="s">
        <v>713</v>
      </c>
      <c r="K24" s="507" t="s">
        <v>713</v>
      </c>
      <c r="L24" s="508">
        <f t="shared" ref="L24:U24" si="9">SUM(L25)</f>
        <v>78.938999999999993</v>
      </c>
      <c r="M24" s="508">
        <f t="shared" si="9"/>
        <v>52.625999999999998</v>
      </c>
      <c r="N24" s="508">
        <f t="shared" si="9"/>
        <v>26.312999999999999</v>
      </c>
      <c r="O24" s="508">
        <f t="shared" si="9"/>
        <v>78.938999999999993</v>
      </c>
      <c r="P24" s="508">
        <f t="shared" si="9"/>
        <v>236.81699999999998</v>
      </c>
      <c r="Q24" s="507">
        <f t="shared" si="9"/>
        <v>144947.00240999999</v>
      </c>
      <c r="R24" s="507">
        <f t="shared" si="9"/>
        <v>96631.334940000001</v>
      </c>
      <c r="S24" s="507">
        <f t="shared" si="9"/>
        <v>48315.66747</v>
      </c>
      <c r="T24" s="507">
        <f t="shared" si="9"/>
        <v>144947.00240999999</v>
      </c>
      <c r="U24" s="507">
        <f t="shared" si="9"/>
        <v>434841.00722999999</v>
      </c>
      <c r="V24" s="507">
        <v>48315.67</v>
      </c>
      <c r="W24" s="518">
        <f>T24/3</f>
        <v>48315.667469999993</v>
      </c>
      <c r="X24" s="518">
        <f>U24+V24-W24</f>
        <v>434841.00975999999</v>
      </c>
    </row>
    <row r="25" spans="1:24" ht="45" customHeight="1">
      <c r="A25" s="514"/>
      <c r="B25" s="514"/>
      <c r="C25" s="514"/>
      <c r="D25" s="512" t="s">
        <v>1093</v>
      </c>
      <c r="E25" s="506" t="s">
        <v>848</v>
      </c>
      <c r="F25" s="506" t="s">
        <v>851</v>
      </c>
      <c r="G25" s="506" t="s">
        <v>1130</v>
      </c>
      <c r="H25" s="507">
        <v>3667.19</v>
      </c>
      <c r="I25" s="507">
        <v>3667.19</v>
      </c>
      <c r="J25" s="507">
        <v>1831</v>
      </c>
      <c r="K25" s="507">
        <v>1831</v>
      </c>
      <c r="L25" s="508">
        <v>78.938999999999993</v>
      </c>
      <c r="M25" s="508">
        <v>52.625999999999998</v>
      </c>
      <c r="N25" s="508">
        <v>26.312999999999999</v>
      </c>
      <c r="O25" s="508">
        <v>78.938999999999993</v>
      </c>
      <c r="P25" s="508">
        <f t="shared" si="1"/>
        <v>236.81699999999998</v>
      </c>
      <c r="Q25" s="507">
        <f>(H25-J25)*L25</f>
        <v>144947.00240999999</v>
      </c>
      <c r="R25" s="507">
        <f>(H25-J25)*M25</f>
        <v>96631.334940000001</v>
      </c>
      <c r="S25" s="507">
        <f>(I25-J25)*N25</f>
        <v>48315.66747</v>
      </c>
      <c r="T25" s="507">
        <f>(I25-K25)*O25</f>
        <v>144947.00240999999</v>
      </c>
      <c r="U25" s="507">
        <f t="shared" si="3"/>
        <v>434841.00722999999</v>
      </c>
      <c r="V25" s="507" t="s">
        <v>713</v>
      </c>
      <c r="W25" s="518"/>
      <c r="X25" s="519"/>
    </row>
    <row r="26" spans="1:24" ht="30.75" customHeight="1">
      <c r="A26" s="514" t="s">
        <v>760</v>
      </c>
      <c r="B26" s="514" t="s">
        <v>1092</v>
      </c>
      <c r="C26" s="514" t="s">
        <v>121</v>
      </c>
      <c r="D26" s="589"/>
      <c r="E26" s="512" t="s">
        <v>1091</v>
      </c>
      <c r="F26" s="512"/>
      <c r="G26" s="512" t="s">
        <v>1215</v>
      </c>
      <c r="H26" s="507" t="s">
        <v>713</v>
      </c>
      <c r="I26" s="507" t="s">
        <v>713</v>
      </c>
      <c r="J26" s="507" t="s">
        <v>713</v>
      </c>
      <c r="K26" s="507" t="s">
        <v>713</v>
      </c>
      <c r="L26" s="508">
        <f t="shared" ref="L26:U26" si="10">SUM(L27)</f>
        <v>238.01999999999998</v>
      </c>
      <c r="M26" s="508">
        <f t="shared" si="10"/>
        <v>92.707999999999998</v>
      </c>
      <c r="N26" s="508">
        <f t="shared" si="10"/>
        <v>65</v>
      </c>
      <c r="O26" s="508">
        <f t="shared" si="10"/>
        <v>241.88</v>
      </c>
      <c r="P26" s="508">
        <f t="shared" si="10"/>
        <v>637.60799999999995</v>
      </c>
      <c r="Q26" s="507">
        <f t="shared" si="10"/>
        <v>1652958.4524000001</v>
      </c>
      <c r="R26" s="507">
        <f t="shared" si="10"/>
        <v>643821.83096000005</v>
      </c>
      <c r="S26" s="507">
        <f t="shared" si="10"/>
        <v>451400.30000000005</v>
      </c>
      <c r="T26" s="507">
        <f t="shared" si="10"/>
        <v>1679764.6856000002</v>
      </c>
      <c r="U26" s="507">
        <f t="shared" si="10"/>
        <v>4427945.2689600009</v>
      </c>
      <c r="V26" s="507">
        <v>549250</v>
      </c>
      <c r="W26" s="518">
        <f>T26/3</f>
        <v>559921.56186666677</v>
      </c>
      <c r="X26" s="518">
        <f>U26+V26-W26</f>
        <v>4417273.7070933338</v>
      </c>
    </row>
    <row r="27" spans="1:24" ht="45" customHeight="1">
      <c r="A27" s="514"/>
      <c r="B27" s="514"/>
      <c r="C27" s="514"/>
      <c r="D27" s="512" t="s">
        <v>1091</v>
      </c>
      <c r="E27" s="506" t="s">
        <v>937</v>
      </c>
      <c r="F27" s="506" t="s">
        <v>1090</v>
      </c>
      <c r="G27" s="506" t="s">
        <v>1130</v>
      </c>
      <c r="H27" s="507">
        <v>8993.6200000000008</v>
      </c>
      <c r="I27" s="507">
        <v>8993.6200000000008</v>
      </c>
      <c r="J27" s="507">
        <v>2049</v>
      </c>
      <c r="K27" s="507">
        <v>2049</v>
      </c>
      <c r="L27" s="508">
        <v>238.01999999999998</v>
      </c>
      <c r="M27" s="508">
        <v>92.707999999999998</v>
      </c>
      <c r="N27" s="508">
        <v>65</v>
      </c>
      <c r="O27" s="508">
        <v>241.88</v>
      </c>
      <c r="P27" s="508">
        <f t="shared" si="1"/>
        <v>637.60799999999995</v>
      </c>
      <c r="Q27" s="507">
        <f>(H27-J27)*L27</f>
        <v>1652958.4524000001</v>
      </c>
      <c r="R27" s="507">
        <f>(H27-J27)*M27</f>
        <v>643821.83096000005</v>
      </c>
      <c r="S27" s="507">
        <f>(I27-J27)*N27</f>
        <v>451400.30000000005</v>
      </c>
      <c r="T27" s="507">
        <f>(I27-K27)*O27</f>
        <v>1679764.6856000002</v>
      </c>
      <c r="U27" s="507">
        <f t="shared" si="3"/>
        <v>4427945.2689600009</v>
      </c>
      <c r="V27" s="507" t="s">
        <v>713</v>
      </c>
      <c r="W27" s="518"/>
      <c r="X27" s="519"/>
    </row>
    <row r="28" spans="1:24" ht="30.75" customHeight="1">
      <c r="A28" s="514" t="s">
        <v>754</v>
      </c>
      <c r="B28" s="514" t="s">
        <v>1089</v>
      </c>
      <c r="C28" s="514" t="s">
        <v>1088</v>
      </c>
      <c r="D28" s="589"/>
      <c r="E28" s="512" t="s">
        <v>218</v>
      </c>
      <c r="F28" s="512"/>
      <c r="G28" s="512" t="s">
        <v>1215</v>
      </c>
      <c r="H28" s="507" t="s">
        <v>713</v>
      </c>
      <c r="I28" s="507" t="s">
        <v>713</v>
      </c>
      <c r="J28" s="507" t="s">
        <v>713</v>
      </c>
      <c r="K28" s="507" t="s">
        <v>713</v>
      </c>
      <c r="L28" s="508">
        <f t="shared" ref="L28:U28" si="11">SUM(L29:L30)</f>
        <v>271.90499999999997</v>
      </c>
      <c r="M28" s="508">
        <f t="shared" si="11"/>
        <v>179.59300000000002</v>
      </c>
      <c r="N28" s="508">
        <f t="shared" si="11"/>
        <v>90.58</v>
      </c>
      <c r="O28" s="508">
        <f t="shared" si="11"/>
        <v>271.91000000000003</v>
      </c>
      <c r="P28" s="508">
        <f t="shared" si="11"/>
        <v>813.98800000000006</v>
      </c>
      <c r="Q28" s="507">
        <f t="shared" si="11"/>
        <v>2576206.9656299995</v>
      </c>
      <c r="R28" s="507">
        <f t="shared" si="11"/>
        <v>1705454.5321399998</v>
      </c>
      <c r="S28" s="507">
        <f t="shared" si="11"/>
        <v>858038.5932</v>
      </c>
      <c r="T28" s="507">
        <f t="shared" si="11"/>
        <v>2576261.3418999999</v>
      </c>
      <c r="U28" s="507">
        <f t="shared" si="11"/>
        <v>7715961.4328699997</v>
      </c>
      <c r="V28" s="507">
        <v>858735.65</v>
      </c>
      <c r="W28" s="518">
        <f>T28/3</f>
        <v>858753.78063333326</v>
      </c>
      <c r="X28" s="518">
        <f>U28+V28-W28</f>
        <v>7715943.302236666</v>
      </c>
    </row>
    <row r="29" spans="1:24" ht="42" customHeight="1">
      <c r="A29" s="514"/>
      <c r="B29" s="514"/>
      <c r="C29" s="514"/>
      <c r="D29" s="512" t="s">
        <v>218</v>
      </c>
      <c r="E29" s="506" t="s">
        <v>715</v>
      </c>
      <c r="F29" s="506" t="s">
        <v>177</v>
      </c>
      <c r="G29" s="506" t="s">
        <v>1130</v>
      </c>
      <c r="H29" s="507">
        <v>14504.16</v>
      </c>
      <c r="I29" s="507">
        <v>14504.16</v>
      </c>
      <c r="J29" s="507">
        <v>1155.83</v>
      </c>
      <c r="K29" s="507">
        <v>1155.83</v>
      </c>
      <c r="L29" s="508">
        <v>101.547</v>
      </c>
      <c r="M29" s="508">
        <v>67.697999999999993</v>
      </c>
      <c r="N29" s="508">
        <v>33.799999999999997</v>
      </c>
      <c r="O29" s="508">
        <v>101.55</v>
      </c>
      <c r="P29" s="508">
        <f t="shared" si="1"/>
        <v>304.59500000000003</v>
      </c>
      <c r="Q29" s="507">
        <f>(H29-J29)*L29</f>
        <v>1355482.8665099998</v>
      </c>
      <c r="R29" s="507">
        <f>(H29-J29)*M29</f>
        <v>903655.24433999986</v>
      </c>
      <c r="S29" s="507">
        <f>(I29-J29)*N29</f>
        <v>451173.55399999995</v>
      </c>
      <c r="T29" s="507">
        <f>(I29-K29)*O29</f>
        <v>1355522.9114999999</v>
      </c>
      <c r="U29" s="507">
        <f t="shared" si="3"/>
        <v>4065834.5763499998</v>
      </c>
      <c r="V29" s="507" t="s">
        <v>713</v>
      </c>
      <c r="W29" s="518"/>
      <c r="X29" s="519"/>
    </row>
    <row r="30" spans="1:24" ht="42" customHeight="1">
      <c r="A30" s="514"/>
      <c r="B30" s="514"/>
      <c r="C30" s="514"/>
      <c r="D30" s="512" t="s">
        <v>218</v>
      </c>
      <c r="E30" s="506" t="s">
        <v>715</v>
      </c>
      <c r="F30" s="506" t="s">
        <v>1087</v>
      </c>
      <c r="G30" s="506" t="s">
        <v>1130</v>
      </c>
      <c r="H30" s="507">
        <v>8321.4699999999993</v>
      </c>
      <c r="I30" s="507">
        <v>8321.4699999999993</v>
      </c>
      <c r="J30" s="507">
        <v>1155.83</v>
      </c>
      <c r="K30" s="507">
        <v>1155.83</v>
      </c>
      <c r="L30" s="508">
        <v>170.358</v>
      </c>
      <c r="M30" s="508">
        <v>111.89500000000001</v>
      </c>
      <c r="N30" s="508">
        <v>56.78</v>
      </c>
      <c r="O30" s="508">
        <v>170.36</v>
      </c>
      <c r="P30" s="508">
        <f t="shared" si="1"/>
        <v>509.39300000000003</v>
      </c>
      <c r="Q30" s="507">
        <f>(H30-J30)*L30</f>
        <v>1220724.0991199999</v>
      </c>
      <c r="R30" s="507">
        <f>(H30-J30)*M30</f>
        <v>801799.28780000005</v>
      </c>
      <c r="S30" s="507">
        <f>(I30-J30)*N30</f>
        <v>406865.0392</v>
      </c>
      <c r="T30" s="507">
        <f>(I30-K30)*O30</f>
        <v>1220738.4304</v>
      </c>
      <c r="U30" s="507">
        <f t="shared" si="3"/>
        <v>3650126.8565199999</v>
      </c>
      <c r="V30" s="507" t="s">
        <v>713</v>
      </c>
      <c r="W30" s="518"/>
      <c r="X30" s="519"/>
    </row>
    <row r="31" spans="1:24" ht="30.75" customHeight="1">
      <c r="A31" s="514" t="s">
        <v>760</v>
      </c>
      <c r="B31" s="514" t="s">
        <v>1086</v>
      </c>
      <c r="C31" s="514" t="s">
        <v>105</v>
      </c>
      <c r="D31" s="589"/>
      <c r="E31" s="512" t="s">
        <v>1085</v>
      </c>
      <c r="F31" s="512"/>
      <c r="G31" s="512" t="s">
        <v>1215</v>
      </c>
      <c r="H31" s="507" t="s">
        <v>713</v>
      </c>
      <c r="I31" s="507" t="s">
        <v>713</v>
      </c>
      <c r="J31" s="507" t="s">
        <v>713</v>
      </c>
      <c r="K31" s="507" t="s">
        <v>713</v>
      </c>
      <c r="L31" s="508">
        <f t="shared" ref="L31:U31" si="12">SUM(L32)</f>
        <v>3223.8820000000001</v>
      </c>
      <c r="M31" s="508">
        <f t="shared" si="12"/>
        <v>1526.127</v>
      </c>
      <c r="N31" s="508">
        <f t="shared" si="12"/>
        <v>1010.54</v>
      </c>
      <c r="O31" s="508">
        <f t="shared" si="12"/>
        <v>3248.67</v>
      </c>
      <c r="P31" s="508">
        <f t="shared" si="12"/>
        <v>9009.219000000001</v>
      </c>
      <c r="Q31" s="507">
        <f t="shared" si="12"/>
        <v>6724792.1802599998</v>
      </c>
      <c r="R31" s="507">
        <f t="shared" si="12"/>
        <v>3183394.0931099998</v>
      </c>
      <c r="S31" s="507">
        <f t="shared" si="12"/>
        <v>2107915.7021999997</v>
      </c>
      <c r="T31" s="507">
        <f t="shared" si="12"/>
        <v>6776498.2130999994</v>
      </c>
      <c r="U31" s="507">
        <f t="shared" si="12"/>
        <v>18792600.188669998</v>
      </c>
      <c r="V31" s="507">
        <v>2230318.0699999998</v>
      </c>
      <c r="W31" s="518">
        <f>T31/3</f>
        <v>2258832.7376999999</v>
      </c>
      <c r="X31" s="518">
        <f>U31+V31-W31</f>
        <v>18764085.520969998</v>
      </c>
    </row>
    <row r="32" spans="1:24" ht="39.75" customHeight="1">
      <c r="A32" s="514"/>
      <c r="B32" s="514"/>
      <c r="C32" s="514"/>
      <c r="D32" s="512" t="s">
        <v>1085</v>
      </c>
      <c r="E32" s="506" t="s">
        <v>798</v>
      </c>
      <c r="F32" s="506" t="s">
        <v>1084</v>
      </c>
      <c r="G32" s="506" t="s">
        <v>1130</v>
      </c>
      <c r="H32" s="507">
        <v>3807.93</v>
      </c>
      <c r="I32" s="507">
        <v>3807.93</v>
      </c>
      <c r="J32" s="507">
        <v>1722</v>
      </c>
      <c r="K32" s="507">
        <v>1722</v>
      </c>
      <c r="L32" s="508">
        <v>3223.8820000000001</v>
      </c>
      <c r="M32" s="508">
        <v>1526.127</v>
      </c>
      <c r="N32" s="508">
        <v>1010.54</v>
      </c>
      <c r="O32" s="508">
        <v>3248.67</v>
      </c>
      <c r="P32" s="508">
        <f t="shared" si="1"/>
        <v>9009.219000000001</v>
      </c>
      <c r="Q32" s="507">
        <f>(H32-J32)*L32</f>
        <v>6724792.1802599998</v>
      </c>
      <c r="R32" s="507">
        <f>(H32-J32)*M32</f>
        <v>3183394.0931099998</v>
      </c>
      <c r="S32" s="507">
        <f>(I32-J32)*N32</f>
        <v>2107915.7021999997</v>
      </c>
      <c r="T32" s="507">
        <f>(I32-K32)*O32</f>
        <v>6776498.2130999994</v>
      </c>
      <c r="U32" s="507">
        <f t="shared" si="3"/>
        <v>18792600.188669998</v>
      </c>
      <c r="V32" s="507" t="s">
        <v>713</v>
      </c>
      <c r="W32" s="518"/>
      <c r="X32" s="519"/>
    </row>
    <row r="33" spans="1:24" ht="30.75" customHeight="1">
      <c r="A33" s="514" t="s">
        <v>754</v>
      </c>
      <c r="B33" s="514" t="s">
        <v>1083</v>
      </c>
      <c r="C33" s="514" t="s">
        <v>107</v>
      </c>
      <c r="D33" s="589"/>
      <c r="E33" s="512" t="s">
        <v>1082</v>
      </c>
      <c r="F33" s="512"/>
      <c r="G33" s="512" t="s">
        <v>1215</v>
      </c>
      <c r="H33" s="507" t="s">
        <v>713</v>
      </c>
      <c r="I33" s="507" t="s">
        <v>713</v>
      </c>
      <c r="J33" s="507" t="s">
        <v>713</v>
      </c>
      <c r="K33" s="507" t="s">
        <v>713</v>
      </c>
      <c r="L33" s="508">
        <f t="shared" ref="L33:T33" si="13">SUM(L34:L35)</f>
        <v>45695.827999999994</v>
      </c>
      <c r="M33" s="508">
        <f t="shared" si="13"/>
        <v>28582.309999999998</v>
      </c>
      <c r="N33" s="508">
        <f t="shared" si="13"/>
        <v>17700.23</v>
      </c>
      <c r="O33" s="508">
        <f t="shared" si="13"/>
        <v>38896.270000000004</v>
      </c>
      <c r="P33" s="508">
        <f t="shared" si="13"/>
        <v>130874.63799999999</v>
      </c>
      <c r="Q33" s="507">
        <f t="shared" si="13"/>
        <v>23909428.08444</v>
      </c>
      <c r="R33" s="507">
        <f t="shared" si="13"/>
        <v>14955122.0613</v>
      </c>
      <c r="S33" s="507">
        <f t="shared" si="13"/>
        <v>9261291.3429000005</v>
      </c>
      <c r="T33" s="507">
        <f t="shared" si="13"/>
        <v>20351695.3521</v>
      </c>
      <c r="U33" s="507">
        <f>SUM(U34:U35)</f>
        <v>68477536.840739995</v>
      </c>
      <c r="V33" s="507">
        <v>7559700.2800000003</v>
      </c>
      <c r="W33" s="518">
        <f>T33/3</f>
        <v>6783898.4506999999</v>
      </c>
      <c r="X33" s="518">
        <f>U33+V33-W33</f>
        <v>69253338.670039997</v>
      </c>
    </row>
    <row r="34" spans="1:24" ht="44.25" customHeight="1">
      <c r="A34" s="514"/>
      <c r="B34" s="514"/>
      <c r="C34" s="514"/>
      <c r="D34" s="512" t="s">
        <v>1082</v>
      </c>
      <c r="E34" s="506" t="s">
        <v>1081</v>
      </c>
      <c r="F34" s="506" t="s">
        <v>714</v>
      </c>
      <c r="G34" s="506" t="s">
        <v>1130</v>
      </c>
      <c r="H34" s="507">
        <v>2194.06</v>
      </c>
      <c r="I34" s="507">
        <v>2194.06</v>
      </c>
      <c r="J34" s="507">
        <v>1670.83</v>
      </c>
      <c r="K34" s="507">
        <v>1670.83</v>
      </c>
      <c r="L34" s="508">
        <v>36972.735999999997</v>
      </c>
      <c r="M34" s="508">
        <v>19908.073</v>
      </c>
      <c r="N34" s="508">
        <v>9752.09</v>
      </c>
      <c r="O34" s="508">
        <v>30948.13</v>
      </c>
      <c r="P34" s="508">
        <f t="shared" si="1"/>
        <v>97581.028999999995</v>
      </c>
      <c r="Q34" s="507">
        <f>(H34-J34)*L34</f>
        <v>19345244.657279998</v>
      </c>
      <c r="R34" s="507">
        <f>(H34-J34)*M34</f>
        <v>10416501.03579</v>
      </c>
      <c r="S34" s="507">
        <f>(I34-J34)*N34</f>
        <v>5102586.0507000005</v>
      </c>
      <c r="T34" s="507">
        <f>(I34-K34)*O34</f>
        <v>16192990.059900001</v>
      </c>
      <c r="U34" s="507">
        <f t="shared" si="3"/>
        <v>51057321.803669997</v>
      </c>
      <c r="V34" s="507" t="s">
        <v>713</v>
      </c>
      <c r="W34" s="518"/>
      <c r="X34" s="519"/>
    </row>
    <row r="35" spans="1:24" ht="44.25" customHeight="1">
      <c r="A35" s="514"/>
      <c r="B35" s="514"/>
      <c r="C35" s="514"/>
      <c r="D35" s="512" t="s">
        <v>1082</v>
      </c>
      <c r="E35" s="506" t="s">
        <v>1081</v>
      </c>
      <c r="F35" s="506" t="s">
        <v>714</v>
      </c>
      <c r="G35" s="506" t="s">
        <v>1131</v>
      </c>
      <c r="H35" s="507">
        <v>2194.06</v>
      </c>
      <c r="I35" s="507">
        <v>2194.06</v>
      </c>
      <c r="J35" s="507">
        <v>1670.83</v>
      </c>
      <c r="K35" s="507">
        <v>1670.83</v>
      </c>
      <c r="L35" s="508">
        <v>8723.0920000000006</v>
      </c>
      <c r="M35" s="508">
        <v>8674.2369999999992</v>
      </c>
      <c r="N35" s="508">
        <v>7948.14</v>
      </c>
      <c r="O35" s="508">
        <v>7948.14</v>
      </c>
      <c r="P35" s="508">
        <f t="shared" si="1"/>
        <v>33293.608999999997</v>
      </c>
      <c r="Q35" s="507">
        <f>(H35-J35)*L35</f>
        <v>4564183.4271600004</v>
      </c>
      <c r="R35" s="507">
        <f>(H35-J35)*M35</f>
        <v>4538621.0255100001</v>
      </c>
      <c r="S35" s="507">
        <f>(I35-J35)*N35</f>
        <v>4158705.2922000005</v>
      </c>
      <c r="T35" s="507">
        <f>(I35-K35)*O35</f>
        <v>4158705.2922000005</v>
      </c>
      <c r="U35" s="507">
        <f t="shared" si="3"/>
        <v>17420215.037070002</v>
      </c>
      <c r="V35" s="507" t="s">
        <v>713</v>
      </c>
      <c r="W35" s="518"/>
      <c r="X35" s="519"/>
    </row>
    <row r="36" spans="1:24" ht="44.25" customHeight="1">
      <c r="A36" s="514"/>
      <c r="B36" s="514"/>
      <c r="C36" s="514"/>
      <c r="D36" s="512" t="s">
        <v>1082</v>
      </c>
      <c r="E36" s="506" t="s">
        <v>1081</v>
      </c>
      <c r="F36" s="506" t="s">
        <v>714</v>
      </c>
      <c r="G36" s="506" t="s">
        <v>579</v>
      </c>
      <c r="H36" s="507">
        <v>35</v>
      </c>
      <c r="I36" s="507">
        <v>35</v>
      </c>
      <c r="J36" s="507">
        <v>32.799999999999997</v>
      </c>
      <c r="K36" s="507">
        <v>32.799999999999997</v>
      </c>
      <c r="L36" s="508">
        <v>145619.99600000001</v>
      </c>
      <c r="M36" s="508">
        <v>144518.46400000001</v>
      </c>
      <c r="N36" s="508">
        <v>132469</v>
      </c>
      <c r="O36" s="508">
        <v>132469</v>
      </c>
      <c r="P36" s="508">
        <f t="shared" si="1"/>
        <v>555076.46</v>
      </c>
      <c r="Q36" s="507">
        <f>(H36-J36)*L36</f>
        <v>320363.99120000046</v>
      </c>
      <c r="R36" s="507">
        <f>(H36-J36)*M36</f>
        <v>317940.62080000044</v>
      </c>
      <c r="S36" s="507">
        <f>(I36-J36)*N36</f>
        <v>291431.8000000004</v>
      </c>
      <c r="T36" s="507">
        <f>(I36-K36)*O36</f>
        <v>291431.8000000004</v>
      </c>
      <c r="U36" s="507">
        <f t="shared" si="3"/>
        <v>1221168.2120000017</v>
      </c>
      <c r="V36" s="507" t="s">
        <v>713</v>
      </c>
      <c r="W36" s="518"/>
      <c r="X36" s="519"/>
    </row>
    <row r="37" spans="1:24" ht="30.75" customHeight="1">
      <c r="A37" s="514" t="s">
        <v>754</v>
      </c>
      <c r="B37" s="514" t="s">
        <v>1080</v>
      </c>
      <c r="C37" s="514" t="s">
        <v>1079</v>
      </c>
      <c r="D37" s="589"/>
      <c r="E37" s="512" t="s">
        <v>1076</v>
      </c>
      <c r="F37" s="512"/>
      <c r="G37" s="512" t="s">
        <v>1215</v>
      </c>
      <c r="H37" s="507" t="s">
        <v>713</v>
      </c>
      <c r="I37" s="507" t="s">
        <v>713</v>
      </c>
      <c r="J37" s="507" t="s">
        <v>713</v>
      </c>
      <c r="K37" s="507" t="s">
        <v>713</v>
      </c>
      <c r="L37" s="508">
        <f t="shared" ref="L37:T37" si="14">SUM(L38:L40)</f>
        <v>11767.786</v>
      </c>
      <c r="M37" s="508">
        <f t="shared" si="14"/>
        <v>5969.7349999999997</v>
      </c>
      <c r="N37" s="508">
        <f t="shared" si="14"/>
        <v>3267.7530000000002</v>
      </c>
      <c r="O37" s="508">
        <f t="shared" si="14"/>
        <v>10596.597</v>
      </c>
      <c r="P37" s="508">
        <f t="shared" si="14"/>
        <v>31601.870999999999</v>
      </c>
      <c r="Q37" s="507">
        <f t="shared" si="14"/>
        <v>8053696.0981600014</v>
      </c>
      <c r="R37" s="507">
        <f t="shared" si="14"/>
        <v>4169851.8515000003</v>
      </c>
      <c r="S37" s="507">
        <f t="shared" si="14"/>
        <v>2265819.8875799999</v>
      </c>
      <c r="T37" s="507">
        <f t="shared" si="14"/>
        <v>7304767.5802200008</v>
      </c>
      <c r="U37" s="507">
        <f>SUM(U38:U40)</f>
        <v>21794135.417460002</v>
      </c>
      <c r="V37" s="507">
        <v>2929446.14</v>
      </c>
      <c r="W37" s="518">
        <f>T37/3</f>
        <v>2434922.5267400001</v>
      </c>
      <c r="X37" s="518">
        <f>U37+V37-W37</f>
        <v>22288659.030720003</v>
      </c>
    </row>
    <row r="38" spans="1:24" ht="63.75" customHeight="1">
      <c r="A38" s="514"/>
      <c r="B38" s="514"/>
      <c r="C38" s="514"/>
      <c r="D38" s="512" t="s">
        <v>1076</v>
      </c>
      <c r="E38" s="506" t="s">
        <v>756</v>
      </c>
      <c r="F38" s="506" t="s">
        <v>1078</v>
      </c>
      <c r="G38" s="506" t="s">
        <v>1130</v>
      </c>
      <c r="H38" s="507">
        <v>7015.56</v>
      </c>
      <c r="I38" s="507">
        <v>7015.56</v>
      </c>
      <c r="J38" s="507">
        <v>2580</v>
      </c>
      <c r="K38" s="507">
        <v>2580</v>
      </c>
      <c r="L38" s="508">
        <v>139.26599999999999</v>
      </c>
      <c r="M38" s="508">
        <v>92.843999999999994</v>
      </c>
      <c r="N38" s="508">
        <v>46.421999999999997</v>
      </c>
      <c r="O38" s="508">
        <v>139.26599999999999</v>
      </c>
      <c r="P38" s="508">
        <f t="shared" si="1"/>
        <v>417.798</v>
      </c>
      <c r="Q38" s="507">
        <f>(H38-J38)*L38</f>
        <v>617722.69896000007</v>
      </c>
      <c r="R38" s="507">
        <f>(H38-J38)*M38</f>
        <v>411815.13264000003</v>
      </c>
      <c r="S38" s="507">
        <f>(I38-J38)*N38</f>
        <v>205907.56632000001</v>
      </c>
      <c r="T38" s="507">
        <f>(I38-K38)*O38</f>
        <v>617722.69896000007</v>
      </c>
      <c r="U38" s="507">
        <f t="shared" si="3"/>
        <v>1853168.0968800001</v>
      </c>
      <c r="V38" s="507" t="s">
        <v>713</v>
      </c>
      <c r="W38" s="518"/>
      <c r="X38" s="519"/>
    </row>
    <row r="39" spans="1:24" ht="63.75" customHeight="1">
      <c r="A39" s="514"/>
      <c r="B39" s="514"/>
      <c r="C39" s="514"/>
      <c r="D39" s="512" t="s">
        <v>1076</v>
      </c>
      <c r="E39" s="506" t="s">
        <v>756</v>
      </c>
      <c r="F39" s="506" t="s">
        <v>1077</v>
      </c>
      <c r="G39" s="506" t="s">
        <v>1130</v>
      </c>
      <c r="H39" s="507">
        <v>3219.46</v>
      </c>
      <c r="I39" s="507">
        <v>3219.46</v>
      </c>
      <c r="J39" s="507">
        <v>2580</v>
      </c>
      <c r="K39" s="507">
        <v>2580</v>
      </c>
      <c r="L39" s="508">
        <v>10786.417000000001</v>
      </c>
      <c r="M39" s="508">
        <v>5237.4409999999998</v>
      </c>
      <c r="N39" s="508">
        <v>2743.29</v>
      </c>
      <c r="O39" s="508">
        <v>9726.2000000000007</v>
      </c>
      <c r="P39" s="508">
        <f t="shared" si="1"/>
        <v>28493.348000000002</v>
      </c>
      <c r="Q39" s="507">
        <f>(H39-J39)*L39</f>
        <v>6897482.2148200013</v>
      </c>
      <c r="R39" s="507">
        <f>(H39-J39)*M39</f>
        <v>3349134.0218600002</v>
      </c>
      <c r="S39" s="507">
        <f>(I39-J39)*N39</f>
        <v>1754224.2234</v>
      </c>
      <c r="T39" s="507">
        <f>(I39-K39)*O39</f>
        <v>6219515.8520000009</v>
      </c>
      <c r="U39" s="507">
        <f t="shared" si="3"/>
        <v>18220356.312080003</v>
      </c>
      <c r="V39" s="507" t="s">
        <v>713</v>
      </c>
      <c r="W39" s="518"/>
      <c r="X39" s="519"/>
    </row>
    <row r="40" spans="1:24" ht="51.75" customHeight="1">
      <c r="A40" s="514"/>
      <c r="B40" s="514"/>
      <c r="C40" s="514"/>
      <c r="D40" s="512" t="s">
        <v>1076</v>
      </c>
      <c r="E40" s="506" t="s">
        <v>756</v>
      </c>
      <c r="F40" s="506" t="s">
        <v>668</v>
      </c>
      <c r="G40" s="506" t="s">
        <v>1131</v>
      </c>
      <c r="H40" s="507">
        <v>3219.46</v>
      </c>
      <c r="I40" s="507">
        <v>3219.46</v>
      </c>
      <c r="J40" s="507">
        <v>2580</v>
      </c>
      <c r="K40" s="507">
        <v>2580</v>
      </c>
      <c r="L40" s="508">
        <v>842.10300000000007</v>
      </c>
      <c r="M40" s="508">
        <v>639.45000000000005</v>
      </c>
      <c r="N40" s="508">
        <v>478.041</v>
      </c>
      <c r="O40" s="508">
        <v>731.13099999999997</v>
      </c>
      <c r="P40" s="508">
        <f t="shared" si="1"/>
        <v>2690.7249999999999</v>
      </c>
      <c r="Q40" s="507">
        <f>(H40-J40)*L40</f>
        <v>538491.18438000011</v>
      </c>
      <c r="R40" s="507">
        <f>(H40-J40)*M40</f>
        <v>408902.69700000004</v>
      </c>
      <c r="S40" s="507">
        <f>(I40-J40)*N40</f>
        <v>305688.09786000004</v>
      </c>
      <c r="T40" s="507">
        <f>(I40-K40)*O40</f>
        <v>467529.02925999998</v>
      </c>
      <c r="U40" s="507">
        <f t="shared" si="3"/>
        <v>1720611.0085000002</v>
      </c>
      <c r="V40" s="507" t="s">
        <v>713</v>
      </c>
      <c r="W40" s="518"/>
      <c r="X40" s="519"/>
    </row>
    <row r="41" spans="1:24" ht="51.75" customHeight="1">
      <c r="A41" s="514"/>
      <c r="B41" s="514"/>
      <c r="C41" s="514"/>
      <c r="D41" s="512" t="s">
        <v>1076</v>
      </c>
      <c r="E41" s="506" t="s">
        <v>756</v>
      </c>
      <c r="F41" s="506" t="s">
        <v>668</v>
      </c>
      <c r="G41" s="506" t="s">
        <v>579</v>
      </c>
      <c r="H41" s="507">
        <v>85.69</v>
      </c>
      <c r="I41" s="507">
        <v>85.69</v>
      </c>
      <c r="J41" s="507">
        <v>54.22</v>
      </c>
      <c r="K41" s="507">
        <v>54.22</v>
      </c>
      <c r="L41" s="508">
        <v>12761.05</v>
      </c>
      <c r="M41" s="508">
        <v>9690.125</v>
      </c>
      <c r="N41" s="508">
        <v>7244.14</v>
      </c>
      <c r="O41" s="508">
        <v>11079.42</v>
      </c>
      <c r="P41" s="508">
        <f t="shared" si="1"/>
        <v>40774.735000000001</v>
      </c>
      <c r="Q41" s="507">
        <f>(H41-J41)*L41</f>
        <v>401590.24349999998</v>
      </c>
      <c r="R41" s="507">
        <f>(H41-J41)*M41</f>
        <v>304948.23375000001</v>
      </c>
      <c r="S41" s="507">
        <f>(I41-J41)*N41</f>
        <v>227973.0858</v>
      </c>
      <c r="T41" s="507">
        <f>(I41-K41)*O41</f>
        <v>348669.34739999997</v>
      </c>
      <c r="U41" s="507">
        <f t="shared" si="3"/>
        <v>1283180.9104499999</v>
      </c>
      <c r="V41" s="507" t="s">
        <v>713</v>
      </c>
      <c r="W41" s="518"/>
      <c r="X41" s="519"/>
    </row>
    <row r="42" spans="1:24" ht="30.75" customHeight="1">
      <c r="A42" s="514" t="s">
        <v>760</v>
      </c>
      <c r="B42" s="514" t="s">
        <v>1075</v>
      </c>
      <c r="C42" s="514" t="s">
        <v>1074</v>
      </c>
      <c r="D42" s="589"/>
      <c r="E42" s="512" t="s">
        <v>1073</v>
      </c>
      <c r="F42" s="512"/>
      <c r="G42" s="512" t="s">
        <v>1215</v>
      </c>
      <c r="H42" s="507" t="s">
        <v>713</v>
      </c>
      <c r="I42" s="507" t="s">
        <v>713</v>
      </c>
      <c r="J42" s="507" t="s">
        <v>713</v>
      </c>
      <c r="K42" s="507" t="s">
        <v>713</v>
      </c>
      <c r="L42" s="508">
        <f t="shared" ref="L42:T42" si="15">SUM(L43:L44)</f>
        <v>95216</v>
      </c>
      <c r="M42" s="508">
        <f t="shared" si="15"/>
        <v>47782</v>
      </c>
      <c r="N42" s="508">
        <f t="shared" si="15"/>
        <v>22161</v>
      </c>
      <c r="O42" s="508">
        <f t="shared" si="15"/>
        <v>81478</v>
      </c>
      <c r="P42" s="508">
        <f t="shared" si="15"/>
        <v>246637</v>
      </c>
      <c r="Q42" s="507">
        <f t="shared" si="15"/>
        <v>6467070.7199999858</v>
      </c>
      <c r="R42" s="507">
        <f t="shared" si="15"/>
        <v>3245353.4399999925</v>
      </c>
      <c r="S42" s="507">
        <f t="shared" si="15"/>
        <v>1505175.1199999964</v>
      </c>
      <c r="T42" s="507">
        <f t="shared" si="15"/>
        <v>5533985.7599999877</v>
      </c>
      <c r="U42" s="507">
        <f>SUM(U43:U44)</f>
        <v>16751585.039999962</v>
      </c>
      <c r="V42" s="507">
        <v>2252073.11</v>
      </c>
      <c r="W42" s="518">
        <f>T42/3</f>
        <v>1844661.919999996</v>
      </c>
      <c r="X42" s="518">
        <f>U42+V42-W42</f>
        <v>17158996.229999967</v>
      </c>
    </row>
    <row r="43" spans="1:24" ht="47.25" customHeight="1">
      <c r="A43" s="514"/>
      <c r="B43" s="514"/>
      <c r="C43" s="514"/>
      <c r="D43" s="512" t="s">
        <v>1073</v>
      </c>
      <c r="E43" s="506" t="s">
        <v>1072</v>
      </c>
      <c r="F43" s="506" t="s">
        <v>714</v>
      </c>
      <c r="G43" s="506" t="s">
        <v>1130</v>
      </c>
      <c r="H43" s="507">
        <v>1132.0899999999999</v>
      </c>
      <c r="I43" s="507">
        <v>1132.0899999999999</v>
      </c>
      <c r="J43" s="507">
        <v>1064.17</v>
      </c>
      <c r="K43" s="507">
        <v>1064.17</v>
      </c>
      <c r="L43" s="508">
        <v>84436</v>
      </c>
      <c r="M43" s="508">
        <v>37421</v>
      </c>
      <c r="N43" s="508">
        <v>14139</v>
      </c>
      <c r="O43" s="508">
        <v>70469</v>
      </c>
      <c r="P43" s="508">
        <f t="shared" si="1"/>
        <v>206465</v>
      </c>
      <c r="Q43" s="507">
        <f>(H43-J43)*L43</f>
        <v>5734893.1199999871</v>
      </c>
      <c r="R43" s="507">
        <f>(H43-J43)*M43</f>
        <v>2541634.3199999942</v>
      </c>
      <c r="S43" s="507">
        <f>(I43-J43)*N43</f>
        <v>960320.87999999779</v>
      </c>
      <c r="T43" s="507">
        <f>(I43-K43)*O43</f>
        <v>4786254.4799999893</v>
      </c>
      <c r="U43" s="507">
        <f t="shared" si="3"/>
        <v>14023102.799999967</v>
      </c>
      <c r="V43" s="507" t="s">
        <v>713</v>
      </c>
      <c r="W43" s="518"/>
      <c r="X43" s="519"/>
    </row>
    <row r="44" spans="1:24" ht="47.25" customHeight="1">
      <c r="A44" s="514"/>
      <c r="B44" s="514"/>
      <c r="C44" s="514"/>
      <c r="D44" s="512" t="s">
        <v>1073</v>
      </c>
      <c r="E44" s="506" t="s">
        <v>1072</v>
      </c>
      <c r="F44" s="506" t="s">
        <v>714</v>
      </c>
      <c r="G44" s="506" t="s">
        <v>1131</v>
      </c>
      <c r="H44" s="507">
        <v>1132.0899999999999</v>
      </c>
      <c r="I44" s="507">
        <v>1132.0899999999999</v>
      </c>
      <c r="J44" s="507">
        <v>1064.17</v>
      </c>
      <c r="K44" s="507">
        <v>1064.17</v>
      </c>
      <c r="L44" s="508">
        <v>10780</v>
      </c>
      <c r="M44" s="508">
        <v>10361</v>
      </c>
      <c r="N44" s="508">
        <v>8022</v>
      </c>
      <c r="O44" s="508">
        <v>11009</v>
      </c>
      <c r="P44" s="508">
        <f t="shared" si="1"/>
        <v>40172</v>
      </c>
      <c r="Q44" s="507">
        <f>(H44-J44)*L44</f>
        <v>732177.59999999835</v>
      </c>
      <c r="R44" s="507">
        <f>(H44-J44)*M44</f>
        <v>703719.11999999837</v>
      </c>
      <c r="S44" s="507">
        <f>(I44-J44)*N44</f>
        <v>544854.23999999871</v>
      </c>
      <c r="T44" s="507">
        <f>(I44-K44)*O44</f>
        <v>747731.27999999828</v>
      </c>
      <c r="U44" s="507">
        <f t="shared" si="3"/>
        <v>2728482.2399999937</v>
      </c>
      <c r="V44" s="507" t="s">
        <v>713</v>
      </c>
      <c r="W44" s="518"/>
      <c r="X44" s="519"/>
    </row>
    <row r="45" spans="1:24" ht="47.25" customHeight="1">
      <c r="A45" s="514"/>
      <c r="B45" s="514"/>
      <c r="C45" s="514"/>
      <c r="D45" s="512" t="s">
        <v>1073</v>
      </c>
      <c r="E45" s="506" t="s">
        <v>1072</v>
      </c>
      <c r="F45" s="506" t="s">
        <v>714</v>
      </c>
      <c r="G45" s="506" t="s">
        <v>579</v>
      </c>
      <c r="H45" s="507">
        <v>10.44</v>
      </c>
      <c r="I45" s="507">
        <v>10.44</v>
      </c>
      <c r="J45" s="507">
        <v>9.83</v>
      </c>
      <c r="K45" s="507">
        <v>9.83</v>
      </c>
      <c r="L45" s="508">
        <v>172246</v>
      </c>
      <c r="M45" s="508">
        <v>165674</v>
      </c>
      <c r="N45" s="508">
        <v>127443.47</v>
      </c>
      <c r="O45" s="508">
        <v>174901.36</v>
      </c>
      <c r="P45" s="508">
        <f t="shared" si="1"/>
        <v>640264.82999999996</v>
      </c>
      <c r="Q45" s="507">
        <f>(H45-J45)*L45</f>
        <v>105070.0599999999</v>
      </c>
      <c r="R45" s="507">
        <f>(H45-J45)*M45</f>
        <v>101061.13999999991</v>
      </c>
      <c r="S45" s="507">
        <f>(I45-J45)*N45</f>
        <v>77740.516699999935</v>
      </c>
      <c r="T45" s="507">
        <f>(I45-K45)*O45</f>
        <v>106689.8295999999</v>
      </c>
      <c r="U45" s="507">
        <f t="shared" si="3"/>
        <v>390561.54629999964</v>
      </c>
      <c r="V45" s="507" t="s">
        <v>713</v>
      </c>
      <c r="W45" s="518"/>
      <c r="X45" s="519"/>
    </row>
    <row r="46" spans="1:24" ht="30.75" customHeight="1">
      <c r="A46" s="514" t="s">
        <v>918</v>
      </c>
      <c r="B46" s="514" t="s">
        <v>1071</v>
      </c>
      <c r="C46" s="514" t="s">
        <v>1070</v>
      </c>
      <c r="D46" s="589"/>
      <c r="E46" s="512" t="s">
        <v>1067</v>
      </c>
      <c r="F46" s="512"/>
      <c r="G46" s="512" t="s">
        <v>1215</v>
      </c>
      <c r="H46" s="507" t="s">
        <v>713</v>
      </c>
      <c r="I46" s="507" t="s">
        <v>713</v>
      </c>
      <c r="J46" s="507" t="s">
        <v>713</v>
      </c>
      <c r="K46" s="507" t="s">
        <v>713</v>
      </c>
      <c r="L46" s="508">
        <f t="shared" ref="L46:T46" si="16">SUM(L47:L49)</f>
        <v>306.24</v>
      </c>
      <c r="M46" s="508">
        <f t="shared" si="16"/>
        <v>131.68</v>
      </c>
      <c r="N46" s="508">
        <f t="shared" si="16"/>
        <v>160.89000000000001</v>
      </c>
      <c r="O46" s="508">
        <f t="shared" si="16"/>
        <v>210.45</v>
      </c>
      <c r="P46" s="508">
        <f t="shared" si="16"/>
        <v>809.26</v>
      </c>
      <c r="Q46" s="507">
        <f t="shared" si="16"/>
        <v>1503585.1642000002</v>
      </c>
      <c r="R46" s="507">
        <f t="shared" si="16"/>
        <v>665671.99029999995</v>
      </c>
      <c r="S46" s="507">
        <f t="shared" si="16"/>
        <v>780322.91100000008</v>
      </c>
      <c r="T46" s="507">
        <f t="shared" si="16"/>
        <v>1032393.2067</v>
      </c>
      <c r="U46" s="507">
        <f>SUM(U47:U49)</f>
        <v>3981973.2722</v>
      </c>
      <c r="V46" s="507">
        <v>510744.45</v>
      </c>
      <c r="W46" s="518">
        <f>T46/3</f>
        <v>344131.06890000001</v>
      </c>
      <c r="X46" s="518">
        <f>U46+V46-W46</f>
        <v>4148586.6532999999</v>
      </c>
    </row>
    <row r="47" spans="1:24" ht="58.5" customHeight="1">
      <c r="A47" s="514"/>
      <c r="B47" s="514"/>
      <c r="C47" s="514"/>
      <c r="D47" s="512" t="s">
        <v>1067</v>
      </c>
      <c r="E47" s="506" t="s">
        <v>798</v>
      </c>
      <c r="F47" s="506" t="s">
        <v>1069</v>
      </c>
      <c r="G47" s="506" t="s">
        <v>1130</v>
      </c>
      <c r="H47" s="507">
        <v>7534.18</v>
      </c>
      <c r="I47" s="507">
        <v>7534.18</v>
      </c>
      <c r="J47" s="507">
        <v>1722</v>
      </c>
      <c r="K47" s="507">
        <v>1722</v>
      </c>
      <c r="L47" s="508">
        <v>119.16</v>
      </c>
      <c r="M47" s="508">
        <v>58.94</v>
      </c>
      <c r="N47" s="508">
        <v>68.11</v>
      </c>
      <c r="O47" s="508">
        <v>68.099999999999994</v>
      </c>
      <c r="P47" s="508">
        <f t="shared" si="1"/>
        <v>314.30999999999995</v>
      </c>
      <c r="Q47" s="507">
        <f>(H47-J47)*L47</f>
        <v>692579.36880000005</v>
      </c>
      <c r="R47" s="507">
        <f>(H47-J47)*M47</f>
        <v>342569.88919999998</v>
      </c>
      <c r="S47" s="507">
        <f>(I47-J47)*N47</f>
        <v>395867.57980000001</v>
      </c>
      <c r="T47" s="507">
        <f>(I47-K47)*O47</f>
        <v>395809.45799999998</v>
      </c>
      <c r="U47" s="507">
        <f t="shared" si="3"/>
        <v>1826826.2958</v>
      </c>
      <c r="V47" s="507" t="s">
        <v>713</v>
      </c>
      <c r="W47" s="518"/>
      <c r="X47" s="519"/>
    </row>
    <row r="48" spans="1:24" ht="58.5" customHeight="1">
      <c r="A48" s="514"/>
      <c r="B48" s="514"/>
      <c r="C48" s="514"/>
      <c r="D48" s="512" t="s">
        <v>1067</v>
      </c>
      <c r="E48" s="506" t="s">
        <v>798</v>
      </c>
      <c r="F48" s="506" t="s">
        <v>1068</v>
      </c>
      <c r="G48" s="506" t="s">
        <v>1130</v>
      </c>
      <c r="H48" s="507">
        <v>5615.89</v>
      </c>
      <c r="I48" s="507">
        <v>5615.89</v>
      </c>
      <c r="J48" s="507">
        <v>1673</v>
      </c>
      <c r="K48" s="507">
        <v>1673</v>
      </c>
      <c r="L48" s="508">
        <v>122.9</v>
      </c>
      <c r="M48" s="508">
        <v>40.989999999999995</v>
      </c>
      <c r="N48" s="508">
        <v>76.48</v>
      </c>
      <c r="O48" s="508">
        <v>76.47</v>
      </c>
      <c r="P48" s="508">
        <f t="shared" si="1"/>
        <v>316.84000000000003</v>
      </c>
      <c r="Q48" s="507">
        <f>(H48-J48)*L48</f>
        <v>484581.18100000004</v>
      </c>
      <c r="R48" s="507">
        <f>(H48-J48)*M48</f>
        <v>161619.06109999999</v>
      </c>
      <c r="S48" s="507">
        <f>(I48-J48)*N48</f>
        <v>301552.22720000002</v>
      </c>
      <c r="T48" s="507">
        <f>(I48-K48)*O48</f>
        <v>301512.79830000002</v>
      </c>
      <c r="U48" s="507">
        <f t="shared" si="3"/>
        <v>1249265.2675999999</v>
      </c>
      <c r="V48" s="507" t="s">
        <v>713</v>
      </c>
      <c r="W48" s="518"/>
      <c r="X48" s="519"/>
    </row>
    <row r="49" spans="1:24" ht="58.5" customHeight="1">
      <c r="A49" s="514"/>
      <c r="B49" s="514"/>
      <c r="C49" s="514"/>
      <c r="D49" s="512" t="s">
        <v>1067</v>
      </c>
      <c r="E49" s="506" t="s">
        <v>798</v>
      </c>
      <c r="F49" s="506" t="s">
        <v>1066</v>
      </c>
      <c r="G49" s="506" t="s">
        <v>1130</v>
      </c>
      <c r="H49" s="507">
        <v>6808.58</v>
      </c>
      <c r="I49" s="507">
        <v>6808.58</v>
      </c>
      <c r="J49" s="507">
        <v>1722.5</v>
      </c>
      <c r="K49" s="507">
        <v>1722.5</v>
      </c>
      <c r="L49" s="508">
        <v>64.180000000000007</v>
      </c>
      <c r="M49" s="508">
        <v>31.75</v>
      </c>
      <c r="N49" s="508">
        <v>16.3</v>
      </c>
      <c r="O49" s="508">
        <v>65.88</v>
      </c>
      <c r="P49" s="508">
        <f t="shared" si="1"/>
        <v>178.11</v>
      </c>
      <c r="Q49" s="507">
        <f>(H49-J49)*L49</f>
        <v>326424.61440000002</v>
      </c>
      <c r="R49" s="507">
        <f>(H49-J49)*M49</f>
        <v>161483.04</v>
      </c>
      <c r="S49" s="507">
        <f>(I49-J49)*N49</f>
        <v>82903.104000000007</v>
      </c>
      <c r="T49" s="507">
        <f>(I49-K49)*O49</f>
        <v>335070.95039999997</v>
      </c>
      <c r="U49" s="507">
        <f t="shared" si="3"/>
        <v>905881.70880000002</v>
      </c>
      <c r="V49" s="507" t="s">
        <v>713</v>
      </c>
      <c r="W49" s="518"/>
      <c r="X49" s="519"/>
    </row>
    <row r="50" spans="1:24" ht="39" customHeight="1">
      <c r="A50" s="514" t="s">
        <v>724</v>
      </c>
      <c r="B50" s="514" t="s">
        <v>1065</v>
      </c>
      <c r="C50" s="514" t="s">
        <v>123</v>
      </c>
      <c r="D50" s="589"/>
      <c r="E50" s="512" t="s">
        <v>1064</v>
      </c>
      <c r="F50" s="512"/>
      <c r="G50" s="512" t="s">
        <v>1215</v>
      </c>
      <c r="H50" s="507" t="s">
        <v>713</v>
      </c>
      <c r="I50" s="507" t="s">
        <v>713</v>
      </c>
      <c r="J50" s="507" t="s">
        <v>713</v>
      </c>
      <c r="K50" s="507" t="s">
        <v>713</v>
      </c>
      <c r="L50" s="508">
        <f t="shared" ref="L50:U50" si="17">SUM(L51)</f>
        <v>248.28000000000003</v>
      </c>
      <c r="M50" s="508">
        <f t="shared" si="17"/>
        <v>122.80000000000001</v>
      </c>
      <c r="N50" s="508">
        <f t="shared" si="17"/>
        <v>59.26</v>
      </c>
      <c r="O50" s="508">
        <f t="shared" si="17"/>
        <v>213.68</v>
      </c>
      <c r="P50" s="508">
        <f t="shared" si="17"/>
        <v>644.02</v>
      </c>
      <c r="Q50" s="507">
        <f t="shared" si="17"/>
        <v>105928.66200000004</v>
      </c>
      <c r="R50" s="507">
        <f t="shared" si="17"/>
        <v>52392.620000000017</v>
      </c>
      <c r="S50" s="507">
        <f t="shared" si="17"/>
        <v>25283.279000000006</v>
      </c>
      <c r="T50" s="507">
        <f t="shared" si="17"/>
        <v>91166.572000000029</v>
      </c>
      <c r="U50" s="507">
        <f t="shared" si="17"/>
        <v>274771.13300000009</v>
      </c>
      <c r="V50" s="507">
        <v>35309.550000000003</v>
      </c>
      <c r="W50" s="518">
        <f>T50/3</f>
        <v>30388.857333333344</v>
      </c>
      <c r="X50" s="518">
        <f>U50+V50-W50</f>
        <v>279691.82566666673</v>
      </c>
    </row>
    <row r="51" spans="1:24" ht="51" customHeight="1">
      <c r="A51" s="514"/>
      <c r="B51" s="514"/>
      <c r="C51" s="514"/>
      <c r="D51" s="512" t="s">
        <v>1064</v>
      </c>
      <c r="E51" s="506" t="s">
        <v>815</v>
      </c>
      <c r="F51" s="506" t="s">
        <v>1063</v>
      </c>
      <c r="G51" s="506" t="s">
        <v>1130</v>
      </c>
      <c r="H51" s="507">
        <v>2322.65</v>
      </c>
      <c r="I51" s="507">
        <v>2322.65</v>
      </c>
      <c r="J51" s="507">
        <v>1896</v>
      </c>
      <c r="K51" s="507">
        <v>1896</v>
      </c>
      <c r="L51" s="508">
        <v>248.28000000000003</v>
      </c>
      <c r="M51" s="508">
        <v>122.80000000000001</v>
      </c>
      <c r="N51" s="508">
        <v>59.26</v>
      </c>
      <c r="O51" s="508">
        <v>213.68</v>
      </c>
      <c r="P51" s="508">
        <f t="shared" si="1"/>
        <v>644.02</v>
      </c>
      <c r="Q51" s="507">
        <f>(H51-J51)*L51</f>
        <v>105928.66200000004</v>
      </c>
      <c r="R51" s="507">
        <f>(H51-J51)*M51</f>
        <v>52392.620000000017</v>
      </c>
      <c r="S51" s="507">
        <f>(I51-J51)*N51</f>
        <v>25283.279000000006</v>
      </c>
      <c r="T51" s="507">
        <f>(I51-K51)*O51</f>
        <v>91166.572000000029</v>
      </c>
      <c r="U51" s="507">
        <f t="shared" si="3"/>
        <v>274771.13300000009</v>
      </c>
      <c r="V51" s="507" t="s">
        <v>713</v>
      </c>
      <c r="W51" s="518"/>
      <c r="X51" s="519"/>
    </row>
    <row r="52" spans="1:24" ht="30.75" customHeight="1">
      <c r="A52" s="514" t="s">
        <v>754</v>
      </c>
      <c r="B52" s="514" t="s">
        <v>1062</v>
      </c>
      <c r="C52" s="514" t="s">
        <v>1061</v>
      </c>
      <c r="D52" s="589"/>
      <c r="E52" s="512" t="s">
        <v>1060</v>
      </c>
      <c r="F52" s="512"/>
      <c r="G52" s="512" t="s">
        <v>1215</v>
      </c>
      <c r="H52" s="507" t="s">
        <v>713</v>
      </c>
      <c r="I52" s="507" t="s">
        <v>713</v>
      </c>
      <c r="J52" s="507" t="s">
        <v>713</v>
      </c>
      <c r="K52" s="507" t="s">
        <v>713</v>
      </c>
      <c r="L52" s="508">
        <f t="shared" ref="L52:U52" si="18">SUM(L53)</f>
        <v>701.39599999999996</v>
      </c>
      <c r="M52" s="508">
        <f t="shared" si="18"/>
        <v>334.52800000000002</v>
      </c>
      <c r="N52" s="508">
        <f t="shared" si="18"/>
        <v>95.73</v>
      </c>
      <c r="O52" s="508">
        <f t="shared" si="18"/>
        <v>574.38400000000001</v>
      </c>
      <c r="P52" s="508">
        <f t="shared" si="18"/>
        <v>1706.038</v>
      </c>
      <c r="Q52" s="507">
        <f t="shared" si="18"/>
        <v>3557648.8470399994</v>
      </c>
      <c r="R52" s="507">
        <f t="shared" si="18"/>
        <v>1696806.30272</v>
      </c>
      <c r="S52" s="507">
        <f t="shared" si="18"/>
        <v>485565.53519999998</v>
      </c>
      <c r="T52" s="507">
        <f t="shared" si="18"/>
        <v>2913413.5001599998</v>
      </c>
      <c r="U52" s="507">
        <f t="shared" si="18"/>
        <v>8653434.1851199996</v>
      </c>
      <c r="V52" s="507">
        <v>1187457.03</v>
      </c>
      <c r="W52" s="518">
        <f>T52/3</f>
        <v>971137.83338666661</v>
      </c>
      <c r="X52" s="518">
        <f>U52+V52-W52</f>
        <v>8869753.3817333318</v>
      </c>
    </row>
    <row r="53" spans="1:24" ht="51" customHeight="1">
      <c r="A53" s="514"/>
      <c r="B53" s="514"/>
      <c r="C53" s="514"/>
      <c r="D53" s="512" t="s">
        <v>1060</v>
      </c>
      <c r="E53" s="506" t="s">
        <v>737</v>
      </c>
      <c r="F53" s="506" t="s">
        <v>992</v>
      </c>
      <c r="G53" s="506" t="s">
        <v>1130</v>
      </c>
      <c r="H53" s="507">
        <v>6691.94</v>
      </c>
      <c r="I53" s="507">
        <v>6691.94</v>
      </c>
      <c r="J53" s="507">
        <v>1619.7</v>
      </c>
      <c r="K53" s="507">
        <v>1619.7</v>
      </c>
      <c r="L53" s="508">
        <v>701.39599999999996</v>
      </c>
      <c r="M53" s="508">
        <v>334.52800000000002</v>
      </c>
      <c r="N53" s="508">
        <v>95.73</v>
      </c>
      <c r="O53" s="508">
        <v>574.38400000000001</v>
      </c>
      <c r="P53" s="508">
        <f t="shared" si="1"/>
        <v>1706.038</v>
      </c>
      <c r="Q53" s="507">
        <f>(H53-J53)*L53</f>
        <v>3557648.8470399994</v>
      </c>
      <c r="R53" s="507">
        <f>(H53-J53)*M53</f>
        <v>1696806.30272</v>
      </c>
      <c r="S53" s="507">
        <f>(I53-J53)*N53</f>
        <v>485565.53519999998</v>
      </c>
      <c r="T53" s="507">
        <f>(I53-K53)*O53</f>
        <v>2913413.5001599998</v>
      </c>
      <c r="U53" s="507">
        <f t="shared" si="3"/>
        <v>8653434.1851199996</v>
      </c>
      <c r="V53" s="507" t="s">
        <v>713</v>
      </c>
      <c r="W53" s="518"/>
      <c r="X53" s="519"/>
    </row>
    <row r="54" spans="1:24" ht="48.75" customHeight="1">
      <c r="A54" s="514" t="s">
        <v>754</v>
      </c>
      <c r="B54" s="514" t="s">
        <v>1059</v>
      </c>
      <c r="C54" s="514" t="s">
        <v>114</v>
      </c>
      <c r="D54" s="589"/>
      <c r="E54" s="512" t="s">
        <v>1058</v>
      </c>
      <c r="F54" s="512"/>
      <c r="G54" s="512" t="s">
        <v>1215</v>
      </c>
      <c r="H54" s="507" t="s">
        <v>713</v>
      </c>
      <c r="I54" s="507" t="s">
        <v>713</v>
      </c>
      <c r="J54" s="507" t="s">
        <v>713</v>
      </c>
      <c r="K54" s="507" t="s">
        <v>713</v>
      </c>
      <c r="L54" s="508">
        <f t="shared" ref="L54:U54" si="19">SUM(L55)</f>
        <v>168.69899999999998</v>
      </c>
      <c r="M54" s="508">
        <f t="shared" si="19"/>
        <v>81.628999999999991</v>
      </c>
      <c r="N54" s="508">
        <f t="shared" si="19"/>
        <v>24.984999999999999</v>
      </c>
      <c r="O54" s="508">
        <f t="shared" si="19"/>
        <v>149.934</v>
      </c>
      <c r="P54" s="508">
        <f t="shared" si="19"/>
        <v>425.24699999999996</v>
      </c>
      <c r="Q54" s="507">
        <f t="shared" si="19"/>
        <v>539728.83263999992</v>
      </c>
      <c r="R54" s="507">
        <f t="shared" si="19"/>
        <v>261160.55743999995</v>
      </c>
      <c r="S54" s="507">
        <f t="shared" si="19"/>
        <v>79936.00959999999</v>
      </c>
      <c r="T54" s="507">
        <f t="shared" si="19"/>
        <v>479692.84223999997</v>
      </c>
      <c r="U54" s="507">
        <f t="shared" si="19"/>
        <v>1360518.2419199997</v>
      </c>
      <c r="V54" s="507">
        <v>179125.77</v>
      </c>
      <c r="W54" s="518">
        <f>T54/3</f>
        <v>159897.61408</v>
      </c>
      <c r="X54" s="518">
        <f>U54+V54-W54</f>
        <v>1379746.3978399998</v>
      </c>
    </row>
    <row r="55" spans="1:24" ht="51" customHeight="1">
      <c r="A55" s="514"/>
      <c r="B55" s="514"/>
      <c r="C55" s="514"/>
      <c r="D55" s="512" t="s">
        <v>1058</v>
      </c>
      <c r="E55" s="506" t="s">
        <v>942</v>
      </c>
      <c r="F55" s="506" t="s">
        <v>1057</v>
      </c>
      <c r="G55" s="506" t="s">
        <v>1130</v>
      </c>
      <c r="H55" s="507">
        <v>4804.3599999999997</v>
      </c>
      <c r="I55" s="507">
        <v>4804.3599999999997</v>
      </c>
      <c r="J55" s="507">
        <v>1605</v>
      </c>
      <c r="K55" s="507">
        <v>1605</v>
      </c>
      <c r="L55" s="508">
        <v>168.69899999999998</v>
      </c>
      <c r="M55" s="508">
        <v>81.628999999999991</v>
      </c>
      <c r="N55" s="508">
        <v>24.984999999999999</v>
      </c>
      <c r="O55" s="508">
        <v>149.934</v>
      </c>
      <c r="P55" s="508">
        <f t="shared" si="1"/>
        <v>425.24699999999996</v>
      </c>
      <c r="Q55" s="507">
        <f>(H55-J55)*L55</f>
        <v>539728.83263999992</v>
      </c>
      <c r="R55" s="507">
        <f>(H55-J55)*M55</f>
        <v>261160.55743999995</v>
      </c>
      <c r="S55" s="507">
        <f>(I55-J55)*N55</f>
        <v>79936.00959999999</v>
      </c>
      <c r="T55" s="507">
        <f>(I55-K55)*O55</f>
        <v>479692.84223999997</v>
      </c>
      <c r="U55" s="507">
        <f t="shared" si="3"/>
        <v>1360518.2419199997</v>
      </c>
      <c r="V55" s="507" t="s">
        <v>713</v>
      </c>
      <c r="W55" s="518"/>
      <c r="X55" s="519"/>
    </row>
    <row r="56" spans="1:24" ht="48.75" customHeight="1">
      <c r="A56" s="514" t="s">
        <v>813</v>
      </c>
      <c r="B56" s="514" t="s">
        <v>1056</v>
      </c>
      <c r="C56" s="514" t="s">
        <v>113</v>
      </c>
      <c r="D56" s="589"/>
      <c r="E56" s="512" t="s">
        <v>1053</v>
      </c>
      <c r="F56" s="512"/>
      <c r="G56" s="512" t="s">
        <v>1215</v>
      </c>
      <c r="H56" s="507" t="s">
        <v>713</v>
      </c>
      <c r="I56" s="507" t="s">
        <v>713</v>
      </c>
      <c r="J56" s="507" t="s">
        <v>713</v>
      </c>
      <c r="K56" s="507" t="s">
        <v>713</v>
      </c>
      <c r="L56" s="508">
        <f t="shared" ref="L56:T56" si="20">SUM(L57:L59)</f>
        <v>652.06299999999999</v>
      </c>
      <c r="M56" s="508">
        <f t="shared" si="20"/>
        <v>294.46600000000001</v>
      </c>
      <c r="N56" s="508">
        <f t="shared" si="20"/>
        <v>189.93</v>
      </c>
      <c r="O56" s="508">
        <f t="shared" si="20"/>
        <v>554.51</v>
      </c>
      <c r="P56" s="508">
        <f t="shared" si="20"/>
        <v>1690.9690000000001</v>
      </c>
      <c r="Q56" s="507">
        <f t="shared" si="20"/>
        <v>2376887.0430299998</v>
      </c>
      <c r="R56" s="507">
        <f t="shared" si="20"/>
        <v>1081863.9941500002</v>
      </c>
      <c r="S56" s="507">
        <f t="shared" si="20"/>
        <v>699945.62349999999</v>
      </c>
      <c r="T56" s="507">
        <f t="shared" si="20"/>
        <v>2043376.3484999998</v>
      </c>
      <c r="U56" s="507">
        <f>SUM(U57:U59)</f>
        <v>6202073.0091800001</v>
      </c>
      <c r="V56" s="507">
        <v>736212.29</v>
      </c>
      <c r="W56" s="518">
        <f>T56/3</f>
        <v>681125.44949999999</v>
      </c>
      <c r="X56" s="518">
        <f>U56+V56-W56</f>
        <v>6257159.84968</v>
      </c>
    </row>
    <row r="57" spans="1:24" ht="51.75" customHeight="1">
      <c r="A57" s="514"/>
      <c r="B57" s="514"/>
      <c r="C57" s="514"/>
      <c r="D57" s="512" t="s">
        <v>1053</v>
      </c>
      <c r="E57" s="506" t="s">
        <v>942</v>
      </c>
      <c r="F57" s="506" t="s">
        <v>1055</v>
      </c>
      <c r="G57" s="506" t="s">
        <v>1130</v>
      </c>
      <c r="H57" s="507">
        <v>5280.15</v>
      </c>
      <c r="I57" s="507">
        <v>5280.15</v>
      </c>
      <c r="J57" s="507">
        <v>1600</v>
      </c>
      <c r="K57" s="507">
        <v>1600</v>
      </c>
      <c r="L57" s="508">
        <v>268.39499999999998</v>
      </c>
      <c r="M57" s="508">
        <v>132.755</v>
      </c>
      <c r="N57" s="508">
        <v>83.33</v>
      </c>
      <c r="O57" s="508">
        <v>234.96</v>
      </c>
      <c r="P57" s="508">
        <f t="shared" si="1"/>
        <v>719.43999999999994</v>
      </c>
      <c r="Q57" s="507">
        <f>(H57-J57)*L57</f>
        <v>987733.85924999986</v>
      </c>
      <c r="R57" s="507">
        <f>(H57-J57)*M57</f>
        <v>488558.31324999995</v>
      </c>
      <c r="S57" s="507">
        <f>(I57-J57)*N57</f>
        <v>306666.89949999994</v>
      </c>
      <c r="T57" s="507">
        <f>(I57-K57)*O57</f>
        <v>864688.04399999999</v>
      </c>
      <c r="U57" s="507">
        <f t="shared" si="3"/>
        <v>2647647.1159999995</v>
      </c>
      <c r="V57" s="507" t="s">
        <v>713</v>
      </c>
      <c r="W57" s="518"/>
      <c r="X57" s="519"/>
    </row>
    <row r="58" spans="1:24" ht="51.75" customHeight="1">
      <c r="A58" s="514"/>
      <c r="B58" s="514"/>
      <c r="C58" s="514"/>
      <c r="D58" s="512" t="s">
        <v>1053</v>
      </c>
      <c r="E58" s="506" t="s">
        <v>942</v>
      </c>
      <c r="F58" s="506" t="s">
        <v>1054</v>
      </c>
      <c r="G58" s="506" t="s">
        <v>1130</v>
      </c>
      <c r="H58" s="507">
        <v>4516</v>
      </c>
      <c r="I58" s="507">
        <v>4516</v>
      </c>
      <c r="J58" s="507">
        <v>1600</v>
      </c>
      <c r="K58" s="507">
        <v>1600</v>
      </c>
      <c r="L58" s="508">
        <v>222.29399999999998</v>
      </c>
      <c r="M58" s="508">
        <v>89.040999999999997</v>
      </c>
      <c r="N58" s="508">
        <v>57.4</v>
      </c>
      <c r="O58" s="508">
        <v>172.2</v>
      </c>
      <c r="P58" s="508">
        <f t="shared" si="1"/>
        <v>540.93499999999995</v>
      </c>
      <c r="Q58" s="507">
        <f>(H58-J58)*L58</f>
        <v>648209.304</v>
      </c>
      <c r="R58" s="507">
        <f>(H58-J58)*M58</f>
        <v>259643.55599999998</v>
      </c>
      <c r="S58" s="507">
        <f>(I58-J58)*N58</f>
        <v>167378.4</v>
      </c>
      <c r="T58" s="507">
        <f>(I58-K58)*O58</f>
        <v>502135.19999999995</v>
      </c>
      <c r="U58" s="507">
        <f t="shared" si="3"/>
        <v>1577366.46</v>
      </c>
      <c r="V58" s="507" t="s">
        <v>713</v>
      </c>
      <c r="W58" s="518"/>
      <c r="X58" s="519"/>
    </row>
    <row r="59" spans="1:24" ht="51.75" customHeight="1">
      <c r="A59" s="514"/>
      <c r="B59" s="514"/>
      <c r="C59" s="514"/>
      <c r="D59" s="512" t="s">
        <v>1053</v>
      </c>
      <c r="E59" s="506" t="s">
        <v>942</v>
      </c>
      <c r="F59" s="506" t="s">
        <v>941</v>
      </c>
      <c r="G59" s="506" t="s">
        <v>1130</v>
      </c>
      <c r="H59" s="507">
        <v>6271.47</v>
      </c>
      <c r="I59" s="507">
        <v>6271.47</v>
      </c>
      <c r="J59" s="507">
        <v>1680</v>
      </c>
      <c r="K59" s="507">
        <v>1680</v>
      </c>
      <c r="L59" s="508">
        <v>161.374</v>
      </c>
      <c r="M59" s="508">
        <v>72.67</v>
      </c>
      <c r="N59" s="508">
        <v>49.2</v>
      </c>
      <c r="O59" s="508">
        <v>147.35</v>
      </c>
      <c r="P59" s="508">
        <f t="shared" si="1"/>
        <v>430.59399999999994</v>
      </c>
      <c r="Q59" s="507">
        <f>(H59-J59)*L59</f>
        <v>740943.87978000008</v>
      </c>
      <c r="R59" s="507">
        <f>(H59-J59)*M59</f>
        <v>333662.12490000005</v>
      </c>
      <c r="S59" s="507">
        <f>(I59-J59)*N59</f>
        <v>225900.32400000002</v>
      </c>
      <c r="T59" s="507">
        <f>(I59-K59)*O59</f>
        <v>676553.10450000002</v>
      </c>
      <c r="U59" s="507">
        <f t="shared" si="3"/>
        <v>1977059.4331800002</v>
      </c>
      <c r="V59" s="507" t="s">
        <v>713</v>
      </c>
      <c r="W59" s="518"/>
      <c r="X59" s="519"/>
    </row>
    <row r="60" spans="1:24" ht="48.75" customHeight="1">
      <c r="A60" s="514" t="s">
        <v>718</v>
      </c>
      <c r="B60" s="514" t="s">
        <v>1052</v>
      </c>
      <c r="C60" s="514" t="s">
        <v>112</v>
      </c>
      <c r="D60" s="589"/>
      <c r="E60" s="512" t="s">
        <v>1051</v>
      </c>
      <c r="F60" s="512"/>
      <c r="G60" s="512" t="s">
        <v>1215</v>
      </c>
      <c r="H60" s="507" t="s">
        <v>713</v>
      </c>
      <c r="I60" s="507" t="s">
        <v>713</v>
      </c>
      <c r="J60" s="507" t="s">
        <v>713</v>
      </c>
      <c r="K60" s="507" t="s">
        <v>713</v>
      </c>
      <c r="L60" s="508">
        <f t="shared" ref="L60:U60" si="21">SUM(L61)</f>
        <v>173.37</v>
      </c>
      <c r="M60" s="508">
        <f t="shared" si="21"/>
        <v>86.685000000000002</v>
      </c>
      <c r="N60" s="508">
        <f t="shared" si="21"/>
        <v>29.314</v>
      </c>
      <c r="O60" s="508">
        <f t="shared" si="21"/>
        <v>175.88499999999999</v>
      </c>
      <c r="P60" s="508">
        <f t="shared" si="21"/>
        <v>465.25400000000002</v>
      </c>
      <c r="Q60" s="507">
        <f t="shared" si="21"/>
        <v>845435.33759999997</v>
      </c>
      <c r="R60" s="507">
        <f t="shared" si="21"/>
        <v>422717.66879999998</v>
      </c>
      <c r="S60" s="507">
        <f t="shared" si="21"/>
        <v>142949.13472</v>
      </c>
      <c r="T60" s="507">
        <f t="shared" si="21"/>
        <v>857699.68479999993</v>
      </c>
      <c r="U60" s="507">
        <f t="shared" si="21"/>
        <v>2268801.8259199997</v>
      </c>
      <c r="V60" s="507">
        <v>281811.78000000003</v>
      </c>
      <c r="W60" s="518">
        <f>T60/3</f>
        <v>285899.89493333333</v>
      </c>
      <c r="X60" s="518">
        <f>U60+V60-W60</f>
        <v>2264713.7109866668</v>
      </c>
    </row>
    <row r="61" spans="1:24" ht="48" customHeight="1">
      <c r="A61" s="514"/>
      <c r="B61" s="514"/>
      <c r="C61" s="514"/>
      <c r="D61" s="512" t="s">
        <v>1051</v>
      </c>
      <c r="E61" s="506" t="s">
        <v>942</v>
      </c>
      <c r="F61" s="506" t="s">
        <v>1050</v>
      </c>
      <c r="G61" s="506" t="s">
        <v>1130</v>
      </c>
      <c r="H61" s="507">
        <v>6556.48</v>
      </c>
      <c r="I61" s="507">
        <v>6556.48</v>
      </c>
      <c r="J61" s="507">
        <v>1680</v>
      </c>
      <c r="K61" s="507">
        <v>1680</v>
      </c>
      <c r="L61" s="508">
        <v>173.37</v>
      </c>
      <c r="M61" s="508">
        <v>86.685000000000002</v>
      </c>
      <c r="N61" s="508">
        <v>29.314</v>
      </c>
      <c r="O61" s="508">
        <v>175.88499999999999</v>
      </c>
      <c r="P61" s="508">
        <f t="shared" si="1"/>
        <v>465.25400000000002</v>
      </c>
      <c r="Q61" s="507">
        <f>(H61-J61)*L61</f>
        <v>845435.33759999997</v>
      </c>
      <c r="R61" s="507">
        <f>(H61-J61)*M61</f>
        <v>422717.66879999998</v>
      </c>
      <c r="S61" s="507">
        <f>(I61-J61)*N61</f>
        <v>142949.13472</v>
      </c>
      <c r="T61" s="507">
        <f>(I61-K61)*O61</f>
        <v>857699.68479999993</v>
      </c>
      <c r="U61" s="507">
        <f t="shared" si="3"/>
        <v>2268801.8259199997</v>
      </c>
      <c r="V61" s="507" t="s">
        <v>713</v>
      </c>
      <c r="W61" s="518"/>
      <c r="X61" s="519"/>
    </row>
    <row r="62" spans="1:24" ht="48.75" customHeight="1">
      <c r="A62" s="514" t="s">
        <v>735</v>
      </c>
      <c r="B62" s="514" t="s">
        <v>1049</v>
      </c>
      <c r="C62" s="514" t="s">
        <v>1048</v>
      </c>
      <c r="D62" s="589"/>
      <c r="E62" s="512" t="s">
        <v>1047</v>
      </c>
      <c r="F62" s="512"/>
      <c r="G62" s="512" t="s">
        <v>1215</v>
      </c>
      <c r="H62" s="507" t="s">
        <v>713</v>
      </c>
      <c r="I62" s="507" t="s">
        <v>713</v>
      </c>
      <c r="J62" s="507" t="s">
        <v>713</v>
      </c>
      <c r="K62" s="507" t="s">
        <v>713</v>
      </c>
      <c r="L62" s="508">
        <f t="shared" ref="L62:U62" si="22">SUM(L63)</f>
        <v>170.88</v>
      </c>
      <c r="M62" s="508">
        <f t="shared" si="22"/>
        <v>74.67</v>
      </c>
      <c r="N62" s="508">
        <f t="shared" si="22"/>
        <v>29.54</v>
      </c>
      <c r="O62" s="508">
        <f t="shared" si="22"/>
        <v>177.27</v>
      </c>
      <c r="P62" s="508">
        <f t="shared" si="22"/>
        <v>452.36</v>
      </c>
      <c r="Q62" s="507">
        <f t="shared" si="22"/>
        <v>503918.28479999996</v>
      </c>
      <c r="R62" s="507">
        <f t="shared" si="22"/>
        <v>220198.8432</v>
      </c>
      <c r="S62" s="507">
        <f t="shared" si="22"/>
        <v>87112.278399999996</v>
      </c>
      <c r="T62" s="507">
        <f t="shared" si="22"/>
        <v>522762.13920000003</v>
      </c>
      <c r="U62" s="507">
        <f t="shared" si="22"/>
        <v>1333991.5456000001</v>
      </c>
      <c r="V62" s="507">
        <v>180417.37</v>
      </c>
      <c r="W62" s="518">
        <f>T62/3</f>
        <v>174254.04640000002</v>
      </c>
      <c r="X62" s="518">
        <f>U62+V62-W62</f>
        <v>1340154.8691999998</v>
      </c>
    </row>
    <row r="63" spans="1:24" ht="48" customHeight="1">
      <c r="A63" s="514"/>
      <c r="B63" s="514"/>
      <c r="C63" s="514"/>
      <c r="D63" s="512" t="s">
        <v>1047</v>
      </c>
      <c r="E63" s="506" t="s">
        <v>942</v>
      </c>
      <c r="F63" s="506" t="s">
        <v>1046</v>
      </c>
      <c r="G63" s="506" t="s">
        <v>1130</v>
      </c>
      <c r="H63" s="507">
        <v>4663.96</v>
      </c>
      <c r="I63" s="507">
        <v>4663.96</v>
      </c>
      <c r="J63" s="507">
        <v>1715</v>
      </c>
      <c r="K63" s="507">
        <v>1715</v>
      </c>
      <c r="L63" s="508">
        <v>170.88</v>
      </c>
      <c r="M63" s="508">
        <v>74.67</v>
      </c>
      <c r="N63" s="508">
        <v>29.54</v>
      </c>
      <c r="O63" s="508">
        <v>177.27</v>
      </c>
      <c r="P63" s="508">
        <f t="shared" si="1"/>
        <v>452.36</v>
      </c>
      <c r="Q63" s="507">
        <f>(H63-J63)*L63</f>
        <v>503918.28479999996</v>
      </c>
      <c r="R63" s="507">
        <f>(H63-J63)*M63</f>
        <v>220198.8432</v>
      </c>
      <c r="S63" s="507">
        <f>(I63-J63)*N63</f>
        <v>87112.278399999996</v>
      </c>
      <c r="T63" s="507">
        <f>(I63-K63)*O63</f>
        <v>522762.13920000003</v>
      </c>
      <c r="U63" s="507">
        <f t="shared" si="3"/>
        <v>1333991.5456000001</v>
      </c>
      <c r="V63" s="507" t="s">
        <v>713</v>
      </c>
      <c r="W63" s="518"/>
      <c r="X63" s="519"/>
    </row>
    <row r="64" spans="1:24" ht="48.75" customHeight="1">
      <c r="A64" s="514" t="s">
        <v>760</v>
      </c>
      <c r="B64" s="514" t="s">
        <v>1045</v>
      </c>
      <c r="C64" s="514" t="s">
        <v>115</v>
      </c>
      <c r="D64" s="589"/>
      <c r="E64" s="512" t="s">
        <v>1044</v>
      </c>
      <c r="F64" s="512"/>
      <c r="G64" s="512" t="s">
        <v>1215</v>
      </c>
      <c r="H64" s="507" t="s">
        <v>713</v>
      </c>
      <c r="I64" s="507" t="s">
        <v>713</v>
      </c>
      <c r="J64" s="507" t="s">
        <v>713</v>
      </c>
      <c r="K64" s="507" t="s">
        <v>713</v>
      </c>
      <c r="L64" s="508">
        <f t="shared" ref="L64:U64" si="23">SUM(L65)</f>
        <v>106.70700000000001</v>
      </c>
      <c r="M64" s="508">
        <f t="shared" si="23"/>
        <v>53.353999999999999</v>
      </c>
      <c r="N64" s="508">
        <f t="shared" si="23"/>
        <v>18.27</v>
      </c>
      <c r="O64" s="508">
        <f t="shared" si="23"/>
        <v>112.22</v>
      </c>
      <c r="P64" s="508">
        <f t="shared" si="23"/>
        <v>290.55100000000004</v>
      </c>
      <c r="Q64" s="507">
        <f t="shared" si="23"/>
        <v>430246.89228000003</v>
      </c>
      <c r="R64" s="507">
        <f t="shared" si="23"/>
        <v>215125.46216</v>
      </c>
      <c r="S64" s="507">
        <f t="shared" si="23"/>
        <v>73665.370800000004</v>
      </c>
      <c r="T64" s="507">
        <f t="shared" si="23"/>
        <v>452475.52879999997</v>
      </c>
      <c r="U64" s="507">
        <f t="shared" si="23"/>
        <v>1171513.25404</v>
      </c>
      <c r="V64" s="507">
        <v>143415.63</v>
      </c>
      <c r="W64" s="518">
        <f>T64/3</f>
        <v>150825.17626666665</v>
      </c>
      <c r="X64" s="518">
        <f>U64+V64-W64</f>
        <v>1164103.7077733332</v>
      </c>
    </row>
    <row r="65" spans="1:24" ht="45" customHeight="1">
      <c r="A65" s="514"/>
      <c r="B65" s="514"/>
      <c r="C65" s="514"/>
      <c r="D65" s="512" t="s">
        <v>1044</v>
      </c>
      <c r="E65" s="506" t="s">
        <v>942</v>
      </c>
      <c r="F65" s="506" t="s">
        <v>1043</v>
      </c>
      <c r="G65" s="506" t="s">
        <v>1130</v>
      </c>
      <c r="H65" s="507">
        <v>5637.04</v>
      </c>
      <c r="I65" s="507">
        <v>5637.04</v>
      </c>
      <c r="J65" s="507">
        <v>1605</v>
      </c>
      <c r="K65" s="507">
        <v>1605</v>
      </c>
      <c r="L65" s="508">
        <v>106.70700000000001</v>
      </c>
      <c r="M65" s="508">
        <v>53.353999999999999</v>
      </c>
      <c r="N65" s="508">
        <v>18.27</v>
      </c>
      <c r="O65" s="508">
        <v>112.22</v>
      </c>
      <c r="P65" s="508">
        <f t="shared" si="1"/>
        <v>290.55100000000004</v>
      </c>
      <c r="Q65" s="507">
        <f>(H65-J65)*L65</f>
        <v>430246.89228000003</v>
      </c>
      <c r="R65" s="507">
        <f>(H65-J65)*M65</f>
        <v>215125.46216</v>
      </c>
      <c r="S65" s="507">
        <f>(I65-J65)*N65</f>
        <v>73665.370800000004</v>
      </c>
      <c r="T65" s="507">
        <f>(I65-K65)*O65</f>
        <v>452475.52879999997</v>
      </c>
      <c r="U65" s="507">
        <f t="shared" si="3"/>
        <v>1171513.25404</v>
      </c>
      <c r="V65" s="507" t="s">
        <v>713</v>
      </c>
      <c r="W65" s="518"/>
      <c r="X65" s="519"/>
    </row>
    <row r="66" spans="1:24" ht="48.75" customHeight="1">
      <c r="A66" s="514" t="s">
        <v>754</v>
      </c>
      <c r="B66" s="514" t="s">
        <v>1042</v>
      </c>
      <c r="C66" s="514" t="s">
        <v>116</v>
      </c>
      <c r="D66" s="589"/>
      <c r="E66" s="512" t="s">
        <v>1041</v>
      </c>
      <c r="F66" s="512"/>
      <c r="G66" s="512" t="s">
        <v>1215</v>
      </c>
      <c r="H66" s="507" t="s">
        <v>713</v>
      </c>
      <c r="I66" s="507" t="s">
        <v>713</v>
      </c>
      <c r="J66" s="507" t="s">
        <v>713</v>
      </c>
      <c r="K66" s="507" t="s">
        <v>713</v>
      </c>
      <c r="L66" s="508">
        <f t="shared" ref="L66:U66" si="24">SUM(L67)</f>
        <v>171.17099999999999</v>
      </c>
      <c r="M66" s="508">
        <f t="shared" si="24"/>
        <v>84.665000000000006</v>
      </c>
      <c r="N66" s="508">
        <f t="shared" si="24"/>
        <v>48.2</v>
      </c>
      <c r="O66" s="508">
        <f t="shared" si="24"/>
        <v>125.93</v>
      </c>
      <c r="P66" s="508">
        <f t="shared" si="24"/>
        <v>429.96600000000001</v>
      </c>
      <c r="Q66" s="507">
        <f t="shared" si="24"/>
        <v>575079.78528000007</v>
      </c>
      <c r="R66" s="507">
        <f t="shared" si="24"/>
        <v>284447.30720000004</v>
      </c>
      <c r="S66" s="507">
        <f t="shared" si="24"/>
        <v>161936.57600000003</v>
      </c>
      <c r="T66" s="507">
        <f t="shared" si="24"/>
        <v>423084.50240000006</v>
      </c>
      <c r="U66" s="507">
        <f t="shared" si="24"/>
        <v>1444548.1708800001</v>
      </c>
      <c r="V66" s="507">
        <v>191306.9</v>
      </c>
      <c r="W66" s="518">
        <f>T66/3</f>
        <v>141028.16746666669</v>
      </c>
      <c r="X66" s="518">
        <f>U66+V66-W66</f>
        <v>1494826.9034133332</v>
      </c>
    </row>
    <row r="67" spans="1:24" ht="47.25" customHeight="1">
      <c r="A67" s="514"/>
      <c r="B67" s="514"/>
      <c r="C67" s="514"/>
      <c r="D67" s="512" t="s">
        <v>1041</v>
      </c>
      <c r="E67" s="506" t="s">
        <v>942</v>
      </c>
      <c r="F67" s="506" t="s">
        <v>1040</v>
      </c>
      <c r="G67" s="506" t="s">
        <v>1130</v>
      </c>
      <c r="H67" s="507">
        <v>4964.68</v>
      </c>
      <c r="I67" s="507">
        <v>4964.68</v>
      </c>
      <c r="J67" s="507">
        <v>1605</v>
      </c>
      <c r="K67" s="507">
        <v>1605</v>
      </c>
      <c r="L67" s="508">
        <v>171.17099999999999</v>
      </c>
      <c r="M67" s="508">
        <v>84.665000000000006</v>
      </c>
      <c r="N67" s="508">
        <v>48.2</v>
      </c>
      <c r="O67" s="508">
        <v>125.93</v>
      </c>
      <c r="P67" s="508">
        <f t="shared" si="1"/>
        <v>429.96600000000001</v>
      </c>
      <c r="Q67" s="507">
        <f>(H67-J67)*L67</f>
        <v>575079.78528000007</v>
      </c>
      <c r="R67" s="507">
        <f>(H67-J67)*M67</f>
        <v>284447.30720000004</v>
      </c>
      <c r="S67" s="507">
        <f>(I67-J67)*N67</f>
        <v>161936.57600000003</v>
      </c>
      <c r="T67" s="507">
        <f>(I67-K67)*O67</f>
        <v>423084.50240000006</v>
      </c>
      <c r="U67" s="507">
        <f t="shared" si="3"/>
        <v>1444548.1708800001</v>
      </c>
      <c r="V67" s="507" t="s">
        <v>713</v>
      </c>
      <c r="W67" s="518"/>
      <c r="X67" s="519"/>
    </row>
    <row r="68" spans="1:24" ht="48.75" customHeight="1">
      <c r="A68" s="514" t="s">
        <v>735</v>
      </c>
      <c r="B68" s="514" t="s">
        <v>1039</v>
      </c>
      <c r="C68" s="514" t="s">
        <v>1034</v>
      </c>
      <c r="D68" s="589"/>
      <c r="E68" s="512" t="s">
        <v>1037</v>
      </c>
      <c r="F68" s="512"/>
      <c r="G68" s="512" t="s">
        <v>1215</v>
      </c>
      <c r="H68" s="507" t="s">
        <v>713</v>
      </c>
      <c r="I68" s="507" t="s">
        <v>713</v>
      </c>
      <c r="J68" s="507" t="s">
        <v>713</v>
      </c>
      <c r="K68" s="507" t="s">
        <v>713</v>
      </c>
      <c r="L68" s="508">
        <f t="shared" ref="L68:T68" si="25">SUM(L69:L76)</f>
        <v>3995.9140000000002</v>
      </c>
      <c r="M68" s="508">
        <f t="shared" si="25"/>
        <v>2167.1640000000002</v>
      </c>
      <c r="N68" s="508">
        <f t="shared" si="25"/>
        <v>1011.163</v>
      </c>
      <c r="O68" s="508">
        <f t="shared" si="25"/>
        <v>3013.8199999999997</v>
      </c>
      <c r="P68" s="508">
        <f t="shared" si="25"/>
        <v>10188.060999999998</v>
      </c>
      <c r="Q68" s="507">
        <f t="shared" si="25"/>
        <v>10759530.399460003</v>
      </c>
      <c r="R68" s="507">
        <f t="shared" si="25"/>
        <v>5937169.1488800002</v>
      </c>
      <c r="S68" s="507">
        <f t="shared" si="25"/>
        <v>2777436.4910100005</v>
      </c>
      <c r="T68" s="507">
        <f t="shared" si="25"/>
        <v>8211071.3070599996</v>
      </c>
      <c r="U68" s="507">
        <f>SUM(U69:U76)</f>
        <v>27685207.346410006</v>
      </c>
      <c r="V68" s="507">
        <v>2706218.24</v>
      </c>
      <c r="W68" s="518">
        <f>T68/3</f>
        <v>2737023.76902</v>
      </c>
      <c r="X68" s="518">
        <f>U68+V68-W68</f>
        <v>27654401.81739001</v>
      </c>
    </row>
    <row r="69" spans="1:24" ht="51.75" customHeight="1">
      <c r="A69" s="514"/>
      <c r="B69" s="514"/>
      <c r="C69" s="514"/>
      <c r="D69" s="512" t="s">
        <v>1037</v>
      </c>
      <c r="E69" s="506" t="s">
        <v>737</v>
      </c>
      <c r="F69" s="506" t="s">
        <v>736</v>
      </c>
      <c r="G69" s="506" t="s">
        <v>1130</v>
      </c>
      <c r="H69" s="507">
        <v>4437.59</v>
      </c>
      <c r="I69" s="507">
        <v>4437.59</v>
      </c>
      <c r="J69" s="507">
        <v>1377</v>
      </c>
      <c r="K69" s="507">
        <v>1377</v>
      </c>
      <c r="L69" s="508">
        <v>2361.2550000000001</v>
      </c>
      <c r="M69" s="508">
        <v>1241.136</v>
      </c>
      <c r="N69" s="508">
        <v>482.12299999999999</v>
      </c>
      <c r="O69" s="508">
        <v>1717.4179999999999</v>
      </c>
      <c r="P69" s="508">
        <f t="shared" si="1"/>
        <v>5801.9319999999998</v>
      </c>
      <c r="Q69" s="507">
        <f t="shared" ref="Q69:Q76" si="26">(H69-J69)*L69</f>
        <v>7226833.4404500006</v>
      </c>
      <c r="R69" s="507">
        <f t="shared" ref="R69:R76" si="27">(H69-J69)*M69</f>
        <v>3798608.4302400001</v>
      </c>
      <c r="S69" s="507">
        <f t="shared" ref="S69:S76" si="28">(I69-J69)*N69</f>
        <v>1475580.8325700001</v>
      </c>
      <c r="T69" s="507">
        <f t="shared" ref="T69:T76" si="29">(I69-K69)*O69</f>
        <v>5256312.3566199997</v>
      </c>
      <c r="U69" s="507">
        <f t="shared" si="3"/>
        <v>17757335.05988</v>
      </c>
      <c r="V69" s="507" t="s">
        <v>713</v>
      </c>
      <c r="W69" s="518"/>
      <c r="X69" s="519"/>
    </row>
    <row r="70" spans="1:24" ht="51.75" customHeight="1">
      <c r="A70" s="514"/>
      <c r="B70" s="514"/>
      <c r="C70" s="514"/>
      <c r="D70" s="512" t="s">
        <v>1037</v>
      </c>
      <c r="E70" s="506" t="s">
        <v>838</v>
      </c>
      <c r="F70" s="506" t="s">
        <v>837</v>
      </c>
      <c r="G70" s="506" t="s">
        <v>1131</v>
      </c>
      <c r="H70" s="507">
        <v>4437.59</v>
      </c>
      <c r="I70" s="507">
        <v>4437.59</v>
      </c>
      <c r="J70" s="507">
        <v>1377</v>
      </c>
      <c r="K70" s="507">
        <v>1377</v>
      </c>
      <c r="L70" s="508">
        <v>212.95599999999999</v>
      </c>
      <c r="M70" s="508">
        <v>189.44399999999999</v>
      </c>
      <c r="N70" s="508">
        <v>180.035</v>
      </c>
      <c r="O70" s="508">
        <v>194.79599999999999</v>
      </c>
      <c r="P70" s="508">
        <f t="shared" si="1"/>
        <v>777.23099999999999</v>
      </c>
      <c r="Q70" s="507">
        <f t="shared" si="26"/>
        <v>651771.00404000003</v>
      </c>
      <c r="R70" s="507">
        <f t="shared" si="27"/>
        <v>579810.41195999994</v>
      </c>
      <c r="S70" s="507">
        <f t="shared" si="28"/>
        <v>551013.32065000001</v>
      </c>
      <c r="T70" s="507">
        <f t="shared" si="29"/>
        <v>596190.68964</v>
      </c>
      <c r="U70" s="507">
        <f t="shared" si="3"/>
        <v>2378785.4262899999</v>
      </c>
      <c r="V70" s="507" t="s">
        <v>713</v>
      </c>
      <c r="W70" s="518"/>
      <c r="X70" s="519"/>
    </row>
    <row r="71" spans="1:24" ht="51.75" customHeight="1">
      <c r="A71" s="514"/>
      <c r="B71" s="514"/>
      <c r="C71" s="514"/>
      <c r="D71" s="512" t="s">
        <v>1037</v>
      </c>
      <c r="E71" s="506" t="s">
        <v>848</v>
      </c>
      <c r="F71" s="506" t="s">
        <v>892</v>
      </c>
      <c r="G71" s="506" t="s">
        <v>1130</v>
      </c>
      <c r="H71" s="507">
        <v>4850.42</v>
      </c>
      <c r="I71" s="507">
        <v>4850.42</v>
      </c>
      <c r="J71" s="507">
        <v>1525.83</v>
      </c>
      <c r="K71" s="507">
        <v>1525.83</v>
      </c>
      <c r="L71" s="508">
        <v>401.68799999999999</v>
      </c>
      <c r="M71" s="508">
        <v>256.14100000000002</v>
      </c>
      <c r="N71" s="508">
        <v>131.047</v>
      </c>
      <c r="O71" s="508">
        <v>400.99099999999999</v>
      </c>
      <c r="P71" s="508">
        <f t="shared" si="1"/>
        <v>1189.867</v>
      </c>
      <c r="Q71" s="507">
        <f t="shared" si="26"/>
        <v>1335447.9079199999</v>
      </c>
      <c r="R71" s="507">
        <f t="shared" si="27"/>
        <v>851563.80719000008</v>
      </c>
      <c r="S71" s="507">
        <f t="shared" si="28"/>
        <v>435677.54573000001</v>
      </c>
      <c r="T71" s="507">
        <f t="shared" si="29"/>
        <v>1333130.66869</v>
      </c>
      <c r="U71" s="507">
        <f t="shared" si="3"/>
        <v>3955819.9295300003</v>
      </c>
      <c r="V71" s="507" t="s">
        <v>713</v>
      </c>
      <c r="W71" s="518"/>
      <c r="X71" s="519"/>
    </row>
    <row r="72" spans="1:24" ht="51.75" customHeight="1">
      <c r="A72" s="514"/>
      <c r="B72" s="514"/>
      <c r="C72" s="514"/>
      <c r="D72" s="512" t="s">
        <v>1037</v>
      </c>
      <c r="E72" s="506" t="s">
        <v>848</v>
      </c>
      <c r="F72" s="506" t="s">
        <v>892</v>
      </c>
      <c r="G72" s="506" t="s">
        <v>1131</v>
      </c>
      <c r="H72" s="507">
        <v>4850.42</v>
      </c>
      <c r="I72" s="507">
        <v>4850.42</v>
      </c>
      <c r="J72" s="507">
        <v>1525.83</v>
      </c>
      <c r="K72" s="507">
        <v>1525.83</v>
      </c>
      <c r="L72" s="508">
        <v>0</v>
      </c>
      <c r="M72" s="508">
        <v>0</v>
      </c>
      <c r="N72" s="508">
        <v>3.5089999999999999</v>
      </c>
      <c r="O72" s="508">
        <v>0</v>
      </c>
      <c r="P72" s="508">
        <f t="shared" ref="P72:P135" si="30">SUM(L72:O72)</f>
        <v>3.5089999999999999</v>
      </c>
      <c r="Q72" s="507">
        <f t="shared" si="26"/>
        <v>0</v>
      </c>
      <c r="R72" s="507">
        <f t="shared" si="27"/>
        <v>0</v>
      </c>
      <c r="S72" s="507">
        <f t="shared" si="28"/>
        <v>11665.98631</v>
      </c>
      <c r="T72" s="507">
        <f t="shared" si="29"/>
        <v>0</v>
      </c>
      <c r="U72" s="507">
        <f t="shared" si="3"/>
        <v>11665.98631</v>
      </c>
      <c r="V72" s="507" t="s">
        <v>713</v>
      </c>
      <c r="W72" s="518"/>
      <c r="X72" s="519"/>
    </row>
    <row r="73" spans="1:24" ht="54.75" customHeight="1">
      <c r="A73" s="514"/>
      <c r="B73" s="514"/>
      <c r="C73" s="514"/>
      <c r="D73" s="512" t="s">
        <v>1037</v>
      </c>
      <c r="E73" s="506" t="s">
        <v>756</v>
      </c>
      <c r="F73" s="506" t="s">
        <v>1036</v>
      </c>
      <c r="G73" s="506" t="s">
        <v>1130</v>
      </c>
      <c r="H73" s="507">
        <v>3499.53</v>
      </c>
      <c r="I73" s="507">
        <v>3499.53</v>
      </c>
      <c r="J73" s="507">
        <v>2150</v>
      </c>
      <c r="K73" s="507">
        <v>2150</v>
      </c>
      <c r="L73" s="508">
        <v>828.51699999999983</v>
      </c>
      <c r="M73" s="508">
        <v>360.81799999999998</v>
      </c>
      <c r="N73" s="508">
        <v>130.82499999999999</v>
      </c>
      <c r="O73" s="508">
        <v>568.42600000000004</v>
      </c>
      <c r="P73" s="508">
        <f t="shared" si="30"/>
        <v>1888.5859999999998</v>
      </c>
      <c r="Q73" s="507">
        <f t="shared" si="26"/>
        <v>1118108.5470099999</v>
      </c>
      <c r="R73" s="507">
        <f t="shared" si="27"/>
        <v>486934.71554000006</v>
      </c>
      <c r="S73" s="507">
        <f t="shared" si="28"/>
        <v>176552.26225</v>
      </c>
      <c r="T73" s="507">
        <f t="shared" si="29"/>
        <v>767107.93978000013</v>
      </c>
      <c r="U73" s="507">
        <f t="shared" ref="U73:U136" si="31">SUM(Q73:T73)</f>
        <v>2548703.4645799999</v>
      </c>
      <c r="V73" s="507" t="s">
        <v>713</v>
      </c>
      <c r="W73" s="518"/>
      <c r="X73" s="519"/>
    </row>
    <row r="74" spans="1:24" ht="54.75" customHeight="1">
      <c r="A74" s="514"/>
      <c r="B74" s="514"/>
      <c r="C74" s="514"/>
      <c r="D74" s="512" t="s">
        <v>1037</v>
      </c>
      <c r="E74" s="506" t="s">
        <v>756</v>
      </c>
      <c r="F74" s="506" t="s">
        <v>1036</v>
      </c>
      <c r="G74" s="506" t="s">
        <v>1131</v>
      </c>
      <c r="H74" s="507">
        <v>3499.53</v>
      </c>
      <c r="I74" s="507">
        <v>3499.53</v>
      </c>
      <c r="J74" s="507">
        <v>2150</v>
      </c>
      <c r="K74" s="507">
        <v>2150</v>
      </c>
      <c r="L74" s="508">
        <v>82.332999999999998</v>
      </c>
      <c r="M74" s="508">
        <v>81.62</v>
      </c>
      <c r="N74" s="508">
        <v>74.516999999999996</v>
      </c>
      <c r="O74" s="508">
        <v>80.534999999999997</v>
      </c>
      <c r="P74" s="508">
        <f t="shared" si="30"/>
        <v>319.005</v>
      </c>
      <c r="Q74" s="507">
        <f t="shared" si="26"/>
        <v>111110.85349000001</v>
      </c>
      <c r="R74" s="507">
        <f t="shared" si="27"/>
        <v>110148.63860000002</v>
      </c>
      <c r="S74" s="507">
        <f t="shared" si="28"/>
        <v>100562.92701000001</v>
      </c>
      <c r="T74" s="507">
        <f t="shared" si="29"/>
        <v>108684.39855000001</v>
      </c>
      <c r="U74" s="507">
        <f t="shared" si="31"/>
        <v>430506.8176500001</v>
      </c>
      <c r="V74" s="507" t="s">
        <v>713</v>
      </c>
      <c r="W74" s="518"/>
      <c r="X74" s="519"/>
    </row>
    <row r="75" spans="1:24" ht="54.75" customHeight="1">
      <c r="A75" s="514"/>
      <c r="B75" s="514"/>
      <c r="C75" s="514"/>
      <c r="D75" s="512" t="s">
        <v>1037</v>
      </c>
      <c r="E75" s="506" t="s">
        <v>798</v>
      </c>
      <c r="F75" s="506" t="s">
        <v>1038</v>
      </c>
      <c r="G75" s="506" t="s">
        <v>1130</v>
      </c>
      <c r="H75" s="507">
        <v>4747.07</v>
      </c>
      <c r="I75" s="507">
        <v>4747.07</v>
      </c>
      <c r="J75" s="507">
        <v>1850</v>
      </c>
      <c r="K75" s="507">
        <v>1850</v>
      </c>
      <c r="L75" s="508">
        <v>104.33199999999999</v>
      </c>
      <c r="M75" s="508">
        <v>30.28</v>
      </c>
      <c r="N75" s="508">
        <v>5.23</v>
      </c>
      <c r="O75" s="508">
        <v>48.021999999999998</v>
      </c>
      <c r="P75" s="508">
        <f t="shared" si="30"/>
        <v>187.86399999999998</v>
      </c>
      <c r="Q75" s="507">
        <f t="shared" si="26"/>
        <v>302257.10723999992</v>
      </c>
      <c r="R75" s="507">
        <f t="shared" si="27"/>
        <v>87723.279599999994</v>
      </c>
      <c r="S75" s="507">
        <f t="shared" si="28"/>
        <v>15151.676100000001</v>
      </c>
      <c r="T75" s="507">
        <f t="shared" si="29"/>
        <v>139123.09553999998</v>
      </c>
      <c r="U75" s="507">
        <f t="shared" si="31"/>
        <v>544255.15847999987</v>
      </c>
      <c r="V75" s="507" t="s">
        <v>713</v>
      </c>
      <c r="W75" s="518"/>
      <c r="X75" s="519"/>
    </row>
    <row r="76" spans="1:24" ht="54.75" customHeight="1">
      <c r="A76" s="514"/>
      <c r="B76" s="514"/>
      <c r="C76" s="514"/>
      <c r="D76" s="512" t="s">
        <v>1037</v>
      </c>
      <c r="E76" s="506" t="s">
        <v>798</v>
      </c>
      <c r="F76" s="506" t="s">
        <v>1038</v>
      </c>
      <c r="G76" s="506" t="s">
        <v>1131</v>
      </c>
      <c r="H76" s="507">
        <v>4747.07</v>
      </c>
      <c r="I76" s="507">
        <v>4747.07</v>
      </c>
      <c r="J76" s="507">
        <v>1850</v>
      </c>
      <c r="K76" s="507">
        <v>1850</v>
      </c>
      <c r="L76" s="508">
        <v>4.8330000000000002</v>
      </c>
      <c r="M76" s="508">
        <v>7.7250000000000005</v>
      </c>
      <c r="N76" s="508">
        <v>3.8769999999999998</v>
      </c>
      <c r="O76" s="508">
        <v>3.6320000000000001</v>
      </c>
      <c r="P76" s="508">
        <f t="shared" si="30"/>
        <v>20.067</v>
      </c>
      <c r="Q76" s="507">
        <f t="shared" si="26"/>
        <v>14001.539309999998</v>
      </c>
      <c r="R76" s="507">
        <f t="shared" si="27"/>
        <v>22379.865750000001</v>
      </c>
      <c r="S76" s="507">
        <f t="shared" si="28"/>
        <v>11231.940389999998</v>
      </c>
      <c r="T76" s="507">
        <f t="shared" si="29"/>
        <v>10522.158239999999</v>
      </c>
      <c r="U76" s="507">
        <f t="shared" si="31"/>
        <v>58135.50368999999</v>
      </c>
      <c r="V76" s="507" t="s">
        <v>713</v>
      </c>
      <c r="W76" s="518"/>
      <c r="X76" s="519"/>
    </row>
    <row r="77" spans="1:24" ht="40.5" customHeight="1">
      <c r="A77" s="514" t="s">
        <v>741</v>
      </c>
      <c r="B77" s="514" t="s">
        <v>1035</v>
      </c>
      <c r="C77" s="514" t="s">
        <v>1034</v>
      </c>
      <c r="D77" s="589"/>
      <c r="E77" s="512" t="s">
        <v>1033</v>
      </c>
      <c r="F77" s="512"/>
      <c r="G77" s="512" t="s">
        <v>1215</v>
      </c>
      <c r="H77" s="507" t="s">
        <v>713</v>
      </c>
      <c r="I77" s="507" t="s">
        <v>713</v>
      </c>
      <c r="J77" s="507" t="s">
        <v>713</v>
      </c>
      <c r="K77" s="507" t="s">
        <v>713</v>
      </c>
      <c r="L77" s="508">
        <f t="shared" ref="L77:T77" si="32">SUM(L78:L79)</f>
        <v>2804.3</v>
      </c>
      <c r="M77" s="508">
        <f t="shared" si="32"/>
        <v>1245.3109999999999</v>
      </c>
      <c r="N77" s="508">
        <f t="shared" si="32"/>
        <v>530.95000000000005</v>
      </c>
      <c r="O77" s="508">
        <f t="shared" si="32"/>
        <v>2272.3040000000001</v>
      </c>
      <c r="P77" s="508">
        <f t="shared" si="32"/>
        <v>6852.8649999999998</v>
      </c>
      <c r="Q77" s="507">
        <f t="shared" si="32"/>
        <v>819977.3200000003</v>
      </c>
      <c r="R77" s="507">
        <f t="shared" si="32"/>
        <v>364128.93640000012</v>
      </c>
      <c r="S77" s="507">
        <f t="shared" si="32"/>
        <v>155249.78000000003</v>
      </c>
      <c r="T77" s="507">
        <f t="shared" si="32"/>
        <v>664421.68960000016</v>
      </c>
      <c r="U77" s="507">
        <f>SUM(U78:U79)</f>
        <v>2003777.7260000005</v>
      </c>
      <c r="V77" s="507">
        <v>275342.26</v>
      </c>
      <c r="W77" s="518">
        <f>T77/3</f>
        <v>221473.89653333338</v>
      </c>
      <c r="X77" s="518">
        <f>U77+V77-W77</f>
        <v>2057646.089466667</v>
      </c>
    </row>
    <row r="78" spans="1:24" ht="49.5" customHeight="1">
      <c r="A78" s="514"/>
      <c r="B78" s="514"/>
      <c r="C78" s="514"/>
      <c r="D78" s="512" t="s">
        <v>1033</v>
      </c>
      <c r="E78" s="506" t="s">
        <v>903</v>
      </c>
      <c r="F78" s="506" t="s">
        <v>714</v>
      </c>
      <c r="G78" s="506" t="s">
        <v>1130</v>
      </c>
      <c r="H78" s="507">
        <v>2292.4</v>
      </c>
      <c r="I78" s="507">
        <v>2292.4</v>
      </c>
      <c r="J78" s="507">
        <v>2000</v>
      </c>
      <c r="K78" s="507">
        <v>2000</v>
      </c>
      <c r="L78" s="508">
        <v>2450.25</v>
      </c>
      <c r="M78" s="508">
        <v>886.3309999999999</v>
      </c>
      <c r="N78" s="508">
        <v>259.411</v>
      </c>
      <c r="O78" s="508">
        <v>1934.3</v>
      </c>
      <c r="P78" s="508">
        <f t="shared" si="30"/>
        <v>5530.2920000000004</v>
      </c>
      <c r="Q78" s="507">
        <f>(H78-J78)*L78</f>
        <v>716453.10000000021</v>
      </c>
      <c r="R78" s="507">
        <f>(H78-J78)*M78</f>
        <v>259163.18440000006</v>
      </c>
      <c r="S78" s="507">
        <f>(I78-J78)*N78</f>
        <v>75851.776400000017</v>
      </c>
      <c r="T78" s="507">
        <f>(I78-K78)*O78</f>
        <v>565589.32000000018</v>
      </c>
      <c r="U78" s="507">
        <f t="shared" si="31"/>
        <v>1617057.3808000004</v>
      </c>
      <c r="V78" s="507" t="s">
        <v>713</v>
      </c>
      <c r="W78" s="518"/>
      <c r="X78" s="519"/>
    </row>
    <row r="79" spans="1:24" ht="49.5" customHeight="1">
      <c r="A79" s="514"/>
      <c r="B79" s="514"/>
      <c r="C79" s="514"/>
      <c r="D79" s="512" t="s">
        <v>1033</v>
      </c>
      <c r="E79" s="506" t="s">
        <v>903</v>
      </c>
      <c r="F79" s="506" t="s">
        <v>714</v>
      </c>
      <c r="G79" s="506" t="s">
        <v>1131</v>
      </c>
      <c r="H79" s="507">
        <v>2292.4</v>
      </c>
      <c r="I79" s="507">
        <v>2292.4</v>
      </c>
      <c r="J79" s="507">
        <v>2000</v>
      </c>
      <c r="K79" s="507">
        <v>2000</v>
      </c>
      <c r="L79" s="508">
        <v>354.05</v>
      </c>
      <c r="M79" s="508">
        <v>358.98</v>
      </c>
      <c r="N79" s="508">
        <v>271.53899999999999</v>
      </c>
      <c r="O79" s="508">
        <v>338.00400000000002</v>
      </c>
      <c r="P79" s="508">
        <f t="shared" si="30"/>
        <v>1322.5729999999999</v>
      </c>
      <c r="Q79" s="507">
        <f>(H79-J79)*L79</f>
        <v>103524.22000000003</v>
      </c>
      <c r="R79" s="507">
        <f>(H79-J79)*M79</f>
        <v>104965.75200000004</v>
      </c>
      <c r="S79" s="507">
        <f>(I79-J79)*N79</f>
        <v>79398.003600000025</v>
      </c>
      <c r="T79" s="507">
        <f>(I79-K79)*O79</f>
        <v>98832.369600000035</v>
      </c>
      <c r="U79" s="507">
        <f t="shared" si="31"/>
        <v>386720.34520000016</v>
      </c>
      <c r="V79" s="507" t="s">
        <v>713</v>
      </c>
      <c r="W79" s="518"/>
      <c r="X79" s="519"/>
    </row>
    <row r="80" spans="1:24" ht="30.75" customHeight="1">
      <c r="A80" s="514" t="s">
        <v>730</v>
      </c>
      <c r="B80" s="514" t="s">
        <v>1032</v>
      </c>
      <c r="C80" s="514" t="s">
        <v>1031</v>
      </c>
      <c r="D80" s="589"/>
      <c r="E80" s="512" t="s">
        <v>1026</v>
      </c>
      <c r="F80" s="512"/>
      <c r="G80" s="512" t="s">
        <v>1215</v>
      </c>
      <c r="H80" s="507" t="s">
        <v>713</v>
      </c>
      <c r="I80" s="507" t="s">
        <v>713</v>
      </c>
      <c r="J80" s="507" t="s">
        <v>713</v>
      </c>
      <c r="K80" s="507" t="s">
        <v>713</v>
      </c>
      <c r="L80" s="508">
        <f t="shared" ref="L80:T80" si="33">SUM(L81:L86)</f>
        <v>10211.632</v>
      </c>
      <c r="M80" s="508">
        <f t="shared" si="33"/>
        <v>3800.9350000000004</v>
      </c>
      <c r="N80" s="508">
        <f t="shared" si="33"/>
        <v>1621</v>
      </c>
      <c r="O80" s="508">
        <f t="shared" si="33"/>
        <v>8767.9</v>
      </c>
      <c r="P80" s="508">
        <f t="shared" si="33"/>
        <v>24401.467000000001</v>
      </c>
      <c r="Q80" s="507">
        <f t="shared" si="33"/>
        <v>26026198.273170002</v>
      </c>
      <c r="R80" s="507">
        <f t="shared" si="33"/>
        <v>9676950.4793800004</v>
      </c>
      <c r="S80" s="507">
        <f t="shared" si="33"/>
        <v>4042033.9530000007</v>
      </c>
      <c r="T80" s="507">
        <f t="shared" si="33"/>
        <v>22238435.849000003</v>
      </c>
      <c r="U80" s="507">
        <f>SUM(U81:U86)</f>
        <v>61983618.554550007</v>
      </c>
      <c r="V80" s="507">
        <v>7976935.21</v>
      </c>
      <c r="W80" s="518">
        <f>T80/3</f>
        <v>7412811.9496666677</v>
      </c>
      <c r="X80" s="518">
        <f>U80+V80-W80</f>
        <v>62547741.814883336</v>
      </c>
    </row>
    <row r="81" spans="1:24" ht="45" customHeight="1">
      <c r="A81" s="514"/>
      <c r="B81" s="514"/>
      <c r="C81" s="514"/>
      <c r="D81" s="512" t="s">
        <v>1026</v>
      </c>
      <c r="E81" s="506" t="s">
        <v>732</v>
      </c>
      <c r="F81" s="506" t="s">
        <v>1030</v>
      </c>
      <c r="G81" s="506" t="s">
        <v>1130</v>
      </c>
      <c r="H81" s="507">
        <v>3587.46</v>
      </c>
      <c r="I81" s="507">
        <v>3587.46</v>
      </c>
      <c r="J81" s="507">
        <v>1601.67</v>
      </c>
      <c r="K81" s="507">
        <v>1601.67</v>
      </c>
      <c r="L81" s="508">
        <v>986.55200000000002</v>
      </c>
      <c r="M81" s="508">
        <v>370.09699999999998</v>
      </c>
      <c r="N81" s="508">
        <v>239.6</v>
      </c>
      <c r="O81" s="508">
        <v>936.9</v>
      </c>
      <c r="P81" s="508">
        <f t="shared" si="30"/>
        <v>2533.1489999999999</v>
      </c>
      <c r="Q81" s="507">
        <f t="shared" ref="Q81:Q86" si="34">(H81-J81)*L81</f>
        <v>1959085.09608</v>
      </c>
      <c r="R81" s="507">
        <f t="shared" ref="R81:R86" si="35">(H81-J81)*M81</f>
        <v>734934.92163</v>
      </c>
      <c r="S81" s="507">
        <f t="shared" ref="S81:S86" si="36">(I81-J81)*N81</f>
        <v>475795.28399999999</v>
      </c>
      <c r="T81" s="507">
        <f t="shared" ref="T81:T86" si="37">(I81-K81)*O81</f>
        <v>1860486.6509999998</v>
      </c>
      <c r="U81" s="507">
        <f t="shared" si="31"/>
        <v>5030301.9527099999</v>
      </c>
      <c r="V81" s="507" t="s">
        <v>713</v>
      </c>
      <c r="W81" s="518"/>
      <c r="X81" s="519"/>
    </row>
    <row r="82" spans="1:24" ht="45" customHeight="1">
      <c r="A82" s="514"/>
      <c r="B82" s="514"/>
      <c r="C82" s="514"/>
      <c r="D82" s="512" t="s">
        <v>1026</v>
      </c>
      <c r="E82" s="506" t="s">
        <v>732</v>
      </c>
      <c r="F82" s="506" t="s">
        <v>731</v>
      </c>
      <c r="G82" s="506" t="s">
        <v>1130</v>
      </c>
      <c r="H82" s="507">
        <v>4207.22</v>
      </c>
      <c r="I82" s="507">
        <v>4207.22</v>
      </c>
      <c r="J82" s="507">
        <v>1721.67</v>
      </c>
      <c r="K82" s="507">
        <v>1721.67</v>
      </c>
      <c r="L82" s="508">
        <v>2820.1469999999999</v>
      </c>
      <c r="M82" s="508">
        <v>1092.1030000000001</v>
      </c>
      <c r="N82" s="508">
        <v>580.9</v>
      </c>
      <c r="O82" s="508">
        <v>2597.3000000000002</v>
      </c>
      <c r="P82" s="508">
        <f t="shared" si="30"/>
        <v>7090.45</v>
      </c>
      <c r="Q82" s="507">
        <f t="shared" si="34"/>
        <v>7009616.3758500004</v>
      </c>
      <c r="R82" s="507">
        <f t="shared" si="35"/>
        <v>2714476.6116500003</v>
      </c>
      <c r="S82" s="507">
        <f t="shared" si="36"/>
        <v>1443855.9950000001</v>
      </c>
      <c r="T82" s="507">
        <f t="shared" si="37"/>
        <v>6455719.0150000006</v>
      </c>
      <c r="U82" s="507">
        <f t="shared" si="31"/>
        <v>17623667.997500002</v>
      </c>
      <c r="V82" s="507" t="s">
        <v>713</v>
      </c>
      <c r="W82" s="518"/>
      <c r="X82" s="519"/>
    </row>
    <row r="83" spans="1:24" ht="45" customHeight="1">
      <c r="A83" s="514"/>
      <c r="B83" s="514"/>
      <c r="C83" s="514"/>
      <c r="D83" s="512" t="s">
        <v>1026</v>
      </c>
      <c r="E83" s="506" t="s">
        <v>732</v>
      </c>
      <c r="F83" s="506" t="s">
        <v>1029</v>
      </c>
      <c r="G83" s="506" t="s">
        <v>1130</v>
      </c>
      <c r="H83" s="507">
        <v>4031.96</v>
      </c>
      <c r="I83" s="507">
        <v>4031.96</v>
      </c>
      <c r="J83" s="507">
        <v>1721.67</v>
      </c>
      <c r="K83" s="507">
        <v>1721.67</v>
      </c>
      <c r="L83" s="508">
        <v>476.61199999999997</v>
      </c>
      <c r="M83" s="508">
        <v>181.65</v>
      </c>
      <c r="N83" s="508">
        <v>97.8</v>
      </c>
      <c r="O83" s="508">
        <v>450.7</v>
      </c>
      <c r="P83" s="508">
        <f t="shared" si="30"/>
        <v>1206.7619999999999</v>
      </c>
      <c r="Q83" s="507">
        <f t="shared" si="34"/>
        <v>1101111.9374799998</v>
      </c>
      <c r="R83" s="507">
        <f t="shared" si="35"/>
        <v>419664.17849999998</v>
      </c>
      <c r="S83" s="507">
        <f t="shared" si="36"/>
        <v>225946.36199999999</v>
      </c>
      <c r="T83" s="507">
        <f t="shared" si="37"/>
        <v>1041247.703</v>
      </c>
      <c r="U83" s="507">
        <f t="shared" si="31"/>
        <v>2787970.1809799997</v>
      </c>
      <c r="V83" s="507" t="s">
        <v>713</v>
      </c>
      <c r="W83" s="518"/>
      <c r="X83" s="519"/>
    </row>
    <row r="84" spans="1:24" ht="55.5" customHeight="1">
      <c r="A84" s="514"/>
      <c r="B84" s="514"/>
      <c r="C84" s="514"/>
      <c r="D84" s="512" t="s">
        <v>1026</v>
      </c>
      <c r="E84" s="506" t="s">
        <v>900</v>
      </c>
      <c r="F84" s="506" t="s">
        <v>1028</v>
      </c>
      <c r="G84" s="506" t="s">
        <v>1130</v>
      </c>
      <c r="H84" s="507">
        <v>4484.5600000000004</v>
      </c>
      <c r="I84" s="507">
        <v>4484.5600000000004</v>
      </c>
      <c r="J84" s="507">
        <v>1460</v>
      </c>
      <c r="K84" s="507">
        <v>1460</v>
      </c>
      <c r="L84" s="508">
        <v>121.916</v>
      </c>
      <c r="M84" s="508">
        <v>50.149000000000001</v>
      </c>
      <c r="N84" s="508">
        <v>29.4</v>
      </c>
      <c r="O84" s="508">
        <v>119.8</v>
      </c>
      <c r="P84" s="508">
        <f t="shared" si="30"/>
        <v>321.26499999999999</v>
      </c>
      <c r="Q84" s="507">
        <f t="shared" si="34"/>
        <v>368742.25696000003</v>
      </c>
      <c r="R84" s="507">
        <f t="shared" si="35"/>
        <v>151678.65944000002</v>
      </c>
      <c r="S84" s="507">
        <f t="shared" si="36"/>
        <v>88922.064000000013</v>
      </c>
      <c r="T84" s="507">
        <f t="shared" si="37"/>
        <v>362342.28800000006</v>
      </c>
      <c r="U84" s="507">
        <f t="shared" si="31"/>
        <v>971685.26840000006</v>
      </c>
      <c r="V84" s="507" t="s">
        <v>713</v>
      </c>
      <c r="W84" s="518"/>
      <c r="X84" s="519"/>
    </row>
    <row r="85" spans="1:24" ht="55.5" customHeight="1">
      <c r="A85" s="514"/>
      <c r="B85" s="514"/>
      <c r="C85" s="514"/>
      <c r="D85" s="512" t="s">
        <v>1026</v>
      </c>
      <c r="E85" s="506" t="s">
        <v>900</v>
      </c>
      <c r="F85" s="506" t="s">
        <v>1027</v>
      </c>
      <c r="G85" s="506" t="s">
        <v>1130</v>
      </c>
      <c r="H85" s="507">
        <v>4484.5600000000004</v>
      </c>
      <c r="I85" s="507">
        <v>4484.5600000000004</v>
      </c>
      <c r="J85" s="507">
        <v>1800</v>
      </c>
      <c r="K85" s="507">
        <v>1800</v>
      </c>
      <c r="L85" s="508">
        <v>466.43100000000004</v>
      </c>
      <c r="M85" s="508">
        <v>186.625</v>
      </c>
      <c r="N85" s="508">
        <v>66.2</v>
      </c>
      <c r="O85" s="508">
        <v>380.9</v>
      </c>
      <c r="P85" s="508">
        <f t="shared" si="30"/>
        <v>1100.1559999999999</v>
      </c>
      <c r="Q85" s="507">
        <f t="shared" si="34"/>
        <v>1252162.0053600003</v>
      </c>
      <c r="R85" s="507">
        <f t="shared" si="35"/>
        <v>501006.01000000007</v>
      </c>
      <c r="S85" s="507">
        <f t="shared" si="36"/>
        <v>177717.87200000003</v>
      </c>
      <c r="T85" s="507">
        <f t="shared" si="37"/>
        <v>1022548.9040000001</v>
      </c>
      <c r="U85" s="507">
        <f t="shared" si="31"/>
        <v>2953434.7913600001</v>
      </c>
      <c r="V85" s="507" t="s">
        <v>713</v>
      </c>
      <c r="W85" s="518"/>
      <c r="X85" s="519"/>
    </row>
    <row r="86" spans="1:24" ht="71.25" customHeight="1">
      <c r="A86" s="514"/>
      <c r="B86" s="514"/>
      <c r="C86" s="514"/>
      <c r="D86" s="512" t="s">
        <v>1026</v>
      </c>
      <c r="E86" s="506" t="s">
        <v>900</v>
      </c>
      <c r="F86" s="506" t="s">
        <v>1025</v>
      </c>
      <c r="G86" s="506" t="s">
        <v>1130</v>
      </c>
      <c r="H86" s="507">
        <v>4484.5600000000004</v>
      </c>
      <c r="I86" s="507">
        <v>4484.5600000000004</v>
      </c>
      <c r="J86" s="507">
        <v>1800</v>
      </c>
      <c r="K86" s="507">
        <v>1800</v>
      </c>
      <c r="L86" s="508">
        <v>5339.9740000000002</v>
      </c>
      <c r="M86" s="508">
        <v>1920.3110000000001</v>
      </c>
      <c r="N86" s="508">
        <v>607.1</v>
      </c>
      <c r="O86" s="508">
        <v>4282.3</v>
      </c>
      <c r="P86" s="508">
        <f t="shared" si="30"/>
        <v>12149.685000000001</v>
      </c>
      <c r="Q86" s="507">
        <f t="shared" si="34"/>
        <v>14335480.601440003</v>
      </c>
      <c r="R86" s="507">
        <f t="shared" si="35"/>
        <v>5155190.0981600014</v>
      </c>
      <c r="S86" s="507">
        <f t="shared" si="36"/>
        <v>1629796.3760000004</v>
      </c>
      <c r="T86" s="507">
        <f t="shared" si="37"/>
        <v>11496091.288000003</v>
      </c>
      <c r="U86" s="507">
        <f t="shared" si="31"/>
        <v>32616558.363600008</v>
      </c>
      <c r="V86" s="507" t="s">
        <v>713</v>
      </c>
      <c r="W86" s="518"/>
      <c r="X86" s="519"/>
    </row>
    <row r="87" spans="1:24" ht="42.75" customHeight="1">
      <c r="A87" s="514" t="s">
        <v>813</v>
      </c>
      <c r="B87" s="514" t="s">
        <v>1024</v>
      </c>
      <c r="C87" s="514" t="s">
        <v>1023</v>
      </c>
      <c r="D87" s="589"/>
      <c r="E87" s="512" t="s">
        <v>1022</v>
      </c>
      <c r="F87" s="512"/>
      <c r="G87" s="512" t="s">
        <v>1215</v>
      </c>
      <c r="H87" s="507" t="s">
        <v>713</v>
      </c>
      <c r="I87" s="507" t="s">
        <v>713</v>
      </c>
      <c r="J87" s="507" t="s">
        <v>713</v>
      </c>
      <c r="K87" s="507" t="s">
        <v>713</v>
      </c>
      <c r="L87" s="508">
        <f t="shared" ref="L87:T87" si="38">SUM(L88:L90)</f>
        <v>7244.4890000000005</v>
      </c>
      <c r="M87" s="508">
        <f t="shared" si="38"/>
        <v>4653.433</v>
      </c>
      <c r="N87" s="508">
        <f t="shared" si="38"/>
        <v>2178.6999999999998</v>
      </c>
      <c r="O87" s="508">
        <f t="shared" si="38"/>
        <v>6805.2</v>
      </c>
      <c r="P87" s="508">
        <f t="shared" si="38"/>
        <v>20881.822</v>
      </c>
      <c r="Q87" s="507">
        <f t="shared" si="38"/>
        <v>41256573.516099997</v>
      </c>
      <c r="R87" s="507">
        <f t="shared" si="38"/>
        <v>26823044.937800001</v>
      </c>
      <c r="S87" s="507">
        <f t="shared" si="38"/>
        <v>12601403.265999999</v>
      </c>
      <c r="T87" s="507">
        <f t="shared" si="38"/>
        <v>39153412.782999992</v>
      </c>
      <c r="U87" s="507">
        <f>SUM(U88:U90)</f>
        <v>119834434.50289999</v>
      </c>
      <c r="V87" s="507">
        <v>13958671.98</v>
      </c>
      <c r="W87" s="518">
        <f>T87/3</f>
        <v>13051137.59433333</v>
      </c>
      <c r="X87" s="518">
        <f>U87+V87-W87</f>
        <v>120741968.88856666</v>
      </c>
    </row>
    <row r="88" spans="1:24" ht="50.25" customHeight="1">
      <c r="A88" s="514"/>
      <c r="B88" s="514"/>
      <c r="C88" s="514"/>
      <c r="D88" s="512" t="s">
        <v>1022</v>
      </c>
      <c r="E88" s="506" t="s">
        <v>720</v>
      </c>
      <c r="F88" s="506" t="s">
        <v>722</v>
      </c>
      <c r="G88" s="506" t="s">
        <v>1130</v>
      </c>
      <c r="H88" s="507">
        <v>5707.17</v>
      </c>
      <c r="I88" s="507">
        <v>5707.17</v>
      </c>
      <c r="J88" s="507">
        <v>1596.67</v>
      </c>
      <c r="K88" s="507">
        <v>1596.67</v>
      </c>
      <c r="L88" s="508">
        <v>2047.7210000000002</v>
      </c>
      <c r="M88" s="508">
        <v>1169.4340000000002</v>
      </c>
      <c r="N88" s="508">
        <v>528.02</v>
      </c>
      <c r="O88" s="508">
        <v>1743.11</v>
      </c>
      <c r="P88" s="508">
        <f t="shared" si="30"/>
        <v>5488.2850000000008</v>
      </c>
      <c r="Q88" s="507">
        <f>(H88-J88)*L88</f>
        <v>8417157.1705000009</v>
      </c>
      <c r="R88" s="507">
        <f>(H88-J88)*M88</f>
        <v>4806958.4570000004</v>
      </c>
      <c r="S88" s="507">
        <f>(I88-J88)*N88</f>
        <v>2170426.21</v>
      </c>
      <c r="T88" s="507">
        <f>(I88-K88)*O88</f>
        <v>7165053.6549999993</v>
      </c>
      <c r="U88" s="507">
        <f t="shared" si="31"/>
        <v>22559595.4925</v>
      </c>
      <c r="V88" s="507" t="s">
        <v>713</v>
      </c>
      <c r="W88" s="518"/>
      <c r="X88" s="519"/>
    </row>
    <row r="89" spans="1:24" ht="50.25" customHeight="1">
      <c r="A89" s="514"/>
      <c r="B89" s="514"/>
      <c r="C89" s="514"/>
      <c r="D89" s="512" t="s">
        <v>1022</v>
      </c>
      <c r="E89" s="506" t="s">
        <v>720</v>
      </c>
      <c r="F89" s="506" t="s">
        <v>1021</v>
      </c>
      <c r="G89" s="506" t="s">
        <v>1130</v>
      </c>
      <c r="H89" s="507">
        <v>7915.87</v>
      </c>
      <c r="I89" s="507">
        <v>7915.87</v>
      </c>
      <c r="J89" s="507">
        <v>1596.67</v>
      </c>
      <c r="K89" s="507">
        <v>1596.67</v>
      </c>
      <c r="L89" s="508">
        <v>5151.66</v>
      </c>
      <c r="M89" s="508">
        <v>3449.7260000000001</v>
      </c>
      <c r="N89" s="508">
        <v>1636.8</v>
      </c>
      <c r="O89" s="508">
        <v>5014.82</v>
      </c>
      <c r="P89" s="508">
        <f t="shared" si="30"/>
        <v>15253.005999999999</v>
      </c>
      <c r="Q89" s="507">
        <f>(H89-J89)*L89</f>
        <v>32554369.871999998</v>
      </c>
      <c r="R89" s="507">
        <f>(H89-J89)*M89</f>
        <v>21799508.5392</v>
      </c>
      <c r="S89" s="507">
        <f>(I89-J89)*N89</f>
        <v>10343266.559999999</v>
      </c>
      <c r="T89" s="507">
        <f>(I89-K89)*O89</f>
        <v>31689650.543999996</v>
      </c>
      <c r="U89" s="507">
        <f t="shared" si="31"/>
        <v>96386795.515200004</v>
      </c>
      <c r="V89" s="507" t="s">
        <v>713</v>
      </c>
      <c r="W89" s="518"/>
      <c r="X89" s="519"/>
    </row>
    <row r="90" spans="1:24" ht="50.25" customHeight="1">
      <c r="A90" s="514"/>
      <c r="B90" s="514"/>
      <c r="C90" s="514"/>
      <c r="D90" s="512" t="s">
        <v>1022</v>
      </c>
      <c r="E90" s="506" t="s">
        <v>720</v>
      </c>
      <c r="F90" s="506" t="s">
        <v>1021</v>
      </c>
      <c r="G90" s="506" t="s">
        <v>1131</v>
      </c>
      <c r="H90" s="507">
        <v>7915.87</v>
      </c>
      <c r="I90" s="507">
        <v>7915.87</v>
      </c>
      <c r="J90" s="507">
        <v>1596.67</v>
      </c>
      <c r="K90" s="507">
        <v>1596.67</v>
      </c>
      <c r="L90" s="508">
        <v>45.107999999999997</v>
      </c>
      <c r="M90" s="508">
        <v>34.273000000000003</v>
      </c>
      <c r="N90" s="508">
        <v>13.88</v>
      </c>
      <c r="O90" s="508">
        <v>47.27</v>
      </c>
      <c r="P90" s="508">
        <f t="shared" si="30"/>
        <v>140.53100000000001</v>
      </c>
      <c r="Q90" s="507">
        <f>(H90-J90)*L90</f>
        <v>285046.47359999997</v>
      </c>
      <c r="R90" s="507">
        <f>(H90-J90)*M90</f>
        <v>216577.94160000002</v>
      </c>
      <c r="S90" s="507">
        <f>(I90-J90)*N90</f>
        <v>87710.495999999999</v>
      </c>
      <c r="T90" s="507">
        <f>(I90-K90)*O90</f>
        <v>298708.58400000003</v>
      </c>
      <c r="U90" s="507">
        <f t="shared" si="31"/>
        <v>888043.4952</v>
      </c>
      <c r="V90" s="507" t="s">
        <v>713</v>
      </c>
      <c r="W90" s="518"/>
      <c r="X90" s="519"/>
    </row>
    <row r="91" spans="1:24" ht="45" customHeight="1">
      <c r="A91" s="514" t="s">
        <v>754</v>
      </c>
      <c r="B91" s="514" t="s">
        <v>1020</v>
      </c>
      <c r="C91" s="514" t="s">
        <v>32</v>
      </c>
      <c r="D91" s="589"/>
      <c r="E91" s="512" t="s">
        <v>1019</v>
      </c>
      <c r="F91" s="512"/>
      <c r="G91" s="512" t="s">
        <v>1215</v>
      </c>
      <c r="H91" s="507" t="s">
        <v>713</v>
      </c>
      <c r="I91" s="507" t="s">
        <v>713</v>
      </c>
      <c r="J91" s="507" t="s">
        <v>713</v>
      </c>
      <c r="K91" s="507" t="s">
        <v>713</v>
      </c>
      <c r="L91" s="508">
        <f t="shared" ref="L91:T91" si="39">SUM(L92:L95)</f>
        <v>13183.245000000001</v>
      </c>
      <c r="M91" s="508">
        <f t="shared" si="39"/>
        <v>7388.1330000000007</v>
      </c>
      <c r="N91" s="508">
        <f t="shared" si="39"/>
        <v>3889.12</v>
      </c>
      <c r="O91" s="508">
        <f t="shared" si="39"/>
        <v>10667.39</v>
      </c>
      <c r="P91" s="508">
        <f t="shared" si="39"/>
        <v>35127.887999999999</v>
      </c>
      <c r="Q91" s="507">
        <f t="shared" si="39"/>
        <v>49666523.190980002</v>
      </c>
      <c r="R91" s="507">
        <f t="shared" si="39"/>
        <v>27551766.060059998</v>
      </c>
      <c r="S91" s="507">
        <f t="shared" si="39"/>
        <v>14237751.780699998</v>
      </c>
      <c r="T91" s="507">
        <f t="shared" si="39"/>
        <v>40244904.099099994</v>
      </c>
      <c r="U91" s="507">
        <f>SUM(U92:U95)</f>
        <v>131700945.13083999</v>
      </c>
      <c r="V91" s="507">
        <v>16675066.689999999</v>
      </c>
      <c r="W91" s="518">
        <f>T91/3</f>
        <v>13414968.033033332</v>
      </c>
      <c r="X91" s="518">
        <f>U91+V91-W91</f>
        <v>134961043.78780666</v>
      </c>
    </row>
    <row r="92" spans="1:24" ht="48.75" customHeight="1">
      <c r="A92" s="514"/>
      <c r="B92" s="514"/>
      <c r="C92" s="514"/>
      <c r="D92" s="512" t="s">
        <v>1019</v>
      </c>
      <c r="E92" s="506" t="s">
        <v>726</v>
      </c>
      <c r="F92" s="506" t="s">
        <v>862</v>
      </c>
      <c r="G92" s="506" t="s">
        <v>1130</v>
      </c>
      <c r="H92" s="507">
        <v>5438.03</v>
      </c>
      <c r="I92" s="507">
        <v>5438.03</v>
      </c>
      <c r="J92" s="507">
        <v>1980</v>
      </c>
      <c r="K92" s="507">
        <v>1980</v>
      </c>
      <c r="L92" s="508">
        <v>7941.768</v>
      </c>
      <c r="M92" s="508">
        <v>4348.2300000000005</v>
      </c>
      <c r="N92" s="508">
        <v>1883.16</v>
      </c>
      <c r="O92" s="508">
        <v>5963.33</v>
      </c>
      <c r="P92" s="508">
        <f t="shared" si="30"/>
        <v>20136.487999999998</v>
      </c>
      <c r="Q92" s="507">
        <f>(H92-J92)*L92</f>
        <v>27462871.99704</v>
      </c>
      <c r="R92" s="507">
        <f>(H92-J92)*M92</f>
        <v>15036309.786900001</v>
      </c>
      <c r="S92" s="507">
        <f>(I92-J92)*N92</f>
        <v>6512023.7747999998</v>
      </c>
      <c r="T92" s="507">
        <f>(I92-K92)*O92</f>
        <v>20621374.039899997</v>
      </c>
      <c r="U92" s="507">
        <f t="shared" si="31"/>
        <v>69632579.598639995</v>
      </c>
      <c r="V92" s="507" t="s">
        <v>713</v>
      </c>
      <c r="W92" s="518"/>
      <c r="X92" s="519"/>
    </row>
    <row r="93" spans="1:24" ht="48.75" customHeight="1">
      <c r="A93" s="514"/>
      <c r="B93" s="514"/>
      <c r="C93" s="514"/>
      <c r="D93" s="512" t="s">
        <v>1019</v>
      </c>
      <c r="E93" s="506" t="s">
        <v>726</v>
      </c>
      <c r="F93" s="506" t="s">
        <v>862</v>
      </c>
      <c r="G93" s="506" t="s">
        <v>1131</v>
      </c>
      <c r="H93" s="507">
        <v>5438.03</v>
      </c>
      <c r="I93" s="507">
        <v>5438.03</v>
      </c>
      <c r="J93" s="507">
        <v>1980</v>
      </c>
      <c r="K93" s="507">
        <v>1980</v>
      </c>
      <c r="L93" s="508">
        <v>955.88799999999992</v>
      </c>
      <c r="M93" s="508">
        <v>934.78199999999993</v>
      </c>
      <c r="N93" s="508">
        <v>1176.83</v>
      </c>
      <c r="O93" s="508">
        <v>1176.8399999999999</v>
      </c>
      <c r="P93" s="508">
        <f t="shared" si="30"/>
        <v>4244.34</v>
      </c>
      <c r="Q93" s="507">
        <f>(H93-J93)*L93</f>
        <v>3305489.3806399996</v>
      </c>
      <c r="R93" s="507">
        <f>(H93-J93)*M93</f>
        <v>3232504.1994599993</v>
      </c>
      <c r="S93" s="507">
        <f>(I93-J93)*N93</f>
        <v>4069513.4448999995</v>
      </c>
      <c r="T93" s="507">
        <f>(I93-K93)*O93</f>
        <v>4069548.0251999996</v>
      </c>
      <c r="U93" s="507">
        <f t="shared" si="31"/>
        <v>14677055.050199999</v>
      </c>
      <c r="V93" s="507" t="s">
        <v>713</v>
      </c>
      <c r="W93" s="518"/>
      <c r="X93" s="519"/>
    </row>
    <row r="94" spans="1:24" ht="55.5" customHeight="1">
      <c r="A94" s="514"/>
      <c r="B94" s="514"/>
      <c r="C94" s="514"/>
      <c r="D94" s="512" t="s">
        <v>1019</v>
      </c>
      <c r="E94" s="506" t="s">
        <v>726</v>
      </c>
      <c r="F94" s="506" t="s">
        <v>1018</v>
      </c>
      <c r="G94" s="506" t="s">
        <v>1130</v>
      </c>
      <c r="H94" s="507">
        <v>6389.7</v>
      </c>
      <c r="I94" s="507">
        <v>6389.7</v>
      </c>
      <c r="J94" s="507">
        <v>1980</v>
      </c>
      <c r="K94" s="507">
        <v>1980</v>
      </c>
      <c r="L94" s="508">
        <v>4231.915</v>
      </c>
      <c r="M94" s="508">
        <v>2014.4119999999998</v>
      </c>
      <c r="N94" s="508">
        <v>762.05</v>
      </c>
      <c r="O94" s="508">
        <v>3460.13</v>
      </c>
      <c r="P94" s="508">
        <f t="shared" si="30"/>
        <v>10468.507</v>
      </c>
      <c r="Q94" s="507">
        <f>(H94-J94)*L94</f>
        <v>18661475.5755</v>
      </c>
      <c r="R94" s="507">
        <f>(H94-J94)*M94</f>
        <v>8882952.5963999983</v>
      </c>
      <c r="S94" s="507">
        <f>(I94-J94)*N94</f>
        <v>3360411.8849999998</v>
      </c>
      <c r="T94" s="507">
        <f>(I94-K94)*O94</f>
        <v>15258135.261</v>
      </c>
      <c r="U94" s="507">
        <f t="shared" si="31"/>
        <v>46162975.317899995</v>
      </c>
      <c r="V94" s="507" t="s">
        <v>713</v>
      </c>
      <c r="W94" s="518"/>
      <c r="X94" s="519"/>
    </row>
    <row r="95" spans="1:24" ht="57.75" customHeight="1">
      <c r="A95" s="514"/>
      <c r="B95" s="514"/>
      <c r="C95" s="514"/>
      <c r="D95" s="512" t="s">
        <v>1019</v>
      </c>
      <c r="E95" s="506" t="s">
        <v>726</v>
      </c>
      <c r="F95" s="506" t="s">
        <v>1018</v>
      </c>
      <c r="G95" s="506" t="s">
        <v>1131</v>
      </c>
      <c r="H95" s="507">
        <v>6389.7</v>
      </c>
      <c r="I95" s="507">
        <v>6389.7</v>
      </c>
      <c r="J95" s="507">
        <v>1980</v>
      </c>
      <c r="K95" s="507">
        <v>1980</v>
      </c>
      <c r="L95" s="508">
        <v>53.673999999999999</v>
      </c>
      <c r="M95" s="508">
        <v>90.709000000000003</v>
      </c>
      <c r="N95" s="508">
        <v>67.08</v>
      </c>
      <c r="O95" s="508">
        <v>67.09</v>
      </c>
      <c r="P95" s="508">
        <f t="shared" si="30"/>
        <v>278.553</v>
      </c>
      <c r="Q95" s="507">
        <f>(H95-J95)*L95</f>
        <v>236686.23779999997</v>
      </c>
      <c r="R95" s="507">
        <f>(H95-J95)*M95</f>
        <v>399999.47729999997</v>
      </c>
      <c r="S95" s="507">
        <f>(I95-J95)*N95</f>
        <v>295802.67599999998</v>
      </c>
      <c r="T95" s="507">
        <f>(I95-K95)*O95</f>
        <v>295846.77299999999</v>
      </c>
      <c r="U95" s="507">
        <f t="shared" si="31"/>
        <v>1228335.1640999999</v>
      </c>
      <c r="V95" s="507" t="s">
        <v>713</v>
      </c>
      <c r="W95" s="518"/>
      <c r="X95" s="519"/>
    </row>
    <row r="96" spans="1:24" ht="30.75" customHeight="1">
      <c r="A96" s="514" t="s">
        <v>796</v>
      </c>
      <c r="B96" s="514" t="s">
        <v>1017</v>
      </c>
      <c r="C96" s="514" t="s">
        <v>1016</v>
      </c>
      <c r="D96" s="589"/>
      <c r="E96" s="512" t="s">
        <v>1014</v>
      </c>
      <c r="F96" s="512"/>
      <c r="G96" s="512" t="s">
        <v>1215</v>
      </c>
      <c r="H96" s="507" t="s">
        <v>713</v>
      </c>
      <c r="I96" s="507" t="s">
        <v>713</v>
      </c>
      <c r="J96" s="507" t="s">
        <v>713</v>
      </c>
      <c r="K96" s="507" t="s">
        <v>713</v>
      </c>
      <c r="L96" s="508">
        <f t="shared" ref="L96:T96" si="40">SUM(L97:L98)</f>
        <v>13912.808999999999</v>
      </c>
      <c r="M96" s="508">
        <f t="shared" si="40"/>
        <v>5336.0610000000006</v>
      </c>
      <c r="N96" s="508">
        <f t="shared" si="40"/>
        <v>1128.4559999999999</v>
      </c>
      <c r="O96" s="508">
        <f t="shared" si="40"/>
        <v>13154.749</v>
      </c>
      <c r="P96" s="508">
        <f t="shared" si="40"/>
        <v>33532.074999999997</v>
      </c>
      <c r="Q96" s="507">
        <f t="shared" si="40"/>
        <v>79196072.931929991</v>
      </c>
      <c r="R96" s="507">
        <f t="shared" si="40"/>
        <v>30381213.892969999</v>
      </c>
      <c r="S96" s="507">
        <f t="shared" si="40"/>
        <v>6427872.80712</v>
      </c>
      <c r="T96" s="507">
        <f t="shared" si="40"/>
        <v>74884629.840729982</v>
      </c>
      <c r="U96" s="507">
        <f>SUM(U97:U98)</f>
        <v>190889789.47274998</v>
      </c>
      <c r="V96" s="507">
        <v>28730586.48</v>
      </c>
      <c r="W96" s="518">
        <f>T96/3</f>
        <v>24961543.280243326</v>
      </c>
      <c r="X96" s="518">
        <f>U96+V96-W96</f>
        <v>194658832.67250663</v>
      </c>
    </row>
    <row r="97" spans="1:24" ht="45.75" customHeight="1">
      <c r="A97" s="514"/>
      <c r="B97" s="514"/>
      <c r="C97" s="514"/>
      <c r="D97" s="512" t="s">
        <v>1014</v>
      </c>
      <c r="E97" s="506" t="s">
        <v>756</v>
      </c>
      <c r="F97" s="506" t="s">
        <v>1013</v>
      </c>
      <c r="G97" s="506" t="s">
        <v>1130</v>
      </c>
      <c r="H97" s="507">
        <v>7858.44</v>
      </c>
      <c r="I97" s="507">
        <v>7858.44</v>
      </c>
      <c r="J97" s="507">
        <v>2166.67</v>
      </c>
      <c r="K97" s="507">
        <v>2166.67</v>
      </c>
      <c r="L97" s="508">
        <v>13889.535</v>
      </c>
      <c r="M97" s="508">
        <v>5306.5780000000004</v>
      </c>
      <c r="N97" s="508">
        <v>1113.192</v>
      </c>
      <c r="O97" s="508">
        <v>13121.444</v>
      </c>
      <c r="P97" s="508">
        <f t="shared" si="30"/>
        <v>33430.748999999996</v>
      </c>
      <c r="Q97" s="507">
        <f>(H97-J97)*L97</f>
        <v>79056038.626949996</v>
      </c>
      <c r="R97" s="507">
        <f>(H97-J97)*M97</f>
        <v>30203821.463059999</v>
      </c>
      <c r="S97" s="507">
        <f>(I97-J97)*N97</f>
        <v>6336032.8298399998</v>
      </c>
      <c r="T97" s="507">
        <f>(I97-K97)*O97</f>
        <v>74684241.315879986</v>
      </c>
      <c r="U97" s="507">
        <f t="shared" si="31"/>
        <v>190280134.23572999</v>
      </c>
      <c r="V97" s="507" t="s">
        <v>713</v>
      </c>
      <c r="W97" s="518"/>
      <c r="X97" s="519"/>
    </row>
    <row r="98" spans="1:24" ht="45.75" customHeight="1">
      <c r="A98" s="514"/>
      <c r="B98" s="514"/>
      <c r="C98" s="514"/>
      <c r="D98" s="512" t="s">
        <v>1014</v>
      </c>
      <c r="E98" s="506" t="s">
        <v>756</v>
      </c>
      <c r="F98" s="506" t="s">
        <v>1015</v>
      </c>
      <c r="G98" s="506" t="s">
        <v>1130</v>
      </c>
      <c r="H98" s="507">
        <v>7858.44</v>
      </c>
      <c r="I98" s="507">
        <v>7858.44</v>
      </c>
      <c r="J98" s="507">
        <v>1841.67</v>
      </c>
      <c r="K98" s="507">
        <v>1841.67</v>
      </c>
      <c r="L98" s="508">
        <v>23.274000000000001</v>
      </c>
      <c r="M98" s="508">
        <v>29.483000000000001</v>
      </c>
      <c r="N98" s="508">
        <v>15.263999999999999</v>
      </c>
      <c r="O98" s="508">
        <v>33.305</v>
      </c>
      <c r="P98" s="508">
        <f t="shared" si="30"/>
        <v>101.32599999999999</v>
      </c>
      <c r="Q98" s="507">
        <f>(H98-J98)*L98</f>
        <v>140034.30497999999</v>
      </c>
      <c r="R98" s="507">
        <f>(H98-J98)*M98</f>
        <v>177392.42990999998</v>
      </c>
      <c r="S98" s="507">
        <f>(I98-J98)*N98</f>
        <v>91839.977279999992</v>
      </c>
      <c r="T98" s="507">
        <f>(I98-K98)*O98</f>
        <v>200388.52484999999</v>
      </c>
      <c r="U98" s="507">
        <f t="shared" si="31"/>
        <v>609655.23701999988</v>
      </c>
      <c r="V98" s="507" t="s">
        <v>713</v>
      </c>
      <c r="W98" s="518"/>
      <c r="X98" s="519"/>
    </row>
    <row r="99" spans="1:24" ht="30.75" customHeight="1">
      <c r="A99" s="514" t="s">
        <v>754</v>
      </c>
      <c r="B99" s="514" t="s">
        <v>1012</v>
      </c>
      <c r="C99" s="514" t="s">
        <v>1011</v>
      </c>
      <c r="D99" s="589"/>
      <c r="E99" s="512" t="s">
        <v>527</v>
      </c>
      <c r="F99" s="512"/>
      <c r="G99" s="512" t="s">
        <v>1215</v>
      </c>
      <c r="H99" s="507" t="s">
        <v>713</v>
      </c>
      <c r="I99" s="507" t="s">
        <v>713</v>
      </c>
      <c r="J99" s="507" t="s">
        <v>713</v>
      </c>
      <c r="K99" s="507" t="s">
        <v>713</v>
      </c>
      <c r="L99" s="508">
        <f t="shared" ref="L99:U99" si="41">SUM(L100:L106)</f>
        <v>290.58500000000004</v>
      </c>
      <c r="M99" s="508">
        <f t="shared" si="41"/>
        <v>123.467</v>
      </c>
      <c r="N99" s="508">
        <f t="shared" si="41"/>
        <v>33.607999999999997</v>
      </c>
      <c r="O99" s="508">
        <f t="shared" si="41"/>
        <v>201.65199999999996</v>
      </c>
      <c r="P99" s="508">
        <f t="shared" si="41"/>
        <v>649.31200000000001</v>
      </c>
      <c r="Q99" s="507">
        <f t="shared" si="41"/>
        <v>1376738.3833600001</v>
      </c>
      <c r="R99" s="507">
        <f t="shared" si="41"/>
        <v>589155.41365</v>
      </c>
      <c r="S99" s="507">
        <f t="shared" si="41"/>
        <v>161966.65710999997</v>
      </c>
      <c r="T99" s="507">
        <f t="shared" si="41"/>
        <v>971816.44354000001</v>
      </c>
      <c r="U99" s="507">
        <f t="shared" si="41"/>
        <v>3099676.8976600007</v>
      </c>
      <c r="V99" s="507">
        <v>442952.83</v>
      </c>
      <c r="W99" s="518">
        <f>T99/3</f>
        <v>323938.81451333332</v>
      </c>
      <c r="X99" s="518">
        <f>U99+V99-W99</f>
        <v>3218690.9131466676</v>
      </c>
    </row>
    <row r="100" spans="1:24" ht="42" customHeight="1">
      <c r="A100" s="514"/>
      <c r="B100" s="514"/>
      <c r="C100" s="514"/>
      <c r="D100" s="512" t="s">
        <v>527</v>
      </c>
      <c r="E100" s="506" t="s">
        <v>805</v>
      </c>
      <c r="F100" s="506" t="s">
        <v>1010</v>
      </c>
      <c r="G100" s="506" t="s">
        <v>1130</v>
      </c>
      <c r="H100" s="507">
        <v>6857.08</v>
      </c>
      <c r="I100" s="507">
        <v>6857.08</v>
      </c>
      <c r="J100" s="507">
        <v>2201</v>
      </c>
      <c r="K100" s="507">
        <v>2201</v>
      </c>
      <c r="L100" s="508">
        <v>129.93299999999999</v>
      </c>
      <c r="M100" s="508">
        <v>60.081000000000003</v>
      </c>
      <c r="N100" s="508">
        <v>10.050000000000001</v>
      </c>
      <c r="O100" s="508">
        <v>60.302999999999997</v>
      </c>
      <c r="P100" s="508">
        <f t="shared" si="30"/>
        <v>260.36700000000002</v>
      </c>
      <c r="Q100" s="507">
        <f t="shared" ref="Q100:Q106" si="42">(H100-J100)*L100</f>
        <v>604978.44263999991</v>
      </c>
      <c r="R100" s="507">
        <f t="shared" ref="R100:R106" si="43">(H100-J100)*M100</f>
        <v>279741.94248000003</v>
      </c>
      <c r="S100" s="507">
        <f t="shared" ref="S100:S106" si="44">(I100-J100)*N100</f>
        <v>46793.603999999999</v>
      </c>
      <c r="T100" s="507">
        <f t="shared" ref="T100:T106" si="45">(I100-K100)*O100</f>
        <v>280775.59223999997</v>
      </c>
      <c r="U100" s="507">
        <f t="shared" si="31"/>
        <v>1212289.58136</v>
      </c>
      <c r="V100" s="507" t="s">
        <v>713</v>
      </c>
      <c r="W100" s="518"/>
      <c r="X100" s="519"/>
    </row>
    <row r="101" spans="1:24" ht="42" customHeight="1">
      <c r="A101" s="514"/>
      <c r="B101" s="514"/>
      <c r="C101" s="514"/>
      <c r="D101" s="512" t="s">
        <v>527</v>
      </c>
      <c r="E101" s="506" t="s">
        <v>805</v>
      </c>
      <c r="F101" s="506" t="s">
        <v>1009</v>
      </c>
      <c r="G101" s="506" t="s">
        <v>1130</v>
      </c>
      <c r="H101" s="507">
        <v>4976.2700000000004</v>
      </c>
      <c r="I101" s="507">
        <v>4976.2700000000004</v>
      </c>
      <c r="J101" s="507">
        <v>2201</v>
      </c>
      <c r="K101" s="507">
        <v>2201</v>
      </c>
      <c r="L101" s="508">
        <v>7.7789999999999999</v>
      </c>
      <c r="M101" s="508">
        <v>3.597</v>
      </c>
      <c r="N101" s="508">
        <v>1.234</v>
      </c>
      <c r="O101" s="508">
        <v>7.407</v>
      </c>
      <c r="P101" s="508">
        <f t="shared" si="30"/>
        <v>20.016999999999999</v>
      </c>
      <c r="Q101" s="507">
        <f t="shared" si="42"/>
        <v>21588.825330000003</v>
      </c>
      <c r="R101" s="507">
        <f t="shared" si="43"/>
        <v>9982.6461900000013</v>
      </c>
      <c r="S101" s="507">
        <f t="shared" si="44"/>
        <v>3424.6831800000004</v>
      </c>
      <c r="T101" s="507">
        <f t="shared" si="45"/>
        <v>20556.424890000002</v>
      </c>
      <c r="U101" s="507">
        <f t="shared" si="31"/>
        <v>55552.579590000008</v>
      </c>
      <c r="V101" s="507" t="s">
        <v>713</v>
      </c>
      <c r="W101" s="518"/>
      <c r="X101" s="519"/>
    </row>
    <row r="102" spans="1:24" ht="42" customHeight="1">
      <c r="A102" s="514"/>
      <c r="B102" s="514"/>
      <c r="C102" s="514"/>
      <c r="D102" s="512" t="s">
        <v>527</v>
      </c>
      <c r="E102" s="506" t="s">
        <v>805</v>
      </c>
      <c r="F102" s="506" t="s">
        <v>1008</v>
      </c>
      <c r="G102" s="506" t="s">
        <v>1130</v>
      </c>
      <c r="H102" s="507">
        <v>3716.37</v>
      </c>
      <c r="I102" s="507">
        <v>3716.37</v>
      </c>
      <c r="J102" s="507">
        <v>1733</v>
      </c>
      <c r="K102" s="507">
        <v>1733</v>
      </c>
      <c r="L102" s="508">
        <v>16.134</v>
      </c>
      <c r="M102" s="508">
        <v>7.46</v>
      </c>
      <c r="N102" s="508">
        <v>2.5249999999999999</v>
      </c>
      <c r="O102" s="508">
        <v>15.148999999999999</v>
      </c>
      <c r="P102" s="508">
        <f t="shared" si="30"/>
        <v>41.268000000000001</v>
      </c>
      <c r="Q102" s="507">
        <f t="shared" si="42"/>
        <v>31999.691579999999</v>
      </c>
      <c r="R102" s="507">
        <f t="shared" si="43"/>
        <v>14795.940199999999</v>
      </c>
      <c r="S102" s="507">
        <f t="shared" si="44"/>
        <v>5008.0092499999992</v>
      </c>
      <c r="T102" s="507">
        <f t="shared" si="45"/>
        <v>30046.072129999997</v>
      </c>
      <c r="U102" s="507">
        <f t="shared" si="31"/>
        <v>81849.713159999999</v>
      </c>
      <c r="V102" s="507" t="s">
        <v>713</v>
      </c>
      <c r="W102" s="518"/>
      <c r="X102" s="519"/>
    </row>
    <row r="103" spans="1:24" ht="42" customHeight="1">
      <c r="A103" s="514"/>
      <c r="B103" s="514"/>
      <c r="C103" s="514"/>
      <c r="D103" s="512" t="s">
        <v>527</v>
      </c>
      <c r="E103" s="506" t="s">
        <v>805</v>
      </c>
      <c r="F103" s="506" t="s">
        <v>1007</v>
      </c>
      <c r="G103" s="506" t="s">
        <v>1130</v>
      </c>
      <c r="H103" s="507">
        <v>8366.59</v>
      </c>
      <c r="I103" s="507">
        <v>8366.59</v>
      </c>
      <c r="J103" s="507">
        <v>2027</v>
      </c>
      <c r="K103" s="507">
        <v>2027</v>
      </c>
      <c r="L103" s="508">
        <v>55.899000000000001</v>
      </c>
      <c r="M103" s="508">
        <v>25.844999999999999</v>
      </c>
      <c r="N103" s="508">
        <v>9.2799999999999994</v>
      </c>
      <c r="O103" s="508">
        <v>55.680999999999997</v>
      </c>
      <c r="P103" s="508">
        <f t="shared" si="30"/>
        <v>146.70499999999998</v>
      </c>
      <c r="Q103" s="507">
        <f t="shared" si="42"/>
        <v>354376.74141000002</v>
      </c>
      <c r="R103" s="507">
        <f t="shared" si="43"/>
        <v>163846.70355000001</v>
      </c>
      <c r="S103" s="507">
        <f t="shared" si="44"/>
        <v>58831.395199999999</v>
      </c>
      <c r="T103" s="507">
        <f t="shared" si="45"/>
        <v>352994.71078999998</v>
      </c>
      <c r="U103" s="507">
        <f t="shared" si="31"/>
        <v>930049.55095000006</v>
      </c>
      <c r="V103" s="507" t="s">
        <v>713</v>
      </c>
      <c r="W103" s="518"/>
      <c r="X103" s="519"/>
    </row>
    <row r="104" spans="1:24" ht="42" customHeight="1">
      <c r="A104" s="514"/>
      <c r="B104" s="514"/>
      <c r="C104" s="514"/>
      <c r="D104" s="512" t="s">
        <v>527</v>
      </c>
      <c r="E104" s="506" t="s">
        <v>805</v>
      </c>
      <c r="F104" s="506" t="s">
        <v>1006</v>
      </c>
      <c r="G104" s="506" t="s">
        <v>1130</v>
      </c>
      <c r="H104" s="507">
        <v>7512.32</v>
      </c>
      <c r="I104" s="507">
        <v>7512.32</v>
      </c>
      <c r="J104" s="507">
        <v>1678</v>
      </c>
      <c r="K104" s="507">
        <v>1678</v>
      </c>
      <c r="L104" s="508">
        <v>7.6080000000000005</v>
      </c>
      <c r="M104" s="508">
        <v>3.5169999999999999</v>
      </c>
      <c r="N104" s="508">
        <v>1.3580000000000001</v>
      </c>
      <c r="O104" s="508">
        <v>8.1470000000000002</v>
      </c>
      <c r="P104" s="508">
        <f t="shared" si="30"/>
        <v>20.630000000000003</v>
      </c>
      <c r="Q104" s="507">
        <f t="shared" si="42"/>
        <v>44387.506560000002</v>
      </c>
      <c r="R104" s="507">
        <f t="shared" si="43"/>
        <v>20519.30344</v>
      </c>
      <c r="S104" s="507">
        <f t="shared" si="44"/>
        <v>7923.0065599999998</v>
      </c>
      <c r="T104" s="507">
        <f t="shared" si="45"/>
        <v>47532.205040000001</v>
      </c>
      <c r="U104" s="507">
        <f t="shared" si="31"/>
        <v>120362.02159999999</v>
      </c>
      <c r="V104" s="507" t="s">
        <v>713</v>
      </c>
      <c r="W104" s="518"/>
      <c r="X104" s="519"/>
    </row>
    <row r="105" spans="1:24" ht="42" customHeight="1">
      <c r="A105" s="514"/>
      <c r="B105" s="514"/>
      <c r="C105" s="514"/>
      <c r="D105" s="512" t="s">
        <v>527</v>
      </c>
      <c r="E105" s="506" t="s">
        <v>805</v>
      </c>
      <c r="F105" s="506" t="s">
        <v>1005</v>
      </c>
      <c r="G105" s="506" t="s">
        <v>1130</v>
      </c>
      <c r="H105" s="507">
        <v>6553.72</v>
      </c>
      <c r="I105" s="507">
        <v>6553.72</v>
      </c>
      <c r="J105" s="507">
        <v>2201</v>
      </c>
      <c r="K105" s="507">
        <v>2201</v>
      </c>
      <c r="L105" s="508">
        <v>56</v>
      </c>
      <c r="M105" s="508">
        <v>15</v>
      </c>
      <c r="N105" s="508">
        <v>6.2210000000000001</v>
      </c>
      <c r="O105" s="508">
        <v>37.323999999999998</v>
      </c>
      <c r="P105" s="508">
        <f t="shared" si="30"/>
        <v>114.545</v>
      </c>
      <c r="Q105" s="507">
        <f t="shared" si="42"/>
        <v>243752.32000000001</v>
      </c>
      <c r="R105" s="507">
        <f t="shared" si="43"/>
        <v>65290.8</v>
      </c>
      <c r="S105" s="507">
        <f t="shared" si="44"/>
        <v>27078.271120000001</v>
      </c>
      <c r="T105" s="507">
        <f t="shared" si="45"/>
        <v>162460.92128000001</v>
      </c>
      <c r="U105" s="507">
        <f t="shared" si="31"/>
        <v>498582.3124</v>
      </c>
      <c r="V105" s="507" t="s">
        <v>713</v>
      </c>
      <c r="W105" s="518"/>
      <c r="X105" s="519"/>
    </row>
    <row r="106" spans="1:24" ht="42" customHeight="1">
      <c r="A106" s="514"/>
      <c r="B106" s="514"/>
      <c r="C106" s="514"/>
      <c r="D106" s="512" t="s">
        <v>527</v>
      </c>
      <c r="E106" s="506" t="s">
        <v>805</v>
      </c>
      <c r="F106" s="506" t="s">
        <v>1004</v>
      </c>
      <c r="G106" s="506" t="s">
        <v>1130</v>
      </c>
      <c r="H106" s="507">
        <v>6535.37</v>
      </c>
      <c r="I106" s="507">
        <v>6535.37</v>
      </c>
      <c r="J106" s="507">
        <v>2145</v>
      </c>
      <c r="K106" s="507">
        <v>2145</v>
      </c>
      <c r="L106" s="508">
        <v>17.231999999999999</v>
      </c>
      <c r="M106" s="508">
        <v>7.9669999999999996</v>
      </c>
      <c r="N106" s="508">
        <v>2.94</v>
      </c>
      <c r="O106" s="508">
        <v>17.640999999999998</v>
      </c>
      <c r="P106" s="508">
        <f t="shared" si="30"/>
        <v>45.78</v>
      </c>
      <c r="Q106" s="507">
        <f t="shared" si="42"/>
        <v>75654.855839999989</v>
      </c>
      <c r="R106" s="507">
        <f t="shared" si="43"/>
        <v>34978.077789999996</v>
      </c>
      <c r="S106" s="507">
        <f t="shared" si="44"/>
        <v>12907.6878</v>
      </c>
      <c r="T106" s="507">
        <f t="shared" si="45"/>
        <v>77450.517169999992</v>
      </c>
      <c r="U106" s="507">
        <f t="shared" si="31"/>
        <v>200991.13859999998</v>
      </c>
      <c r="V106" s="507" t="s">
        <v>713</v>
      </c>
      <c r="W106" s="518"/>
      <c r="X106" s="519"/>
    </row>
    <row r="107" spans="1:24" ht="30.75" customHeight="1">
      <c r="A107" s="514" t="s">
        <v>735</v>
      </c>
      <c r="B107" s="514" t="s">
        <v>1003</v>
      </c>
      <c r="C107" s="514" t="s">
        <v>1002</v>
      </c>
      <c r="D107" s="589"/>
      <c r="E107" s="512" t="s">
        <v>1001</v>
      </c>
      <c r="F107" s="512"/>
      <c r="G107" s="512" t="s">
        <v>1215</v>
      </c>
      <c r="H107" s="507" t="s">
        <v>713</v>
      </c>
      <c r="I107" s="507" t="s">
        <v>713</v>
      </c>
      <c r="J107" s="507" t="s">
        <v>713</v>
      </c>
      <c r="K107" s="507" t="s">
        <v>713</v>
      </c>
      <c r="L107" s="508">
        <f t="shared" ref="L107:U107" si="46">SUM(L108)</f>
        <v>7397.6970000000001</v>
      </c>
      <c r="M107" s="508">
        <f t="shared" si="46"/>
        <v>4698.3429999999998</v>
      </c>
      <c r="N107" s="508">
        <f t="shared" si="46"/>
        <v>2368.96</v>
      </c>
      <c r="O107" s="508">
        <f t="shared" si="46"/>
        <v>7106.88</v>
      </c>
      <c r="P107" s="508">
        <f t="shared" si="46"/>
        <v>21571.88</v>
      </c>
      <c r="Q107" s="507">
        <f t="shared" si="46"/>
        <v>24306391.101989999</v>
      </c>
      <c r="R107" s="507">
        <f t="shared" si="46"/>
        <v>15437204.64481</v>
      </c>
      <c r="S107" s="507">
        <f t="shared" si="46"/>
        <v>7783620.8032</v>
      </c>
      <c r="T107" s="507">
        <f t="shared" si="46"/>
        <v>23350862.409600001</v>
      </c>
      <c r="U107" s="507">
        <f t="shared" si="46"/>
        <v>70878078.959600002</v>
      </c>
      <c r="V107" s="507">
        <v>8020034.6200000001</v>
      </c>
      <c r="W107" s="518">
        <f>T107/3</f>
        <v>7783620.8032</v>
      </c>
      <c r="X107" s="518">
        <f>U107+V107-W107</f>
        <v>71114492.7764</v>
      </c>
    </row>
    <row r="108" spans="1:24" ht="90" customHeight="1">
      <c r="A108" s="514"/>
      <c r="B108" s="514"/>
      <c r="C108" s="514"/>
      <c r="D108" s="512" t="s">
        <v>1001</v>
      </c>
      <c r="E108" s="506" t="s">
        <v>771</v>
      </c>
      <c r="F108" s="506" t="s">
        <v>1000</v>
      </c>
      <c r="G108" s="506" t="s">
        <v>1130</v>
      </c>
      <c r="H108" s="507">
        <v>5159.67</v>
      </c>
      <c r="I108" s="507">
        <v>5159.67</v>
      </c>
      <c r="J108" s="507">
        <v>1874</v>
      </c>
      <c r="K108" s="507">
        <v>1874</v>
      </c>
      <c r="L108" s="508">
        <v>7397.6970000000001</v>
      </c>
      <c r="M108" s="508">
        <v>4698.3429999999998</v>
      </c>
      <c r="N108" s="508">
        <v>2368.96</v>
      </c>
      <c r="O108" s="508">
        <v>7106.88</v>
      </c>
      <c r="P108" s="508">
        <f t="shared" si="30"/>
        <v>21571.88</v>
      </c>
      <c r="Q108" s="507">
        <f>(H108-J108)*L108</f>
        <v>24306391.101989999</v>
      </c>
      <c r="R108" s="507">
        <f>(H108-J108)*M108</f>
        <v>15437204.64481</v>
      </c>
      <c r="S108" s="507">
        <f>(I108-J108)*N108</f>
        <v>7783620.8032</v>
      </c>
      <c r="T108" s="507">
        <f>(I108-K108)*O108</f>
        <v>23350862.409600001</v>
      </c>
      <c r="U108" s="507">
        <f t="shared" si="31"/>
        <v>70878078.959600002</v>
      </c>
      <c r="V108" s="507" t="s">
        <v>713</v>
      </c>
      <c r="W108" s="518"/>
      <c r="X108" s="519"/>
    </row>
    <row r="109" spans="1:24" ht="49.5" customHeight="1">
      <c r="A109" s="514" t="s">
        <v>760</v>
      </c>
      <c r="B109" s="514" t="s">
        <v>999</v>
      </c>
      <c r="C109" s="514" t="s">
        <v>998</v>
      </c>
      <c r="D109" s="589"/>
      <c r="E109" s="512" t="s">
        <v>997</v>
      </c>
      <c r="F109" s="512"/>
      <c r="G109" s="512" t="s">
        <v>1215</v>
      </c>
      <c r="H109" s="507" t="s">
        <v>713</v>
      </c>
      <c r="I109" s="507" t="s">
        <v>713</v>
      </c>
      <c r="J109" s="507" t="s">
        <v>713</v>
      </c>
      <c r="K109" s="507" t="s">
        <v>713</v>
      </c>
      <c r="L109" s="508">
        <f t="shared" ref="L109:U109" si="47">SUM(L110)</f>
        <v>305.27</v>
      </c>
      <c r="M109" s="508">
        <f t="shared" si="47"/>
        <v>116.00999999999999</v>
      </c>
      <c r="N109" s="508">
        <f t="shared" si="47"/>
        <v>25</v>
      </c>
      <c r="O109" s="508">
        <f t="shared" si="47"/>
        <v>191</v>
      </c>
      <c r="P109" s="508">
        <f t="shared" si="47"/>
        <v>637.28</v>
      </c>
      <c r="Q109" s="507">
        <f t="shared" si="47"/>
        <v>397339.43199999997</v>
      </c>
      <c r="R109" s="507">
        <f t="shared" si="47"/>
        <v>150998.61599999998</v>
      </c>
      <c r="S109" s="507">
        <f t="shared" si="47"/>
        <v>32539.999999999996</v>
      </c>
      <c r="T109" s="507">
        <f t="shared" si="47"/>
        <v>248605.59999999998</v>
      </c>
      <c r="U109" s="507">
        <f t="shared" si="47"/>
        <v>829483.64799999993</v>
      </c>
      <c r="V109" s="507">
        <v>149581.17000000001</v>
      </c>
      <c r="W109" s="518">
        <f>T109/3</f>
        <v>82868.533333333326</v>
      </c>
      <c r="X109" s="518">
        <f>U109+V109-W109</f>
        <v>896196.28466666664</v>
      </c>
    </row>
    <row r="110" spans="1:24" ht="44.25" customHeight="1">
      <c r="A110" s="514"/>
      <c r="B110" s="514"/>
      <c r="C110" s="514"/>
      <c r="D110" s="512" t="s">
        <v>997</v>
      </c>
      <c r="E110" s="506" t="s">
        <v>815</v>
      </c>
      <c r="F110" s="506" t="s">
        <v>996</v>
      </c>
      <c r="G110" s="506" t="s">
        <v>1130</v>
      </c>
      <c r="H110" s="507">
        <v>3241.6</v>
      </c>
      <c r="I110" s="507">
        <v>3241.6</v>
      </c>
      <c r="J110" s="507">
        <v>1940</v>
      </c>
      <c r="K110" s="507">
        <v>1940</v>
      </c>
      <c r="L110" s="508">
        <v>305.27</v>
      </c>
      <c r="M110" s="508">
        <v>116.00999999999999</v>
      </c>
      <c r="N110" s="508">
        <v>25</v>
      </c>
      <c r="O110" s="508">
        <v>191</v>
      </c>
      <c r="P110" s="508">
        <f t="shared" si="30"/>
        <v>637.28</v>
      </c>
      <c r="Q110" s="507">
        <f>(H110-J110)*L110</f>
        <v>397339.43199999997</v>
      </c>
      <c r="R110" s="507">
        <f>(H110-J110)*M110</f>
        <v>150998.61599999998</v>
      </c>
      <c r="S110" s="507">
        <f>(I110-J110)*N110</f>
        <v>32539.999999999996</v>
      </c>
      <c r="T110" s="507">
        <f>(I110-K110)*O110</f>
        <v>248605.59999999998</v>
      </c>
      <c r="U110" s="507">
        <f t="shared" si="31"/>
        <v>829483.64799999993</v>
      </c>
      <c r="V110" s="507" t="s">
        <v>713</v>
      </c>
      <c r="W110" s="518"/>
      <c r="X110" s="519"/>
    </row>
    <row r="111" spans="1:24" ht="45.75" customHeight="1">
      <c r="A111" s="514" t="s">
        <v>813</v>
      </c>
      <c r="B111" s="514" t="s">
        <v>995</v>
      </c>
      <c r="C111" s="514" t="s">
        <v>994</v>
      </c>
      <c r="D111" s="589"/>
      <c r="E111" s="512" t="s">
        <v>993</v>
      </c>
      <c r="F111" s="512"/>
      <c r="G111" s="512" t="s">
        <v>1215</v>
      </c>
      <c r="H111" s="507" t="s">
        <v>713</v>
      </c>
      <c r="I111" s="507" t="s">
        <v>713</v>
      </c>
      <c r="J111" s="507" t="s">
        <v>713</v>
      </c>
      <c r="K111" s="507" t="s">
        <v>713</v>
      </c>
      <c r="L111" s="508">
        <f t="shared" ref="L111:U111" si="48">SUM(L112)</f>
        <v>1366.3130000000001</v>
      </c>
      <c r="M111" s="508">
        <f t="shared" si="48"/>
        <v>495.178</v>
      </c>
      <c r="N111" s="508">
        <f t="shared" si="48"/>
        <v>334.52100000000002</v>
      </c>
      <c r="O111" s="508">
        <f t="shared" si="48"/>
        <v>1157.2239999999999</v>
      </c>
      <c r="P111" s="508">
        <f t="shared" si="48"/>
        <v>3353.2359999999999</v>
      </c>
      <c r="Q111" s="507">
        <f t="shared" si="48"/>
        <v>12042723.771390002</v>
      </c>
      <c r="R111" s="507">
        <f t="shared" si="48"/>
        <v>4364513.7473400002</v>
      </c>
      <c r="S111" s="507">
        <f t="shared" si="48"/>
        <v>2948478.1296300003</v>
      </c>
      <c r="T111" s="507">
        <f t="shared" si="48"/>
        <v>10199807.052720001</v>
      </c>
      <c r="U111" s="507">
        <f t="shared" si="48"/>
        <v>29555522.701080002</v>
      </c>
      <c r="V111" s="507">
        <v>3932238.46</v>
      </c>
      <c r="W111" s="518">
        <f>T111/3</f>
        <v>3399935.6842400003</v>
      </c>
      <c r="X111" s="518">
        <f>U111+V111-W111</f>
        <v>30087825.476840004</v>
      </c>
    </row>
    <row r="112" spans="1:24" ht="44.25" customHeight="1">
      <c r="A112" s="514"/>
      <c r="B112" s="514"/>
      <c r="C112" s="514"/>
      <c r="D112" s="512" t="s">
        <v>993</v>
      </c>
      <c r="E112" s="506" t="s">
        <v>737</v>
      </c>
      <c r="F112" s="506" t="s">
        <v>992</v>
      </c>
      <c r="G112" s="506" t="s">
        <v>1130</v>
      </c>
      <c r="H112" s="507">
        <v>10163.780000000001</v>
      </c>
      <c r="I112" s="507">
        <v>10163.780000000001</v>
      </c>
      <c r="J112" s="507">
        <v>1349.75</v>
      </c>
      <c r="K112" s="507">
        <v>1349.75</v>
      </c>
      <c r="L112" s="508">
        <v>1366.3130000000001</v>
      </c>
      <c r="M112" s="508">
        <v>495.178</v>
      </c>
      <c r="N112" s="508">
        <v>334.52100000000002</v>
      </c>
      <c r="O112" s="508">
        <v>1157.2239999999999</v>
      </c>
      <c r="P112" s="508">
        <f t="shared" si="30"/>
        <v>3353.2359999999999</v>
      </c>
      <c r="Q112" s="507">
        <f>(H112-J112)*L112</f>
        <v>12042723.771390002</v>
      </c>
      <c r="R112" s="507">
        <f>(H112-J112)*M112</f>
        <v>4364513.7473400002</v>
      </c>
      <c r="S112" s="507">
        <f>(I112-J112)*N112</f>
        <v>2948478.1296300003</v>
      </c>
      <c r="T112" s="507">
        <f>(I112-K112)*O112</f>
        <v>10199807.052720001</v>
      </c>
      <c r="U112" s="507">
        <f t="shared" si="31"/>
        <v>29555522.701080002</v>
      </c>
      <c r="V112" s="507" t="s">
        <v>713</v>
      </c>
      <c r="W112" s="518"/>
      <c r="X112" s="519"/>
    </row>
    <row r="113" spans="1:24" ht="42.75" customHeight="1">
      <c r="A113" s="514" t="s">
        <v>991</v>
      </c>
      <c r="B113" s="514" t="s">
        <v>990</v>
      </c>
      <c r="C113" s="514" t="s">
        <v>989</v>
      </c>
      <c r="D113" s="589"/>
      <c r="E113" s="512" t="s">
        <v>988</v>
      </c>
      <c r="F113" s="512"/>
      <c r="G113" s="512" t="s">
        <v>1215</v>
      </c>
      <c r="H113" s="507" t="s">
        <v>713</v>
      </c>
      <c r="I113" s="507" t="s">
        <v>713</v>
      </c>
      <c r="J113" s="507" t="s">
        <v>713</v>
      </c>
      <c r="K113" s="507" t="s">
        <v>713</v>
      </c>
      <c r="L113" s="508">
        <f t="shared" ref="L113:U113" si="49">SUM(L114:L115)</f>
        <v>5782.259</v>
      </c>
      <c r="M113" s="508">
        <f t="shared" si="49"/>
        <v>2662.2270000000003</v>
      </c>
      <c r="N113" s="508">
        <f t="shared" si="49"/>
        <v>1016.2</v>
      </c>
      <c r="O113" s="508">
        <f t="shared" si="49"/>
        <v>5776.61</v>
      </c>
      <c r="P113" s="508">
        <f t="shared" si="49"/>
        <v>15237.296000000002</v>
      </c>
      <c r="Q113" s="507">
        <f t="shared" si="49"/>
        <v>18834320.950340003</v>
      </c>
      <c r="R113" s="507">
        <f t="shared" si="49"/>
        <v>8671565.5180200003</v>
      </c>
      <c r="S113" s="507">
        <f t="shared" si="49"/>
        <v>3310027.6120000002</v>
      </c>
      <c r="T113" s="507">
        <f t="shared" si="49"/>
        <v>18815920.6886</v>
      </c>
      <c r="U113" s="507">
        <f t="shared" si="49"/>
        <v>49631834.768960007</v>
      </c>
      <c r="V113" s="507">
        <v>0</v>
      </c>
      <c r="W113" s="518">
        <f>T113/3</f>
        <v>6271973.5628666664</v>
      </c>
      <c r="X113" s="518">
        <f>U113+V113-W113</f>
        <v>43359861.206093341</v>
      </c>
    </row>
    <row r="114" spans="1:24" ht="44.25" customHeight="1">
      <c r="A114" s="514"/>
      <c r="B114" s="514"/>
      <c r="C114" s="514"/>
      <c r="D114" s="512" t="s">
        <v>988</v>
      </c>
      <c r="E114" s="506" t="s">
        <v>815</v>
      </c>
      <c r="F114" s="506" t="s">
        <v>814</v>
      </c>
      <c r="G114" s="506" t="s">
        <v>1130</v>
      </c>
      <c r="H114" s="507">
        <v>5557.26</v>
      </c>
      <c r="I114" s="507">
        <v>5557.26</v>
      </c>
      <c r="J114" s="507">
        <v>2300</v>
      </c>
      <c r="K114" s="507">
        <v>2300</v>
      </c>
      <c r="L114" s="508">
        <v>5651.723</v>
      </c>
      <c r="M114" s="508">
        <v>2541.9470000000001</v>
      </c>
      <c r="N114" s="508">
        <v>950.21</v>
      </c>
      <c r="O114" s="508">
        <v>5653.95</v>
      </c>
      <c r="P114" s="508">
        <f t="shared" si="30"/>
        <v>14797.830000000002</v>
      </c>
      <c r="Q114" s="507">
        <f>(H114-J114)*L114</f>
        <v>18409131.258980002</v>
      </c>
      <c r="R114" s="507">
        <f>(H114-J114)*M114</f>
        <v>8279782.2852200009</v>
      </c>
      <c r="S114" s="507">
        <f>(I114-J114)*N114</f>
        <v>3095081.0246000001</v>
      </c>
      <c r="T114" s="507">
        <f>(I114-K114)*O114</f>
        <v>18416385.177000001</v>
      </c>
      <c r="U114" s="507">
        <f t="shared" si="31"/>
        <v>48200379.745800003</v>
      </c>
      <c r="V114" s="507" t="s">
        <v>713</v>
      </c>
      <c r="W114" s="518"/>
      <c r="X114" s="519"/>
    </row>
    <row r="115" spans="1:24" ht="44.25" customHeight="1">
      <c r="A115" s="514"/>
      <c r="B115" s="514"/>
      <c r="C115" s="514"/>
      <c r="D115" s="512" t="s">
        <v>988</v>
      </c>
      <c r="E115" s="506" t="s">
        <v>815</v>
      </c>
      <c r="F115" s="506" t="s">
        <v>814</v>
      </c>
      <c r="G115" s="506" t="s">
        <v>1131</v>
      </c>
      <c r="H115" s="507">
        <v>5557.26</v>
      </c>
      <c r="I115" s="507">
        <v>5557.26</v>
      </c>
      <c r="J115" s="507">
        <v>2300</v>
      </c>
      <c r="K115" s="507">
        <v>2300</v>
      </c>
      <c r="L115" s="508">
        <v>130.536</v>
      </c>
      <c r="M115" s="508">
        <v>120.27999999999999</v>
      </c>
      <c r="N115" s="508">
        <v>65.989999999999995</v>
      </c>
      <c r="O115" s="508">
        <v>122.66</v>
      </c>
      <c r="P115" s="508">
        <f t="shared" si="30"/>
        <v>439.46600000000001</v>
      </c>
      <c r="Q115" s="507">
        <f>(H115-J115)*L115</f>
        <v>425189.69136000006</v>
      </c>
      <c r="R115" s="507">
        <f>(H115-J115)*M115</f>
        <v>391783.2328</v>
      </c>
      <c r="S115" s="507">
        <f>(I115-J115)*N115</f>
        <v>214946.58739999999</v>
      </c>
      <c r="T115" s="507">
        <f>(I115-K115)*O115</f>
        <v>399535.51160000003</v>
      </c>
      <c r="U115" s="507">
        <f t="shared" si="31"/>
        <v>1431455.0231600001</v>
      </c>
      <c r="V115" s="507" t="s">
        <v>713</v>
      </c>
      <c r="W115" s="518"/>
      <c r="X115" s="519"/>
    </row>
    <row r="116" spans="1:24" ht="42.75" customHeight="1">
      <c r="A116" s="514" t="s">
        <v>730</v>
      </c>
      <c r="B116" s="514" t="s">
        <v>987</v>
      </c>
      <c r="C116" s="514" t="s">
        <v>45</v>
      </c>
      <c r="D116" s="589"/>
      <c r="E116" s="512" t="s">
        <v>986</v>
      </c>
      <c r="F116" s="512"/>
      <c r="G116" s="512" t="s">
        <v>1215</v>
      </c>
      <c r="H116" s="507" t="s">
        <v>713</v>
      </c>
      <c r="I116" s="507" t="s">
        <v>713</v>
      </c>
      <c r="J116" s="507" t="s">
        <v>713</v>
      </c>
      <c r="K116" s="507" t="s">
        <v>713</v>
      </c>
      <c r="L116" s="508">
        <f t="shared" ref="L116:U116" si="50">SUM(L117)</f>
        <v>310.5</v>
      </c>
      <c r="M116" s="508">
        <f t="shared" si="50"/>
        <v>155.19999999999999</v>
      </c>
      <c r="N116" s="508">
        <f t="shared" si="50"/>
        <v>51.75</v>
      </c>
      <c r="O116" s="508">
        <f t="shared" si="50"/>
        <v>310.5</v>
      </c>
      <c r="P116" s="508">
        <f t="shared" si="50"/>
        <v>827.95</v>
      </c>
      <c r="Q116" s="507">
        <f t="shared" si="50"/>
        <v>432923.94000000006</v>
      </c>
      <c r="R116" s="507">
        <f t="shared" si="50"/>
        <v>216392.25600000002</v>
      </c>
      <c r="S116" s="507">
        <f t="shared" si="50"/>
        <v>72153.990000000005</v>
      </c>
      <c r="T116" s="507">
        <f t="shared" si="50"/>
        <v>432923.94000000006</v>
      </c>
      <c r="U116" s="507">
        <f t="shared" si="50"/>
        <v>1154394.1260000002</v>
      </c>
      <c r="V116" s="507">
        <v>144335.87</v>
      </c>
      <c r="W116" s="518">
        <f>T116/3</f>
        <v>144307.98000000001</v>
      </c>
      <c r="X116" s="518">
        <f>U116+V116-W116</f>
        <v>1154422.0160000003</v>
      </c>
    </row>
    <row r="117" spans="1:24" ht="44.25" customHeight="1">
      <c r="A117" s="514"/>
      <c r="B117" s="514"/>
      <c r="C117" s="514"/>
      <c r="D117" s="512" t="s">
        <v>986</v>
      </c>
      <c r="E117" s="506" t="s">
        <v>900</v>
      </c>
      <c r="F117" s="506" t="s">
        <v>985</v>
      </c>
      <c r="G117" s="506" t="s">
        <v>1130</v>
      </c>
      <c r="H117" s="507">
        <v>3578.28</v>
      </c>
      <c r="I117" s="507">
        <v>3578.28</v>
      </c>
      <c r="J117" s="507">
        <v>2184</v>
      </c>
      <c r="K117" s="507">
        <v>2184</v>
      </c>
      <c r="L117" s="508">
        <v>310.5</v>
      </c>
      <c r="M117" s="508">
        <v>155.19999999999999</v>
      </c>
      <c r="N117" s="508">
        <v>51.75</v>
      </c>
      <c r="O117" s="508">
        <v>310.5</v>
      </c>
      <c r="P117" s="508">
        <f t="shared" si="30"/>
        <v>827.95</v>
      </c>
      <c r="Q117" s="507">
        <f>(H117-J117)*L117</f>
        <v>432923.94000000006</v>
      </c>
      <c r="R117" s="507">
        <f>(H117-J117)*M117</f>
        <v>216392.25600000002</v>
      </c>
      <c r="S117" s="507">
        <f>(I117-J117)*N117</f>
        <v>72153.990000000005</v>
      </c>
      <c r="T117" s="507">
        <f>(I117-K117)*O117</f>
        <v>432923.94000000006</v>
      </c>
      <c r="U117" s="507">
        <f t="shared" si="31"/>
        <v>1154394.1260000002</v>
      </c>
      <c r="V117" s="507" t="s">
        <v>713</v>
      </c>
      <c r="W117" s="518"/>
      <c r="X117" s="519"/>
    </row>
    <row r="118" spans="1:24" ht="50.25" customHeight="1">
      <c r="A118" s="514" t="s">
        <v>735</v>
      </c>
      <c r="B118" s="514" t="s">
        <v>984</v>
      </c>
      <c r="C118" s="514" t="s">
        <v>983</v>
      </c>
      <c r="D118" s="589"/>
      <c r="E118" s="512" t="s">
        <v>982</v>
      </c>
      <c r="F118" s="512"/>
      <c r="G118" s="512" t="s">
        <v>1215</v>
      </c>
      <c r="H118" s="507" t="s">
        <v>713</v>
      </c>
      <c r="I118" s="507" t="s">
        <v>713</v>
      </c>
      <c r="J118" s="507" t="s">
        <v>713</v>
      </c>
      <c r="K118" s="507" t="s">
        <v>713</v>
      </c>
      <c r="L118" s="508">
        <f t="shared" ref="L118:U118" si="51">SUM(L119:L122)</f>
        <v>10150.368999999999</v>
      </c>
      <c r="M118" s="508">
        <f t="shared" si="51"/>
        <v>5275.9199999999992</v>
      </c>
      <c r="N118" s="508">
        <f t="shared" si="51"/>
        <v>2368.6299999999997</v>
      </c>
      <c r="O118" s="508">
        <f t="shared" si="51"/>
        <v>8257.2999999999993</v>
      </c>
      <c r="P118" s="508">
        <f t="shared" si="51"/>
        <v>26052.218999999997</v>
      </c>
      <c r="Q118" s="507">
        <f t="shared" si="51"/>
        <v>4510178.58445</v>
      </c>
      <c r="R118" s="507">
        <f t="shared" si="51"/>
        <v>2255178.40845</v>
      </c>
      <c r="S118" s="507">
        <f t="shared" si="51"/>
        <v>970283.64730000007</v>
      </c>
      <c r="T118" s="507">
        <f t="shared" si="51"/>
        <v>3560379.9154000003</v>
      </c>
      <c r="U118" s="507">
        <f t="shared" si="51"/>
        <v>11296020.555600001</v>
      </c>
      <c r="V118" s="507">
        <v>1537862.53</v>
      </c>
      <c r="W118" s="518">
        <f>T118/3</f>
        <v>1186793.3051333334</v>
      </c>
      <c r="X118" s="518">
        <f>U118+V118-W118</f>
        <v>11647089.780466666</v>
      </c>
    </row>
    <row r="119" spans="1:24" ht="44.25" customHeight="1">
      <c r="A119" s="514"/>
      <c r="B119" s="514"/>
      <c r="C119" s="514"/>
      <c r="D119" s="512" t="s">
        <v>982</v>
      </c>
      <c r="E119" s="506" t="s">
        <v>726</v>
      </c>
      <c r="F119" s="506" t="s">
        <v>811</v>
      </c>
      <c r="G119" s="506" t="s">
        <v>1130</v>
      </c>
      <c r="H119" s="507">
        <v>2084.5</v>
      </c>
      <c r="I119" s="507">
        <v>2084.5</v>
      </c>
      <c r="J119" s="507">
        <v>1980</v>
      </c>
      <c r="K119" s="507">
        <v>1980</v>
      </c>
      <c r="L119" s="508">
        <v>5623.3259999999991</v>
      </c>
      <c r="M119" s="508">
        <v>2714.8029999999999</v>
      </c>
      <c r="N119" s="508">
        <v>793.03</v>
      </c>
      <c r="O119" s="508">
        <v>4605.2299999999996</v>
      </c>
      <c r="P119" s="508">
        <f t="shared" si="30"/>
        <v>13736.388999999999</v>
      </c>
      <c r="Q119" s="507">
        <f>(H119-J119)*L119</f>
        <v>587637.56699999992</v>
      </c>
      <c r="R119" s="507">
        <f>(H119-J119)*M119</f>
        <v>283696.91349999997</v>
      </c>
      <c r="S119" s="507">
        <f>(I119-J119)*N119</f>
        <v>82871.634999999995</v>
      </c>
      <c r="T119" s="507">
        <f>(I119-K119)*O119</f>
        <v>481246.53499999997</v>
      </c>
      <c r="U119" s="507">
        <f t="shared" si="31"/>
        <v>1435452.6504999998</v>
      </c>
      <c r="V119" s="507" t="s">
        <v>713</v>
      </c>
      <c r="W119" s="518"/>
      <c r="X119" s="519"/>
    </row>
    <row r="120" spans="1:24" ht="44.25" customHeight="1">
      <c r="A120" s="514"/>
      <c r="B120" s="514"/>
      <c r="C120" s="514"/>
      <c r="D120" s="512" t="s">
        <v>982</v>
      </c>
      <c r="E120" s="506" t="s">
        <v>726</v>
      </c>
      <c r="F120" s="506" t="s">
        <v>811</v>
      </c>
      <c r="G120" s="506" t="s">
        <v>1131</v>
      </c>
      <c r="H120" s="507">
        <v>2084.5</v>
      </c>
      <c r="I120" s="507">
        <v>2084.5</v>
      </c>
      <c r="J120" s="507">
        <v>1980</v>
      </c>
      <c r="K120" s="507">
        <v>1980</v>
      </c>
      <c r="L120" s="508">
        <v>881.09799999999996</v>
      </c>
      <c r="M120" s="508">
        <v>760.22199999999998</v>
      </c>
      <c r="N120" s="508">
        <v>811.67</v>
      </c>
      <c r="O120" s="508">
        <v>800.93</v>
      </c>
      <c r="P120" s="508">
        <f t="shared" si="30"/>
        <v>3253.9199999999996</v>
      </c>
      <c r="Q120" s="507">
        <f>(H120-J120)*L120</f>
        <v>92074.740999999995</v>
      </c>
      <c r="R120" s="507">
        <f>(H120-J120)*M120</f>
        <v>79443.198999999993</v>
      </c>
      <c r="S120" s="507">
        <f>(I120-J120)*N120</f>
        <v>84819.514999999999</v>
      </c>
      <c r="T120" s="507">
        <f>(I120-K120)*O120</f>
        <v>83697.184999999998</v>
      </c>
      <c r="U120" s="507">
        <f t="shared" si="31"/>
        <v>340034.64</v>
      </c>
      <c r="V120" s="507" t="s">
        <v>713</v>
      </c>
      <c r="W120" s="518"/>
      <c r="X120" s="519"/>
    </row>
    <row r="121" spans="1:24" ht="44.25" customHeight="1">
      <c r="A121" s="514"/>
      <c r="B121" s="514"/>
      <c r="C121" s="514"/>
      <c r="D121" s="512" t="s">
        <v>982</v>
      </c>
      <c r="E121" s="506" t="s">
        <v>726</v>
      </c>
      <c r="F121" s="506" t="s">
        <v>981</v>
      </c>
      <c r="G121" s="506" t="s">
        <v>1130</v>
      </c>
      <c r="H121" s="507">
        <v>3030.61</v>
      </c>
      <c r="I121" s="507">
        <v>3030.61</v>
      </c>
      <c r="J121" s="507">
        <v>1980</v>
      </c>
      <c r="K121" s="507">
        <v>1980</v>
      </c>
      <c r="L121" s="508">
        <v>3081.1659999999997</v>
      </c>
      <c r="M121" s="508">
        <v>1298.722</v>
      </c>
      <c r="N121" s="508">
        <v>326.51</v>
      </c>
      <c r="O121" s="508">
        <v>2334.75</v>
      </c>
      <c r="P121" s="508">
        <f t="shared" si="30"/>
        <v>7041.1480000000001</v>
      </c>
      <c r="Q121" s="507">
        <f>(H121-J121)*L121</f>
        <v>3237103.8112599999</v>
      </c>
      <c r="R121" s="507">
        <f>(H121-J121)*M121</f>
        <v>1364450.3204200002</v>
      </c>
      <c r="S121" s="507">
        <f>(I121-J121)*N121</f>
        <v>343034.67110000004</v>
      </c>
      <c r="T121" s="507">
        <f>(I121-K121)*O121</f>
        <v>2452911.6975000002</v>
      </c>
      <c r="U121" s="507">
        <f t="shared" si="31"/>
        <v>7397500.5002800003</v>
      </c>
      <c r="V121" s="507" t="s">
        <v>713</v>
      </c>
      <c r="W121" s="518"/>
      <c r="X121" s="519"/>
    </row>
    <row r="122" spans="1:24" ht="44.25" customHeight="1">
      <c r="A122" s="514"/>
      <c r="B122" s="514"/>
      <c r="C122" s="514"/>
      <c r="D122" s="512" t="s">
        <v>982</v>
      </c>
      <c r="E122" s="506" t="s">
        <v>726</v>
      </c>
      <c r="F122" s="506" t="s">
        <v>981</v>
      </c>
      <c r="G122" s="506" t="s">
        <v>1131</v>
      </c>
      <c r="H122" s="507">
        <v>3030.61</v>
      </c>
      <c r="I122" s="507">
        <v>3030.61</v>
      </c>
      <c r="J122" s="507">
        <v>1980</v>
      </c>
      <c r="K122" s="507">
        <v>1980</v>
      </c>
      <c r="L122" s="508">
        <v>564.779</v>
      </c>
      <c r="M122" s="508">
        <v>502.173</v>
      </c>
      <c r="N122" s="508">
        <v>437.42</v>
      </c>
      <c r="O122" s="508">
        <v>516.39</v>
      </c>
      <c r="P122" s="508">
        <f t="shared" si="30"/>
        <v>2020.7620000000002</v>
      </c>
      <c r="Q122" s="507">
        <f>(H122-J122)*L122</f>
        <v>593362.46519000002</v>
      </c>
      <c r="R122" s="507">
        <f>(H122-J122)*M122</f>
        <v>527587.97553000005</v>
      </c>
      <c r="S122" s="507">
        <f>(I122-J122)*N122</f>
        <v>459557.82620000007</v>
      </c>
      <c r="T122" s="507">
        <f>(I122-K122)*O122</f>
        <v>542524.49790000007</v>
      </c>
      <c r="U122" s="507">
        <f t="shared" si="31"/>
        <v>2123032.7648200002</v>
      </c>
      <c r="V122" s="507" t="s">
        <v>713</v>
      </c>
      <c r="W122" s="518"/>
      <c r="X122" s="519"/>
    </row>
    <row r="123" spans="1:24" ht="46.5" customHeight="1">
      <c r="A123" s="514" t="s">
        <v>1138</v>
      </c>
      <c r="B123" s="514" t="s">
        <v>1137</v>
      </c>
      <c r="C123" s="514" t="s">
        <v>1136</v>
      </c>
      <c r="D123" s="589"/>
      <c r="E123" s="512" t="s">
        <v>1135</v>
      </c>
      <c r="F123" s="512"/>
      <c r="G123" s="512" t="s">
        <v>1215</v>
      </c>
      <c r="H123" s="507" t="s">
        <v>713</v>
      </c>
      <c r="I123" s="507" t="s">
        <v>713</v>
      </c>
      <c r="J123" s="507" t="s">
        <v>713</v>
      </c>
      <c r="K123" s="507" t="s">
        <v>713</v>
      </c>
      <c r="L123" s="508">
        <f t="shared" ref="L123:U123" si="52">SUM(L124:L125)</f>
        <v>3744.1170000000002</v>
      </c>
      <c r="M123" s="508">
        <f t="shared" si="52"/>
        <v>1835.058</v>
      </c>
      <c r="N123" s="508">
        <f t="shared" si="52"/>
        <v>632.17100000000005</v>
      </c>
      <c r="O123" s="508">
        <f t="shared" si="52"/>
        <v>3217.1079999999997</v>
      </c>
      <c r="P123" s="508">
        <f t="shared" si="52"/>
        <v>9428.4539999999997</v>
      </c>
      <c r="Q123" s="507">
        <f t="shared" si="52"/>
        <v>1556878.7309400004</v>
      </c>
      <c r="R123" s="507">
        <f t="shared" si="52"/>
        <v>763053.81756000023</v>
      </c>
      <c r="S123" s="507">
        <f t="shared" si="52"/>
        <v>262869.34522000002</v>
      </c>
      <c r="T123" s="507">
        <f t="shared" si="52"/>
        <v>1337737.8485600001</v>
      </c>
      <c r="U123" s="507">
        <f t="shared" si="52"/>
        <v>3920539.7422800004</v>
      </c>
      <c r="V123" s="507">
        <v>476835.88</v>
      </c>
      <c r="W123" s="518">
        <f>T123/3</f>
        <v>445912.61618666671</v>
      </c>
      <c r="X123" s="518">
        <f>U123+V123-W123</f>
        <v>3951463.0060933339</v>
      </c>
    </row>
    <row r="124" spans="1:24" ht="44.25" customHeight="1">
      <c r="A124" s="514"/>
      <c r="B124" s="514"/>
      <c r="C124" s="514"/>
      <c r="D124" s="512" t="s">
        <v>982</v>
      </c>
      <c r="E124" s="506" t="s">
        <v>732</v>
      </c>
      <c r="F124" s="506" t="s">
        <v>1030</v>
      </c>
      <c r="G124" s="506" t="s">
        <v>1130</v>
      </c>
      <c r="H124" s="507">
        <v>1257.49</v>
      </c>
      <c r="I124" s="507">
        <v>1257.49</v>
      </c>
      <c r="J124" s="507">
        <v>841.67</v>
      </c>
      <c r="K124" s="507">
        <v>841.67</v>
      </c>
      <c r="L124" s="508">
        <v>3566.4530000000004</v>
      </c>
      <c r="M124" s="508">
        <v>1664.2260000000001</v>
      </c>
      <c r="N124" s="508">
        <v>506.89400000000001</v>
      </c>
      <c r="O124" s="508">
        <v>3081.99</v>
      </c>
      <c r="P124" s="508">
        <f t="shared" si="30"/>
        <v>8819.5630000000001</v>
      </c>
      <c r="Q124" s="507">
        <f>(H124-J124)*L124</f>
        <v>1483002.4864600003</v>
      </c>
      <c r="R124" s="507">
        <f>(H124-J124)*M124</f>
        <v>692018.45532000018</v>
      </c>
      <c r="S124" s="507">
        <f>(I124-J124)*N124</f>
        <v>210776.66308000003</v>
      </c>
      <c r="T124" s="507">
        <f>(I124-K124)*O124</f>
        <v>1281553.0818</v>
      </c>
      <c r="U124" s="507">
        <f t="shared" si="31"/>
        <v>3667350.6866600001</v>
      </c>
      <c r="V124" s="507" t="s">
        <v>713</v>
      </c>
      <c r="W124" s="518"/>
      <c r="X124" s="519"/>
    </row>
    <row r="125" spans="1:24" ht="44.25" customHeight="1">
      <c r="A125" s="514"/>
      <c r="B125" s="514"/>
      <c r="C125" s="514"/>
      <c r="D125" s="512" t="s">
        <v>982</v>
      </c>
      <c r="E125" s="506" t="s">
        <v>732</v>
      </c>
      <c r="F125" s="506" t="s">
        <v>1030</v>
      </c>
      <c r="G125" s="506" t="s">
        <v>1131</v>
      </c>
      <c r="H125" s="507">
        <v>1257.49</v>
      </c>
      <c r="I125" s="507">
        <v>1257.49</v>
      </c>
      <c r="J125" s="507">
        <v>841.67</v>
      </c>
      <c r="K125" s="507">
        <v>841.67</v>
      </c>
      <c r="L125" s="508">
        <v>177.66399999999999</v>
      </c>
      <c r="M125" s="508">
        <v>170.83199999999999</v>
      </c>
      <c r="N125" s="508">
        <v>125.277</v>
      </c>
      <c r="O125" s="508">
        <v>135.11799999999999</v>
      </c>
      <c r="P125" s="508">
        <f t="shared" si="30"/>
        <v>608.89099999999996</v>
      </c>
      <c r="Q125" s="507">
        <f>(H125-J125)*L125</f>
        <v>73876.244480000008</v>
      </c>
      <c r="R125" s="507">
        <f>(H125-J125)*M125</f>
        <v>71035.362240000002</v>
      </c>
      <c r="S125" s="507">
        <f>(I125-J125)*N125</f>
        <v>52092.682140000004</v>
      </c>
      <c r="T125" s="507">
        <f>(I125-K125)*O125</f>
        <v>56184.766760000006</v>
      </c>
      <c r="U125" s="507">
        <f t="shared" si="31"/>
        <v>253189.05562000003</v>
      </c>
      <c r="V125" s="507" t="s">
        <v>713</v>
      </c>
      <c r="W125" s="518"/>
      <c r="X125" s="519"/>
    </row>
    <row r="126" spans="1:24" ht="42.75" customHeight="1">
      <c r="A126" s="514" t="s">
        <v>760</v>
      </c>
      <c r="B126" s="514" t="s">
        <v>980</v>
      </c>
      <c r="C126" s="514" t="s">
        <v>979</v>
      </c>
      <c r="D126" s="589"/>
      <c r="E126" s="512" t="s">
        <v>978</v>
      </c>
      <c r="F126" s="512"/>
      <c r="G126" s="512" t="s">
        <v>1215</v>
      </c>
      <c r="H126" s="507" t="s">
        <v>713</v>
      </c>
      <c r="I126" s="507" t="s">
        <v>713</v>
      </c>
      <c r="J126" s="507" t="s">
        <v>713</v>
      </c>
      <c r="K126" s="507" t="s">
        <v>713</v>
      </c>
      <c r="L126" s="508">
        <f t="shared" ref="L126:U126" si="53">SUM(L127:L128)</f>
        <v>2003.8710000000001</v>
      </c>
      <c r="M126" s="508">
        <f t="shared" si="53"/>
        <v>810.61699999999996</v>
      </c>
      <c r="N126" s="508">
        <f t="shared" si="53"/>
        <v>410</v>
      </c>
      <c r="O126" s="508">
        <f t="shared" si="53"/>
        <v>1821.329</v>
      </c>
      <c r="P126" s="508">
        <f t="shared" si="53"/>
        <v>5045.817</v>
      </c>
      <c r="Q126" s="507">
        <f t="shared" si="53"/>
        <v>6025138.0205799993</v>
      </c>
      <c r="R126" s="507">
        <f t="shared" si="53"/>
        <v>2346720.0026599998</v>
      </c>
      <c r="S126" s="507">
        <f t="shared" si="53"/>
        <v>1259651.2</v>
      </c>
      <c r="T126" s="507">
        <f t="shared" si="53"/>
        <v>5595705.5132799996</v>
      </c>
      <c r="U126" s="507">
        <f t="shared" si="53"/>
        <v>15227214.73652</v>
      </c>
      <c r="V126" s="507">
        <v>5524479.2000000002</v>
      </c>
      <c r="W126" s="518">
        <f>T126/3</f>
        <v>1865235.1710933333</v>
      </c>
      <c r="X126" s="518">
        <f>U126+V126-W126</f>
        <v>18886458.765426666</v>
      </c>
    </row>
    <row r="127" spans="1:24" ht="52.5" customHeight="1">
      <c r="A127" s="514"/>
      <c r="B127" s="514"/>
      <c r="C127" s="514"/>
      <c r="D127" s="512" t="s">
        <v>978</v>
      </c>
      <c r="E127" s="506" t="s">
        <v>805</v>
      </c>
      <c r="F127" s="506" t="s">
        <v>977</v>
      </c>
      <c r="G127" s="506" t="s">
        <v>1130</v>
      </c>
      <c r="H127" s="507">
        <v>4516.49</v>
      </c>
      <c r="I127" s="507">
        <v>4516.49</v>
      </c>
      <c r="J127" s="507">
        <v>1444.17</v>
      </c>
      <c r="K127" s="507">
        <v>1444.17</v>
      </c>
      <c r="L127" s="508">
        <v>1262.95</v>
      </c>
      <c r="M127" s="508">
        <v>0</v>
      </c>
      <c r="N127" s="508">
        <v>410</v>
      </c>
      <c r="O127" s="508">
        <v>1821.329</v>
      </c>
      <c r="P127" s="508">
        <f t="shared" si="30"/>
        <v>3494.279</v>
      </c>
      <c r="Q127" s="507">
        <f>(H127-J127)*L127</f>
        <v>3880186.5439999998</v>
      </c>
      <c r="R127" s="507">
        <f>(H127-J127)*M127</f>
        <v>0</v>
      </c>
      <c r="S127" s="507">
        <f>(I127-J127)*N127</f>
        <v>1259651.2</v>
      </c>
      <c r="T127" s="507">
        <f>(I127-K127)*O127</f>
        <v>5595705.5132799996</v>
      </c>
      <c r="U127" s="507">
        <f t="shared" si="31"/>
        <v>10735543.25728</v>
      </c>
      <c r="V127" s="507" t="s">
        <v>713</v>
      </c>
      <c r="W127" s="518"/>
      <c r="X127" s="519"/>
    </row>
    <row r="128" spans="1:24" ht="52.5" customHeight="1">
      <c r="A128" s="514"/>
      <c r="B128" s="514"/>
      <c r="C128" s="514"/>
      <c r="D128" s="512"/>
      <c r="E128" s="506" t="s">
        <v>1187</v>
      </c>
      <c r="F128" s="506" t="s">
        <v>1188</v>
      </c>
      <c r="G128" s="506" t="s">
        <v>1130</v>
      </c>
      <c r="H128" s="507">
        <v>4627.9799999999996</v>
      </c>
      <c r="I128" s="507">
        <v>4627.9799999999996</v>
      </c>
      <c r="J128" s="507">
        <v>1733</v>
      </c>
      <c r="K128" s="507">
        <v>1733</v>
      </c>
      <c r="L128" s="508">
        <v>740.92099999999994</v>
      </c>
      <c r="M128" s="508">
        <v>810.61699999999996</v>
      </c>
      <c r="N128" s="508"/>
      <c r="O128" s="508"/>
      <c r="P128" s="508">
        <f t="shared" si="30"/>
        <v>1551.538</v>
      </c>
      <c r="Q128" s="507">
        <f>(H128-J128)*L128</f>
        <v>2144951.4765799996</v>
      </c>
      <c r="R128" s="507">
        <f>(H128-J128)*M128</f>
        <v>2346720.0026599998</v>
      </c>
      <c r="S128" s="507">
        <f>(I128-J128)*N128</f>
        <v>0</v>
      </c>
      <c r="T128" s="507">
        <f>(I128-K128)*O128</f>
        <v>0</v>
      </c>
      <c r="U128" s="507">
        <f t="shared" si="31"/>
        <v>4491671.4792399993</v>
      </c>
      <c r="V128" s="507"/>
      <c r="W128" s="518"/>
      <c r="X128" s="519"/>
    </row>
    <row r="129" spans="1:24" ht="47.25" customHeight="1">
      <c r="A129" s="514" t="s">
        <v>718</v>
      </c>
      <c r="B129" s="514" t="s">
        <v>976</v>
      </c>
      <c r="C129" s="514" t="s">
        <v>975</v>
      </c>
      <c r="D129" s="589"/>
      <c r="E129" s="512" t="s">
        <v>972</v>
      </c>
      <c r="F129" s="512"/>
      <c r="G129" s="512" t="s">
        <v>1215</v>
      </c>
      <c r="H129" s="507" t="s">
        <v>713</v>
      </c>
      <c r="I129" s="507" t="s">
        <v>713</v>
      </c>
      <c r="J129" s="507" t="s">
        <v>713</v>
      </c>
      <c r="K129" s="507" t="s">
        <v>713</v>
      </c>
      <c r="L129" s="508">
        <f t="shared" ref="L129:U129" si="54">SUM(L130:L133)</f>
        <v>20683.719999999998</v>
      </c>
      <c r="M129" s="508">
        <f t="shared" si="54"/>
        <v>10159.950000000001</v>
      </c>
      <c r="N129" s="508">
        <f t="shared" si="54"/>
        <v>5210.71</v>
      </c>
      <c r="O129" s="508">
        <f t="shared" si="54"/>
        <v>19229.37</v>
      </c>
      <c r="P129" s="508">
        <f t="shared" si="54"/>
        <v>55283.749999999993</v>
      </c>
      <c r="Q129" s="507">
        <f t="shared" si="54"/>
        <v>73925651.36649999</v>
      </c>
      <c r="R129" s="507">
        <f t="shared" si="54"/>
        <v>36304208.144400001</v>
      </c>
      <c r="S129" s="507">
        <f t="shared" si="54"/>
        <v>18625264.704399999</v>
      </c>
      <c r="T129" s="507">
        <f t="shared" si="54"/>
        <v>69002354.619299993</v>
      </c>
      <c r="U129" s="507">
        <f t="shared" si="54"/>
        <v>197857478.8346</v>
      </c>
      <c r="V129" s="507">
        <v>24319350.399999999</v>
      </c>
      <c r="W129" s="518">
        <f>T129/3</f>
        <v>23000784.873099998</v>
      </c>
      <c r="X129" s="518">
        <f>U129+V129-W129</f>
        <v>199176044.36150002</v>
      </c>
    </row>
    <row r="130" spans="1:24" ht="47.25" customHeight="1">
      <c r="A130" s="514"/>
      <c r="B130" s="514"/>
      <c r="C130" s="514"/>
      <c r="D130" s="512" t="s">
        <v>972</v>
      </c>
      <c r="E130" s="506" t="s">
        <v>805</v>
      </c>
      <c r="F130" s="506" t="s">
        <v>974</v>
      </c>
      <c r="G130" s="506" t="s">
        <v>1130</v>
      </c>
      <c r="H130" s="507">
        <v>4936.83</v>
      </c>
      <c r="I130" s="507">
        <v>4936.83</v>
      </c>
      <c r="J130" s="507">
        <v>1787.5</v>
      </c>
      <c r="K130" s="507">
        <v>1787.5</v>
      </c>
      <c r="L130" s="508">
        <v>16314.67</v>
      </c>
      <c r="M130" s="508">
        <v>7404.66</v>
      </c>
      <c r="N130" s="508">
        <v>4023.53</v>
      </c>
      <c r="O130" s="508">
        <v>14662.24</v>
      </c>
      <c r="P130" s="508">
        <f t="shared" si="30"/>
        <v>42405.1</v>
      </c>
      <c r="Q130" s="507">
        <f>(H130-J130)*L130</f>
        <v>51380279.671099998</v>
      </c>
      <c r="R130" s="507">
        <f>(H130-J130)*M130</f>
        <v>23319717.877799999</v>
      </c>
      <c r="S130" s="507">
        <f>(I130-J130)*N130</f>
        <v>12671423.7349</v>
      </c>
      <c r="T130" s="507">
        <f>(I130-K130)*O130</f>
        <v>46176232.299199998</v>
      </c>
      <c r="U130" s="507">
        <f t="shared" si="31"/>
        <v>133547653.58299999</v>
      </c>
      <c r="V130" s="507" t="s">
        <v>713</v>
      </c>
      <c r="W130" s="518"/>
      <c r="X130" s="519"/>
    </row>
    <row r="131" spans="1:24" ht="47.25" customHeight="1">
      <c r="A131" s="514"/>
      <c r="B131" s="514"/>
      <c r="C131" s="514"/>
      <c r="D131" s="512" t="s">
        <v>972</v>
      </c>
      <c r="E131" s="506" t="s">
        <v>805</v>
      </c>
      <c r="F131" s="506" t="s">
        <v>974</v>
      </c>
      <c r="G131" s="506" t="s">
        <v>1131</v>
      </c>
      <c r="H131" s="507">
        <v>4936.83</v>
      </c>
      <c r="I131" s="507">
        <v>4936.83</v>
      </c>
      <c r="J131" s="507">
        <v>1787.5</v>
      </c>
      <c r="K131" s="507">
        <v>1787.5</v>
      </c>
      <c r="L131" s="508">
        <v>1294.3800000000001</v>
      </c>
      <c r="M131" s="508">
        <v>1248</v>
      </c>
      <c r="N131" s="508">
        <v>412.05</v>
      </c>
      <c r="O131" s="508">
        <v>1612.59</v>
      </c>
      <c r="P131" s="508">
        <f t="shared" si="30"/>
        <v>4567.0200000000004</v>
      </c>
      <c r="Q131" s="507">
        <f>(H131-J131)*L131</f>
        <v>4076429.7654000004</v>
      </c>
      <c r="R131" s="507">
        <f>(H131-J131)*M131</f>
        <v>3930363.84</v>
      </c>
      <c r="S131" s="507">
        <f>(I131-J131)*N131</f>
        <v>1297681.4265000001</v>
      </c>
      <c r="T131" s="507">
        <f>(I131-K131)*O131</f>
        <v>5078578.0647</v>
      </c>
      <c r="U131" s="507">
        <f t="shared" si="31"/>
        <v>14383053.0966</v>
      </c>
      <c r="V131" s="507" t="s">
        <v>713</v>
      </c>
      <c r="W131" s="518"/>
      <c r="X131" s="519"/>
    </row>
    <row r="132" spans="1:24" ht="47.25" customHeight="1">
      <c r="A132" s="514"/>
      <c r="B132" s="514"/>
      <c r="C132" s="514"/>
      <c r="D132" s="512" t="s">
        <v>972</v>
      </c>
      <c r="E132" s="506" t="s">
        <v>771</v>
      </c>
      <c r="F132" s="506" t="s">
        <v>973</v>
      </c>
      <c r="G132" s="506" t="s">
        <v>1130</v>
      </c>
      <c r="H132" s="507">
        <v>7402.22</v>
      </c>
      <c r="I132" s="507">
        <v>7402.22</v>
      </c>
      <c r="J132" s="507">
        <v>1395</v>
      </c>
      <c r="K132" s="507">
        <v>1395</v>
      </c>
      <c r="L132" s="508">
        <v>3058.2999999999997</v>
      </c>
      <c r="M132" s="508">
        <v>1500.93</v>
      </c>
      <c r="N132" s="508">
        <v>772.35</v>
      </c>
      <c r="O132" s="508">
        <v>2941.37</v>
      </c>
      <c r="P132" s="508">
        <f t="shared" si="30"/>
        <v>8272.9500000000007</v>
      </c>
      <c r="Q132" s="507">
        <f>(H132-J132)*L132</f>
        <v>18371880.925999999</v>
      </c>
      <c r="R132" s="507">
        <f>(H132-J132)*M132</f>
        <v>9016416.7146000005</v>
      </c>
      <c r="S132" s="507">
        <f>(I132-J132)*N132</f>
        <v>4639676.3670000006</v>
      </c>
      <c r="T132" s="507">
        <f>(I132-K132)*O132</f>
        <v>17669456.691399999</v>
      </c>
      <c r="U132" s="507">
        <f t="shared" si="31"/>
        <v>49697430.699000001</v>
      </c>
      <c r="V132" s="507" t="s">
        <v>713</v>
      </c>
      <c r="W132" s="518"/>
      <c r="X132" s="519"/>
    </row>
    <row r="133" spans="1:24" ht="47.25" customHeight="1">
      <c r="A133" s="514"/>
      <c r="B133" s="514"/>
      <c r="C133" s="514"/>
      <c r="D133" s="512" t="s">
        <v>972</v>
      </c>
      <c r="E133" s="506" t="s">
        <v>805</v>
      </c>
      <c r="F133" s="506" t="s">
        <v>971</v>
      </c>
      <c r="G133" s="506" t="s">
        <v>1130</v>
      </c>
      <c r="H133" s="507">
        <v>7373.2</v>
      </c>
      <c r="I133" s="507">
        <v>7373.2</v>
      </c>
      <c r="J133" s="507">
        <v>1444</v>
      </c>
      <c r="K133" s="507">
        <v>1444</v>
      </c>
      <c r="L133" s="508">
        <v>16.369999999999997</v>
      </c>
      <c r="M133" s="508">
        <v>6.3599999999999994</v>
      </c>
      <c r="N133" s="508">
        <v>2.78</v>
      </c>
      <c r="O133" s="508">
        <v>13.17</v>
      </c>
      <c r="P133" s="508">
        <f t="shared" si="30"/>
        <v>38.68</v>
      </c>
      <c r="Q133" s="507">
        <f>(H133-J133)*L133</f>
        <v>97061.003999999986</v>
      </c>
      <c r="R133" s="507">
        <f>(H133-J133)*M133</f>
        <v>37709.711999999992</v>
      </c>
      <c r="S133" s="507">
        <f>(I133-J133)*N133</f>
        <v>16483.175999999999</v>
      </c>
      <c r="T133" s="507">
        <f>(I133-K133)*O133</f>
        <v>78087.563999999998</v>
      </c>
      <c r="U133" s="507">
        <f t="shared" si="31"/>
        <v>229341.45600000001</v>
      </c>
      <c r="V133" s="507" t="s">
        <v>713</v>
      </c>
      <c r="W133" s="518"/>
      <c r="X133" s="519"/>
    </row>
    <row r="134" spans="1:24" ht="43.5" customHeight="1">
      <c r="A134" s="514" t="s">
        <v>796</v>
      </c>
      <c r="B134" s="514" t="s">
        <v>970</v>
      </c>
      <c r="C134" s="514" t="s">
        <v>48</v>
      </c>
      <c r="D134" s="589"/>
      <c r="E134" s="512" t="s">
        <v>968</v>
      </c>
      <c r="F134" s="512"/>
      <c r="G134" s="512" t="s">
        <v>1215</v>
      </c>
      <c r="H134" s="507" t="s">
        <v>713</v>
      </c>
      <c r="I134" s="507" t="s">
        <v>713</v>
      </c>
      <c r="J134" s="507" t="s">
        <v>713</v>
      </c>
      <c r="K134" s="507" t="s">
        <v>713</v>
      </c>
      <c r="L134" s="508">
        <f t="shared" ref="L134:U134" si="55">SUM(L135:L136)</f>
        <v>4532.2960000000003</v>
      </c>
      <c r="M134" s="508">
        <f t="shared" si="55"/>
        <v>2371.6489999999999</v>
      </c>
      <c r="N134" s="508">
        <f t="shared" si="55"/>
        <v>790.7</v>
      </c>
      <c r="O134" s="508">
        <f t="shared" si="55"/>
        <v>3940.8999999999996</v>
      </c>
      <c r="P134" s="508">
        <f t="shared" si="55"/>
        <v>11635.545</v>
      </c>
      <c r="Q134" s="507">
        <f t="shared" si="55"/>
        <v>20860249.627700001</v>
      </c>
      <c r="R134" s="507">
        <f t="shared" si="55"/>
        <v>10984293.269049998</v>
      </c>
      <c r="S134" s="507">
        <f t="shared" si="55"/>
        <v>3678864.7149999999</v>
      </c>
      <c r="T134" s="507">
        <f t="shared" si="55"/>
        <v>18149012.585000001</v>
      </c>
      <c r="U134" s="507">
        <f t="shared" si="55"/>
        <v>53672420.19675</v>
      </c>
      <c r="V134" s="507">
        <v>5436952.5499999998</v>
      </c>
      <c r="W134" s="518">
        <f>T134/3</f>
        <v>6049670.8616666673</v>
      </c>
      <c r="X134" s="518">
        <f>U134+V134-W134</f>
        <v>53059701.885083333</v>
      </c>
    </row>
    <row r="135" spans="1:24" ht="50.25" customHeight="1">
      <c r="A135" s="514"/>
      <c r="B135" s="514"/>
      <c r="C135" s="514"/>
      <c r="D135" s="512" t="s">
        <v>968</v>
      </c>
      <c r="E135" s="506" t="s">
        <v>742</v>
      </c>
      <c r="F135" s="506" t="s">
        <v>969</v>
      </c>
      <c r="G135" s="506" t="s">
        <v>1130</v>
      </c>
      <c r="H135" s="507">
        <v>5988.45</v>
      </c>
      <c r="I135" s="507">
        <v>5988.45</v>
      </c>
      <c r="J135" s="507">
        <v>1744</v>
      </c>
      <c r="K135" s="507">
        <v>1744</v>
      </c>
      <c r="L135" s="508">
        <v>3223.835</v>
      </c>
      <c r="M135" s="508">
        <v>1631.6669999999999</v>
      </c>
      <c r="N135" s="508">
        <v>530.5</v>
      </c>
      <c r="O135" s="508">
        <v>2794.54</v>
      </c>
      <c r="P135" s="508">
        <f t="shared" si="30"/>
        <v>8180.5420000000004</v>
      </c>
      <c r="Q135" s="507">
        <f>(H135-J135)*L135</f>
        <v>13683406.46575</v>
      </c>
      <c r="R135" s="507">
        <f>(H135-J135)*M135</f>
        <v>6925528.9981499994</v>
      </c>
      <c r="S135" s="507">
        <f>(I135-J135)*N135</f>
        <v>2251680.7250000001</v>
      </c>
      <c r="T135" s="507">
        <f>(I135-K135)*O135</f>
        <v>11861285.302999999</v>
      </c>
      <c r="U135" s="507">
        <f t="shared" si="31"/>
        <v>34721901.491899997</v>
      </c>
      <c r="V135" s="507" t="s">
        <v>713</v>
      </c>
      <c r="W135" s="518"/>
      <c r="X135" s="519"/>
    </row>
    <row r="136" spans="1:24" ht="50.25" customHeight="1">
      <c r="A136" s="514"/>
      <c r="B136" s="514"/>
      <c r="C136" s="514"/>
      <c r="D136" s="512" t="s">
        <v>968</v>
      </c>
      <c r="E136" s="506" t="s">
        <v>742</v>
      </c>
      <c r="F136" s="506" t="s">
        <v>967</v>
      </c>
      <c r="G136" s="506" t="s">
        <v>1130</v>
      </c>
      <c r="H136" s="507">
        <v>7228.95</v>
      </c>
      <c r="I136" s="507">
        <v>7228.95</v>
      </c>
      <c r="J136" s="507">
        <v>1744</v>
      </c>
      <c r="K136" s="507">
        <v>1744</v>
      </c>
      <c r="L136" s="508">
        <v>1308.461</v>
      </c>
      <c r="M136" s="508">
        <v>739.98199999999997</v>
      </c>
      <c r="N136" s="508">
        <v>260.2</v>
      </c>
      <c r="O136" s="508">
        <v>1146.3599999999999</v>
      </c>
      <c r="P136" s="508">
        <f t="shared" ref="P136:P199" si="56">SUM(L136:O136)</f>
        <v>3455.0029999999997</v>
      </c>
      <c r="Q136" s="507">
        <f>(H136-J136)*L136</f>
        <v>7176843.1619499996</v>
      </c>
      <c r="R136" s="507">
        <f>(H136-J136)*M136</f>
        <v>4058764.2708999999</v>
      </c>
      <c r="S136" s="507">
        <f>(I136-J136)*N136</f>
        <v>1427183.99</v>
      </c>
      <c r="T136" s="507">
        <f>(I136-K136)*O136</f>
        <v>6287727.2819999997</v>
      </c>
      <c r="U136" s="507">
        <f t="shared" si="31"/>
        <v>18950518.704849999</v>
      </c>
      <c r="V136" s="507" t="s">
        <v>713</v>
      </c>
      <c r="W136" s="518"/>
      <c r="X136" s="519"/>
    </row>
    <row r="137" spans="1:24" ht="30.75" customHeight="1">
      <c r="A137" s="514" t="s">
        <v>796</v>
      </c>
      <c r="B137" s="514" t="s">
        <v>966</v>
      </c>
      <c r="C137" s="514" t="s">
        <v>46</v>
      </c>
      <c r="D137" s="589"/>
      <c r="E137" s="512" t="s">
        <v>964</v>
      </c>
      <c r="F137" s="512"/>
      <c r="G137" s="512" t="s">
        <v>1215</v>
      </c>
      <c r="H137" s="507" t="s">
        <v>713</v>
      </c>
      <c r="I137" s="507" t="s">
        <v>713</v>
      </c>
      <c r="J137" s="507" t="s">
        <v>713</v>
      </c>
      <c r="K137" s="507" t="s">
        <v>713</v>
      </c>
      <c r="L137" s="508">
        <f t="shared" ref="L137:U137" si="57">SUM(L138:L139)</f>
        <v>277.92</v>
      </c>
      <c r="M137" s="508">
        <f t="shared" si="57"/>
        <v>185.28</v>
      </c>
      <c r="N137" s="508">
        <f t="shared" si="57"/>
        <v>89.158999999999992</v>
      </c>
      <c r="O137" s="508">
        <f t="shared" si="57"/>
        <v>267.47699999999998</v>
      </c>
      <c r="P137" s="508">
        <f t="shared" si="57"/>
        <v>819.83600000000001</v>
      </c>
      <c r="Q137" s="507">
        <f t="shared" si="57"/>
        <v>1303172.1288000001</v>
      </c>
      <c r="R137" s="507">
        <f t="shared" si="57"/>
        <v>868781.41919999989</v>
      </c>
      <c r="S137" s="507">
        <f t="shared" si="57"/>
        <v>417993.15735999995</v>
      </c>
      <c r="T137" s="507">
        <f t="shared" si="57"/>
        <v>1253979.47208</v>
      </c>
      <c r="U137" s="507">
        <f t="shared" si="57"/>
        <v>3843926.1774399998</v>
      </c>
      <c r="V137" s="507">
        <v>434390.71</v>
      </c>
      <c r="W137" s="518">
        <f>T137/3</f>
        <v>417993.15736000001</v>
      </c>
      <c r="X137" s="518">
        <f>U137+V137-W137</f>
        <v>3860323.7300799997</v>
      </c>
    </row>
    <row r="138" spans="1:24" ht="48.75" customHeight="1">
      <c r="A138" s="514"/>
      <c r="B138" s="514"/>
      <c r="C138" s="514"/>
      <c r="D138" s="512" t="s">
        <v>964</v>
      </c>
      <c r="E138" s="506" t="s">
        <v>742</v>
      </c>
      <c r="F138" s="506" t="s">
        <v>965</v>
      </c>
      <c r="G138" s="506" t="s">
        <v>1130</v>
      </c>
      <c r="H138" s="507">
        <v>6421.04</v>
      </c>
      <c r="I138" s="507">
        <v>6421.04</v>
      </c>
      <c r="J138" s="507">
        <v>1744</v>
      </c>
      <c r="K138" s="507">
        <v>1744</v>
      </c>
      <c r="L138" s="508">
        <v>202.25700000000001</v>
      </c>
      <c r="M138" s="508">
        <v>134.83799999999999</v>
      </c>
      <c r="N138" s="508">
        <v>66.591999999999999</v>
      </c>
      <c r="O138" s="508">
        <v>199.77600000000001</v>
      </c>
      <c r="P138" s="508">
        <f t="shared" si="56"/>
        <v>603.46299999999997</v>
      </c>
      <c r="Q138" s="507">
        <f>(H138-J138)*L138</f>
        <v>945964.07928000006</v>
      </c>
      <c r="R138" s="507">
        <f>(H138-J138)*M138</f>
        <v>630642.71951999993</v>
      </c>
      <c r="S138" s="507">
        <f>(I138-J138)*N138</f>
        <v>311453.44767999998</v>
      </c>
      <c r="T138" s="507">
        <f>(I138-K138)*O138</f>
        <v>934360.34304000007</v>
      </c>
      <c r="U138" s="507">
        <f t="shared" ref="U138:U200" si="58">SUM(Q138:T138)</f>
        <v>2822420.5895199999</v>
      </c>
      <c r="V138" s="507" t="s">
        <v>713</v>
      </c>
      <c r="W138" s="518"/>
      <c r="X138" s="519"/>
    </row>
    <row r="139" spans="1:24" ht="48.75" customHeight="1">
      <c r="A139" s="514"/>
      <c r="B139" s="514"/>
      <c r="C139" s="514"/>
      <c r="D139" s="512" t="s">
        <v>964</v>
      </c>
      <c r="E139" s="506" t="s">
        <v>742</v>
      </c>
      <c r="F139" s="506" t="s">
        <v>963</v>
      </c>
      <c r="G139" s="506" t="s">
        <v>1130</v>
      </c>
      <c r="H139" s="507">
        <v>6421.04</v>
      </c>
      <c r="I139" s="507">
        <v>6421.04</v>
      </c>
      <c r="J139" s="507">
        <v>1700</v>
      </c>
      <c r="K139" s="507">
        <v>1700</v>
      </c>
      <c r="L139" s="508">
        <v>75.662999999999997</v>
      </c>
      <c r="M139" s="508">
        <v>50.442</v>
      </c>
      <c r="N139" s="508">
        <v>22.567</v>
      </c>
      <c r="O139" s="508">
        <v>67.700999999999993</v>
      </c>
      <c r="P139" s="508">
        <f t="shared" si="56"/>
        <v>216.37299999999999</v>
      </c>
      <c r="Q139" s="507">
        <f>(H139-J139)*L139</f>
        <v>357208.04952</v>
      </c>
      <c r="R139" s="507">
        <f>(H139-J139)*M139</f>
        <v>238138.69967999999</v>
      </c>
      <c r="S139" s="507">
        <f>(I139-J139)*N139</f>
        <v>106539.70968</v>
      </c>
      <c r="T139" s="507">
        <f>(I139-K139)*O139</f>
        <v>319619.12903999997</v>
      </c>
      <c r="U139" s="507">
        <f t="shared" si="58"/>
        <v>1021505.5879199998</v>
      </c>
      <c r="V139" s="507" t="s">
        <v>713</v>
      </c>
      <c r="W139" s="518"/>
      <c r="X139" s="519"/>
    </row>
    <row r="140" spans="1:24" ht="43.5" customHeight="1">
      <c r="A140" s="514" t="s">
        <v>730</v>
      </c>
      <c r="B140" s="514" t="s">
        <v>962</v>
      </c>
      <c r="C140" s="514" t="s">
        <v>961</v>
      </c>
      <c r="D140" s="589"/>
      <c r="E140" s="512" t="s">
        <v>960</v>
      </c>
      <c r="F140" s="512"/>
      <c r="G140" s="512" t="s">
        <v>1215</v>
      </c>
      <c r="H140" s="507" t="s">
        <v>713</v>
      </c>
      <c r="I140" s="507" t="s">
        <v>713</v>
      </c>
      <c r="J140" s="507" t="s">
        <v>713</v>
      </c>
      <c r="K140" s="507" t="s">
        <v>713</v>
      </c>
      <c r="L140" s="508">
        <f t="shared" ref="L140:U140" si="59">SUM(L141)</f>
        <v>334.17099999999999</v>
      </c>
      <c r="M140" s="508">
        <f t="shared" si="59"/>
        <v>139.399</v>
      </c>
      <c r="N140" s="508">
        <f t="shared" si="59"/>
        <v>53.6</v>
      </c>
      <c r="O140" s="508">
        <f t="shared" si="59"/>
        <v>295.92899999999997</v>
      </c>
      <c r="P140" s="508">
        <f t="shared" si="59"/>
        <v>823.09899999999993</v>
      </c>
      <c r="Q140" s="507">
        <f t="shared" si="59"/>
        <v>492651.59674999997</v>
      </c>
      <c r="R140" s="507">
        <f t="shared" si="59"/>
        <v>205508.97575000001</v>
      </c>
      <c r="S140" s="507">
        <f t="shared" si="59"/>
        <v>79019.8</v>
      </c>
      <c r="T140" s="507">
        <f t="shared" si="59"/>
        <v>436273.32824999996</v>
      </c>
      <c r="U140" s="507">
        <f t="shared" si="59"/>
        <v>1213453.7007500001</v>
      </c>
      <c r="V140" s="507">
        <v>177288.88</v>
      </c>
      <c r="W140" s="518">
        <f>T140/3</f>
        <v>145424.44274999999</v>
      </c>
      <c r="X140" s="518">
        <f>U140+V140-W140</f>
        <v>1245318.1380000003</v>
      </c>
    </row>
    <row r="141" spans="1:24" ht="43.5" customHeight="1">
      <c r="A141" s="514"/>
      <c r="B141" s="514"/>
      <c r="C141" s="514"/>
      <c r="D141" s="512" t="s">
        <v>960</v>
      </c>
      <c r="E141" s="506" t="s">
        <v>805</v>
      </c>
      <c r="F141" s="506" t="s">
        <v>959</v>
      </c>
      <c r="G141" s="506" t="s">
        <v>1130</v>
      </c>
      <c r="H141" s="507">
        <v>3501.25</v>
      </c>
      <c r="I141" s="507">
        <v>3501.25</v>
      </c>
      <c r="J141" s="507">
        <v>2027</v>
      </c>
      <c r="K141" s="507">
        <v>2027</v>
      </c>
      <c r="L141" s="508">
        <v>334.17099999999999</v>
      </c>
      <c r="M141" s="508">
        <v>139.399</v>
      </c>
      <c r="N141" s="508">
        <v>53.6</v>
      </c>
      <c r="O141" s="508">
        <v>295.92899999999997</v>
      </c>
      <c r="P141" s="508">
        <f t="shared" si="56"/>
        <v>823.09899999999993</v>
      </c>
      <c r="Q141" s="507">
        <f>(H141-J141)*L141</f>
        <v>492651.59674999997</v>
      </c>
      <c r="R141" s="507">
        <f>(H141-J141)*M141</f>
        <v>205508.97575000001</v>
      </c>
      <c r="S141" s="507">
        <f>(I141-J141)*N141</f>
        <v>79019.8</v>
      </c>
      <c r="T141" s="507">
        <f>(I141-K141)*O141</f>
        <v>436273.32824999996</v>
      </c>
      <c r="U141" s="507">
        <f t="shared" si="58"/>
        <v>1213453.7007500001</v>
      </c>
      <c r="V141" s="507" t="s">
        <v>713</v>
      </c>
      <c r="W141" s="518"/>
      <c r="X141" s="519"/>
    </row>
    <row r="142" spans="1:24" ht="37.5" customHeight="1">
      <c r="A142" s="514" t="s">
        <v>754</v>
      </c>
      <c r="B142" s="514" t="s">
        <v>958</v>
      </c>
      <c r="C142" s="514" t="s">
        <v>55</v>
      </c>
      <c r="D142" s="589"/>
      <c r="E142" s="512" t="s">
        <v>955</v>
      </c>
      <c r="F142" s="512"/>
      <c r="G142" s="512" t="s">
        <v>1215</v>
      </c>
      <c r="H142" s="507" t="s">
        <v>713</v>
      </c>
      <c r="I142" s="507" t="s">
        <v>713</v>
      </c>
      <c r="J142" s="507" t="s">
        <v>713</v>
      </c>
      <c r="K142" s="507" t="s">
        <v>713</v>
      </c>
      <c r="L142" s="508">
        <f t="shared" ref="L142:U142" si="60">SUM(L143:L146)</f>
        <v>850.80799999999999</v>
      </c>
      <c r="M142" s="508">
        <f t="shared" si="60"/>
        <v>406.90000000000003</v>
      </c>
      <c r="N142" s="508">
        <f t="shared" si="60"/>
        <v>59.701999999999998</v>
      </c>
      <c r="O142" s="508">
        <f t="shared" si="60"/>
        <v>848.64199999999994</v>
      </c>
      <c r="P142" s="508">
        <f t="shared" si="60"/>
        <v>2166.0520000000001</v>
      </c>
      <c r="Q142" s="507">
        <f t="shared" si="60"/>
        <v>3025328.0229199999</v>
      </c>
      <c r="R142" s="507">
        <f t="shared" si="60"/>
        <v>1396799.4396199998</v>
      </c>
      <c r="S142" s="507">
        <f t="shared" si="60"/>
        <v>270019.23472000001</v>
      </c>
      <c r="T142" s="507">
        <f t="shared" si="60"/>
        <v>2994353.7746599996</v>
      </c>
      <c r="U142" s="507">
        <f t="shared" si="60"/>
        <v>7686500.4719200004</v>
      </c>
      <c r="V142" s="507">
        <v>970260.63</v>
      </c>
      <c r="W142" s="518">
        <f>T142/3</f>
        <v>998117.92488666659</v>
      </c>
      <c r="X142" s="518">
        <f>U142+V142-W142</f>
        <v>7658643.177033335</v>
      </c>
    </row>
    <row r="143" spans="1:24" ht="45.75" customHeight="1">
      <c r="A143" s="514"/>
      <c r="B143" s="514"/>
      <c r="C143" s="514"/>
      <c r="D143" s="512" t="s">
        <v>955</v>
      </c>
      <c r="E143" s="506" t="s">
        <v>900</v>
      </c>
      <c r="F143" s="506" t="s">
        <v>957</v>
      </c>
      <c r="G143" s="506" t="s">
        <v>1130</v>
      </c>
      <c r="H143" s="507">
        <v>12154.02</v>
      </c>
      <c r="I143" s="507">
        <v>12154.02</v>
      </c>
      <c r="J143" s="507">
        <v>1962</v>
      </c>
      <c r="K143" s="507">
        <v>1962</v>
      </c>
      <c r="L143" s="508">
        <v>40.53</v>
      </c>
      <c r="M143" s="508">
        <v>20.059999999999999</v>
      </c>
      <c r="N143" s="508">
        <v>6.76</v>
      </c>
      <c r="O143" s="508">
        <v>40.53</v>
      </c>
      <c r="P143" s="508">
        <f t="shared" si="56"/>
        <v>107.88000000000001</v>
      </c>
      <c r="Q143" s="507">
        <f>(H143-J143)*L143</f>
        <v>413082.57060000004</v>
      </c>
      <c r="R143" s="507">
        <f>(H143-J143)*M143</f>
        <v>204451.92119999998</v>
      </c>
      <c r="S143" s="507">
        <f>(I143-J143)*N143</f>
        <v>68898.055200000003</v>
      </c>
      <c r="T143" s="507">
        <f>(I143-K143)*O143</f>
        <v>413082.57060000004</v>
      </c>
      <c r="U143" s="507">
        <f t="shared" si="58"/>
        <v>1099515.1176</v>
      </c>
      <c r="V143" s="507" t="s">
        <v>713</v>
      </c>
      <c r="W143" s="518"/>
      <c r="X143" s="519"/>
    </row>
    <row r="144" spans="1:24" ht="45.75" customHeight="1">
      <c r="A144" s="514"/>
      <c r="B144" s="514"/>
      <c r="C144" s="514"/>
      <c r="D144" s="512" t="s">
        <v>955</v>
      </c>
      <c r="E144" s="506" t="s">
        <v>900</v>
      </c>
      <c r="F144" s="506" t="s">
        <v>956</v>
      </c>
      <c r="G144" s="506" t="s">
        <v>1130</v>
      </c>
      <c r="H144" s="507">
        <v>3865.7</v>
      </c>
      <c r="I144" s="507">
        <v>3865.7</v>
      </c>
      <c r="J144" s="507">
        <v>1962</v>
      </c>
      <c r="K144" s="507">
        <v>1962</v>
      </c>
      <c r="L144" s="508">
        <v>607.02600000000007</v>
      </c>
      <c r="M144" s="508">
        <v>300.23400000000004</v>
      </c>
      <c r="N144" s="508">
        <v>32.142000000000003</v>
      </c>
      <c r="O144" s="508">
        <v>607.02599999999995</v>
      </c>
      <c r="P144" s="508">
        <f t="shared" si="56"/>
        <v>1546.4280000000001</v>
      </c>
      <c r="Q144" s="507">
        <f>(H144-J144)*L144</f>
        <v>1155595.3962000001</v>
      </c>
      <c r="R144" s="507">
        <f>(H144-J144)*M144</f>
        <v>571555.46580000001</v>
      </c>
      <c r="S144" s="507">
        <f>(I144-J144)*N144</f>
        <v>61188.725400000003</v>
      </c>
      <c r="T144" s="507">
        <f>(I144-K144)*O144</f>
        <v>1155595.3961999998</v>
      </c>
      <c r="U144" s="507">
        <f t="shared" si="58"/>
        <v>2943934.9835999999</v>
      </c>
      <c r="V144" s="507" t="s">
        <v>713</v>
      </c>
      <c r="W144" s="518"/>
      <c r="X144" s="519"/>
    </row>
    <row r="145" spans="1:24" ht="45.75" customHeight="1">
      <c r="A145" s="514"/>
      <c r="B145" s="514"/>
      <c r="C145" s="514"/>
      <c r="D145" s="512" t="s">
        <v>955</v>
      </c>
      <c r="E145" s="506" t="s">
        <v>900</v>
      </c>
      <c r="F145" s="506" t="s">
        <v>439</v>
      </c>
      <c r="G145" s="506" t="s">
        <v>1130</v>
      </c>
      <c r="H145" s="507">
        <v>10356.31</v>
      </c>
      <c r="I145" s="507">
        <v>10356.31</v>
      </c>
      <c r="J145" s="507">
        <v>2184</v>
      </c>
      <c r="K145" s="507">
        <v>2184</v>
      </c>
      <c r="L145" s="508">
        <v>102.852</v>
      </c>
      <c r="M145" s="508">
        <v>43.88</v>
      </c>
      <c r="N145" s="508">
        <v>6.0380000000000003</v>
      </c>
      <c r="O145" s="508">
        <v>94.165999999999997</v>
      </c>
      <c r="P145" s="508">
        <f t="shared" si="56"/>
        <v>246.93600000000001</v>
      </c>
      <c r="Q145" s="507">
        <f>(H145-J145)*L145</f>
        <v>840538.42811999994</v>
      </c>
      <c r="R145" s="507">
        <f>(H145-J145)*M145</f>
        <v>358600.96279999998</v>
      </c>
      <c r="S145" s="507">
        <f>(I145-J145)*N145</f>
        <v>49344.407780000001</v>
      </c>
      <c r="T145" s="507">
        <f>(I145-K145)*O145</f>
        <v>769553.74345999991</v>
      </c>
      <c r="U145" s="507">
        <f t="shared" si="58"/>
        <v>2018037.5421599997</v>
      </c>
      <c r="V145" s="507" t="s">
        <v>713</v>
      </c>
      <c r="W145" s="518"/>
      <c r="X145" s="519"/>
    </row>
    <row r="146" spans="1:24" ht="45.75" customHeight="1">
      <c r="A146" s="514"/>
      <c r="B146" s="514"/>
      <c r="C146" s="514"/>
      <c r="D146" s="512" t="s">
        <v>955</v>
      </c>
      <c r="E146" s="506" t="s">
        <v>900</v>
      </c>
      <c r="F146" s="506" t="s">
        <v>954</v>
      </c>
      <c r="G146" s="506" t="s">
        <v>1130</v>
      </c>
      <c r="H146" s="507">
        <v>7880.57</v>
      </c>
      <c r="I146" s="507">
        <v>7880.57</v>
      </c>
      <c r="J146" s="507">
        <v>1744</v>
      </c>
      <c r="K146" s="507">
        <v>1744</v>
      </c>
      <c r="L146" s="508">
        <v>100.39999999999999</v>
      </c>
      <c r="M146" s="508">
        <v>42.725999999999999</v>
      </c>
      <c r="N146" s="508">
        <v>14.762</v>
      </c>
      <c r="O146" s="508">
        <v>106.92</v>
      </c>
      <c r="P146" s="508">
        <f t="shared" si="56"/>
        <v>264.80799999999999</v>
      </c>
      <c r="Q146" s="507">
        <f>(H146-J146)*L146</f>
        <v>616111.62799999991</v>
      </c>
      <c r="R146" s="507">
        <f>(H146-J146)*M146</f>
        <v>262191.08981999999</v>
      </c>
      <c r="S146" s="507">
        <f>(I146-J146)*N146</f>
        <v>90588.046340000001</v>
      </c>
      <c r="T146" s="507">
        <f>(I146-K146)*O146</f>
        <v>656122.06440000003</v>
      </c>
      <c r="U146" s="507">
        <f t="shared" si="58"/>
        <v>1625012.8285599998</v>
      </c>
      <c r="V146" s="507" t="s">
        <v>713</v>
      </c>
      <c r="W146" s="518"/>
      <c r="X146" s="519"/>
    </row>
    <row r="147" spans="1:24" ht="39" customHeight="1">
      <c r="A147" s="514" t="s">
        <v>754</v>
      </c>
      <c r="B147" s="514" t="s">
        <v>953</v>
      </c>
      <c r="C147" s="514" t="s">
        <v>952</v>
      </c>
      <c r="D147" s="589"/>
      <c r="E147" s="512" t="s">
        <v>951</v>
      </c>
      <c r="F147" s="512"/>
      <c r="G147" s="512" t="s">
        <v>1215</v>
      </c>
      <c r="H147" s="507" t="s">
        <v>713</v>
      </c>
      <c r="I147" s="507" t="s">
        <v>713</v>
      </c>
      <c r="J147" s="507" t="s">
        <v>713</v>
      </c>
      <c r="K147" s="507" t="s">
        <v>713</v>
      </c>
      <c r="L147" s="508">
        <f t="shared" ref="L147:U147" si="61">SUM(L148)</f>
        <v>3268.808</v>
      </c>
      <c r="M147" s="508">
        <f t="shared" si="61"/>
        <v>1640.124</v>
      </c>
      <c r="N147" s="508">
        <f t="shared" si="61"/>
        <v>571.19200000000001</v>
      </c>
      <c r="O147" s="508">
        <f t="shared" si="61"/>
        <v>2823.3560000000002</v>
      </c>
      <c r="P147" s="508">
        <f t="shared" si="61"/>
        <v>8303.48</v>
      </c>
      <c r="Q147" s="507">
        <f t="shared" si="61"/>
        <v>15246799.21864</v>
      </c>
      <c r="R147" s="507">
        <f t="shared" si="61"/>
        <v>7650079.5769199999</v>
      </c>
      <c r="S147" s="507">
        <f t="shared" si="61"/>
        <v>2664227.9813600001</v>
      </c>
      <c r="T147" s="507">
        <f t="shared" si="61"/>
        <v>13169064.09148</v>
      </c>
      <c r="U147" s="507">
        <f t="shared" si="61"/>
        <v>38730170.8684</v>
      </c>
      <c r="V147" s="507">
        <v>5058554.51</v>
      </c>
      <c r="W147" s="518">
        <f>T147/3</f>
        <v>4389688.030493333</v>
      </c>
      <c r="X147" s="518">
        <f>U147+V147-W147</f>
        <v>39399037.347906664</v>
      </c>
    </row>
    <row r="148" spans="1:24" ht="45.75" customHeight="1">
      <c r="A148" s="514"/>
      <c r="B148" s="514"/>
      <c r="C148" s="514"/>
      <c r="D148" s="512" t="s">
        <v>951</v>
      </c>
      <c r="E148" s="506" t="s">
        <v>747</v>
      </c>
      <c r="F148" s="506" t="s">
        <v>950</v>
      </c>
      <c r="G148" s="506" t="s">
        <v>1130</v>
      </c>
      <c r="H148" s="507">
        <v>6408.33</v>
      </c>
      <c r="I148" s="507">
        <v>6408.33</v>
      </c>
      <c r="J148" s="507">
        <v>1744</v>
      </c>
      <c r="K148" s="507">
        <v>1744</v>
      </c>
      <c r="L148" s="508">
        <v>3268.808</v>
      </c>
      <c r="M148" s="508">
        <v>1640.124</v>
      </c>
      <c r="N148" s="508">
        <v>571.19200000000001</v>
      </c>
      <c r="O148" s="508">
        <v>2823.3560000000002</v>
      </c>
      <c r="P148" s="508">
        <f t="shared" si="56"/>
        <v>8303.48</v>
      </c>
      <c r="Q148" s="507">
        <f>(H148-J148)*L148</f>
        <v>15246799.21864</v>
      </c>
      <c r="R148" s="507">
        <f>(H148-J148)*M148</f>
        <v>7650079.5769199999</v>
      </c>
      <c r="S148" s="507">
        <f>(I148-J148)*N148</f>
        <v>2664227.9813600001</v>
      </c>
      <c r="T148" s="507">
        <f>(I148-K148)*O148</f>
        <v>13169064.09148</v>
      </c>
      <c r="U148" s="507">
        <f t="shared" si="58"/>
        <v>38730170.8684</v>
      </c>
      <c r="V148" s="507" t="s">
        <v>713</v>
      </c>
      <c r="W148" s="518"/>
      <c r="X148" s="519"/>
    </row>
    <row r="149" spans="1:24" ht="42.75" customHeight="1">
      <c r="A149" s="514" t="s">
        <v>949</v>
      </c>
      <c r="B149" s="514" t="s">
        <v>948</v>
      </c>
      <c r="C149" s="514" t="s">
        <v>947</v>
      </c>
      <c r="D149" s="589"/>
      <c r="E149" s="512" t="s">
        <v>946</v>
      </c>
      <c r="F149" s="512"/>
      <c r="G149" s="512" t="s">
        <v>1215</v>
      </c>
      <c r="H149" s="507" t="s">
        <v>713</v>
      </c>
      <c r="I149" s="507" t="s">
        <v>713</v>
      </c>
      <c r="J149" s="507" t="s">
        <v>713</v>
      </c>
      <c r="K149" s="507" t="s">
        <v>713</v>
      </c>
      <c r="L149" s="508">
        <f t="shared" ref="L149:U149" si="62">SUM(L150:L151)</f>
        <v>239.03200000000004</v>
      </c>
      <c r="M149" s="508">
        <f t="shared" si="62"/>
        <v>110.521</v>
      </c>
      <c r="N149" s="508">
        <f t="shared" si="62"/>
        <v>24</v>
      </c>
      <c r="O149" s="508">
        <f t="shared" si="62"/>
        <v>189</v>
      </c>
      <c r="P149" s="508">
        <f t="shared" si="62"/>
        <v>562.553</v>
      </c>
      <c r="Q149" s="507">
        <f t="shared" si="62"/>
        <v>455807.73048000003</v>
      </c>
      <c r="R149" s="507">
        <f t="shared" si="62"/>
        <v>210751.38968999998</v>
      </c>
      <c r="S149" s="507">
        <f t="shared" si="62"/>
        <v>45765.359999999993</v>
      </c>
      <c r="T149" s="507">
        <f t="shared" si="62"/>
        <v>360402.21</v>
      </c>
      <c r="U149" s="507">
        <f t="shared" si="62"/>
        <v>1072726.6901700001</v>
      </c>
      <c r="V149" s="507">
        <v>151731.24</v>
      </c>
      <c r="W149" s="518">
        <f>T149/3</f>
        <v>120134.07</v>
      </c>
      <c r="X149" s="518">
        <f>U149+V149-W149</f>
        <v>1104323.86017</v>
      </c>
    </row>
    <row r="150" spans="1:24" ht="40.5" customHeight="1">
      <c r="A150" s="514"/>
      <c r="B150" s="514"/>
      <c r="C150" s="514"/>
      <c r="D150" s="512" t="s">
        <v>946</v>
      </c>
      <c r="E150" s="506" t="s">
        <v>798</v>
      </c>
      <c r="F150" s="506" t="s">
        <v>797</v>
      </c>
      <c r="G150" s="506" t="s">
        <v>1130</v>
      </c>
      <c r="H150" s="507">
        <v>3421.89</v>
      </c>
      <c r="I150" s="507">
        <v>3421.89</v>
      </c>
      <c r="J150" s="507">
        <v>1515</v>
      </c>
      <c r="K150" s="507">
        <v>1515</v>
      </c>
      <c r="L150" s="508">
        <v>219.93400000000003</v>
      </c>
      <c r="M150" s="508">
        <v>98.119</v>
      </c>
      <c r="N150" s="508">
        <v>19</v>
      </c>
      <c r="O150" s="508">
        <v>167</v>
      </c>
      <c r="P150" s="508">
        <f t="shared" si="56"/>
        <v>504.053</v>
      </c>
      <c r="Q150" s="507">
        <f>(H150-J150)*L150</f>
        <v>419389.94526000001</v>
      </c>
      <c r="R150" s="507">
        <f>(H150-J150)*M150</f>
        <v>187102.13991</v>
      </c>
      <c r="S150" s="507">
        <f>(I150-J150)*N150</f>
        <v>36230.909999999996</v>
      </c>
      <c r="T150" s="507">
        <f>(I150-K150)*O150</f>
        <v>318450.63</v>
      </c>
      <c r="U150" s="507">
        <f t="shared" si="58"/>
        <v>961173.62517000001</v>
      </c>
      <c r="V150" s="507" t="s">
        <v>713</v>
      </c>
      <c r="W150" s="518"/>
      <c r="X150" s="519"/>
    </row>
    <row r="151" spans="1:24" ht="40.5" customHeight="1">
      <c r="A151" s="514"/>
      <c r="B151" s="514"/>
      <c r="C151" s="514"/>
      <c r="D151" s="512" t="s">
        <v>946</v>
      </c>
      <c r="E151" s="506" t="s">
        <v>798</v>
      </c>
      <c r="F151" s="506" t="s">
        <v>797</v>
      </c>
      <c r="G151" s="506" t="s">
        <v>1131</v>
      </c>
      <c r="H151" s="507">
        <v>3421.89</v>
      </c>
      <c r="I151" s="507">
        <v>3421.89</v>
      </c>
      <c r="J151" s="507">
        <v>1515</v>
      </c>
      <c r="K151" s="507">
        <v>1515</v>
      </c>
      <c r="L151" s="508">
        <v>19.097999999999999</v>
      </c>
      <c r="M151" s="508">
        <v>12.401999999999999</v>
      </c>
      <c r="N151" s="508">
        <v>5</v>
      </c>
      <c r="O151" s="508">
        <v>22</v>
      </c>
      <c r="P151" s="508">
        <f t="shared" si="56"/>
        <v>58.5</v>
      </c>
      <c r="Q151" s="507">
        <f>(H151-J151)*L151</f>
        <v>36417.785219999998</v>
      </c>
      <c r="R151" s="507">
        <f>(H151-J151)*M151</f>
        <v>23649.249779999998</v>
      </c>
      <c r="S151" s="507">
        <f>(I151-J151)*N151</f>
        <v>9534.4499999999989</v>
      </c>
      <c r="T151" s="507">
        <f>(I151-K151)*O151</f>
        <v>41951.579999999994</v>
      </c>
      <c r="U151" s="507">
        <f t="shared" si="58"/>
        <v>111553.065</v>
      </c>
      <c r="V151" s="507" t="s">
        <v>713</v>
      </c>
      <c r="W151" s="518"/>
      <c r="X151" s="519"/>
    </row>
    <row r="152" spans="1:24" ht="40.5" customHeight="1">
      <c r="A152" s="514"/>
      <c r="B152" s="514"/>
      <c r="C152" s="514"/>
      <c r="D152" s="512"/>
      <c r="E152" s="506" t="s">
        <v>798</v>
      </c>
      <c r="F152" s="506" t="s">
        <v>797</v>
      </c>
      <c r="G152" s="506" t="s">
        <v>579</v>
      </c>
      <c r="H152" s="507">
        <v>54.16</v>
      </c>
      <c r="I152" s="507">
        <v>54.16</v>
      </c>
      <c r="J152" s="507">
        <v>53.57</v>
      </c>
      <c r="K152" s="507">
        <v>53.57</v>
      </c>
      <c r="L152" s="508">
        <v>32</v>
      </c>
      <c r="M152" s="508">
        <v>192.4</v>
      </c>
      <c r="N152" s="508">
        <v>80</v>
      </c>
      <c r="O152" s="508">
        <v>310</v>
      </c>
      <c r="P152" s="508">
        <f t="shared" si="56"/>
        <v>614.4</v>
      </c>
      <c r="Q152" s="507">
        <f>(H152-J152)*L152</f>
        <v>18.879999999999882</v>
      </c>
      <c r="R152" s="507">
        <f>(H152-J152)*M152</f>
        <v>113.51599999999929</v>
      </c>
      <c r="S152" s="507">
        <f>(I152-J152)*N152</f>
        <v>47.199999999999704</v>
      </c>
      <c r="T152" s="507">
        <f>(I152-K152)*O152</f>
        <v>182.89999999999884</v>
      </c>
      <c r="U152" s="507">
        <f t="shared" si="58"/>
        <v>362.49599999999771</v>
      </c>
      <c r="V152" s="507"/>
      <c r="W152" s="518"/>
      <c r="X152" s="519" t="e">
        <f>#REF!+V152-W152</f>
        <v>#REF!</v>
      </c>
    </row>
    <row r="153" spans="1:24" ht="30.75" customHeight="1">
      <c r="A153" s="514" t="s">
        <v>735</v>
      </c>
      <c r="B153" s="514" t="s">
        <v>945</v>
      </c>
      <c r="C153" s="514" t="s">
        <v>944</v>
      </c>
      <c r="D153" s="589"/>
      <c r="E153" s="512" t="s">
        <v>943</v>
      </c>
      <c r="F153" s="512"/>
      <c r="G153" s="512" t="s">
        <v>1215</v>
      </c>
      <c r="H153" s="507" t="s">
        <v>713</v>
      </c>
      <c r="I153" s="507" t="s">
        <v>713</v>
      </c>
      <c r="J153" s="507" t="s">
        <v>713</v>
      </c>
      <c r="K153" s="507" t="s">
        <v>713</v>
      </c>
      <c r="L153" s="508">
        <f t="shared" ref="L153:U153" si="63">SUM(L154)</f>
        <v>5273.3249999999998</v>
      </c>
      <c r="M153" s="508">
        <f t="shared" si="63"/>
        <v>2115.6550000000002</v>
      </c>
      <c r="N153" s="508">
        <f t="shared" si="63"/>
        <v>1022.7910000000001</v>
      </c>
      <c r="O153" s="508">
        <f t="shared" si="63"/>
        <v>4348.6620000000003</v>
      </c>
      <c r="P153" s="508">
        <f t="shared" si="63"/>
        <v>12760.432999999999</v>
      </c>
      <c r="Q153" s="507">
        <f t="shared" si="63"/>
        <v>25541929.703249998</v>
      </c>
      <c r="R153" s="507">
        <f t="shared" si="63"/>
        <v>10247407.71455</v>
      </c>
      <c r="S153" s="507">
        <f t="shared" si="63"/>
        <v>4954000.7155099995</v>
      </c>
      <c r="T153" s="507">
        <f t="shared" si="63"/>
        <v>21063222.749820001</v>
      </c>
      <c r="U153" s="507">
        <f t="shared" si="63"/>
        <v>61806560.883129992</v>
      </c>
      <c r="V153" s="507">
        <v>8697825.4700000007</v>
      </c>
      <c r="W153" s="518">
        <f>T153/3</f>
        <v>7021074.2499400005</v>
      </c>
      <c r="X153" s="518">
        <f>U153+V153-W153</f>
        <v>63483312.103189997</v>
      </c>
    </row>
    <row r="154" spans="1:24" ht="45" customHeight="1">
      <c r="A154" s="514"/>
      <c r="B154" s="514"/>
      <c r="C154" s="514"/>
      <c r="D154" s="512" t="s">
        <v>943</v>
      </c>
      <c r="E154" s="506" t="s">
        <v>942</v>
      </c>
      <c r="F154" s="506" t="s">
        <v>941</v>
      </c>
      <c r="G154" s="506" t="s">
        <v>1130</v>
      </c>
      <c r="H154" s="507">
        <v>6442.61</v>
      </c>
      <c r="I154" s="507">
        <v>6442.61</v>
      </c>
      <c r="J154" s="507">
        <v>1599</v>
      </c>
      <c r="K154" s="507">
        <v>1599</v>
      </c>
      <c r="L154" s="508">
        <v>5273.3249999999998</v>
      </c>
      <c r="M154" s="508">
        <v>2115.6550000000002</v>
      </c>
      <c r="N154" s="508">
        <v>1022.7910000000001</v>
      </c>
      <c r="O154" s="508">
        <v>4348.6620000000003</v>
      </c>
      <c r="P154" s="508">
        <f t="shared" si="56"/>
        <v>12760.432999999999</v>
      </c>
      <c r="Q154" s="507">
        <f>(H154-J154)*L154</f>
        <v>25541929.703249998</v>
      </c>
      <c r="R154" s="507">
        <f>(H154-J154)*M154</f>
        <v>10247407.71455</v>
      </c>
      <c r="S154" s="507">
        <f>(I154-J154)*N154</f>
        <v>4954000.7155099995</v>
      </c>
      <c r="T154" s="507">
        <f>(I154-K154)*O154</f>
        <v>21063222.749820001</v>
      </c>
      <c r="U154" s="507">
        <f t="shared" si="58"/>
        <v>61806560.883129992</v>
      </c>
      <c r="V154" s="507" t="s">
        <v>713</v>
      </c>
      <c r="W154" s="518"/>
      <c r="X154" s="519"/>
    </row>
    <row r="155" spans="1:24" ht="30.75" customHeight="1">
      <c r="A155" s="514" t="s">
        <v>813</v>
      </c>
      <c r="B155" s="514" t="s">
        <v>940</v>
      </c>
      <c r="C155" s="514" t="s">
        <v>939</v>
      </c>
      <c r="D155" s="589"/>
      <c r="E155" s="512" t="s">
        <v>938</v>
      </c>
      <c r="F155" s="512"/>
      <c r="G155" s="512" t="s">
        <v>1215</v>
      </c>
      <c r="H155" s="507" t="s">
        <v>713</v>
      </c>
      <c r="I155" s="507" t="s">
        <v>713</v>
      </c>
      <c r="J155" s="507" t="s">
        <v>713</v>
      </c>
      <c r="K155" s="507" t="s">
        <v>713</v>
      </c>
      <c r="L155" s="508">
        <f t="shared" ref="L155:U155" si="64">SUM(L156)</f>
        <v>3670.7090000000003</v>
      </c>
      <c r="M155" s="508">
        <f t="shared" si="64"/>
        <v>1520.6599999999999</v>
      </c>
      <c r="N155" s="508">
        <f t="shared" si="64"/>
        <v>492.66</v>
      </c>
      <c r="O155" s="508">
        <f t="shared" si="64"/>
        <v>3021.66</v>
      </c>
      <c r="P155" s="508">
        <f t="shared" si="64"/>
        <v>8705.6890000000003</v>
      </c>
      <c r="Q155" s="507">
        <f t="shared" si="64"/>
        <v>16750583.086790003</v>
      </c>
      <c r="R155" s="507">
        <f t="shared" si="64"/>
        <v>6939242.9846000001</v>
      </c>
      <c r="S155" s="507">
        <f t="shared" si="64"/>
        <v>2248160.3046000004</v>
      </c>
      <c r="T155" s="507">
        <f t="shared" si="64"/>
        <v>13788771.294600001</v>
      </c>
      <c r="U155" s="507">
        <f t="shared" si="64"/>
        <v>39726757.670590006</v>
      </c>
      <c r="V155" s="507">
        <v>5531178.9199999999</v>
      </c>
      <c r="W155" s="518">
        <f>T155/3</f>
        <v>4596257.0981999999</v>
      </c>
      <c r="X155" s="518">
        <f>U155+V155-W155</f>
        <v>40661679.492390007</v>
      </c>
    </row>
    <row r="156" spans="1:24" ht="45" customHeight="1">
      <c r="A156" s="514"/>
      <c r="B156" s="514"/>
      <c r="C156" s="514"/>
      <c r="D156" s="512" t="s">
        <v>938</v>
      </c>
      <c r="E156" s="506" t="s">
        <v>937</v>
      </c>
      <c r="F156" s="506" t="s">
        <v>936</v>
      </c>
      <c r="G156" s="506" t="s">
        <v>1130</v>
      </c>
      <c r="H156" s="507">
        <v>6793.31</v>
      </c>
      <c r="I156" s="507">
        <v>6793.31</v>
      </c>
      <c r="J156" s="507">
        <v>2230</v>
      </c>
      <c r="K156" s="507">
        <v>2230</v>
      </c>
      <c r="L156" s="508">
        <v>3670.7090000000003</v>
      </c>
      <c r="M156" s="508">
        <v>1520.6599999999999</v>
      </c>
      <c r="N156" s="508">
        <v>492.66</v>
      </c>
      <c r="O156" s="508">
        <v>3021.66</v>
      </c>
      <c r="P156" s="508">
        <f t="shared" si="56"/>
        <v>8705.6890000000003</v>
      </c>
      <c r="Q156" s="507">
        <f>(H156-J156)*L156</f>
        <v>16750583.086790003</v>
      </c>
      <c r="R156" s="507">
        <f>(H156-J156)*M156</f>
        <v>6939242.9846000001</v>
      </c>
      <c r="S156" s="507">
        <f>(I156-J156)*N156</f>
        <v>2248160.3046000004</v>
      </c>
      <c r="T156" s="507">
        <f>(I156-K156)*O156</f>
        <v>13788771.294600001</v>
      </c>
      <c r="U156" s="507">
        <f t="shared" si="58"/>
        <v>39726757.670590006</v>
      </c>
      <c r="V156" s="507" t="s">
        <v>713</v>
      </c>
      <c r="W156" s="518"/>
      <c r="X156" s="519"/>
    </row>
    <row r="157" spans="1:24" ht="30.75" customHeight="1">
      <c r="A157" s="514" t="s">
        <v>754</v>
      </c>
      <c r="B157" s="514" t="s">
        <v>935</v>
      </c>
      <c r="C157" s="514" t="s">
        <v>934</v>
      </c>
      <c r="D157" s="589"/>
      <c r="E157" s="512" t="s">
        <v>923</v>
      </c>
      <c r="F157" s="512"/>
      <c r="G157" s="512" t="s">
        <v>1215</v>
      </c>
      <c r="H157" s="507" t="s">
        <v>713</v>
      </c>
      <c r="I157" s="507" t="s">
        <v>713</v>
      </c>
      <c r="J157" s="507" t="s">
        <v>713</v>
      </c>
      <c r="K157" s="507" t="s">
        <v>713</v>
      </c>
      <c r="L157" s="508">
        <f t="shared" ref="L157:U157" si="65">SUM(L158:L170)</f>
        <v>21367.412</v>
      </c>
      <c r="M157" s="508">
        <f t="shared" si="65"/>
        <v>8426.7690000000002</v>
      </c>
      <c r="N157" s="508">
        <f t="shared" si="65"/>
        <v>4193.869999999999</v>
      </c>
      <c r="O157" s="508">
        <f t="shared" si="65"/>
        <v>18101.609999999997</v>
      </c>
      <c r="P157" s="508">
        <f t="shared" si="65"/>
        <v>52089.661000000007</v>
      </c>
      <c r="Q157" s="507">
        <f t="shared" si="65"/>
        <v>91772057.619929969</v>
      </c>
      <c r="R157" s="507">
        <f t="shared" si="65"/>
        <v>41467394.305879995</v>
      </c>
      <c r="S157" s="507">
        <f t="shared" si="65"/>
        <v>16071483.543099999</v>
      </c>
      <c r="T157" s="507">
        <f t="shared" si="65"/>
        <v>76166256.482799992</v>
      </c>
      <c r="U157" s="507">
        <f t="shared" si="65"/>
        <v>225477191.95170993</v>
      </c>
      <c r="V157" s="507">
        <v>28684715.649999999</v>
      </c>
      <c r="W157" s="518">
        <f>T157/3</f>
        <v>25388752.160933331</v>
      </c>
      <c r="X157" s="518">
        <f>U157+V157-W157</f>
        <v>228773155.44077659</v>
      </c>
    </row>
    <row r="158" spans="1:24" ht="54" customHeight="1">
      <c r="A158" s="514"/>
      <c r="B158" s="514"/>
      <c r="C158" s="514"/>
      <c r="D158" s="512" t="s">
        <v>923</v>
      </c>
      <c r="E158" s="506" t="s">
        <v>932</v>
      </c>
      <c r="F158" s="506" t="s">
        <v>933</v>
      </c>
      <c r="G158" s="506" t="s">
        <v>1130</v>
      </c>
      <c r="H158" s="507">
        <v>9685.81</v>
      </c>
      <c r="I158" s="507">
        <v>9685.81</v>
      </c>
      <c r="J158" s="507">
        <v>1852.5</v>
      </c>
      <c r="K158" s="507">
        <v>1852.5</v>
      </c>
      <c r="L158" s="508">
        <v>4996</v>
      </c>
      <c r="M158" s="508">
        <v>2373.4749999999999</v>
      </c>
      <c r="N158" s="508">
        <v>718.8</v>
      </c>
      <c r="O158" s="508">
        <v>3912.36</v>
      </c>
      <c r="P158" s="508">
        <f t="shared" si="56"/>
        <v>12000.635</v>
      </c>
      <c r="Q158" s="507">
        <f t="shared" ref="Q158:Q170" si="66">(H158-J158)*L158</f>
        <v>39135216.759999998</v>
      </c>
      <c r="R158" s="507">
        <f t="shared" ref="R158:R170" si="67">(H158-J158)*M158</f>
        <v>18592165.452249996</v>
      </c>
      <c r="S158" s="507">
        <f t="shared" ref="S158:S170" si="68">(I158-J158)*N158</f>
        <v>5630583.2279999992</v>
      </c>
      <c r="T158" s="507">
        <f t="shared" ref="T158:T170" si="69">(I158-K158)*O158</f>
        <v>30646728.711599998</v>
      </c>
      <c r="U158" s="507">
        <f t="shared" si="58"/>
        <v>94004694.151849985</v>
      </c>
      <c r="V158" s="507" t="s">
        <v>713</v>
      </c>
      <c r="W158" s="518"/>
      <c r="X158" s="519"/>
    </row>
    <row r="159" spans="1:24" ht="54" customHeight="1">
      <c r="A159" s="514"/>
      <c r="B159" s="514"/>
      <c r="C159" s="514"/>
      <c r="D159" s="512" t="s">
        <v>923</v>
      </c>
      <c r="E159" s="506" t="s">
        <v>932</v>
      </c>
      <c r="F159" s="506" t="s">
        <v>931</v>
      </c>
      <c r="G159" s="506" t="s">
        <v>1130</v>
      </c>
      <c r="H159" s="507">
        <v>17198.34</v>
      </c>
      <c r="I159" s="507">
        <v>17198.34</v>
      </c>
      <c r="J159" s="507">
        <v>1852.5</v>
      </c>
      <c r="K159" s="507">
        <v>1852.5</v>
      </c>
      <c r="L159" s="508">
        <v>220.99400000000003</v>
      </c>
      <c r="M159" s="508">
        <v>146.20100000000002</v>
      </c>
      <c r="N159" s="508">
        <v>46.27</v>
      </c>
      <c r="O159" s="508">
        <v>212.54</v>
      </c>
      <c r="P159" s="508">
        <f t="shared" si="56"/>
        <v>626.005</v>
      </c>
      <c r="Q159" s="507">
        <f t="shared" si="66"/>
        <v>3391338.5649600006</v>
      </c>
      <c r="R159" s="507">
        <f t="shared" si="67"/>
        <v>2243577.1538400003</v>
      </c>
      <c r="S159" s="507">
        <f t="shared" si="68"/>
        <v>710052.0168000001</v>
      </c>
      <c r="T159" s="507">
        <f t="shared" si="69"/>
        <v>3261604.8336</v>
      </c>
      <c r="U159" s="507">
        <f t="shared" si="58"/>
        <v>9606572.5692000017</v>
      </c>
      <c r="V159" s="507" t="s">
        <v>713</v>
      </c>
      <c r="W159" s="518"/>
      <c r="X159" s="519"/>
    </row>
    <row r="160" spans="1:24" ht="54" customHeight="1">
      <c r="A160" s="514"/>
      <c r="B160" s="514"/>
      <c r="C160" s="514"/>
      <c r="D160" s="512" t="s">
        <v>923</v>
      </c>
      <c r="E160" s="506" t="s">
        <v>791</v>
      </c>
      <c r="F160" s="506" t="s">
        <v>930</v>
      </c>
      <c r="G160" s="506" t="s">
        <v>1130</v>
      </c>
      <c r="H160" s="507">
        <v>8738.67</v>
      </c>
      <c r="I160" s="507">
        <v>8738.67</v>
      </c>
      <c r="J160" s="507">
        <v>1816.67</v>
      </c>
      <c r="K160" s="507">
        <v>1816.67</v>
      </c>
      <c r="L160" s="508">
        <v>3795.819</v>
      </c>
      <c r="M160" s="508">
        <v>1495.415</v>
      </c>
      <c r="N160" s="508">
        <v>535.57000000000005</v>
      </c>
      <c r="O160" s="508">
        <v>3027.36</v>
      </c>
      <c r="P160" s="508">
        <f t="shared" si="56"/>
        <v>8854.1640000000007</v>
      </c>
      <c r="Q160" s="507">
        <f t="shared" si="66"/>
        <v>26274659.118000001</v>
      </c>
      <c r="R160" s="507">
        <f t="shared" si="67"/>
        <v>10351262.629999999</v>
      </c>
      <c r="S160" s="507">
        <f t="shared" si="68"/>
        <v>3707215.5400000005</v>
      </c>
      <c r="T160" s="507">
        <f t="shared" si="69"/>
        <v>20955385.920000002</v>
      </c>
      <c r="U160" s="507">
        <f t="shared" si="58"/>
        <v>61288523.207999997</v>
      </c>
      <c r="V160" s="507" t="s">
        <v>713</v>
      </c>
      <c r="W160" s="518"/>
      <c r="X160" s="519"/>
    </row>
    <row r="161" spans="1:24" ht="54" customHeight="1">
      <c r="A161" s="514"/>
      <c r="B161" s="514"/>
      <c r="C161" s="514"/>
      <c r="D161" s="512" t="s">
        <v>923</v>
      </c>
      <c r="E161" s="506" t="s">
        <v>791</v>
      </c>
      <c r="F161" s="506" t="s">
        <v>927</v>
      </c>
      <c r="G161" s="506" t="s">
        <v>1130</v>
      </c>
      <c r="H161" s="507">
        <v>8738.67</v>
      </c>
      <c r="I161" s="507">
        <v>8738.67</v>
      </c>
      <c r="J161" s="507">
        <v>2200</v>
      </c>
      <c r="K161" s="507">
        <v>2200</v>
      </c>
      <c r="L161" s="508">
        <v>847.36199999999997</v>
      </c>
      <c r="M161" s="508">
        <v>424.30599999999998</v>
      </c>
      <c r="N161" s="508">
        <v>67.95</v>
      </c>
      <c r="O161" s="508">
        <v>525.86</v>
      </c>
      <c r="P161" s="508">
        <f t="shared" si="56"/>
        <v>1865.4780000000001</v>
      </c>
      <c r="Q161" s="507">
        <f t="shared" si="66"/>
        <v>5540620.4885400003</v>
      </c>
      <c r="R161" s="507">
        <f t="shared" si="67"/>
        <v>2774396.9130199999</v>
      </c>
      <c r="S161" s="507">
        <f t="shared" si="68"/>
        <v>444302.62650000001</v>
      </c>
      <c r="T161" s="507">
        <f t="shared" si="69"/>
        <v>3438425.0062000002</v>
      </c>
      <c r="U161" s="507">
        <f t="shared" si="58"/>
        <v>12197745.034260001</v>
      </c>
      <c r="V161" s="507" t="s">
        <v>713</v>
      </c>
      <c r="W161" s="518"/>
      <c r="X161" s="519"/>
    </row>
    <row r="162" spans="1:24" ht="54" customHeight="1">
      <c r="A162" s="514"/>
      <c r="B162" s="514"/>
      <c r="C162" s="514"/>
      <c r="D162" s="512" t="s">
        <v>923</v>
      </c>
      <c r="E162" s="506" t="s">
        <v>791</v>
      </c>
      <c r="F162" s="506" t="s">
        <v>927</v>
      </c>
      <c r="G162" s="506" t="s">
        <v>1131</v>
      </c>
      <c r="H162" s="507">
        <v>8738.67</v>
      </c>
      <c r="I162" s="507">
        <v>8738.67</v>
      </c>
      <c r="J162" s="507">
        <v>2200</v>
      </c>
      <c r="K162" s="507">
        <v>2200</v>
      </c>
      <c r="L162" s="508">
        <v>100.994</v>
      </c>
      <c r="M162" s="508">
        <v>111.91200000000001</v>
      </c>
      <c r="N162" s="508">
        <v>60.3</v>
      </c>
      <c r="O162" s="508">
        <v>71.989999999999995</v>
      </c>
      <c r="P162" s="508">
        <f t="shared" si="56"/>
        <v>345.19600000000003</v>
      </c>
      <c r="Q162" s="507">
        <f t="shared" si="66"/>
        <v>660366.43798000005</v>
      </c>
      <c r="R162" s="507">
        <f t="shared" si="67"/>
        <v>731755.63704000006</v>
      </c>
      <c r="S162" s="507">
        <f t="shared" si="68"/>
        <v>394281.80099999998</v>
      </c>
      <c r="T162" s="507">
        <f t="shared" si="69"/>
        <v>470718.85329999996</v>
      </c>
      <c r="U162" s="507">
        <f t="shared" si="58"/>
        <v>2257122.7293199999</v>
      </c>
      <c r="V162" s="507" t="s">
        <v>713</v>
      </c>
      <c r="W162" s="518"/>
      <c r="X162" s="519"/>
    </row>
    <row r="163" spans="1:24" ht="54" customHeight="1">
      <c r="A163" s="514"/>
      <c r="B163" s="514"/>
      <c r="C163" s="514"/>
      <c r="D163" s="512" t="s">
        <v>923</v>
      </c>
      <c r="E163" s="506" t="s">
        <v>791</v>
      </c>
      <c r="F163" s="506" t="s">
        <v>929</v>
      </c>
      <c r="G163" s="506" t="s">
        <v>1130</v>
      </c>
      <c r="H163" s="507">
        <v>8738.67</v>
      </c>
      <c r="I163" s="507">
        <v>8738.67</v>
      </c>
      <c r="J163" s="507">
        <v>1743.33</v>
      </c>
      <c r="K163" s="507">
        <v>1743.33</v>
      </c>
      <c r="L163" s="508">
        <v>387.15600000000001</v>
      </c>
      <c r="M163" s="508">
        <v>151.90899999999999</v>
      </c>
      <c r="N163" s="508">
        <v>116.33</v>
      </c>
      <c r="O163" s="508">
        <v>498.03</v>
      </c>
      <c r="P163" s="508">
        <f t="shared" si="56"/>
        <v>1153.4250000000002</v>
      </c>
      <c r="Q163" s="507">
        <f t="shared" si="66"/>
        <v>2708287.85304</v>
      </c>
      <c r="R163" s="507">
        <f t="shared" si="67"/>
        <v>1062655.10406</v>
      </c>
      <c r="S163" s="507">
        <f t="shared" si="68"/>
        <v>813767.90220000001</v>
      </c>
      <c r="T163" s="507">
        <f t="shared" si="69"/>
        <v>3483889.1801999998</v>
      </c>
      <c r="U163" s="507">
        <f t="shared" si="58"/>
        <v>8068600.0395</v>
      </c>
      <c r="V163" s="507" t="s">
        <v>713</v>
      </c>
      <c r="W163" s="518"/>
      <c r="X163" s="519"/>
    </row>
    <row r="164" spans="1:24" ht="54" customHeight="1">
      <c r="A164" s="514"/>
      <c r="B164" s="514"/>
      <c r="C164" s="514"/>
      <c r="D164" s="512" t="s">
        <v>923</v>
      </c>
      <c r="E164" s="506" t="s">
        <v>791</v>
      </c>
      <c r="F164" s="506" t="s">
        <v>928</v>
      </c>
      <c r="G164" s="506" t="s">
        <v>1131</v>
      </c>
      <c r="H164" s="507">
        <v>8738.67</v>
      </c>
      <c r="I164" s="507">
        <v>8738.67</v>
      </c>
      <c r="J164" s="507">
        <v>1816.67</v>
      </c>
      <c r="K164" s="507">
        <v>1816.67</v>
      </c>
      <c r="L164" s="508">
        <v>224.33799999999997</v>
      </c>
      <c r="M164" s="508">
        <v>204.24199999999999</v>
      </c>
      <c r="N164" s="508">
        <v>122.47</v>
      </c>
      <c r="O164" s="508">
        <v>156.24</v>
      </c>
      <c r="P164" s="508">
        <f t="shared" si="56"/>
        <v>707.29</v>
      </c>
      <c r="Q164" s="507">
        <f t="shared" si="66"/>
        <v>1552867.6359999997</v>
      </c>
      <c r="R164" s="507">
        <f t="shared" si="67"/>
        <v>1413763.1239999998</v>
      </c>
      <c r="S164" s="507">
        <f t="shared" si="68"/>
        <v>847737.34</v>
      </c>
      <c r="T164" s="507">
        <f t="shared" si="69"/>
        <v>1081493.28</v>
      </c>
      <c r="U164" s="507">
        <f t="shared" si="58"/>
        <v>4895861.38</v>
      </c>
      <c r="V164" s="507" t="s">
        <v>713</v>
      </c>
      <c r="W164" s="518"/>
      <c r="X164" s="519"/>
    </row>
    <row r="165" spans="1:24" ht="46.5" customHeight="1">
      <c r="A165" s="514"/>
      <c r="B165" s="514"/>
      <c r="C165" s="514"/>
      <c r="D165" s="512" t="s">
        <v>923</v>
      </c>
      <c r="E165" s="506" t="s">
        <v>791</v>
      </c>
      <c r="F165" s="506" t="s">
        <v>926</v>
      </c>
      <c r="G165" s="506" t="s">
        <v>1130</v>
      </c>
      <c r="H165" s="507">
        <v>3379.24</v>
      </c>
      <c r="I165" s="507">
        <v>3379.24</v>
      </c>
      <c r="J165" s="507">
        <v>1816.67</v>
      </c>
      <c r="K165" s="507">
        <v>1816.67</v>
      </c>
      <c r="L165" s="508">
        <v>4669.0519999999997</v>
      </c>
      <c r="M165" s="508">
        <v>1558.1109999999999</v>
      </c>
      <c r="N165" s="508">
        <v>1378.37</v>
      </c>
      <c r="O165" s="508">
        <v>4699.1499999999996</v>
      </c>
      <c r="P165" s="508">
        <f t="shared" si="56"/>
        <v>12304.682999999999</v>
      </c>
      <c r="Q165" s="507">
        <f t="shared" si="66"/>
        <v>7295720.583639998</v>
      </c>
      <c r="R165" s="507">
        <f t="shared" si="67"/>
        <v>2434657.5052699992</v>
      </c>
      <c r="S165" s="507">
        <f t="shared" si="68"/>
        <v>2153799.6108999993</v>
      </c>
      <c r="T165" s="507">
        <f t="shared" si="69"/>
        <v>7342750.8154999977</v>
      </c>
      <c r="U165" s="507">
        <f t="shared" si="58"/>
        <v>19226928.515309993</v>
      </c>
      <c r="V165" s="507" t="s">
        <v>713</v>
      </c>
      <c r="W165" s="518"/>
      <c r="X165" s="519"/>
    </row>
    <row r="166" spans="1:24" ht="46.5" customHeight="1">
      <c r="A166" s="514"/>
      <c r="B166" s="514"/>
      <c r="C166" s="514"/>
      <c r="D166" s="512" t="s">
        <v>923</v>
      </c>
      <c r="E166" s="506" t="s">
        <v>791</v>
      </c>
      <c r="F166" s="506" t="s">
        <v>926</v>
      </c>
      <c r="G166" s="506" t="s">
        <v>1131</v>
      </c>
      <c r="H166" s="507">
        <v>3379.24</v>
      </c>
      <c r="I166" s="507">
        <v>3379.24</v>
      </c>
      <c r="J166" s="507">
        <v>1816.67</v>
      </c>
      <c r="K166" s="507">
        <v>1816.67</v>
      </c>
      <c r="L166" s="508">
        <v>64.305000000000007</v>
      </c>
      <c r="M166" s="508">
        <v>62.728000000000009</v>
      </c>
      <c r="N166" s="508">
        <v>65.11</v>
      </c>
      <c r="O166" s="508">
        <v>68.5</v>
      </c>
      <c r="P166" s="508">
        <f t="shared" si="56"/>
        <v>260.64300000000003</v>
      </c>
      <c r="Q166" s="507">
        <f t="shared" si="66"/>
        <v>100481.06384999999</v>
      </c>
      <c r="R166" s="507">
        <f t="shared" si="67"/>
        <v>98016.89095999999</v>
      </c>
      <c r="S166" s="507">
        <f t="shared" si="68"/>
        <v>101738.93269999998</v>
      </c>
      <c r="T166" s="507">
        <f t="shared" si="69"/>
        <v>107036.04499999998</v>
      </c>
      <c r="U166" s="507">
        <f t="shared" si="58"/>
        <v>407272.9325099999</v>
      </c>
      <c r="V166" s="507" t="s">
        <v>713</v>
      </c>
      <c r="W166" s="518"/>
      <c r="X166" s="519"/>
    </row>
    <row r="167" spans="1:24" ht="54" customHeight="1">
      <c r="A167" s="514"/>
      <c r="B167" s="514"/>
      <c r="C167" s="514"/>
      <c r="D167" s="512" t="s">
        <v>923</v>
      </c>
      <c r="E167" s="506" t="s">
        <v>791</v>
      </c>
      <c r="F167" s="506" t="s">
        <v>925</v>
      </c>
      <c r="G167" s="506" t="s">
        <v>1130</v>
      </c>
      <c r="H167" s="507">
        <v>3723.21</v>
      </c>
      <c r="I167" s="507">
        <v>3723.21</v>
      </c>
      <c r="J167" s="507">
        <v>1816.67</v>
      </c>
      <c r="K167" s="507">
        <v>1816.67</v>
      </c>
      <c r="L167" s="508">
        <v>572.99399999999991</v>
      </c>
      <c r="M167" s="508">
        <v>192.63399999999999</v>
      </c>
      <c r="N167" s="508">
        <v>163.53</v>
      </c>
      <c r="O167" s="508">
        <v>498.83</v>
      </c>
      <c r="P167" s="508">
        <f t="shared" si="56"/>
        <v>1427.9879999999998</v>
      </c>
      <c r="Q167" s="507">
        <f t="shared" si="66"/>
        <v>1092435.9807599997</v>
      </c>
      <c r="R167" s="507">
        <f t="shared" si="67"/>
        <v>367264.42635999998</v>
      </c>
      <c r="S167" s="507">
        <f t="shared" si="68"/>
        <v>311776.48619999998</v>
      </c>
      <c r="T167" s="507">
        <f t="shared" si="69"/>
        <v>951039.34820000001</v>
      </c>
      <c r="U167" s="507">
        <f t="shared" si="58"/>
        <v>2722516.2415199997</v>
      </c>
      <c r="V167" s="507" t="s">
        <v>713</v>
      </c>
      <c r="W167" s="518"/>
      <c r="X167" s="519"/>
    </row>
    <row r="168" spans="1:24" ht="54" customHeight="1">
      <c r="A168" s="514"/>
      <c r="B168" s="514"/>
      <c r="C168" s="514"/>
      <c r="D168" s="512" t="s">
        <v>923</v>
      </c>
      <c r="E168" s="506" t="s">
        <v>791</v>
      </c>
      <c r="F168" s="506" t="s">
        <v>924</v>
      </c>
      <c r="G168" s="506" t="s">
        <v>1130</v>
      </c>
      <c r="H168" s="507">
        <v>3723.21</v>
      </c>
      <c r="I168" s="507">
        <v>3723.21</v>
      </c>
      <c r="J168" s="507">
        <v>1689.17</v>
      </c>
      <c r="K168" s="507">
        <v>1689.17</v>
      </c>
      <c r="L168" s="508">
        <v>684.11699999999996</v>
      </c>
      <c r="M168" s="508">
        <v>228.03899999999999</v>
      </c>
      <c r="N168" s="508">
        <v>220.89</v>
      </c>
      <c r="O168" s="508">
        <v>756.97</v>
      </c>
      <c r="P168" s="508">
        <f t="shared" si="56"/>
        <v>1890.0159999999998</v>
      </c>
      <c r="Q168" s="507">
        <f t="shared" si="66"/>
        <v>1391521.34268</v>
      </c>
      <c r="R168" s="507">
        <f t="shared" si="67"/>
        <v>463840.44755999994</v>
      </c>
      <c r="S168" s="507">
        <f t="shared" si="68"/>
        <v>449299.09559999994</v>
      </c>
      <c r="T168" s="507">
        <f t="shared" si="69"/>
        <v>1539707.2588</v>
      </c>
      <c r="U168" s="507">
        <f t="shared" si="58"/>
        <v>3844368.1446400001</v>
      </c>
      <c r="V168" s="507" t="s">
        <v>713</v>
      </c>
      <c r="W168" s="518"/>
      <c r="X168" s="519"/>
    </row>
    <row r="169" spans="1:24" ht="54" customHeight="1">
      <c r="A169" s="514"/>
      <c r="B169" s="514"/>
      <c r="C169" s="514"/>
      <c r="D169" s="512" t="s">
        <v>923</v>
      </c>
      <c r="E169" s="506" t="s">
        <v>791</v>
      </c>
      <c r="F169" s="506" t="s">
        <v>519</v>
      </c>
      <c r="G169" s="506" t="s">
        <v>1130</v>
      </c>
      <c r="H169" s="507">
        <v>1327.81</v>
      </c>
      <c r="I169" s="507">
        <v>1327.81</v>
      </c>
      <c r="J169" s="507">
        <v>1189.17</v>
      </c>
      <c r="K169" s="507">
        <v>1189.17</v>
      </c>
      <c r="L169" s="508">
        <v>4625.317</v>
      </c>
      <c r="M169" s="508">
        <v>1411.3029999999999</v>
      </c>
      <c r="N169" s="508">
        <v>660.88</v>
      </c>
      <c r="O169" s="508">
        <v>3456.91</v>
      </c>
      <c r="P169" s="508">
        <f t="shared" si="56"/>
        <v>10154.41</v>
      </c>
      <c r="Q169" s="507">
        <f t="shared" si="66"/>
        <v>641253.94887999946</v>
      </c>
      <c r="R169" s="507">
        <f t="shared" si="67"/>
        <v>195663.04791999981</v>
      </c>
      <c r="S169" s="507">
        <f t="shared" si="68"/>
        <v>91624.403199999913</v>
      </c>
      <c r="T169" s="507">
        <f t="shared" si="69"/>
        <v>479266.00239999953</v>
      </c>
      <c r="U169" s="507">
        <f t="shared" si="58"/>
        <v>1407807.4023999986</v>
      </c>
      <c r="V169" s="507" t="s">
        <v>713</v>
      </c>
      <c r="W169" s="518"/>
      <c r="X169" s="519"/>
    </row>
    <row r="170" spans="1:24" ht="54" customHeight="1">
      <c r="A170" s="514"/>
      <c r="B170" s="514"/>
      <c r="C170" s="514"/>
      <c r="D170" s="512" t="s">
        <v>923</v>
      </c>
      <c r="E170" s="506" t="s">
        <v>791</v>
      </c>
      <c r="F170" s="506" t="s">
        <v>520</v>
      </c>
      <c r="G170" s="506" t="s">
        <v>1130</v>
      </c>
      <c r="H170" s="507">
        <v>12675.23</v>
      </c>
      <c r="I170" s="507">
        <v>12675.23</v>
      </c>
      <c r="J170" s="507">
        <v>1570.83</v>
      </c>
      <c r="K170" s="507">
        <v>1570.83</v>
      </c>
      <c r="L170" s="508">
        <v>178.964</v>
      </c>
      <c r="M170" s="508">
        <v>66.494</v>
      </c>
      <c r="N170" s="508">
        <v>37.4</v>
      </c>
      <c r="O170" s="508">
        <v>216.87</v>
      </c>
      <c r="P170" s="508">
        <f t="shared" si="56"/>
        <v>499.72800000000001</v>
      </c>
      <c r="Q170" s="507">
        <f t="shared" si="66"/>
        <v>1987287.8415999999</v>
      </c>
      <c r="R170" s="507">
        <f t="shared" si="67"/>
        <v>738375.97360000003</v>
      </c>
      <c r="S170" s="507">
        <f t="shared" si="68"/>
        <v>415304.56</v>
      </c>
      <c r="T170" s="507">
        <f t="shared" si="69"/>
        <v>2408211.2280000001</v>
      </c>
      <c r="U170" s="507">
        <f t="shared" si="58"/>
        <v>5549179.6031999998</v>
      </c>
      <c r="V170" s="507" t="s">
        <v>713</v>
      </c>
      <c r="W170" s="518"/>
      <c r="X170" s="519"/>
    </row>
    <row r="171" spans="1:24" ht="30.75" customHeight="1">
      <c r="A171" s="514" t="s">
        <v>813</v>
      </c>
      <c r="B171" s="514" t="s">
        <v>922</v>
      </c>
      <c r="C171" s="514" t="s">
        <v>921</v>
      </c>
      <c r="D171" s="589"/>
      <c r="E171" s="512" t="s">
        <v>920</v>
      </c>
      <c r="F171" s="512"/>
      <c r="G171" s="512" t="s">
        <v>1215</v>
      </c>
      <c r="H171" s="507" t="s">
        <v>713</v>
      </c>
      <c r="I171" s="507" t="s">
        <v>713</v>
      </c>
      <c r="J171" s="507" t="s">
        <v>713</v>
      </c>
      <c r="K171" s="507" t="s">
        <v>713</v>
      </c>
      <c r="L171" s="508">
        <f t="shared" ref="L171:U171" si="70">L172</f>
        <v>515.77800000000002</v>
      </c>
      <c r="M171" s="508">
        <f t="shared" si="70"/>
        <v>171.92599999999999</v>
      </c>
      <c r="N171" s="508">
        <f t="shared" si="70"/>
        <v>133.91900000000001</v>
      </c>
      <c r="O171" s="508">
        <f t="shared" si="70"/>
        <v>401.75700000000001</v>
      </c>
      <c r="P171" s="508">
        <f t="shared" si="70"/>
        <v>1223.3799999999999</v>
      </c>
      <c r="Q171" s="507">
        <f t="shared" si="70"/>
        <v>5671185.4211999997</v>
      </c>
      <c r="R171" s="507">
        <f t="shared" si="70"/>
        <v>1890395.1403999999</v>
      </c>
      <c r="S171" s="507">
        <f t="shared" si="70"/>
        <v>1472492.9726</v>
      </c>
      <c r="T171" s="507">
        <f t="shared" si="70"/>
        <v>4417478.9177999999</v>
      </c>
      <c r="U171" s="507">
        <f t="shared" si="70"/>
        <v>13451552.452</v>
      </c>
      <c r="V171" s="507">
        <v>1867062.9</v>
      </c>
      <c r="W171" s="518">
        <f>T171/3</f>
        <v>1472492.9726</v>
      </c>
      <c r="X171" s="518">
        <f>U171+V171-W171</f>
        <v>13846122.3794</v>
      </c>
    </row>
    <row r="172" spans="1:24" ht="54" customHeight="1">
      <c r="A172" s="514"/>
      <c r="B172" s="514"/>
      <c r="C172" s="514"/>
      <c r="D172" s="512" t="s">
        <v>920</v>
      </c>
      <c r="E172" s="506" t="s">
        <v>737</v>
      </c>
      <c r="F172" s="506" t="s">
        <v>919</v>
      </c>
      <c r="G172" s="506" t="s">
        <v>1130</v>
      </c>
      <c r="H172" s="507">
        <v>12349.9</v>
      </c>
      <c r="I172" s="507">
        <v>12349.9</v>
      </c>
      <c r="J172" s="507">
        <v>1354.5</v>
      </c>
      <c r="K172" s="507">
        <v>1354.5</v>
      </c>
      <c r="L172" s="508">
        <v>515.77800000000002</v>
      </c>
      <c r="M172" s="508">
        <v>171.92599999999999</v>
      </c>
      <c r="N172" s="508">
        <v>133.91900000000001</v>
      </c>
      <c r="O172" s="508">
        <v>401.75700000000001</v>
      </c>
      <c r="P172" s="508">
        <f t="shared" si="56"/>
        <v>1223.3799999999999</v>
      </c>
      <c r="Q172" s="507">
        <f>(H172-J172)*L172</f>
        <v>5671185.4211999997</v>
      </c>
      <c r="R172" s="507">
        <f>(H172-J172)*M172</f>
        <v>1890395.1403999999</v>
      </c>
      <c r="S172" s="507">
        <f>(I172-J172)*N172</f>
        <v>1472492.9726</v>
      </c>
      <c r="T172" s="507">
        <f>(I172-K172)*O172</f>
        <v>4417478.9177999999</v>
      </c>
      <c r="U172" s="507">
        <f t="shared" si="58"/>
        <v>13451552.452</v>
      </c>
      <c r="V172" s="507" t="s">
        <v>713</v>
      </c>
      <c r="W172" s="518"/>
      <c r="X172" s="519"/>
    </row>
    <row r="173" spans="1:24" ht="37.5" customHeight="1">
      <c r="A173" s="514" t="s">
        <v>918</v>
      </c>
      <c r="B173" s="514" t="s">
        <v>917</v>
      </c>
      <c r="C173" s="514" t="s">
        <v>916</v>
      </c>
      <c r="D173" s="589"/>
      <c r="E173" s="512" t="s">
        <v>912</v>
      </c>
      <c r="F173" s="512"/>
      <c r="G173" s="512" t="s">
        <v>1215</v>
      </c>
      <c r="H173" s="507" t="s">
        <v>713</v>
      </c>
      <c r="I173" s="507" t="s">
        <v>713</v>
      </c>
      <c r="J173" s="507" t="s">
        <v>713</v>
      </c>
      <c r="K173" s="507" t="s">
        <v>713</v>
      </c>
      <c r="L173" s="508">
        <f t="shared" ref="L173:U173" si="71">SUM(L174:L176)</f>
        <v>5240.1799999999994</v>
      </c>
      <c r="M173" s="508">
        <f t="shared" si="71"/>
        <v>2696.223</v>
      </c>
      <c r="N173" s="508">
        <f t="shared" si="71"/>
        <v>974.53600000000006</v>
      </c>
      <c r="O173" s="508">
        <f t="shared" si="71"/>
        <v>4259.7860000000001</v>
      </c>
      <c r="P173" s="508">
        <f t="shared" si="71"/>
        <v>13170.725</v>
      </c>
      <c r="Q173" s="507">
        <f t="shared" si="71"/>
        <v>60205740.880529992</v>
      </c>
      <c r="R173" s="507">
        <f t="shared" si="71"/>
        <v>30955943.710149996</v>
      </c>
      <c r="S173" s="507">
        <f t="shared" si="71"/>
        <v>11157180.063380001</v>
      </c>
      <c r="T173" s="507">
        <f t="shared" si="71"/>
        <v>48900927.014680006</v>
      </c>
      <c r="U173" s="507">
        <f t="shared" si="71"/>
        <v>151219791.66874</v>
      </c>
      <c r="V173" s="507">
        <v>18043738.359999999</v>
      </c>
      <c r="W173" s="518">
        <f>T173/3</f>
        <v>16300309.004893335</v>
      </c>
      <c r="X173" s="518">
        <f>U173+V173-W173</f>
        <v>152963221.02384666</v>
      </c>
    </row>
    <row r="174" spans="1:24" ht="78" customHeight="1">
      <c r="A174" s="514"/>
      <c r="B174" s="514"/>
      <c r="C174" s="514"/>
      <c r="D174" s="512" t="s">
        <v>912</v>
      </c>
      <c r="E174" s="506" t="s">
        <v>915</v>
      </c>
      <c r="F174" s="506" t="s">
        <v>914</v>
      </c>
      <c r="G174" s="506" t="s">
        <v>1130</v>
      </c>
      <c r="H174" s="507">
        <v>13235.92</v>
      </c>
      <c r="I174" s="507">
        <v>13235.92</v>
      </c>
      <c r="J174" s="507">
        <v>1590.83</v>
      </c>
      <c r="K174" s="507">
        <v>1590.83</v>
      </c>
      <c r="L174" s="508">
        <v>4593.8159999999998</v>
      </c>
      <c r="M174" s="508">
        <v>2333.8429999999998</v>
      </c>
      <c r="N174" s="508">
        <v>830.13800000000003</v>
      </c>
      <c r="O174" s="508">
        <v>3679.623</v>
      </c>
      <c r="P174" s="508">
        <f t="shared" si="56"/>
        <v>11437.42</v>
      </c>
      <c r="Q174" s="507">
        <f>(H174-J174)*L174</f>
        <v>53495400.763439998</v>
      </c>
      <c r="R174" s="507">
        <f>(H174-J174)*M174</f>
        <v>27177811.780869998</v>
      </c>
      <c r="S174" s="507">
        <f>(I174-J174)*N174</f>
        <v>9667031.7224200014</v>
      </c>
      <c r="T174" s="507">
        <f>(I174-K174)*O174</f>
        <v>42849541.00107</v>
      </c>
      <c r="U174" s="507">
        <f t="shared" si="58"/>
        <v>133189785.2678</v>
      </c>
      <c r="V174" s="507" t="s">
        <v>713</v>
      </c>
      <c r="W174" s="518"/>
      <c r="X174" s="519"/>
    </row>
    <row r="175" spans="1:24" ht="56.25" customHeight="1">
      <c r="A175" s="514"/>
      <c r="B175" s="514"/>
      <c r="C175" s="514"/>
      <c r="D175" s="512" t="s">
        <v>912</v>
      </c>
      <c r="E175" s="506" t="s">
        <v>720</v>
      </c>
      <c r="F175" s="506" t="s">
        <v>913</v>
      </c>
      <c r="G175" s="506" t="s">
        <v>1130</v>
      </c>
      <c r="H175" s="507">
        <v>12115.07</v>
      </c>
      <c r="I175" s="507">
        <v>12115.07</v>
      </c>
      <c r="J175" s="507">
        <v>1596.67</v>
      </c>
      <c r="K175" s="507">
        <v>1596.67</v>
      </c>
      <c r="L175" s="508">
        <v>617.43100000000004</v>
      </c>
      <c r="M175" s="508">
        <v>351.404</v>
      </c>
      <c r="N175" s="508">
        <v>135.006</v>
      </c>
      <c r="O175" s="508">
        <v>563.46600000000001</v>
      </c>
      <c r="P175" s="508">
        <f t="shared" si="56"/>
        <v>1667.3070000000002</v>
      </c>
      <c r="Q175" s="507">
        <f>(H175-J175)*L175</f>
        <v>6494386.2303999998</v>
      </c>
      <c r="R175" s="507">
        <f>(H175-J175)*M175</f>
        <v>3696207.8336</v>
      </c>
      <c r="S175" s="507">
        <f>(I175-J175)*N175</f>
        <v>1420047.1103999999</v>
      </c>
      <c r="T175" s="507">
        <f>(I175-K175)*O175</f>
        <v>5926760.7743999995</v>
      </c>
      <c r="U175" s="507">
        <f t="shared" si="58"/>
        <v>17537401.948799998</v>
      </c>
      <c r="V175" s="507" t="s">
        <v>713</v>
      </c>
      <c r="W175" s="518"/>
      <c r="X175" s="519"/>
    </row>
    <row r="176" spans="1:24" ht="56.25" customHeight="1">
      <c r="A176" s="514"/>
      <c r="B176" s="514"/>
      <c r="C176" s="514"/>
      <c r="D176" s="512" t="s">
        <v>912</v>
      </c>
      <c r="E176" s="506" t="s">
        <v>720</v>
      </c>
      <c r="F176" s="506" t="s">
        <v>911</v>
      </c>
      <c r="G176" s="506" t="s">
        <v>1130</v>
      </c>
      <c r="H176" s="507">
        <v>9060.6</v>
      </c>
      <c r="I176" s="507">
        <v>9060.6</v>
      </c>
      <c r="J176" s="507">
        <v>1596.67</v>
      </c>
      <c r="K176" s="507">
        <v>1596.67</v>
      </c>
      <c r="L176" s="508">
        <v>28.933</v>
      </c>
      <c r="M176" s="508">
        <v>10.975999999999999</v>
      </c>
      <c r="N176" s="508">
        <v>9.3919999999999995</v>
      </c>
      <c r="O176" s="508">
        <v>16.696999999999999</v>
      </c>
      <c r="P176" s="508">
        <f t="shared" si="56"/>
        <v>65.998000000000005</v>
      </c>
      <c r="Q176" s="507">
        <f>(H176-J176)*L176</f>
        <v>215953.88669000001</v>
      </c>
      <c r="R176" s="507">
        <f>(H176-J176)*M176</f>
        <v>81924.095679999999</v>
      </c>
      <c r="S176" s="507">
        <f>(I176-J176)*N176</f>
        <v>70101.230559999996</v>
      </c>
      <c r="T176" s="507">
        <f>(I176-K176)*O176</f>
        <v>124625.23921</v>
      </c>
      <c r="U176" s="507">
        <f t="shared" si="58"/>
        <v>492604.45213999995</v>
      </c>
      <c r="V176" s="507" t="s">
        <v>713</v>
      </c>
      <c r="W176" s="518"/>
      <c r="X176" s="519"/>
    </row>
    <row r="177" spans="1:24" ht="40.5" customHeight="1">
      <c r="A177" s="514" t="s">
        <v>754</v>
      </c>
      <c r="B177" s="514" t="s">
        <v>910</v>
      </c>
      <c r="C177" s="514" t="s">
        <v>909</v>
      </c>
      <c r="D177" s="589"/>
      <c r="E177" s="512" t="s">
        <v>908</v>
      </c>
      <c r="F177" s="512"/>
      <c r="G177" s="512" t="s">
        <v>1215</v>
      </c>
      <c r="H177" s="507" t="s">
        <v>713</v>
      </c>
      <c r="I177" s="507" t="s">
        <v>713</v>
      </c>
      <c r="J177" s="507" t="s">
        <v>713</v>
      </c>
      <c r="K177" s="507" t="s">
        <v>713</v>
      </c>
      <c r="L177" s="508">
        <f t="shared" ref="L177:U177" si="72">SUM(L178)</f>
        <v>700.65000000000009</v>
      </c>
      <c r="M177" s="508">
        <f t="shared" si="72"/>
        <v>467.1</v>
      </c>
      <c r="N177" s="508">
        <f t="shared" si="72"/>
        <v>206.21</v>
      </c>
      <c r="O177" s="508">
        <f t="shared" si="72"/>
        <v>764.21</v>
      </c>
      <c r="P177" s="508">
        <f t="shared" si="72"/>
        <v>2138.17</v>
      </c>
      <c r="Q177" s="507">
        <f t="shared" si="72"/>
        <v>4435394.7600000007</v>
      </c>
      <c r="R177" s="507">
        <f t="shared" si="72"/>
        <v>2956929.84</v>
      </c>
      <c r="S177" s="507">
        <f t="shared" si="72"/>
        <v>1305391.784</v>
      </c>
      <c r="T177" s="507">
        <f t="shared" si="72"/>
        <v>4837754.9840000002</v>
      </c>
      <c r="U177" s="507">
        <f t="shared" si="72"/>
        <v>13535471.368000001</v>
      </c>
      <c r="V177" s="507">
        <v>1478464.92</v>
      </c>
      <c r="W177" s="518">
        <f>T177/3</f>
        <v>1612584.9946666667</v>
      </c>
      <c r="X177" s="518">
        <f>U177+V177-W177</f>
        <v>13401351.293333333</v>
      </c>
    </row>
    <row r="178" spans="1:24" ht="48" customHeight="1">
      <c r="A178" s="514"/>
      <c r="B178" s="514"/>
      <c r="C178" s="514"/>
      <c r="D178" s="512" t="s">
        <v>908</v>
      </c>
      <c r="E178" s="506" t="s">
        <v>742</v>
      </c>
      <c r="F178" s="506" t="s">
        <v>907</v>
      </c>
      <c r="G178" s="506" t="s">
        <v>1130</v>
      </c>
      <c r="H178" s="507">
        <v>8030.4</v>
      </c>
      <c r="I178" s="507">
        <v>8030.4</v>
      </c>
      <c r="J178" s="507">
        <v>1700</v>
      </c>
      <c r="K178" s="507">
        <v>1700</v>
      </c>
      <c r="L178" s="508">
        <v>700.65000000000009</v>
      </c>
      <c r="M178" s="508">
        <v>467.1</v>
      </c>
      <c r="N178" s="508">
        <v>206.21</v>
      </c>
      <c r="O178" s="508">
        <v>764.21</v>
      </c>
      <c r="P178" s="508">
        <f t="shared" si="56"/>
        <v>2138.17</v>
      </c>
      <c r="Q178" s="507">
        <f>(H178-J178)*L178</f>
        <v>4435394.7600000007</v>
      </c>
      <c r="R178" s="507">
        <f>(H178-J178)*M178</f>
        <v>2956929.84</v>
      </c>
      <c r="S178" s="507">
        <f>(I178-J178)*N178</f>
        <v>1305391.784</v>
      </c>
      <c r="T178" s="507">
        <f>(I178-K178)*O178</f>
        <v>4837754.9840000002</v>
      </c>
      <c r="U178" s="507">
        <f t="shared" si="58"/>
        <v>13535471.368000001</v>
      </c>
      <c r="V178" s="507" t="s">
        <v>713</v>
      </c>
      <c r="W178" s="518"/>
      <c r="X178" s="519"/>
    </row>
    <row r="179" spans="1:24" ht="37.5" customHeight="1">
      <c r="A179" s="514" t="s">
        <v>760</v>
      </c>
      <c r="B179" s="514" t="s">
        <v>906</v>
      </c>
      <c r="C179" s="514" t="s">
        <v>905</v>
      </c>
      <c r="D179" s="589"/>
      <c r="E179" s="512" t="s">
        <v>904</v>
      </c>
      <c r="F179" s="512"/>
      <c r="G179" s="512" t="s">
        <v>1215</v>
      </c>
      <c r="H179" s="507" t="s">
        <v>713</v>
      </c>
      <c r="I179" s="507" t="s">
        <v>713</v>
      </c>
      <c r="J179" s="507" t="s">
        <v>713</v>
      </c>
      <c r="K179" s="507" t="s">
        <v>713</v>
      </c>
      <c r="L179" s="508">
        <f t="shared" ref="L179:U179" si="73">SUM(L180:L183)</f>
        <v>110407.34999999999</v>
      </c>
      <c r="M179" s="508">
        <f t="shared" si="73"/>
        <v>49307.430000000008</v>
      </c>
      <c r="N179" s="508">
        <f t="shared" si="73"/>
        <v>15796.39</v>
      </c>
      <c r="O179" s="508">
        <f t="shared" si="73"/>
        <v>88729.799999999988</v>
      </c>
      <c r="P179" s="508">
        <f t="shared" si="73"/>
        <v>264240.97000000003</v>
      </c>
      <c r="Q179" s="507">
        <f t="shared" si="73"/>
        <v>20075842.697700024</v>
      </c>
      <c r="R179" s="507">
        <f t="shared" si="73"/>
        <v>8954936.6630000118</v>
      </c>
      <c r="S179" s="507">
        <f t="shared" si="73"/>
        <v>2863673.4293000032</v>
      </c>
      <c r="T179" s="507">
        <f t="shared" si="73"/>
        <v>16204477.83240002</v>
      </c>
      <c r="U179" s="507">
        <f t="shared" si="73"/>
        <v>48098930.622400053</v>
      </c>
      <c r="V179" s="507">
        <v>9527924.5</v>
      </c>
      <c r="W179" s="518">
        <f>T179/3</f>
        <v>5401492.6108000064</v>
      </c>
      <c r="X179" s="518">
        <f>U179+V179-W179</f>
        <v>52225362.511600047</v>
      </c>
    </row>
    <row r="180" spans="1:24" ht="48.75" customHeight="1">
      <c r="A180" s="514"/>
      <c r="B180" s="514"/>
      <c r="C180" s="514"/>
      <c r="D180" s="512" t="s">
        <v>904</v>
      </c>
      <c r="E180" s="506" t="s">
        <v>903</v>
      </c>
      <c r="F180" s="506" t="s">
        <v>512</v>
      </c>
      <c r="G180" s="506" t="s">
        <v>1130</v>
      </c>
      <c r="H180" s="507">
        <v>2167.5100000000002</v>
      </c>
      <c r="I180" s="507">
        <v>2167.5100000000002</v>
      </c>
      <c r="J180" s="507">
        <v>2000</v>
      </c>
      <c r="K180" s="507">
        <v>2000</v>
      </c>
      <c r="L180" s="508">
        <v>81864.959999999992</v>
      </c>
      <c r="M180" s="508">
        <v>32614.320000000003</v>
      </c>
      <c r="N180" s="508">
        <v>11781.4</v>
      </c>
      <c r="O180" s="508">
        <v>64673.31</v>
      </c>
      <c r="P180" s="508">
        <f t="shared" si="56"/>
        <v>190933.99</v>
      </c>
      <c r="Q180" s="507">
        <f>(H180-J180)*L180</f>
        <v>13713199.449600017</v>
      </c>
      <c r="R180" s="507">
        <f>(H180-J180)*M180</f>
        <v>5463224.7432000078</v>
      </c>
      <c r="S180" s="507">
        <f>(I180-J180)*N180</f>
        <v>1973502.3140000026</v>
      </c>
      <c r="T180" s="507">
        <f>(I180-K180)*O180</f>
        <v>10833426.158100015</v>
      </c>
      <c r="U180" s="507">
        <f t="shared" si="58"/>
        <v>31983352.664900042</v>
      </c>
      <c r="V180" s="507" t="s">
        <v>713</v>
      </c>
      <c r="W180" s="518"/>
      <c r="X180" s="519"/>
    </row>
    <row r="181" spans="1:24" ht="48.75" customHeight="1">
      <c r="A181" s="514"/>
      <c r="B181" s="514"/>
      <c r="C181" s="514"/>
      <c r="D181" s="512" t="s">
        <v>904</v>
      </c>
      <c r="E181" s="506" t="s">
        <v>903</v>
      </c>
      <c r="F181" s="506" t="s">
        <v>512</v>
      </c>
      <c r="G181" s="506" t="s">
        <v>1131</v>
      </c>
      <c r="H181" s="507">
        <v>2167.5100000000002</v>
      </c>
      <c r="I181" s="507">
        <v>2167.5100000000002</v>
      </c>
      <c r="J181" s="507">
        <v>2000</v>
      </c>
      <c r="K181" s="507">
        <v>2000</v>
      </c>
      <c r="L181" s="508">
        <v>6809.43</v>
      </c>
      <c r="M181" s="508">
        <v>7136.3</v>
      </c>
      <c r="N181" s="508">
        <v>1024.47</v>
      </c>
      <c r="O181" s="508">
        <v>5623.77</v>
      </c>
      <c r="P181" s="508">
        <f t="shared" si="56"/>
        <v>20593.97</v>
      </c>
      <c r="Q181" s="507">
        <f>(H181-J181)*L181</f>
        <v>1140647.6193000015</v>
      </c>
      <c r="R181" s="507">
        <f>(H181-J181)*M181</f>
        <v>1195401.6130000015</v>
      </c>
      <c r="S181" s="507">
        <f>(I181-J181)*N181</f>
        <v>171608.96970000022</v>
      </c>
      <c r="T181" s="507">
        <f>(I181-K181)*O181</f>
        <v>942037.71270000131</v>
      </c>
      <c r="U181" s="507">
        <f t="shared" si="58"/>
        <v>3449695.9147000047</v>
      </c>
      <c r="V181" s="507" t="s">
        <v>713</v>
      </c>
      <c r="W181" s="518"/>
      <c r="X181" s="519"/>
    </row>
    <row r="182" spans="1:24" ht="48.75" customHeight="1">
      <c r="A182" s="514"/>
      <c r="B182" s="514"/>
      <c r="C182" s="514"/>
      <c r="D182" s="512" t="s">
        <v>904</v>
      </c>
      <c r="E182" s="506" t="s">
        <v>903</v>
      </c>
      <c r="F182" s="506" t="s">
        <v>511</v>
      </c>
      <c r="G182" s="506" t="s">
        <v>1130</v>
      </c>
      <c r="H182" s="507">
        <v>2240.2800000000002</v>
      </c>
      <c r="I182" s="507">
        <v>2240.2800000000002</v>
      </c>
      <c r="J182" s="507">
        <v>2000</v>
      </c>
      <c r="K182" s="507">
        <v>2000</v>
      </c>
      <c r="L182" s="508">
        <v>20056.980000000003</v>
      </c>
      <c r="M182" s="508">
        <v>7959.09</v>
      </c>
      <c r="N182" s="508">
        <v>1858.63</v>
      </c>
      <c r="O182" s="508">
        <v>16220.79</v>
      </c>
      <c r="P182" s="508">
        <f t="shared" si="56"/>
        <v>46095.490000000005</v>
      </c>
      <c r="Q182" s="507">
        <f>(H182-J182)*L182</f>
        <v>4819291.154400005</v>
      </c>
      <c r="R182" s="507">
        <f>(H182-J182)*M182</f>
        <v>1912410.1452000015</v>
      </c>
      <c r="S182" s="507">
        <f>(I182-J182)*N182</f>
        <v>446591.61640000041</v>
      </c>
      <c r="T182" s="507">
        <f>(I182-K182)*O182</f>
        <v>3897531.4212000035</v>
      </c>
      <c r="U182" s="507">
        <f t="shared" si="58"/>
        <v>11075824.337200012</v>
      </c>
      <c r="V182" s="507" t="s">
        <v>713</v>
      </c>
      <c r="W182" s="518"/>
      <c r="X182" s="519"/>
    </row>
    <row r="183" spans="1:24" ht="48.75" customHeight="1">
      <c r="A183" s="514"/>
      <c r="B183" s="514"/>
      <c r="C183" s="514"/>
      <c r="D183" s="512" t="s">
        <v>904</v>
      </c>
      <c r="E183" s="506" t="s">
        <v>903</v>
      </c>
      <c r="F183" s="506" t="s">
        <v>511</v>
      </c>
      <c r="G183" s="506" t="s">
        <v>1131</v>
      </c>
      <c r="H183" s="507">
        <v>2240.2800000000002</v>
      </c>
      <c r="I183" s="507">
        <v>2240.2800000000002</v>
      </c>
      <c r="J183" s="507">
        <v>2000</v>
      </c>
      <c r="K183" s="507">
        <v>2000</v>
      </c>
      <c r="L183" s="508">
        <v>1675.98</v>
      </c>
      <c r="M183" s="508">
        <v>1597.7199999999998</v>
      </c>
      <c r="N183" s="508">
        <v>1131.8900000000001</v>
      </c>
      <c r="O183" s="508">
        <v>2211.9299999999998</v>
      </c>
      <c r="P183" s="508">
        <f t="shared" si="56"/>
        <v>6617.52</v>
      </c>
      <c r="Q183" s="507">
        <f>(H183-J183)*L183</f>
        <v>402704.47440000036</v>
      </c>
      <c r="R183" s="507">
        <f>(H183-J183)*M183</f>
        <v>383900.16160000028</v>
      </c>
      <c r="S183" s="507">
        <f>(I183-J183)*N183</f>
        <v>271970.52920000022</v>
      </c>
      <c r="T183" s="507">
        <f>(I183-K183)*O183</f>
        <v>531482.54040000041</v>
      </c>
      <c r="U183" s="507">
        <f t="shared" si="58"/>
        <v>1590057.7056000014</v>
      </c>
      <c r="V183" s="507" t="s">
        <v>713</v>
      </c>
      <c r="W183" s="518"/>
      <c r="X183" s="519"/>
    </row>
    <row r="184" spans="1:24" ht="38.25" customHeight="1">
      <c r="A184" s="514" t="s">
        <v>754</v>
      </c>
      <c r="B184" s="514" t="s">
        <v>902</v>
      </c>
      <c r="C184" s="514" t="s">
        <v>65</v>
      </c>
      <c r="D184" s="589"/>
      <c r="E184" s="512" t="s">
        <v>901</v>
      </c>
      <c r="F184" s="512"/>
      <c r="G184" s="512" t="s">
        <v>1215</v>
      </c>
      <c r="H184" s="507" t="s">
        <v>713</v>
      </c>
      <c r="I184" s="507" t="s">
        <v>713</v>
      </c>
      <c r="J184" s="507" t="s">
        <v>713</v>
      </c>
      <c r="K184" s="507" t="s">
        <v>713</v>
      </c>
      <c r="L184" s="508">
        <f t="shared" ref="L184:U184" si="74">SUM(L185)</f>
        <v>411.36</v>
      </c>
      <c r="M184" s="508">
        <f t="shared" si="74"/>
        <v>203.46199999999999</v>
      </c>
      <c r="N184" s="508">
        <f t="shared" si="74"/>
        <v>62.68</v>
      </c>
      <c r="O184" s="508">
        <f t="shared" si="74"/>
        <v>376.1</v>
      </c>
      <c r="P184" s="508">
        <f t="shared" si="74"/>
        <v>1053.6019999999999</v>
      </c>
      <c r="Q184" s="507">
        <f t="shared" si="74"/>
        <v>809420.73120000004</v>
      </c>
      <c r="R184" s="507">
        <f t="shared" si="74"/>
        <v>400346.07354000001</v>
      </c>
      <c r="S184" s="507">
        <f t="shared" si="74"/>
        <v>123333.55560000001</v>
      </c>
      <c r="T184" s="507">
        <f t="shared" si="74"/>
        <v>740040.68700000003</v>
      </c>
      <c r="U184" s="507">
        <f t="shared" si="74"/>
        <v>2073141.04734</v>
      </c>
      <c r="V184" s="507">
        <v>269806.90999999997</v>
      </c>
      <c r="W184" s="518">
        <f>T184/3</f>
        <v>246680.22900000002</v>
      </c>
      <c r="X184" s="518">
        <f>U184+V184-W184</f>
        <v>2096267.7283400001</v>
      </c>
    </row>
    <row r="185" spans="1:24" ht="48.75" customHeight="1">
      <c r="A185" s="514"/>
      <c r="B185" s="514"/>
      <c r="C185" s="514"/>
      <c r="D185" s="512" t="s">
        <v>901</v>
      </c>
      <c r="E185" s="506" t="s">
        <v>900</v>
      </c>
      <c r="F185" s="506" t="s">
        <v>899</v>
      </c>
      <c r="G185" s="506" t="s">
        <v>1130</v>
      </c>
      <c r="H185" s="507">
        <v>4127.67</v>
      </c>
      <c r="I185" s="507">
        <v>4127.67</v>
      </c>
      <c r="J185" s="507">
        <v>2160</v>
      </c>
      <c r="K185" s="507">
        <v>2160</v>
      </c>
      <c r="L185" s="508">
        <v>411.36</v>
      </c>
      <c r="M185" s="508">
        <v>203.46199999999999</v>
      </c>
      <c r="N185" s="508">
        <v>62.68</v>
      </c>
      <c r="O185" s="508">
        <v>376.1</v>
      </c>
      <c r="P185" s="508">
        <f t="shared" si="56"/>
        <v>1053.6019999999999</v>
      </c>
      <c r="Q185" s="507">
        <f>(H185-J185)*L185</f>
        <v>809420.73120000004</v>
      </c>
      <c r="R185" s="507">
        <f>(H185-J185)*M185</f>
        <v>400346.07354000001</v>
      </c>
      <c r="S185" s="507">
        <f>(I185-J185)*N185</f>
        <v>123333.55560000001</v>
      </c>
      <c r="T185" s="507">
        <f>(I185-K185)*O185</f>
        <v>740040.68700000003</v>
      </c>
      <c r="U185" s="507">
        <f t="shared" si="58"/>
        <v>2073141.04734</v>
      </c>
      <c r="V185" s="507" t="s">
        <v>713</v>
      </c>
      <c r="W185" s="518"/>
      <c r="X185" s="519"/>
    </row>
    <row r="186" spans="1:24" ht="36" customHeight="1">
      <c r="A186" s="514" t="s">
        <v>813</v>
      </c>
      <c r="B186" s="514" t="s">
        <v>898</v>
      </c>
      <c r="C186" s="514" t="s">
        <v>897</v>
      </c>
      <c r="D186" s="589"/>
      <c r="E186" s="512" t="s">
        <v>896</v>
      </c>
      <c r="F186" s="512"/>
      <c r="G186" s="512" t="s">
        <v>1215</v>
      </c>
      <c r="H186" s="507" t="s">
        <v>713</v>
      </c>
      <c r="I186" s="507" t="s">
        <v>713</v>
      </c>
      <c r="J186" s="507" t="s">
        <v>713</v>
      </c>
      <c r="K186" s="507" t="s">
        <v>713</v>
      </c>
      <c r="L186" s="508">
        <f t="shared" ref="L186:U186" si="75">SUM(L187)</f>
        <v>2157.5249999999996</v>
      </c>
      <c r="M186" s="508">
        <f t="shared" si="75"/>
        <v>1438.35</v>
      </c>
      <c r="N186" s="508">
        <f t="shared" si="75"/>
        <v>719.17499999999995</v>
      </c>
      <c r="O186" s="508">
        <f t="shared" si="75"/>
        <v>2157.5250000000001</v>
      </c>
      <c r="P186" s="508">
        <f t="shared" si="75"/>
        <v>6472.5749999999989</v>
      </c>
      <c r="Q186" s="507">
        <f t="shared" si="75"/>
        <v>7276986.6209999993</v>
      </c>
      <c r="R186" s="507">
        <f t="shared" si="75"/>
        <v>4851324.4139999999</v>
      </c>
      <c r="S186" s="507">
        <f t="shared" si="75"/>
        <v>2425662.2069999999</v>
      </c>
      <c r="T186" s="507">
        <f t="shared" si="75"/>
        <v>7276986.6210000003</v>
      </c>
      <c r="U186" s="507">
        <f t="shared" si="75"/>
        <v>21830959.863000002</v>
      </c>
      <c r="V186" s="507">
        <v>2425662.21</v>
      </c>
      <c r="W186" s="518">
        <f>T186/3</f>
        <v>2425662.2069999999</v>
      </c>
      <c r="X186" s="518">
        <f>U186+V186-W186</f>
        <v>21830959.866000004</v>
      </c>
    </row>
    <row r="187" spans="1:24" ht="48.75" customHeight="1">
      <c r="A187" s="514"/>
      <c r="B187" s="514"/>
      <c r="C187" s="514"/>
      <c r="D187" s="512" t="s">
        <v>896</v>
      </c>
      <c r="E187" s="506" t="s">
        <v>742</v>
      </c>
      <c r="F187" s="506" t="s">
        <v>895</v>
      </c>
      <c r="G187" s="506" t="s">
        <v>1130</v>
      </c>
      <c r="H187" s="507">
        <v>5072.84</v>
      </c>
      <c r="I187" s="507">
        <v>5072.84</v>
      </c>
      <c r="J187" s="507">
        <v>1700</v>
      </c>
      <c r="K187" s="507">
        <v>1700</v>
      </c>
      <c r="L187" s="508">
        <v>2157.5249999999996</v>
      </c>
      <c r="M187" s="508">
        <v>1438.35</v>
      </c>
      <c r="N187" s="508">
        <v>719.17499999999995</v>
      </c>
      <c r="O187" s="508">
        <v>2157.5250000000001</v>
      </c>
      <c r="P187" s="508">
        <f t="shared" si="56"/>
        <v>6472.5749999999989</v>
      </c>
      <c r="Q187" s="507">
        <f>(H187-J187)*L187</f>
        <v>7276986.6209999993</v>
      </c>
      <c r="R187" s="507">
        <f>(H187-J187)*M187</f>
        <v>4851324.4139999999</v>
      </c>
      <c r="S187" s="507">
        <f>(I187-J187)*N187</f>
        <v>2425662.2069999999</v>
      </c>
      <c r="T187" s="507">
        <f>(I187-K187)*O187</f>
        <v>7276986.6210000003</v>
      </c>
      <c r="U187" s="507">
        <f t="shared" si="58"/>
        <v>21830959.863000002</v>
      </c>
      <c r="V187" s="507" t="s">
        <v>713</v>
      </c>
      <c r="W187" s="518"/>
      <c r="X187" s="519"/>
    </row>
    <row r="188" spans="1:24" ht="30.75" customHeight="1">
      <c r="A188" s="514" t="s">
        <v>760</v>
      </c>
      <c r="B188" s="514" t="s">
        <v>894</v>
      </c>
      <c r="C188" s="514" t="s">
        <v>893</v>
      </c>
      <c r="D188" s="589"/>
      <c r="E188" s="512" t="s">
        <v>891</v>
      </c>
      <c r="F188" s="512"/>
      <c r="G188" s="512" t="s">
        <v>1215</v>
      </c>
      <c r="H188" s="507" t="s">
        <v>713</v>
      </c>
      <c r="I188" s="507" t="s">
        <v>713</v>
      </c>
      <c r="J188" s="507" t="s">
        <v>713</v>
      </c>
      <c r="K188" s="507" t="s">
        <v>713</v>
      </c>
      <c r="L188" s="508">
        <f t="shared" ref="L188:U188" si="76">SUM(L189:L191)</f>
        <v>9141.3909999999996</v>
      </c>
      <c r="M188" s="508">
        <f t="shared" si="76"/>
        <v>5467.049</v>
      </c>
      <c r="N188" s="508">
        <f t="shared" si="76"/>
        <v>2357.6999999999998</v>
      </c>
      <c r="O188" s="508">
        <f t="shared" si="76"/>
        <v>8679.1999999999989</v>
      </c>
      <c r="P188" s="508">
        <f t="shared" si="76"/>
        <v>25645.34</v>
      </c>
      <c r="Q188" s="507">
        <f t="shared" si="76"/>
        <v>37537111.035479993</v>
      </c>
      <c r="R188" s="507">
        <f t="shared" si="76"/>
        <v>22449233.967719998</v>
      </c>
      <c r="S188" s="507">
        <f t="shared" si="76"/>
        <v>9681376.3560000006</v>
      </c>
      <c r="T188" s="507">
        <f t="shared" si="76"/>
        <v>35639225.375999995</v>
      </c>
      <c r="U188" s="507">
        <f t="shared" si="76"/>
        <v>105306946.73519999</v>
      </c>
      <c r="V188" s="507">
        <v>12489098.07</v>
      </c>
      <c r="W188" s="518">
        <f>T188/3</f>
        <v>11879741.791999998</v>
      </c>
      <c r="X188" s="518">
        <f>U188+V188-W188</f>
        <v>105916303.01319999</v>
      </c>
    </row>
    <row r="189" spans="1:24" ht="48.75" customHeight="1">
      <c r="A189" s="514"/>
      <c r="B189" s="514"/>
      <c r="C189" s="514"/>
      <c r="D189" s="512" t="s">
        <v>891</v>
      </c>
      <c r="E189" s="506" t="s">
        <v>848</v>
      </c>
      <c r="F189" s="506" t="s">
        <v>714</v>
      </c>
      <c r="G189" s="506" t="s">
        <v>1130</v>
      </c>
      <c r="H189" s="507">
        <v>5632.11</v>
      </c>
      <c r="I189" s="507">
        <v>5632.11</v>
      </c>
      <c r="J189" s="507">
        <v>1525.83</v>
      </c>
      <c r="K189" s="507">
        <v>1525.83</v>
      </c>
      <c r="L189" s="508">
        <v>8770.6139999999996</v>
      </c>
      <c r="M189" s="508">
        <v>5130.7539999999999</v>
      </c>
      <c r="N189" s="508">
        <v>2237</v>
      </c>
      <c r="O189" s="508">
        <v>8235</v>
      </c>
      <c r="P189" s="508">
        <f t="shared" si="56"/>
        <v>24373.367999999999</v>
      </c>
      <c r="Q189" s="507">
        <f>(H189-J189)*L189</f>
        <v>36014596.855919994</v>
      </c>
      <c r="R189" s="507">
        <f>(H189-J189)*M189</f>
        <v>21068312.535119999</v>
      </c>
      <c r="S189" s="507">
        <f>(I189-J189)*N189</f>
        <v>9185748.3599999994</v>
      </c>
      <c r="T189" s="507">
        <f>(I189-K189)*O189</f>
        <v>33815215.799999997</v>
      </c>
      <c r="U189" s="507">
        <f t="shared" si="58"/>
        <v>100083873.55103999</v>
      </c>
      <c r="V189" s="507" t="s">
        <v>713</v>
      </c>
      <c r="W189" s="518"/>
      <c r="X189" s="519"/>
    </row>
    <row r="190" spans="1:24" ht="48.75" customHeight="1">
      <c r="A190" s="514"/>
      <c r="B190" s="514"/>
      <c r="C190" s="514"/>
      <c r="D190" s="512" t="s">
        <v>891</v>
      </c>
      <c r="E190" s="506" t="s">
        <v>848</v>
      </c>
      <c r="F190" s="506" t="s">
        <v>892</v>
      </c>
      <c r="G190" s="506" t="s">
        <v>1131</v>
      </c>
      <c r="H190" s="507">
        <v>5632.11</v>
      </c>
      <c r="I190" s="507">
        <v>5632.11</v>
      </c>
      <c r="J190" s="507">
        <v>1525.83</v>
      </c>
      <c r="K190" s="507">
        <v>1525.83</v>
      </c>
      <c r="L190" s="508">
        <v>207.45200000000003</v>
      </c>
      <c r="M190" s="508">
        <v>186.49299999999999</v>
      </c>
      <c r="N190" s="508">
        <v>51.7</v>
      </c>
      <c r="O190" s="508">
        <v>190.4</v>
      </c>
      <c r="P190" s="508">
        <f t="shared" si="56"/>
        <v>636.04500000000007</v>
      </c>
      <c r="Q190" s="507">
        <f>(H190-J190)*L190</f>
        <v>851855.99856000009</v>
      </c>
      <c r="R190" s="507">
        <f>(H190-J190)*M190</f>
        <v>765792.47603999998</v>
      </c>
      <c r="S190" s="507">
        <f>(I190-J190)*N190</f>
        <v>212294.67600000001</v>
      </c>
      <c r="T190" s="507">
        <f>(I190-K190)*O190</f>
        <v>781835.71199999994</v>
      </c>
      <c r="U190" s="507">
        <f t="shared" si="58"/>
        <v>2611778.8626000001</v>
      </c>
      <c r="V190" s="507" t="s">
        <v>713</v>
      </c>
      <c r="W190" s="518"/>
      <c r="X190" s="519"/>
    </row>
    <row r="191" spans="1:24" ht="48.75" customHeight="1">
      <c r="A191" s="514"/>
      <c r="B191" s="514"/>
      <c r="C191" s="514"/>
      <c r="D191" s="512" t="s">
        <v>891</v>
      </c>
      <c r="E191" s="506" t="s">
        <v>848</v>
      </c>
      <c r="F191" s="506" t="s">
        <v>890</v>
      </c>
      <c r="G191" s="506" t="s">
        <v>1131</v>
      </c>
      <c r="H191" s="507">
        <v>5632.11</v>
      </c>
      <c r="I191" s="507">
        <v>5632.11</v>
      </c>
      <c r="J191" s="507">
        <v>1525.83</v>
      </c>
      <c r="K191" s="507">
        <v>1525.83</v>
      </c>
      <c r="L191" s="508">
        <v>163.32499999999999</v>
      </c>
      <c r="M191" s="508">
        <v>149.80199999999999</v>
      </c>
      <c r="N191" s="508">
        <v>69</v>
      </c>
      <c r="O191" s="508">
        <v>253.8</v>
      </c>
      <c r="P191" s="508">
        <f t="shared" si="56"/>
        <v>635.92699999999991</v>
      </c>
      <c r="Q191" s="507">
        <f>(H191-J191)*L191</f>
        <v>670658.18099999987</v>
      </c>
      <c r="R191" s="507">
        <f>(H191-J191)*M191</f>
        <v>615128.95655999996</v>
      </c>
      <c r="S191" s="507">
        <f>(I191-J191)*N191</f>
        <v>283333.32</v>
      </c>
      <c r="T191" s="507">
        <f>(I191-K191)*O191</f>
        <v>1042173.8639999999</v>
      </c>
      <c r="U191" s="507">
        <f t="shared" si="58"/>
        <v>2611294.3215599996</v>
      </c>
      <c r="V191" s="507" t="s">
        <v>713</v>
      </c>
      <c r="W191" s="518"/>
      <c r="X191" s="519"/>
    </row>
    <row r="192" spans="1:24" ht="39" customHeight="1">
      <c r="A192" s="514" t="s">
        <v>754</v>
      </c>
      <c r="B192" s="514" t="s">
        <v>889</v>
      </c>
      <c r="C192" s="514" t="s">
        <v>888</v>
      </c>
      <c r="D192" s="589"/>
      <c r="E192" s="512" t="s">
        <v>884</v>
      </c>
      <c r="F192" s="512"/>
      <c r="G192" s="512" t="s">
        <v>1215</v>
      </c>
      <c r="H192" s="507" t="s">
        <v>713</v>
      </c>
      <c r="I192" s="507" t="s">
        <v>713</v>
      </c>
      <c r="J192" s="507" t="s">
        <v>713</v>
      </c>
      <c r="K192" s="507" t="s">
        <v>713</v>
      </c>
      <c r="L192" s="508">
        <f t="shared" ref="L192:U192" si="77">SUM(L193:L196)</f>
        <v>2406.5540000000001</v>
      </c>
      <c r="M192" s="508">
        <f t="shared" si="77"/>
        <v>1596.0360000000001</v>
      </c>
      <c r="N192" s="508">
        <f t="shared" si="77"/>
        <v>783</v>
      </c>
      <c r="O192" s="508">
        <f t="shared" si="77"/>
        <v>2349</v>
      </c>
      <c r="P192" s="508">
        <f t="shared" si="77"/>
        <v>7134.59</v>
      </c>
      <c r="Q192" s="507">
        <f t="shared" si="77"/>
        <v>14229015.7894</v>
      </c>
      <c r="R192" s="507">
        <f t="shared" si="77"/>
        <v>9434128.6096000001</v>
      </c>
      <c r="S192" s="507">
        <f t="shared" si="77"/>
        <v>4635271.7635599999</v>
      </c>
      <c r="T192" s="507">
        <f t="shared" si="77"/>
        <v>13905814.308160001</v>
      </c>
      <c r="U192" s="507">
        <f t="shared" si="77"/>
        <v>42204230.470720001</v>
      </c>
      <c r="V192" s="507">
        <v>4748598.1399999997</v>
      </c>
      <c r="W192" s="518">
        <f>T192/3</f>
        <v>4635271.4360533338</v>
      </c>
      <c r="X192" s="518">
        <f>U192+V192-W192</f>
        <v>42317557.174666665</v>
      </c>
    </row>
    <row r="193" spans="1:24" ht="48.75" customHeight="1">
      <c r="A193" s="514"/>
      <c r="B193" s="514"/>
      <c r="C193" s="514"/>
      <c r="D193" s="512" t="s">
        <v>884</v>
      </c>
      <c r="E193" s="506" t="s">
        <v>726</v>
      </c>
      <c r="F193" s="506" t="s">
        <v>887</v>
      </c>
      <c r="G193" s="506" t="s">
        <v>1130</v>
      </c>
      <c r="H193" s="507">
        <v>6902.3</v>
      </c>
      <c r="I193" s="507">
        <v>6902.3</v>
      </c>
      <c r="J193" s="507">
        <v>1612.5</v>
      </c>
      <c r="K193" s="507">
        <v>1612.5</v>
      </c>
      <c r="L193" s="508">
        <v>1198.2180000000001</v>
      </c>
      <c r="M193" s="508">
        <v>798.81200000000001</v>
      </c>
      <c r="N193" s="508">
        <v>386.9</v>
      </c>
      <c r="O193" s="508">
        <v>1160.7</v>
      </c>
      <c r="P193" s="508">
        <f t="shared" si="56"/>
        <v>3544.63</v>
      </c>
      <c r="Q193" s="507">
        <f>(H193-J193)*L193</f>
        <v>6338333.5764000006</v>
      </c>
      <c r="R193" s="507">
        <f>(H193-J193)*M193</f>
        <v>4225555.7176000001</v>
      </c>
      <c r="S193" s="507">
        <f>(I193-J193)*N193</f>
        <v>2046623.6199999999</v>
      </c>
      <c r="T193" s="507">
        <f>(I193-K193)*O193</f>
        <v>6139870.8600000003</v>
      </c>
      <c r="U193" s="507">
        <f t="shared" si="58"/>
        <v>18750383.774</v>
      </c>
      <c r="V193" s="507" t="s">
        <v>713</v>
      </c>
      <c r="W193" s="518"/>
      <c r="X193" s="519"/>
    </row>
    <row r="194" spans="1:24" ht="48.75" customHeight="1">
      <c r="A194" s="514"/>
      <c r="B194" s="514"/>
      <c r="C194" s="514"/>
      <c r="D194" s="512" t="s">
        <v>884</v>
      </c>
      <c r="E194" s="506" t="s">
        <v>726</v>
      </c>
      <c r="F194" s="506" t="s">
        <v>886</v>
      </c>
      <c r="G194" s="506" t="s">
        <v>1130</v>
      </c>
      <c r="H194" s="507">
        <v>9188.35</v>
      </c>
      <c r="I194" s="507">
        <v>9188.35</v>
      </c>
      <c r="J194" s="507">
        <v>1980</v>
      </c>
      <c r="K194" s="507">
        <v>1980</v>
      </c>
      <c r="L194" s="508">
        <v>374.33100000000002</v>
      </c>
      <c r="M194" s="508">
        <v>249.554</v>
      </c>
      <c r="N194" s="508">
        <v>124.77800000000001</v>
      </c>
      <c r="O194" s="508">
        <v>374.33300000000003</v>
      </c>
      <c r="P194" s="508">
        <f t="shared" si="56"/>
        <v>1122.9960000000001</v>
      </c>
      <c r="Q194" s="507">
        <f>(H194-J194)*L194</f>
        <v>2698308.8638500003</v>
      </c>
      <c r="R194" s="507">
        <f>(H194-J194)*M194</f>
        <v>1798872.5759000001</v>
      </c>
      <c r="S194" s="507">
        <f>(I194-J194)*N194</f>
        <v>899443.49630000012</v>
      </c>
      <c r="T194" s="507">
        <f>(I194-K194)*O194</f>
        <v>2698323.2805500003</v>
      </c>
      <c r="U194" s="507">
        <f t="shared" si="58"/>
        <v>8094948.2166000009</v>
      </c>
      <c r="V194" s="507" t="s">
        <v>713</v>
      </c>
      <c r="W194" s="518"/>
      <c r="X194" s="519"/>
    </row>
    <row r="195" spans="1:24" ht="48.75" customHeight="1">
      <c r="A195" s="514"/>
      <c r="B195" s="514"/>
      <c r="C195" s="514"/>
      <c r="D195" s="512" t="s">
        <v>884</v>
      </c>
      <c r="E195" s="506" t="s">
        <v>726</v>
      </c>
      <c r="F195" s="506" t="s">
        <v>885</v>
      </c>
      <c r="G195" s="506" t="s">
        <v>1130</v>
      </c>
      <c r="H195" s="507">
        <v>8205.83</v>
      </c>
      <c r="I195" s="507">
        <v>8205.83</v>
      </c>
      <c r="J195" s="507">
        <v>1980</v>
      </c>
      <c r="K195" s="507">
        <v>1980</v>
      </c>
      <c r="L195" s="508">
        <v>758.505</v>
      </c>
      <c r="M195" s="508">
        <v>505.67</v>
      </c>
      <c r="N195" s="508">
        <v>252.87799999999999</v>
      </c>
      <c r="O195" s="508">
        <v>758.63300000000004</v>
      </c>
      <c r="P195" s="508">
        <f t="shared" si="56"/>
        <v>2275.6859999999997</v>
      </c>
      <c r="Q195" s="507">
        <f>(H195-J195)*L195</f>
        <v>4722323.1841500001</v>
      </c>
      <c r="R195" s="507">
        <f>(H195-J195)*M195</f>
        <v>3148215.4561000001</v>
      </c>
      <c r="S195" s="507">
        <f>(I195-J195)*N195</f>
        <v>1574375.4387399999</v>
      </c>
      <c r="T195" s="507">
        <f>(I195-K195)*O195</f>
        <v>4723120.0903900005</v>
      </c>
      <c r="U195" s="507">
        <f t="shared" si="58"/>
        <v>14168034.16938</v>
      </c>
      <c r="V195" s="507" t="s">
        <v>713</v>
      </c>
      <c r="W195" s="518"/>
      <c r="X195" s="519"/>
    </row>
    <row r="196" spans="1:24" ht="48.75" customHeight="1">
      <c r="A196" s="514"/>
      <c r="B196" s="514"/>
      <c r="C196" s="514"/>
      <c r="D196" s="512" t="s">
        <v>884</v>
      </c>
      <c r="E196" s="506" t="s">
        <v>726</v>
      </c>
      <c r="F196" s="506" t="s">
        <v>883</v>
      </c>
      <c r="G196" s="506" t="s">
        <v>1131</v>
      </c>
      <c r="H196" s="507">
        <v>8205.83</v>
      </c>
      <c r="I196" s="507">
        <v>8205.83</v>
      </c>
      <c r="J196" s="507">
        <v>1980</v>
      </c>
      <c r="K196" s="507">
        <v>1980</v>
      </c>
      <c r="L196" s="508">
        <v>75.5</v>
      </c>
      <c r="M196" s="508">
        <v>42</v>
      </c>
      <c r="N196" s="508">
        <v>18.443999999999999</v>
      </c>
      <c r="O196" s="508">
        <v>55.334000000000003</v>
      </c>
      <c r="P196" s="508">
        <f t="shared" si="56"/>
        <v>191.27799999999999</v>
      </c>
      <c r="Q196" s="507">
        <f>(H196-J196)*L196</f>
        <v>470050.16499999998</v>
      </c>
      <c r="R196" s="507">
        <f>(H196-J196)*M196</f>
        <v>261484.86</v>
      </c>
      <c r="S196" s="507">
        <f>(I196-J196)*N196</f>
        <v>114829.20851999999</v>
      </c>
      <c r="T196" s="507">
        <f>(I196-K196)*O196</f>
        <v>344500.07722000004</v>
      </c>
      <c r="U196" s="507">
        <f t="shared" si="58"/>
        <v>1190864.3107399999</v>
      </c>
      <c r="V196" s="507" t="s">
        <v>713</v>
      </c>
      <c r="W196" s="518"/>
      <c r="X196" s="519"/>
    </row>
    <row r="197" spans="1:24" ht="39" customHeight="1">
      <c r="A197" s="514" t="s">
        <v>754</v>
      </c>
      <c r="B197" s="514" t="s">
        <v>882</v>
      </c>
      <c r="C197" s="514" t="s">
        <v>881</v>
      </c>
      <c r="D197" s="589"/>
      <c r="E197" s="512" t="s">
        <v>880</v>
      </c>
      <c r="F197" s="512"/>
      <c r="G197" s="512" t="s">
        <v>1215</v>
      </c>
      <c r="H197" s="507" t="s">
        <v>713</v>
      </c>
      <c r="I197" s="507" t="s">
        <v>713</v>
      </c>
      <c r="J197" s="507" t="s">
        <v>713</v>
      </c>
      <c r="K197" s="507" t="s">
        <v>713</v>
      </c>
      <c r="L197" s="508">
        <f t="shared" ref="L197:U197" si="78">SUM(L198:L199)</f>
        <v>4053.4100000000003</v>
      </c>
      <c r="M197" s="508">
        <f t="shared" si="78"/>
        <v>2642.3299999999995</v>
      </c>
      <c r="N197" s="508">
        <f t="shared" si="78"/>
        <v>1367.56</v>
      </c>
      <c r="O197" s="508">
        <f t="shared" si="78"/>
        <v>4102.7700000000004</v>
      </c>
      <c r="P197" s="508">
        <f t="shared" si="78"/>
        <v>12166.07</v>
      </c>
      <c r="Q197" s="507">
        <f t="shared" si="78"/>
        <v>35209540.623999998</v>
      </c>
      <c r="R197" s="507">
        <f t="shared" si="78"/>
        <v>22952335.311999995</v>
      </c>
      <c r="S197" s="507">
        <f t="shared" si="78"/>
        <v>11879173.184</v>
      </c>
      <c r="T197" s="507">
        <f t="shared" si="78"/>
        <v>35638301.328000002</v>
      </c>
      <c r="U197" s="507">
        <f t="shared" si="78"/>
        <v>105679350.448</v>
      </c>
      <c r="V197" s="507">
        <v>11644430.310000001</v>
      </c>
      <c r="W197" s="518">
        <f>T197/3</f>
        <v>11879433.776000001</v>
      </c>
      <c r="X197" s="518">
        <f>U197+V197-W197</f>
        <v>105444346.98199999</v>
      </c>
    </row>
    <row r="198" spans="1:24" ht="48.75" customHeight="1">
      <c r="A198" s="514"/>
      <c r="B198" s="514"/>
      <c r="C198" s="514"/>
      <c r="D198" s="512" t="s">
        <v>880</v>
      </c>
      <c r="E198" s="506" t="s">
        <v>720</v>
      </c>
      <c r="F198" s="506" t="s">
        <v>879</v>
      </c>
      <c r="G198" s="506" t="s">
        <v>1130</v>
      </c>
      <c r="H198" s="507">
        <v>10602.4</v>
      </c>
      <c r="I198" s="507">
        <v>10602.4</v>
      </c>
      <c r="J198" s="507">
        <v>1916</v>
      </c>
      <c r="K198" s="507">
        <v>1916</v>
      </c>
      <c r="L198" s="508">
        <v>3911.3</v>
      </c>
      <c r="M198" s="508">
        <v>2544.8999999999996</v>
      </c>
      <c r="N198" s="508">
        <v>1307.95</v>
      </c>
      <c r="O198" s="508">
        <v>3923.76</v>
      </c>
      <c r="P198" s="508">
        <f t="shared" si="56"/>
        <v>11687.91</v>
      </c>
      <c r="Q198" s="507">
        <f>(H198-J198)*L198</f>
        <v>33975116.32</v>
      </c>
      <c r="R198" s="507">
        <f>(H198-J198)*M198</f>
        <v>22106019.359999996</v>
      </c>
      <c r="S198" s="507">
        <f>(I198-J198)*N198</f>
        <v>11361376.880000001</v>
      </c>
      <c r="T198" s="507">
        <f>(I198-K198)*O198</f>
        <v>34083348.864</v>
      </c>
      <c r="U198" s="507">
        <f t="shared" si="58"/>
        <v>101525861.42399999</v>
      </c>
      <c r="V198" s="507" t="s">
        <v>713</v>
      </c>
      <c r="W198" s="518"/>
      <c r="X198" s="519"/>
    </row>
    <row r="199" spans="1:24" ht="48.75" customHeight="1">
      <c r="A199" s="514"/>
      <c r="B199" s="514"/>
      <c r="C199" s="514"/>
      <c r="D199" s="512" t="s">
        <v>880</v>
      </c>
      <c r="E199" s="506" t="s">
        <v>720</v>
      </c>
      <c r="F199" s="506" t="s">
        <v>879</v>
      </c>
      <c r="G199" s="506" t="s">
        <v>1131</v>
      </c>
      <c r="H199" s="507">
        <v>10602.4</v>
      </c>
      <c r="I199" s="507">
        <v>10602.4</v>
      </c>
      <c r="J199" s="507">
        <v>1916</v>
      </c>
      <c r="K199" s="507">
        <v>1916</v>
      </c>
      <c r="L199" s="508">
        <v>142.11000000000001</v>
      </c>
      <c r="M199" s="508">
        <v>97.429999999999993</v>
      </c>
      <c r="N199" s="508">
        <v>59.61</v>
      </c>
      <c r="O199" s="508">
        <v>179.01</v>
      </c>
      <c r="P199" s="508">
        <f t="shared" si="56"/>
        <v>478.16</v>
      </c>
      <c r="Q199" s="507">
        <f>(H199-J199)*L199</f>
        <v>1234424.304</v>
      </c>
      <c r="R199" s="507">
        <f>(H199-J199)*M199</f>
        <v>846315.95199999993</v>
      </c>
      <c r="S199" s="507">
        <f>(I199-J199)*N199</f>
        <v>517796.30399999995</v>
      </c>
      <c r="T199" s="507">
        <f>(I199-K199)*O199</f>
        <v>1554952.4639999999</v>
      </c>
      <c r="U199" s="507">
        <f t="shared" si="58"/>
        <v>4153489.0240000002</v>
      </c>
      <c r="V199" s="507" t="s">
        <v>713</v>
      </c>
      <c r="W199" s="518"/>
      <c r="X199" s="519"/>
    </row>
    <row r="200" spans="1:24" ht="48.75" customHeight="1">
      <c r="A200" s="514"/>
      <c r="B200" s="514"/>
      <c r="C200" s="514"/>
      <c r="D200" s="512" t="s">
        <v>880</v>
      </c>
      <c r="E200" s="506" t="s">
        <v>720</v>
      </c>
      <c r="F200" s="506" t="s">
        <v>879</v>
      </c>
      <c r="G200" s="506" t="s">
        <v>579</v>
      </c>
      <c r="H200" s="507">
        <v>173</v>
      </c>
      <c r="I200" s="507">
        <v>173</v>
      </c>
      <c r="J200" s="507">
        <v>67.58</v>
      </c>
      <c r="K200" s="507">
        <v>67.58</v>
      </c>
      <c r="L200" s="508">
        <v>2124.34</v>
      </c>
      <c r="M200" s="508">
        <v>1456.26</v>
      </c>
      <c r="N200" s="508">
        <v>891.93</v>
      </c>
      <c r="O200" s="508">
        <v>2675.79</v>
      </c>
      <c r="P200" s="508">
        <f t="shared" ref="P200:P263" si="79">SUM(L200:O200)</f>
        <v>7148.3200000000006</v>
      </c>
      <c r="Q200" s="507">
        <f>(H200-J200)*L200</f>
        <v>223947.92280000003</v>
      </c>
      <c r="R200" s="507">
        <f>(H200-J200)*M200</f>
        <v>153518.92920000001</v>
      </c>
      <c r="S200" s="507">
        <f>(I200-J200)*N200</f>
        <v>94027.260599999994</v>
      </c>
      <c r="T200" s="507">
        <f>(I200-K200)*O200</f>
        <v>282081.7818</v>
      </c>
      <c r="U200" s="507">
        <f t="shared" si="58"/>
        <v>753575.89440000011</v>
      </c>
      <c r="V200" s="507" t="s">
        <v>713</v>
      </c>
      <c r="W200" s="518"/>
      <c r="X200" s="519"/>
    </row>
    <row r="201" spans="1:24" ht="37.5" customHeight="1">
      <c r="A201" s="514" t="s">
        <v>819</v>
      </c>
      <c r="B201" s="514" t="s">
        <v>878</v>
      </c>
      <c r="C201" s="514" t="s">
        <v>877</v>
      </c>
      <c r="D201" s="589"/>
      <c r="E201" s="512" t="s">
        <v>875</v>
      </c>
      <c r="F201" s="512"/>
      <c r="G201" s="512" t="s">
        <v>1215</v>
      </c>
      <c r="H201" s="507" t="s">
        <v>713</v>
      </c>
      <c r="I201" s="507" t="s">
        <v>713</v>
      </c>
      <c r="J201" s="507" t="s">
        <v>713</v>
      </c>
      <c r="K201" s="507" t="s">
        <v>713</v>
      </c>
      <c r="L201" s="508">
        <f t="shared" ref="L201:U201" si="80">SUM(L202:L203)</f>
        <v>1037.3969999999999</v>
      </c>
      <c r="M201" s="508">
        <f t="shared" si="80"/>
        <v>702.38400000000001</v>
      </c>
      <c r="N201" s="508">
        <f t="shared" si="80"/>
        <v>348.05700000000002</v>
      </c>
      <c r="O201" s="508">
        <f t="shared" si="80"/>
        <v>1052.4769999999999</v>
      </c>
      <c r="P201" s="508">
        <f t="shared" si="80"/>
        <v>3140.3149999999996</v>
      </c>
      <c r="Q201" s="507">
        <f t="shared" si="80"/>
        <v>4717509.0972300004</v>
      </c>
      <c r="R201" s="507">
        <f t="shared" si="80"/>
        <v>3194232.4391000001</v>
      </c>
      <c r="S201" s="507">
        <f t="shared" si="80"/>
        <v>1582934.64573</v>
      </c>
      <c r="T201" s="507">
        <f t="shared" si="80"/>
        <v>4786652.2842999995</v>
      </c>
      <c r="U201" s="507">
        <f t="shared" si="80"/>
        <v>14281328.466359999</v>
      </c>
      <c r="V201" s="507">
        <v>1596974.74</v>
      </c>
      <c r="W201" s="518">
        <f>T201/3</f>
        <v>1595550.7614333332</v>
      </c>
      <c r="X201" s="518">
        <f>U201+V201-W201</f>
        <v>14282752.444926666</v>
      </c>
    </row>
    <row r="202" spans="1:24" ht="48.75" customHeight="1">
      <c r="A202" s="514"/>
      <c r="B202" s="514"/>
      <c r="C202" s="514"/>
      <c r="D202" s="512" t="s">
        <v>875</v>
      </c>
      <c r="E202" s="506" t="s">
        <v>771</v>
      </c>
      <c r="F202" s="506" t="s">
        <v>876</v>
      </c>
      <c r="G202" s="506" t="s">
        <v>1130</v>
      </c>
      <c r="H202" s="507">
        <v>6406.38</v>
      </c>
      <c r="I202" s="507">
        <v>6406.38</v>
      </c>
      <c r="J202" s="507">
        <v>1874</v>
      </c>
      <c r="K202" s="507">
        <v>1874</v>
      </c>
      <c r="L202" s="508">
        <v>542.88</v>
      </c>
      <c r="M202" s="508">
        <v>361.94600000000003</v>
      </c>
      <c r="N202" s="508">
        <v>176.97</v>
      </c>
      <c r="O202" s="508">
        <v>532.81299999999999</v>
      </c>
      <c r="P202" s="508">
        <f t="shared" si="79"/>
        <v>1614.6089999999999</v>
      </c>
      <c r="Q202" s="507">
        <f>(H202-J202)*L202</f>
        <v>2460538.4544000002</v>
      </c>
      <c r="R202" s="507">
        <f>(H202-J202)*M202</f>
        <v>1640476.8114800001</v>
      </c>
      <c r="S202" s="507">
        <f>(I202-J202)*N202</f>
        <v>802095.28859999997</v>
      </c>
      <c r="T202" s="507">
        <f>(I202-K202)*O202</f>
        <v>2414910.9849399999</v>
      </c>
      <c r="U202" s="507">
        <f t="shared" ref="U202:U263" si="81">SUM(Q202:T202)</f>
        <v>7318021.5394200003</v>
      </c>
      <c r="V202" s="507" t="s">
        <v>713</v>
      </c>
      <c r="W202" s="518"/>
      <c r="X202" s="519"/>
    </row>
    <row r="203" spans="1:24" ht="48.75" customHeight="1">
      <c r="A203" s="514"/>
      <c r="B203" s="514"/>
      <c r="C203" s="514"/>
      <c r="D203" s="512" t="s">
        <v>875</v>
      </c>
      <c r="E203" s="506" t="s">
        <v>771</v>
      </c>
      <c r="F203" s="506" t="s">
        <v>874</v>
      </c>
      <c r="G203" s="506" t="s">
        <v>1130</v>
      </c>
      <c r="H203" s="507">
        <v>6623.99</v>
      </c>
      <c r="I203" s="507">
        <v>6623.99</v>
      </c>
      <c r="J203" s="507">
        <v>2060</v>
      </c>
      <c r="K203" s="507">
        <v>2060</v>
      </c>
      <c r="L203" s="508">
        <v>494.517</v>
      </c>
      <c r="M203" s="508">
        <v>340.43799999999999</v>
      </c>
      <c r="N203" s="508">
        <v>171.08699999999999</v>
      </c>
      <c r="O203" s="508">
        <v>519.66399999999999</v>
      </c>
      <c r="P203" s="508">
        <f t="shared" si="79"/>
        <v>1525.7059999999999</v>
      </c>
      <c r="Q203" s="507">
        <f>(H203-J203)*L203</f>
        <v>2256970.6428299998</v>
      </c>
      <c r="R203" s="507">
        <f>(H203-J203)*M203</f>
        <v>1553755.6276199999</v>
      </c>
      <c r="S203" s="507">
        <f>(I203-J203)*N203</f>
        <v>780839.3571299999</v>
      </c>
      <c r="T203" s="507">
        <f>(I203-K203)*O203</f>
        <v>2371741.2993599996</v>
      </c>
      <c r="U203" s="507">
        <f t="shared" si="81"/>
        <v>6963306.9269399997</v>
      </c>
      <c r="V203" s="507" t="s">
        <v>713</v>
      </c>
      <c r="W203" s="518"/>
      <c r="X203" s="519"/>
    </row>
    <row r="204" spans="1:24" ht="30.75" customHeight="1">
      <c r="A204" s="514" t="s">
        <v>754</v>
      </c>
      <c r="B204" s="514" t="s">
        <v>873</v>
      </c>
      <c r="C204" s="514" t="s">
        <v>872</v>
      </c>
      <c r="D204" s="589"/>
      <c r="E204" s="512" t="s">
        <v>871</v>
      </c>
      <c r="F204" s="512"/>
      <c r="G204" s="512" t="s">
        <v>1215</v>
      </c>
      <c r="H204" s="507" t="s">
        <v>713</v>
      </c>
      <c r="I204" s="507" t="s">
        <v>713</v>
      </c>
      <c r="J204" s="507" t="s">
        <v>713</v>
      </c>
      <c r="K204" s="507" t="s">
        <v>713</v>
      </c>
      <c r="L204" s="508">
        <f t="shared" ref="L204:U204" si="82">SUM(L205)</f>
        <v>689.50699999999995</v>
      </c>
      <c r="M204" s="508">
        <f t="shared" si="82"/>
        <v>315.23</v>
      </c>
      <c r="N204" s="508">
        <f t="shared" si="82"/>
        <v>113.52</v>
      </c>
      <c r="O204" s="508">
        <f t="shared" si="82"/>
        <v>635.15</v>
      </c>
      <c r="P204" s="508">
        <f t="shared" si="82"/>
        <v>1753.4070000000002</v>
      </c>
      <c r="Q204" s="507">
        <f t="shared" si="82"/>
        <v>1814134.2874200002</v>
      </c>
      <c r="R204" s="507">
        <f t="shared" si="82"/>
        <v>829389.04380000022</v>
      </c>
      <c r="S204" s="507">
        <f t="shared" si="82"/>
        <v>298677.93120000005</v>
      </c>
      <c r="T204" s="507">
        <f t="shared" si="82"/>
        <v>1671117.7590000001</v>
      </c>
      <c r="U204" s="507">
        <f t="shared" si="82"/>
        <v>4613319.0214200001</v>
      </c>
      <c r="V204" s="507">
        <v>459608.36</v>
      </c>
      <c r="W204" s="518">
        <f>T204/3</f>
        <v>557039.25300000003</v>
      </c>
      <c r="X204" s="518">
        <f>U204+V204-W204</f>
        <v>4515888.1284200009</v>
      </c>
    </row>
    <row r="205" spans="1:24" ht="48.75" customHeight="1">
      <c r="A205" s="514"/>
      <c r="B205" s="514"/>
      <c r="C205" s="514"/>
      <c r="D205" s="512" t="s">
        <v>871</v>
      </c>
      <c r="E205" s="506" t="s">
        <v>805</v>
      </c>
      <c r="F205" s="506" t="s">
        <v>870</v>
      </c>
      <c r="G205" s="506" t="s">
        <v>1130</v>
      </c>
      <c r="H205" s="507">
        <v>4560.0600000000004</v>
      </c>
      <c r="I205" s="507">
        <v>4560.0600000000004</v>
      </c>
      <c r="J205" s="507">
        <v>1929</v>
      </c>
      <c r="K205" s="507">
        <v>1929</v>
      </c>
      <c r="L205" s="508">
        <v>689.50699999999995</v>
      </c>
      <c r="M205" s="508">
        <v>315.23</v>
      </c>
      <c r="N205" s="508">
        <v>113.52</v>
      </c>
      <c r="O205" s="508">
        <v>635.15</v>
      </c>
      <c r="P205" s="508">
        <f t="shared" si="79"/>
        <v>1753.4070000000002</v>
      </c>
      <c r="Q205" s="507">
        <f>(H205-J205)*L205</f>
        <v>1814134.2874200002</v>
      </c>
      <c r="R205" s="507">
        <f>(H205-J205)*M205</f>
        <v>829389.04380000022</v>
      </c>
      <c r="S205" s="507">
        <f>(I205-J205)*N205</f>
        <v>298677.93120000005</v>
      </c>
      <c r="T205" s="507">
        <f>(I205-K205)*O205</f>
        <v>1671117.7590000001</v>
      </c>
      <c r="U205" s="507">
        <f t="shared" si="81"/>
        <v>4613319.0214200001</v>
      </c>
      <c r="V205" s="507" t="s">
        <v>713</v>
      </c>
      <c r="W205" s="518"/>
      <c r="X205" s="519"/>
    </row>
    <row r="206" spans="1:24" ht="30.75" customHeight="1">
      <c r="A206" s="514" t="s">
        <v>754</v>
      </c>
      <c r="B206" s="514" t="s">
        <v>869</v>
      </c>
      <c r="C206" s="514" t="s">
        <v>868</v>
      </c>
      <c r="D206" s="589"/>
      <c r="E206" s="512" t="s">
        <v>867</v>
      </c>
      <c r="F206" s="512"/>
      <c r="G206" s="512" t="s">
        <v>1215</v>
      </c>
      <c r="H206" s="507" t="s">
        <v>713</v>
      </c>
      <c r="I206" s="507" t="s">
        <v>713</v>
      </c>
      <c r="J206" s="507" t="s">
        <v>713</v>
      </c>
      <c r="K206" s="507" t="s">
        <v>713</v>
      </c>
      <c r="L206" s="508">
        <f t="shared" ref="L206:U206" si="83">SUM(L207)</f>
        <v>769.81000000000006</v>
      </c>
      <c r="M206" s="508">
        <f t="shared" si="83"/>
        <v>425.76599999999996</v>
      </c>
      <c r="N206" s="508">
        <f t="shared" si="83"/>
        <v>185</v>
      </c>
      <c r="O206" s="508">
        <f t="shared" si="83"/>
        <v>660.1</v>
      </c>
      <c r="P206" s="508">
        <f t="shared" si="83"/>
        <v>2040.6759999999999</v>
      </c>
      <c r="Q206" s="507">
        <f t="shared" si="83"/>
        <v>3032589.514</v>
      </c>
      <c r="R206" s="507">
        <f t="shared" si="83"/>
        <v>1677262.5803999996</v>
      </c>
      <c r="S206" s="507">
        <f t="shared" si="83"/>
        <v>728788.99999999988</v>
      </c>
      <c r="T206" s="507">
        <f t="shared" si="83"/>
        <v>2600397.94</v>
      </c>
      <c r="U206" s="507">
        <f t="shared" si="83"/>
        <v>8039039.0343999993</v>
      </c>
      <c r="V206" s="507">
        <v>965286.94</v>
      </c>
      <c r="W206" s="518">
        <f>T206/3</f>
        <v>866799.31333333335</v>
      </c>
      <c r="X206" s="518">
        <f>U206+V206-W206</f>
        <v>8137526.6610666653</v>
      </c>
    </row>
    <row r="207" spans="1:24" ht="48.75" customHeight="1">
      <c r="A207" s="514"/>
      <c r="B207" s="514"/>
      <c r="C207" s="514"/>
      <c r="D207" s="512" t="s">
        <v>867</v>
      </c>
      <c r="E207" s="506" t="s">
        <v>742</v>
      </c>
      <c r="F207" s="506" t="s">
        <v>866</v>
      </c>
      <c r="G207" s="506" t="s">
        <v>1130</v>
      </c>
      <c r="H207" s="507">
        <v>5683.4</v>
      </c>
      <c r="I207" s="507">
        <v>5683.4</v>
      </c>
      <c r="J207" s="507">
        <v>1744</v>
      </c>
      <c r="K207" s="507">
        <v>1744</v>
      </c>
      <c r="L207" s="508">
        <v>769.81000000000006</v>
      </c>
      <c r="M207" s="508">
        <v>425.76599999999996</v>
      </c>
      <c r="N207" s="508">
        <v>185</v>
      </c>
      <c r="O207" s="508">
        <v>660.1</v>
      </c>
      <c r="P207" s="508">
        <f t="shared" si="79"/>
        <v>2040.6759999999999</v>
      </c>
      <c r="Q207" s="507">
        <f>(H207-J207)*L207</f>
        <v>3032589.514</v>
      </c>
      <c r="R207" s="507">
        <f>(H207-J207)*M207</f>
        <v>1677262.5803999996</v>
      </c>
      <c r="S207" s="507">
        <f>(I207-J207)*N207</f>
        <v>728788.99999999988</v>
      </c>
      <c r="T207" s="507">
        <f>(I207-K207)*O207</f>
        <v>2600397.94</v>
      </c>
      <c r="U207" s="507">
        <f t="shared" si="81"/>
        <v>8039039.0343999993</v>
      </c>
      <c r="V207" s="507" t="s">
        <v>713</v>
      </c>
      <c r="W207" s="518"/>
      <c r="X207" s="519"/>
    </row>
    <row r="208" spans="1:24" ht="54" customHeight="1">
      <c r="A208" s="514" t="s">
        <v>754</v>
      </c>
      <c r="B208" s="514" t="s">
        <v>865</v>
      </c>
      <c r="C208" s="514" t="s">
        <v>864</v>
      </c>
      <c r="D208" s="589"/>
      <c r="E208" s="512" t="s">
        <v>863</v>
      </c>
      <c r="F208" s="512"/>
      <c r="G208" s="512" t="s">
        <v>1215</v>
      </c>
      <c r="H208" s="507" t="s">
        <v>713</v>
      </c>
      <c r="I208" s="507" t="s">
        <v>713</v>
      </c>
      <c r="J208" s="507" t="s">
        <v>713</v>
      </c>
      <c r="K208" s="507" t="s">
        <v>713</v>
      </c>
      <c r="L208" s="508">
        <f t="shared" ref="L208:U208" si="84">SUM(L209)</f>
        <v>844.20100000000002</v>
      </c>
      <c r="M208" s="508">
        <f t="shared" si="84"/>
        <v>419.04599999999999</v>
      </c>
      <c r="N208" s="508">
        <f t="shared" si="84"/>
        <v>98.87</v>
      </c>
      <c r="O208" s="508">
        <f t="shared" si="84"/>
        <v>784.52</v>
      </c>
      <c r="P208" s="508">
        <f t="shared" si="84"/>
        <v>2146.6370000000002</v>
      </c>
      <c r="Q208" s="507">
        <f t="shared" si="84"/>
        <v>3123856.05437</v>
      </c>
      <c r="R208" s="507">
        <f t="shared" si="84"/>
        <v>1550625.2470199999</v>
      </c>
      <c r="S208" s="507">
        <f t="shared" si="84"/>
        <v>365855.58189999999</v>
      </c>
      <c r="T208" s="507">
        <f t="shared" si="84"/>
        <v>2903014.2723999997</v>
      </c>
      <c r="U208" s="507">
        <f t="shared" si="84"/>
        <v>7943351.1556899995</v>
      </c>
      <c r="V208" s="507">
        <v>1125256.4099999999</v>
      </c>
      <c r="W208" s="518">
        <f>T208/3</f>
        <v>967671.42413333326</v>
      </c>
      <c r="X208" s="518">
        <f>U208+V208-W208</f>
        <v>8100936.1415566662</v>
      </c>
    </row>
    <row r="209" spans="1:24" ht="48.75" customHeight="1">
      <c r="A209" s="514"/>
      <c r="B209" s="514"/>
      <c r="C209" s="514"/>
      <c r="D209" s="512" t="s">
        <v>863</v>
      </c>
      <c r="E209" s="506" t="s">
        <v>726</v>
      </c>
      <c r="F209" s="506" t="s">
        <v>862</v>
      </c>
      <c r="G209" s="506" t="s">
        <v>1130</v>
      </c>
      <c r="H209" s="507">
        <v>6076.37</v>
      </c>
      <c r="I209" s="507">
        <v>6076.37</v>
      </c>
      <c r="J209" s="507">
        <v>2376</v>
      </c>
      <c r="K209" s="507">
        <v>2376</v>
      </c>
      <c r="L209" s="508">
        <v>844.20100000000002</v>
      </c>
      <c r="M209" s="508">
        <v>419.04599999999999</v>
      </c>
      <c r="N209" s="508">
        <v>98.87</v>
      </c>
      <c r="O209" s="508">
        <v>784.52</v>
      </c>
      <c r="P209" s="508">
        <f t="shared" si="79"/>
        <v>2146.6370000000002</v>
      </c>
      <c r="Q209" s="507">
        <f>(H209-J209)*L209</f>
        <v>3123856.05437</v>
      </c>
      <c r="R209" s="507">
        <f>(H209-J209)*M209</f>
        <v>1550625.2470199999</v>
      </c>
      <c r="S209" s="507">
        <f>(I209-J209)*N209</f>
        <v>365855.58189999999</v>
      </c>
      <c r="T209" s="507">
        <f>(I209-K209)*O209</f>
        <v>2903014.2723999997</v>
      </c>
      <c r="U209" s="507">
        <f t="shared" si="81"/>
        <v>7943351.1556899995</v>
      </c>
      <c r="V209" s="507" t="s">
        <v>713</v>
      </c>
      <c r="W209" s="518"/>
      <c r="X209" s="519"/>
    </row>
    <row r="210" spans="1:24" ht="40.5" customHeight="1">
      <c r="A210" s="514" t="s">
        <v>754</v>
      </c>
      <c r="B210" s="514" t="s">
        <v>861</v>
      </c>
      <c r="C210" s="514" t="s">
        <v>860</v>
      </c>
      <c r="D210" s="589"/>
      <c r="E210" s="512" t="s">
        <v>859</v>
      </c>
      <c r="F210" s="512"/>
      <c r="G210" s="512" t="s">
        <v>1215</v>
      </c>
      <c r="H210" s="507" t="s">
        <v>713</v>
      </c>
      <c r="I210" s="507" t="s">
        <v>713</v>
      </c>
      <c r="J210" s="507" t="s">
        <v>713</v>
      </c>
      <c r="K210" s="507" t="s">
        <v>713</v>
      </c>
      <c r="L210" s="508">
        <f t="shared" ref="L210:U210" si="85">SUM(L211:L212)</f>
        <v>6819.3829999999998</v>
      </c>
      <c r="M210" s="508">
        <f t="shared" si="85"/>
        <v>3605.473</v>
      </c>
      <c r="N210" s="508">
        <f t="shared" si="85"/>
        <v>856.09999999999991</v>
      </c>
      <c r="O210" s="508">
        <f t="shared" si="85"/>
        <v>6497.1</v>
      </c>
      <c r="P210" s="508">
        <f t="shared" si="85"/>
        <v>17778.056</v>
      </c>
      <c r="Q210" s="507">
        <f t="shared" si="85"/>
        <v>30724457.331179999</v>
      </c>
      <c r="R210" s="507">
        <f t="shared" si="85"/>
        <v>16244314.382579999</v>
      </c>
      <c r="S210" s="507">
        <f t="shared" si="85"/>
        <v>3857124.3059999999</v>
      </c>
      <c r="T210" s="507">
        <f t="shared" si="85"/>
        <v>29272424.166000001</v>
      </c>
      <c r="U210" s="507">
        <f t="shared" si="85"/>
        <v>80098320.185759991</v>
      </c>
      <c r="V210" s="507">
        <v>10944137.58</v>
      </c>
      <c r="W210" s="518">
        <f>T210/3</f>
        <v>9757474.722000001</v>
      </c>
      <c r="X210" s="518">
        <f>U210+V210-W210</f>
        <v>81284983.043759987</v>
      </c>
    </row>
    <row r="211" spans="1:24" ht="48.75" customHeight="1">
      <c r="A211" s="514"/>
      <c r="B211" s="514"/>
      <c r="C211" s="514"/>
      <c r="D211" s="512" t="s">
        <v>859</v>
      </c>
      <c r="E211" s="506" t="s">
        <v>742</v>
      </c>
      <c r="F211" s="506" t="s">
        <v>858</v>
      </c>
      <c r="G211" s="506" t="s">
        <v>1130</v>
      </c>
      <c r="H211" s="507">
        <v>5958.79</v>
      </c>
      <c r="I211" s="507">
        <v>5958.79</v>
      </c>
      <c r="J211" s="507">
        <v>1453.33</v>
      </c>
      <c r="K211" s="507">
        <v>1453.33</v>
      </c>
      <c r="L211" s="508">
        <v>6406.2359999999999</v>
      </c>
      <c r="M211" s="508">
        <v>3316.491</v>
      </c>
      <c r="N211" s="508">
        <v>703.4</v>
      </c>
      <c r="O211" s="508">
        <v>5581.1</v>
      </c>
      <c r="P211" s="508">
        <f t="shared" si="79"/>
        <v>16007.226999999999</v>
      </c>
      <c r="Q211" s="507">
        <f>(H211-J211)*L211</f>
        <v>28863040.048560001</v>
      </c>
      <c r="R211" s="507">
        <f>(H211-J211)*M211</f>
        <v>14942317.540859999</v>
      </c>
      <c r="S211" s="507">
        <f>(I211-J211)*N211</f>
        <v>3169140.5639999998</v>
      </c>
      <c r="T211" s="507">
        <f>(I211-K211)*O211</f>
        <v>25145422.806000002</v>
      </c>
      <c r="U211" s="507">
        <f t="shared" si="81"/>
        <v>72119920.959419996</v>
      </c>
      <c r="V211" s="507" t="s">
        <v>713</v>
      </c>
      <c r="W211" s="518"/>
      <c r="X211" s="519"/>
    </row>
    <row r="212" spans="1:24" ht="48.75" customHeight="1">
      <c r="A212" s="514"/>
      <c r="B212" s="514"/>
      <c r="C212" s="514"/>
      <c r="D212" s="512" t="s">
        <v>859</v>
      </c>
      <c r="E212" s="506" t="s">
        <v>742</v>
      </c>
      <c r="F212" s="506" t="s">
        <v>858</v>
      </c>
      <c r="G212" s="506" t="s">
        <v>1131</v>
      </c>
      <c r="H212" s="507">
        <v>5958.79</v>
      </c>
      <c r="I212" s="507">
        <v>5958.79</v>
      </c>
      <c r="J212" s="507">
        <v>1453.33</v>
      </c>
      <c r="K212" s="507">
        <v>1453.33</v>
      </c>
      <c r="L212" s="508">
        <v>413.14699999999993</v>
      </c>
      <c r="M212" s="508">
        <v>288.98199999999997</v>
      </c>
      <c r="N212" s="508">
        <v>152.69999999999999</v>
      </c>
      <c r="O212" s="508">
        <v>916</v>
      </c>
      <c r="P212" s="508">
        <f t="shared" si="79"/>
        <v>1770.829</v>
      </c>
      <c r="Q212" s="507">
        <f>(H212-J212)*L212</f>
        <v>1861417.2826199997</v>
      </c>
      <c r="R212" s="507">
        <f>(H212-J212)*M212</f>
        <v>1301996.8417199999</v>
      </c>
      <c r="S212" s="507">
        <f>(I212-J212)*N212</f>
        <v>687983.74199999997</v>
      </c>
      <c r="T212" s="507">
        <f>(I212-K212)*O212</f>
        <v>4127001.36</v>
      </c>
      <c r="U212" s="507">
        <f t="shared" si="81"/>
        <v>7978399.2263399996</v>
      </c>
      <c r="V212" s="507" t="s">
        <v>713</v>
      </c>
      <c r="W212" s="518"/>
      <c r="X212" s="519"/>
    </row>
    <row r="213" spans="1:24" ht="48.75" customHeight="1">
      <c r="A213" s="514"/>
      <c r="B213" s="514"/>
      <c r="C213" s="514"/>
      <c r="D213" s="512" t="s">
        <v>859</v>
      </c>
      <c r="E213" s="506" t="s">
        <v>742</v>
      </c>
      <c r="F213" s="506" t="s">
        <v>858</v>
      </c>
      <c r="G213" s="506" t="s">
        <v>579</v>
      </c>
      <c r="H213" s="507">
        <v>68.77</v>
      </c>
      <c r="I213" s="507">
        <v>68.77</v>
      </c>
      <c r="J213" s="507">
        <v>53.67</v>
      </c>
      <c r="K213" s="507">
        <v>53.67</v>
      </c>
      <c r="L213" s="508">
        <v>6241.0609999999997</v>
      </c>
      <c r="M213" s="508">
        <v>4509.9459999999999</v>
      </c>
      <c r="N213" s="508">
        <v>2306.1999999999998</v>
      </c>
      <c r="O213" s="508">
        <v>13837</v>
      </c>
      <c r="P213" s="508">
        <f t="shared" si="79"/>
        <v>26894.206999999999</v>
      </c>
      <c r="Q213" s="507">
        <f>(H213-J213)*L213</f>
        <v>94240.021099999954</v>
      </c>
      <c r="R213" s="507">
        <f>(H213-J213)*M213</f>
        <v>68100.184599999979</v>
      </c>
      <c r="S213" s="507">
        <f>(I213-J213)*N213</f>
        <v>34823.619999999981</v>
      </c>
      <c r="T213" s="507">
        <f>(I213-K213)*O213</f>
        <v>208938.69999999992</v>
      </c>
      <c r="U213" s="507">
        <f t="shared" si="81"/>
        <v>406102.52569999988</v>
      </c>
      <c r="V213" s="507" t="s">
        <v>713</v>
      </c>
      <c r="W213" s="518"/>
      <c r="X213" s="519"/>
    </row>
    <row r="214" spans="1:24" ht="41.25" customHeight="1">
      <c r="A214" s="514" t="s">
        <v>730</v>
      </c>
      <c r="B214" s="514" t="s">
        <v>857</v>
      </c>
      <c r="C214" s="514" t="s">
        <v>856</v>
      </c>
      <c r="D214" s="589"/>
      <c r="E214" s="512" t="s">
        <v>855</v>
      </c>
      <c r="F214" s="512"/>
      <c r="G214" s="512" t="s">
        <v>1215</v>
      </c>
      <c r="H214" s="507" t="s">
        <v>713</v>
      </c>
      <c r="I214" s="507" t="s">
        <v>713</v>
      </c>
      <c r="J214" s="507" t="s">
        <v>713</v>
      </c>
      <c r="K214" s="507" t="s">
        <v>713</v>
      </c>
      <c r="L214" s="508">
        <f t="shared" ref="L214:U214" si="86">SUM(L215)</f>
        <v>498.73599999999999</v>
      </c>
      <c r="M214" s="508">
        <f t="shared" si="86"/>
        <v>214.99299999999999</v>
      </c>
      <c r="N214" s="508">
        <f t="shared" si="86"/>
        <v>100</v>
      </c>
      <c r="O214" s="508">
        <f t="shared" si="86"/>
        <v>330.3</v>
      </c>
      <c r="P214" s="508">
        <f t="shared" si="86"/>
        <v>1144.029</v>
      </c>
      <c r="Q214" s="507">
        <f t="shared" si="86"/>
        <v>2228058.1937599997</v>
      </c>
      <c r="R214" s="507">
        <f t="shared" si="86"/>
        <v>960461.87812999997</v>
      </c>
      <c r="S214" s="507">
        <f t="shared" si="86"/>
        <v>446741</v>
      </c>
      <c r="T214" s="507">
        <f t="shared" si="86"/>
        <v>1475585.523</v>
      </c>
      <c r="U214" s="507">
        <f t="shared" si="86"/>
        <v>5110846.5948900003</v>
      </c>
      <c r="V214" s="507">
        <v>627313.71</v>
      </c>
      <c r="W214" s="518">
        <f>T214/3</f>
        <v>491861.84100000001</v>
      </c>
      <c r="X214" s="518">
        <f>U214+V214-W214</f>
        <v>5246298.4638900002</v>
      </c>
    </row>
    <row r="215" spans="1:24" ht="48.75" customHeight="1">
      <c r="A215" s="514"/>
      <c r="B215" s="514"/>
      <c r="C215" s="514"/>
      <c r="D215" s="512" t="s">
        <v>855</v>
      </c>
      <c r="E215" s="506" t="s">
        <v>742</v>
      </c>
      <c r="F215" s="506" t="s">
        <v>854</v>
      </c>
      <c r="G215" s="506" t="s">
        <v>1130</v>
      </c>
      <c r="H215" s="507">
        <v>6211.41</v>
      </c>
      <c r="I215" s="507">
        <v>6211.41</v>
      </c>
      <c r="J215" s="507">
        <v>1744</v>
      </c>
      <c r="K215" s="507">
        <v>1744</v>
      </c>
      <c r="L215" s="508">
        <v>498.73599999999999</v>
      </c>
      <c r="M215" s="508">
        <v>214.99299999999999</v>
      </c>
      <c r="N215" s="508">
        <v>100</v>
      </c>
      <c r="O215" s="508">
        <v>330.3</v>
      </c>
      <c r="P215" s="508">
        <f t="shared" si="79"/>
        <v>1144.029</v>
      </c>
      <c r="Q215" s="507">
        <f>(H215-J215)*L215</f>
        <v>2228058.1937599997</v>
      </c>
      <c r="R215" s="507">
        <f>(H215-J215)*M215</f>
        <v>960461.87812999997</v>
      </c>
      <c r="S215" s="507">
        <f>(I215-J215)*N215</f>
        <v>446741</v>
      </c>
      <c r="T215" s="507">
        <f>(I215-K215)*O215</f>
        <v>1475585.523</v>
      </c>
      <c r="U215" s="507">
        <f t="shared" si="81"/>
        <v>5110846.5948900003</v>
      </c>
      <c r="V215" s="507" t="s">
        <v>713</v>
      </c>
      <c r="W215" s="518"/>
      <c r="X215" s="519"/>
    </row>
    <row r="216" spans="1:24" ht="43.5" customHeight="1">
      <c r="A216" s="514" t="s">
        <v>718</v>
      </c>
      <c r="B216" s="514" t="s">
        <v>853</v>
      </c>
      <c r="C216" s="514" t="s">
        <v>852</v>
      </c>
      <c r="D216" s="589"/>
      <c r="E216" s="512" t="s">
        <v>1216</v>
      </c>
      <c r="F216" s="512"/>
      <c r="G216" s="512" t="s">
        <v>1215</v>
      </c>
      <c r="H216" s="507" t="s">
        <v>713</v>
      </c>
      <c r="I216" s="507" t="s">
        <v>713</v>
      </c>
      <c r="J216" s="507" t="s">
        <v>713</v>
      </c>
      <c r="K216" s="507" t="s">
        <v>713</v>
      </c>
      <c r="L216" s="508">
        <f t="shared" ref="L216:U216" si="87">SUM(L217:L219)</f>
        <v>662.54</v>
      </c>
      <c r="M216" s="508">
        <f t="shared" si="87"/>
        <v>318.87</v>
      </c>
      <c r="N216" s="508">
        <f t="shared" si="87"/>
        <v>496.72</v>
      </c>
      <c r="O216" s="508">
        <f t="shared" si="87"/>
        <v>683.41000000000008</v>
      </c>
      <c r="P216" s="508">
        <f t="shared" si="87"/>
        <v>2161.54</v>
      </c>
      <c r="Q216" s="507">
        <f t="shared" si="87"/>
        <v>6597767.7004000004</v>
      </c>
      <c r="R216" s="507">
        <f t="shared" si="87"/>
        <v>3259679.1147999996</v>
      </c>
      <c r="S216" s="507">
        <f t="shared" si="87"/>
        <v>4757186.5515999999</v>
      </c>
      <c r="T216" s="507">
        <f t="shared" si="87"/>
        <v>6792551.3008000003</v>
      </c>
      <c r="U216" s="507">
        <f t="shared" si="87"/>
        <v>21407184.667600002</v>
      </c>
      <c r="V216" s="507">
        <v>1012362.72</v>
      </c>
      <c r="W216" s="518">
        <f>T216/3</f>
        <v>2264183.7669333336</v>
      </c>
      <c r="X216" s="518">
        <f>U216+V216-W216</f>
        <v>20155363.620666668</v>
      </c>
    </row>
    <row r="217" spans="1:24" ht="43.5" customHeight="1">
      <c r="A217" s="514"/>
      <c r="B217" s="514"/>
      <c r="C217" s="514"/>
      <c r="D217" s="512" t="s">
        <v>849</v>
      </c>
      <c r="E217" s="506" t="s">
        <v>848</v>
      </c>
      <c r="F217" s="506" t="s">
        <v>851</v>
      </c>
      <c r="G217" s="506" t="s">
        <v>1130</v>
      </c>
      <c r="H217" s="507">
        <v>5713.23</v>
      </c>
      <c r="I217" s="507">
        <v>5713.23</v>
      </c>
      <c r="J217" s="507">
        <v>1525.83</v>
      </c>
      <c r="K217" s="507">
        <v>1525.83</v>
      </c>
      <c r="L217" s="508">
        <v>115.22999999999999</v>
      </c>
      <c r="M217" s="508">
        <v>76.819999999999993</v>
      </c>
      <c r="N217" s="508">
        <v>38.409999999999997</v>
      </c>
      <c r="O217" s="508">
        <v>115.23</v>
      </c>
      <c r="P217" s="508">
        <f t="shared" si="79"/>
        <v>345.69</v>
      </c>
      <c r="Q217" s="507">
        <f>(H217-J217)*L217</f>
        <v>482514.1019999999</v>
      </c>
      <c r="R217" s="507">
        <f>(H217-J217)*M217</f>
        <v>321676.06799999997</v>
      </c>
      <c r="S217" s="507">
        <f>(I217-J217)*N217</f>
        <v>160838.03399999999</v>
      </c>
      <c r="T217" s="507">
        <f>(I217-K217)*O217</f>
        <v>482514.10199999996</v>
      </c>
      <c r="U217" s="507">
        <f t="shared" si="81"/>
        <v>1447542.3059999999</v>
      </c>
      <c r="V217" s="507" t="s">
        <v>713</v>
      </c>
      <c r="W217" s="518"/>
      <c r="X217" s="519"/>
    </row>
    <row r="218" spans="1:24" ht="70.5" customHeight="1">
      <c r="A218" s="514"/>
      <c r="B218" s="514"/>
      <c r="C218" s="514"/>
      <c r="D218" s="512" t="s">
        <v>849</v>
      </c>
      <c r="E218" s="506" t="s">
        <v>848</v>
      </c>
      <c r="F218" s="506" t="s">
        <v>850</v>
      </c>
      <c r="G218" s="506" t="s">
        <v>1130</v>
      </c>
      <c r="H218" s="507">
        <v>17170.23</v>
      </c>
      <c r="I218" s="507">
        <v>17170.23</v>
      </c>
      <c r="J218" s="507">
        <v>1525.83</v>
      </c>
      <c r="K218" s="507">
        <v>1525.83</v>
      </c>
      <c r="L218" s="508">
        <v>163.29</v>
      </c>
      <c r="M218" s="508">
        <v>108.86</v>
      </c>
      <c r="N218" s="508">
        <v>54.43</v>
      </c>
      <c r="O218" s="508">
        <v>163.49</v>
      </c>
      <c r="P218" s="508">
        <f t="shared" si="79"/>
        <v>490.07</v>
      </c>
      <c r="Q218" s="507">
        <f>(H218-J218)*L218</f>
        <v>2554574.0759999999</v>
      </c>
      <c r="R218" s="507">
        <f>(H218-J218)*M218</f>
        <v>1703049.3839999998</v>
      </c>
      <c r="S218" s="507">
        <f>(I218-J218)*N218</f>
        <v>851524.69199999992</v>
      </c>
      <c r="T218" s="507">
        <f>(I218-K218)*O218</f>
        <v>2557702.9560000002</v>
      </c>
      <c r="U218" s="507">
        <f t="shared" si="81"/>
        <v>7666851.108</v>
      </c>
      <c r="V218" s="507" t="s">
        <v>713</v>
      </c>
      <c r="W218" s="518"/>
      <c r="X218" s="519"/>
    </row>
    <row r="219" spans="1:24" ht="70.5" customHeight="1">
      <c r="A219" s="514"/>
      <c r="B219" s="514"/>
      <c r="C219" s="514"/>
      <c r="D219" s="512" t="s">
        <v>849</v>
      </c>
      <c r="E219" s="506" t="s">
        <v>848</v>
      </c>
      <c r="F219" s="506" t="s">
        <v>847</v>
      </c>
      <c r="G219" s="506" t="s">
        <v>1130</v>
      </c>
      <c r="H219" s="507">
        <v>10797.95</v>
      </c>
      <c r="I219" s="507">
        <v>10797.95</v>
      </c>
      <c r="J219" s="507">
        <v>1525.83</v>
      </c>
      <c r="K219" s="507">
        <v>1525.83</v>
      </c>
      <c r="L219" s="508">
        <v>384.02</v>
      </c>
      <c r="M219" s="508">
        <v>133.19</v>
      </c>
      <c r="N219" s="508">
        <v>403.88</v>
      </c>
      <c r="O219" s="508">
        <v>404.69</v>
      </c>
      <c r="P219" s="508">
        <f t="shared" si="79"/>
        <v>1325.78</v>
      </c>
      <c r="Q219" s="507">
        <f>(H219-J219)*L219</f>
        <v>3560679.5224000001</v>
      </c>
      <c r="R219" s="507">
        <f>(H219-J219)*M219</f>
        <v>1234953.6628</v>
      </c>
      <c r="S219" s="507">
        <f>(I219-J219)*N219</f>
        <v>3744823.8256000001</v>
      </c>
      <c r="T219" s="507">
        <f>(I219-K219)*O219</f>
        <v>3752334.2428000001</v>
      </c>
      <c r="U219" s="507">
        <f t="shared" si="81"/>
        <v>12292791.253600001</v>
      </c>
      <c r="V219" s="507" t="s">
        <v>713</v>
      </c>
      <c r="W219" s="518"/>
      <c r="X219" s="519"/>
    </row>
    <row r="220" spans="1:24" ht="30.75" customHeight="1">
      <c r="A220" s="514" t="s">
        <v>735</v>
      </c>
      <c r="B220" s="514" t="s">
        <v>846</v>
      </c>
      <c r="C220" s="514" t="s">
        <v>845</v>
      </c>
      <c r="D220" s="589"/>
      <c r="E220" s="512" t="s">
        <v>841</v>
      </c>
      <c r="F220" s="512"/>
      <c r="G220" s="512" t="s">
        <v>1215</v>
      </c>
      <c r="H220" s="507" t="s">
        <v>713</v>
      </c>
      <c r="I220" s="507" t="s">
        <v>713</v>
      </c>
      <c r="J220" s="507" t="s">
        <v>713</v>
      </c>
      <c r="K220" s="507" t="s">
        <v>713</v>
      </c>
      <c r="L220" s="508">
        <f t="shared" ref="L220:U220" si="88">SUM(L221:L228)</f>
        <v>6191</v>
      </c>
      <c r="M220" s="508">
        <f t="shared" si="88"/>
        <v>2992.1969999999997</v>
      </c>
      <c r="N220" s="508">
        <f t="shared" si="88"/>
        <v>1551.4200000000003</v>
      </c>
      <c r="O220" s="508">
        <f t="shared" si="88"/>
        <v>5396.8789999999999</v>
      </c>
      <c r="P220" s="508">
        <f t="shared" si="88"/>
        <v>16131.495999999997</v>
      </c>
      <c r="Q220" s="507">
        <f t="shared" si="88"/>
        <v>67286802.050740004</v>
      </c>
      <c r="R220" s="507">
        <f t="shared" si="88"/>
        <v>32757710.927889999</v>
      </c>
      <c r="S220" s="507">
        <f t="shared" si="88"/>
        <v>16011455.562600002</v>
      </c>
      <c r="T220" s="507">
        <f t="shared" si="88"/>
        <v>56357261.057430007</v>
      </c>
      <c r="U220" s="507">
        <f t="shared" si="88"/>
        <v>172413229.59865999</v>
      </c>
      <c r="V220" s="507">
        <v>23780315.48</v>
      </c>
      <c r="W220" s="518">
        <f>T220/3</f>
        <v>18785753.685810003</v>
      </c>
      <c r="X220" s="518">
        <f>U220+V220-W220</f>
        <v>177407791.39284998</v>
      </c>
    </row>
    <row r="221" spans="1:24" ht="50.25" customHeight="1">
      <c r="A221" s="514"/>
      <c r="B221" s="514"/>
      <c r="C221" s="514"/>
      <c r="D221" s="512" t="s">
        <v>841</v>
      </c>
      <c r="E221" s="506" t="s">
        <v>726</v>
      </c>
      <c r="F221" s="506" t="s">
        <v>844</v>
      </c>
      <c r="G221" s="506" t="s">
        <v>1130</v>
      </c>
      <c r="H221" s="507">
        <v>8791.75</v>
      </c>
      <c r="I221" s="507">
        <v>8791.75</v>
      </c>
      <c r="J221" s="507">
        <v>2376</v>
      </c>
      <c r="K221" s="507">
        <v>2376</v>
      </c>
      <c r="L221" s="508">
        <v>1532.6089999999999</v>
      </c>
      <c r="M221" s="508">
        <v>579.72100000000012</v>
      </c>
      <c r="N221" s="508">
        <v>333.95</v>
      </c>
      <c r="O221" s="508">
        <v>1559.25</v>
      </c>
      <c r="P221" s="508">
        <f t="shared" si="79"/>
        <v>4005.5299999999997</v>
      </c>
      <c r="Q221" s="507">
        <f t="shared" ref="Q221:Q228" si="89">(H221-J221)*L221</f>
        <v>9832836.1917499993</v>
      </c>
      <c r="R221" s="507">
        <f t="shared" ref="R221:R228" si="90">(H221-J221)*M221</f>
        <v>3719345.0057500009</v>
      </c>
      <c r="S221" s="507">
        <f t="shared" ref="S221:S228" si="91">(I221-J221)*N221</f>
        <v>2142539.7124999999</v>
      </c>
      <c r="T221" s="507">
        <f t="shared" ref="T221:T228" si="92">(I221-K221)*O221</f>
        <v>10003758.1875</v>
      </c>
      <c r="U221" s="507">
        <f t="shared" si="81"/>
        <v>25698479.0975</v>
      </c>
      <c r="V221" s="507" t="s">
        <v>713</v>
      </c>
      <c r="W221" s="518"/>
      <c r="X221" s="519"/>
    </row>
    <row r="222" spans="1:24" ht="50.25" customHeight="1">
      <c r="A222" s="514"/>
      <c r="B222" s="514"/>
      <c r="C222" s="514"/>
      <c r="D222" s="512" t="s">
        <v>841</v>
      </c>
      <c r="E222" s="506" t="s">
        <v>726</v>
      </c>
      <c r="F222" s="506" t="s">
        <v>844</v>
      </c>
      <c r="G222" s="506" t="s">
        <v>1131</v>
      </c>
      <c r="H222" s="507">
        <v>8791.75</v>
      </c>
      <c r="I222" s="507">
        <v>8791.75</v>
      </c>
      <c r="J222" s="507">
        <v>2376</v>
      </c>
      <c r="K222" s="507">
        <v>2376</v>
      </c>
      <c r="L222" s="508">
        <v>175.49199999999999</v>
      </c>
      <c r="M222" s="508">
        <v>174.601</v>
      </c>
      <c r="N222" s="508">
        <v>130.38999999999999</v>
      </c>
      <c r="O222" s="508">
        <v>173.98</v>
      </c>
      <c r="P222" s="508">
        <f t="shared" si="79"/>
        <v>654.46299999999997</v>
      </c>
      <c r="Q222" s="507">
        <f t="shared" si="89"/>
        <v>1125912.7989999999</v>
      </c>
      <c r="R222" s="507">
        <f t="shared" si="90"/>
        <v>1120196.3657499999</v>
      </c>
      <c r="S222" s="507">
        <f t="shared" si="91"/>
        <v>836549.64249999996</v>
      </c>
      <c r="T222" s="507">
        <f t="shared" si="92"/>
        <v>1116212.1849999998</v>
      </c>
      <c r="U222" s="507">
        <f t="shared" si="81"/>
        <v>4198870.9922499992</v>
      </c>
      <c r="V222" s="507" t="s">
        <v>713</v>
      </c>
      <c r="W222" s="518"/>
      <c r="X222" s="519"/>
    </row>
    <row r="223" spans="1:24" ht="65.25" customHeight="1">
      <c r="A223" s="514"/>
      <c r="B223" s="514"/>
      <c r="C223" s="514"/>
      <c r="D223" s="512" t="s">
        <v>841</v>
      </c>
      <c r="E223" s="506" t="s">
        <v>726</v>
      </c>
      <c r="F223" s="506" t="s">
        <v>843</v>
      </c>
      <c r="G223" s="506" t="s">
        <v>1130</v>
      </c>
      <c r="H223" s="507">
        <v>15965.21</v>
      </c>
      <c r="I223" s="507">
        <v>15965.21</v>
      </c>
      <c r="J223" s="507">
        <v>2376</v>
      </c>
      <c r="K223" s="507">
        <v>2376</v>
      </c>
      <c r="L223" s="508">
        <v>2595.8029999999999</v>
      </c>
      <c r="M223" s="508">
        <v>1000.6289999999999</v>
      </c>
      <c r="N223" s="508">
        <v>315.12</v>
      </c>
      <c r="O223" s="508">
        <v>1775.03</v>
      </c>
      <c r="P223" s="508">
        <f t="shared" si="79"/>
        <v>5686.5819999999994</v>
      </c>
      <c r="Q223" s="507">
        <f t="shared" si="89"/>
        <v>35274912.08563</v>
      </c>
      <c r="R223" s="507">
        <f t="shared" si="90"/>
        <v>13597757.613089997</v>
      </c>
      <c r="S223" s="507">
        <f t="shared" si="91"/>
        <v>4282231.8552000001</v>
      </c>
      <c r="T223" s="507">
        <f t="shared" si="92"/>
        <v>24121255.426299997</v>
      </c>
      <c r="U223" s="507">
        <f t="shared" si="81"/>
        <v>77276156.98021999</v>
      </c>
      <c r="V223" s="507" t="s">
        <v>713</v>
      </c>
      <c r="W223" s="518"/>
      <c r="X223" s="519"/>
    </row>
    <row r="224" spans="1:24" ht="65.25" customHeight="1">
      <c r="A224" s="514"/>
      <c r="B224" s="514"/>
      <c r="C224" s="514"/>
      <c r="D224" s="512" t="s">
        <v>841</v>
      </c>
      <c r="E224" s="506" t="s">
        <v>726</v>
      </c>
      <c r="F224" s="506" t="s">
        <v>843</v>
      </c>
      <c r="G224" s="506" t="s">
        <v>1131</v>
      </c>
      <c r="H224" s="507">
        <v>15965.21</v>
      </c>
      <c r="I224" s="507">
        <v>15965.21</v>
      </c>
      <c r="J224" s="507">
        <v>2376</v>
      </c>
      <c r="K224" s="507">
        <v>2376</v>
      </c>
      <c r="L224" s="508">
        <v>135.90099999999998</v>
      </c>
      <c r="M224" s="508">
        <v>286.39699999999999</v>
      </c>
      <c r="N224" s="508">
        <v>108.18</v>
      </c>
      <c r="O224" s="508">
        <v>153.52000000000001</v>
      </c>
      <c r="P224" s="508">
        <f t="shared" si="79"/>
        <v>683.99800000000005</v>
      </c>
      <c r="Q224" s="507">
        <f t="shared" si="89"/>
        <v>1846787.2282099996</v>
      </c>
      <c r="R224" s="507">
        <f t="shared" si="90"/>
        <v>3891908.9763699998</v>
      </c>
      <c r="S224" s="507">
        <f t="shared" si="91"/>
        <v>1470080.7378</v>
      </c>
      <c r="T224" s="507">
        <f t="shared" si="92"/>
        <v>2086215.5192</v>
      </c>
      <c r="U224" s="507">
        <f t="shared" si="81"/>
        <v>9294992.4615800008</v>
      </c>
      <c r="V224" s="507" t="s">
        <v>713</v>
      </c>
      <c r="W224" s="518"/>
      <c r="X224" s="519"/>
    </row>
    <row r="225" spans="1:24" ht="52.5" customHeight="1">
      <c r="A225" s="514"/>
      <c r="B225" s="514"/>
      <c r="C225" s="514"/>
      <c r="D225" s="512" t="s">
        <v>841</v>
      </c>
      <c r="E225" s="506" t="s">
        <v>726</v>
      </c>
      <c r="F225" s="506" t="s">
        <v>842</v>
      </c>
      <c r="G225" s="506" t="s">
        <v>1130</v>
      </c>
      <c r="H225" s="507">
        <v>13343.57</v>
      </c>
      <c r="I225" s="507">
        <v>13343.57</v>
      </c>
      <c r="J225" s="507">
        <v>2376</v>
      </c>
      <c r="K225" s="507">
        <v>2376</v>
      </c>
      <c r="L225" s="508">
        <v>51.094000000000001</v>
      </c>
      <c r="M225" s="508">
        <v>20.841000000000001</v>
      </c>
      <c r="N225" s="508">
        <v>9.82</v>
      </c>
      <c r="O225" s="508">
        <v>48.808999999999997</v>
      </c>
      <c r="P225" s="508">
        <f t="shared" si="79"/>
        <v>130.56399999999999</v>
      </c>
      <c r="Q225" s="507">
        <f t="shared" si="89"/>
        <v>560377.02157999994</v>
      </c>
      <c r="R225" s="507">
        <f t="shared" si="90"/>
        <v>228575.12637000001</v>
      </c>
      <c r="S225" s="507">
        <f t="shared" si="91"/>
        <v>107701.5374</v>
      </c>
      <c r="T225" s="507">
        <f t="shared" si="92"/>
        <v>535316.12413000001</v>
      </c>
      <c r="U225" s="507">
        <f t="shared" si="81"/>
        <v>1431969.8094799998</v>
      </c>
      <c r="V225" s="507" t="s">
        <v>713</v>
      </c>
      <c r="W225" s="518"/>
      <c r="X225" s="519"/>
    </row>
    <row r="226" spans="1:24" ht="52.5" customHeight="1">
      <c r="A226" s="514"/>
      <c r="B226" s="514"/>
      <c r="C226" s="514"/>
      <c r="D226" s="512" t="s">
        <v>841</v>
      </c>
      <c r="E226" s="506" t="s">
        <v>726</v>
      </c>
      <c r="F226" s="506" t="s">
        <v>842</v>
      </c>
      <c r="G226" s="506" t="s">
        <v>1131</v>
      </c>
      <c r="H226" s="507">
        <v>13343.57</v>
      </c>
      <c r="I226" s="507">
        <v>13343.57</v>
      </c>
      <c r="J226" s="507">
        <v>2376</v>
      </c>
      <c r="K226" s="507">
        <v>2376</v>
      </c>
      <c r="L226" s="508">
        <v>3.7859999999999996</v>
      </c>
      <c r="M226" s="508">
        <v>2.7919999999999998</v>
      </c>
      <c r="N226" s="508">
        <v>1.2</v>
      </c>
      <c r="O226" s="508">
        <v>4.12</v>
      </c>
      <c r="P226" s="508">
        <f t="shared" si="79"/>
        <v>11.898</v>
      </c>
      <c r="Q226" s="507">
        <f t="shared" si="89"/>
        <v>41523.220019999993</v>
      </c>
      <c r="R226" s="507">
        <f t="shared" si="90"/>
        <v>30621.455439999998</v>
      </c>
      <c r="S226" s="507">
        <f t="shared" si="91"/>
        <v>13161.083999999999</v>
      </c>
      <c r="T226" s="507">
        <f t="shared" si="92"/>
        <v>45186.388400000003</v>
      </c>
      <c r="U226" s="507">
        <f t="shared" si="81"/>
        <v>130492.14786</v>
      </c>
      <c r="V226" s="507" t="s">
        <v>713</v>
      </c>
      <c r="W226" s="518"/>
      <c r="X226" s="519"/>
    </row>
    <row r="227" spans="1:24" ht="52.5" customHeight="1">
      <c r="A227" s="514"/>
      <c r="B227" s="514"/>
      <c r="C227" s="514"/>
      <c r="D227" s="512" t="s">
        <v>841</v>
      </c>
      <c r="E227" s="506" t="s">
        <v>726</v>
      </c>
      <c r="F227" s="506" t="s">
        <v>478</v>
      </c>
      <c r="G227" s="506" t="s">
        <v>1130</v>
      </c>
      <c r="H227" s="507">
        <v>13343.57</v>
      </c>
      <c r="I227" s="507">
        <v>13343.57</v>
      </c>
      <c r="J227" s="507">
        <v>2376</v>
      </c>
      <c r="K227" s="507">
        <v>2376</v>
      </c>
      <c r="L227" s="508">
        <v>1675.796</v>
      </c>
      <c r="M227" s="508">
        <v>914.81500000000005</v>
      </c>
      <c r="N227" s="508">
        <v>647.98</v>
      </c>
      <c r="O227" s="508">
        <v>1666.14</v>
      </c>
      <c r="P227" s="508">
        <f t="shared" si="79"/>
        <v>4904.7309999999998</v>
      </c>
      <c r="Q227" s="507">
        <f t="shared" si="89"/>
        <v>18379409.93572</v>
      </c>
      <c r="R227" s="507">
        <f t="shared" si="90"/>
        <v>10033297.549550001</v>
      </c>
      <c r="S227" s="507">
        <f t="shared" si="91"/>
        <v>7106766.0086000003</v>
      </c>
      <c r="T227" s="507">
        <f t="shared" si="92"/>
        <v>18273507.079800002</v>
      </c>
      <c r="U227" s="507">
        <f t="shared" si="81"/>
        <v>53792980.573670007</v>
      </c>
      <c r="V227" s="507" t="s">
        <v>713</v>
      </c>
      <c r="W227" s="518"/>
      <c r="X227" s="519"/>
    </row>
    <row r="228" spans="1:24" ht="52.5" customHeight="1">
      <c r="A228" s="514"/>
      <c r="B228" s="514"/>
      <c r="C228" s="514"/>
      <c r="D228" s="512" t="s">
        <v>841</v>
      </c>
      <c r="E228" s="506" t="s">
        <v>726</v>
      </c>
      <c r="F228" s="506" t="s">
        <v>478</v>
      </c>
      <c r="G228" s="506" t="s">
        <v>1131</v>
      </c>
      <c r="H228" s="507">
        <v>13343.57</v>
      </c>
      <c r="I228" s="507">
        <v>13343.57</v>
      </c>
      <c r="J228" s="507">
        <v>2376</v>
      </c>
      <c r="K228" s="507">
        <v>2376</v>
      </c>
      <c r="L228" s="508">
        <v>20.518999999999998</v>
      </c>
      <c r="M228" s="508">
        <v>12.401</v>
      </c>
      <c r="N228" s="508">
        <v>4.78</v>
      </c>
      <c r="O228" s="508">
        <v>16.03</v>
      </c>
      <c r="P228" s="508">
        <f t="shared" si="79"/>
        <v>53.730000000000004</v>
      </c>
      <c r="Q228" s="507">
        <f t="shared" si="89"/>
        <v>225043.56882999997</v>
      </c>
      <c r="R228" s="507">
        <f t="shared" si="90"/>
        <v>136008.83557</v>
      </c>
      <c r="S228" s="507">
        <f t="shared" si="91"/>
        <v>52424.984600000003</v>
      </c>
      <c r="T228" s="507">
        <f t="shared" si="92"/>
        <v>175810.1471</v>
      </c>
      <c r="U228" s="507">
        <f t="shared" si="81"/>
        <v>589287.53610000003</v>
      </c>
      <c r="V228" s="507" t="s">
        <v>713</v>
      </c>
      <c r="W228" s="518"/>
      <c r="X228" s="519"/>
    </row>
    <row r="229" spans="1:24" ht="45.75" customHeight="1">
      <c r="A229" s="514" t="s">
        <v>718</v>
      </c>
      <c r="B229" s="514" t="s">
        <v>840</v>
      </c>
      <c r="C229" s="514" t="s">
        <v>78</v>
      </c>
      <c r="D229" s="589"/>
      <c r="E229" s="512" t="s">
        <v>839</v>
      </c>
      <c r="F229" s="512"/>
      <c r="G229" s="512" t="s">
        <v>1215</v>
      </c>
      <c r="H229" s="507" t="s">
        <v>713</v>
      </c>
      <c r="I229" s="507" t="s">
        <v>713</v>
      </c>
      <c r="J229" s="507" t="s">
        <v>713</v>
      </c>
      <c r="K229" s="507" t="s">
        <v>713</v>
      </c>
      <c r="L229" s="508">
        <f t="shared" ref="L229:U229" si="93">SUM(L230)</f>
        <v>21.75</v>
      </c>
      <c r="M229" s="508">
        <f t="shared" si="93"/>
        <v>10.879999999999999</v>
      </c>
      <c r="N229" s="508">
        <f t="shared" si="93"/>
        <v>4.9329999999999998</v>
      </c>
      <c r="O229" s="508">
        <f t="shared" si="93"/>
        <v>18.632000000000001</v>
      </c>
      <c r="P229" s="508">
        <f t="shared" si="93"/>
        <v>56.194999999999993</v>
      </c>
      <c r="Q229" s="507">
        <f t="shared" si="93"/>
        <v>139045.57500000001</v>
      </c>
      <c r="R229" s="507">
        <f t="shared" si="93"/>
        <v>69554.751999999993</v>
      </c>
      <c r="S229" s="507">
        <f t="shared" si="93"/>
        <v>31536.175700000003</v>
      </c>
      <c r="T229" s="507">
        <f t="shared" si="93"/>
        <v>119112.51280000003</v>
      </c>
      <c r="U229" s="507">
        <f t="shared" si="93"/>
        <v>359249.01549999998</v>
      </c>
      <c r="V229" s="507">
        <v>46348.53</v>
      </c>
      <c r="W229" s="518">
        <f>T229/3</f>
        <v>39704.170933333342</v>
      </c>
      <c r="X229" s="518">
        <f>U229+V229-W229</f>
        <v>365893.37456666667</v>
      </c>
    </row>
    <row r="230" spans="1:24" ht="52.5" customHeight="1">
      <c r="A230" s="514"/>
      <c r="B230" s="514"/>
      <c r="C230" s="514"/>
      <c r="D230" s="512" t="s">
        <v>839</v>
      </c>
      <c r="E230" s="506" t="s">
        <v>838</v>
      </c>
      <c r="F230" s="506" t="s">
        <v>837</v>
      </c>
      <c r="G230" s="506" t="s">
        <v>1130</v>
      </c>
      <c r="H230" s="507">
        <v>8012.6</v>
      </c>
      <c r="I230" s="507">
        <v>8012.6</v>
      </c>
      <c r="J230" s="507">
        <v>1619.7</v>
      </c>
      <c r="K230" s="507">
        <v>1619.7</v>
      </c>
      <c r="L230" s="508">
        <v>21.75</v>
      </c>
      <c r="M230" s="508">
        <v>10.879999999999999</v>
      </c>
      <c r="N230" s="508">
        <v>4.9329999999999998</v>
      </c>
      <c r="O230" s="508">
        <v>18.632000000000001</v>
      </c>
      <c r="P230" s="508">
        <f t="shared" si="79"/>
        <v>56.194999999999993</v>
      </c>
      <c r="Q230" s="507">
        <f>(H230-J230)*L230</f>
        <v>139045.57500000001</v>
      </c>
      <c r="R230" s="507">
        <f>(H230-J230)*M230</f>
        <v>69554.751999999993</v>
      </c>
      <c r="S230" s="507">
        <f>(I230-J230)*N230</f>
        <v>31536.175700000003</v>
      </c>
      <c r="T230" s="507">
        <f>(I230-K230)*O230</f>
        <v>119112.51280000003</v>
      </c>
      <c r="U230" s="507">
        <f t="shared" si="81"/>
        <v>359249.01549999998</v>
      </c>
      <c r="V230" s="507" t="s">
        <v>713</v>
      </c>
      <c r="W230" s="518"/>
      <c r="X230" s="519"/>
    </row>
    <row r="231" spans="1:24" ht="41.25" customHeight="1">
      <c r="A231" s="514" t="s">
        <v>754</v>
      </c>
      <c r="B231" s="514" t="s">
        <v>836</v>
      </c>
      <c r="C231" s="514" t="s">
        <v>835</v>
      </c>
      <c r="D231" s="589"/>
      <c r="E231" s="512" t="s">
        <v>821</v>
      </c>
      <c r="F231" s="512"/>
      <c r="G231" s="512" t="s">
        <v>1215</v>
      </c>
      <c r="H231" s="507" t="s">
        <v>713</v>
      </c>
      <c r="I231" s="507" t="s">
        <v>713</v>
      </c>
      <c r="J231" s="507" t="s">
        <v>713</v>
      </c>
      <c r="K231" s="507" t="s">
        <v>713</v>
      </c>
      <c r="L231" s="508">
        <f t="shared" ref="L231:U231" si="94">SUM(L232:L260)</f>
        <v>6016.8639999999996</v>
      </c>
      <c r="M231" s="508">
        <f t="shared" si="94"/>
        <v>2783.6459999999997</v>
      </c>
      <c r="N231" s="508">
        <f t="shared" si="94"/>
        <v>1101.7189999999998</v>
      </c>
      <c r="O231" s="508">
        <f t="shared" si="94"/>
        <v>5922.5660000000007</v>
      </c>
      <c r="P231" s="508">
        <f t="shared" si="94"/>
        <v>15824.795</v>
      </c>
      <c r="Q231" s="507">
        <f>SUM(Q232:Q260)</f>
        <v>13200486.667479999</v>
      </c>
      <c r="R231" s="507">
        <f t="shared" ref="R231:T231" si="95">SUM(R232:R260)</f>
        <v>6326024.1926900009</v>
      </c>
      <c r="S231" s="507">
        <f t="shared" si="95"/>
        <v>2541318.8636300005</v>
      </c>
      <c r="T231" s="507">
        <f t="shared" si="95"/>
        <v>13888564.855430001</v>
      </c>
      <c r="U231" s="507">
        <f t="shared" si="94"/>
        <v>35956394.579230003</v>
      </c>
      <c r="V231" s="507">
        <v>4696843.37</v>
      </c>
      <c r="W231" s="518">
        <f>T231/3</f>
        <v>4629521.6184766674</v>
      </c>
      <c r="X231" s="518">
        <f>U231+V231-W231</f>
        <v>36023716.330753334</v>
      </c>
    </row>
    <row r="232" spans="1:24" ht="52.5" customHeight="1">
      <c r="A232" s="514"/>
      <c r="B232" s="514"/>
      <c r="C232" s="514"/>
      <c r="D232" s="512" t="s">
        <v>821</v>
      </c>
      <c r="E232" s="506" t="s">
        <v>815</v>
      </c>
      <c r="F232" s="506" t="s">
        <v>834</v>
      </c>
      <c r="G232" s="506" t="s">
        <v>1130</v>
      </c>
      <c r="H232" s="507">
        <v>11563.29</v>
      </c>
      <c r="I232" s="507">
        <v>11563.29</v>
      </c>
      <c r="J232" s="507">
        <v>1580</v>
      </c>
      <c r="K232" s="507">
        <v>1580</v>
      </c>
      <c r="L232" s="508">
        <v>78.498000000000005</v>
      </c>
      <c r="M232" s="508">
        <v>35.664999999999999</v>
      </c>
      <c r="N232" s="508">
        <v>9.24</v>
      </c>
      <c r="O232" s="508">
        <v>83.17</v>
      </c>
      <c r="P232" s="508">
        <f t="shared" si="79"/>
        <v>206.57300000000001</v>
      </c>
      <c r="Q232" s="507">
        <f t="shared" ref="Q232:Q260" si="96">(H232-J232)*L232</f>
        <v>783668.29842000012</v>
      </c>
      <c r="R232" s="507">
        <f t="shared" ref="R232:R260" si="97">(H232-J232)*M232</f>
        <v>356054.03785000002</v>
      </c>
      <c r="S232" s="507">
        <f t="shared" ref="S232:S260" si="98">(I232-J232)*N232</f>
        <v>92245.599600000016</v>
      </c>
      <c r="T232" s="507">
        <f t="shared" ref="T232:T260" si="99">(I232-K232)*O232</f>
        <v>830310.22930000012</v>
      </c>
      <c r="U232" s="507">
        <f t="shared" si="81"/>
        <v>2062278.1651700004</v>
      </c>
      <c r="V232" s="507" t="s">
        <v>713</v>
      </c>
      <c r="W232" s="518"/>
      <c r="X232" s="519"/>
    </row>
    <row r="233" spans="1:24" ht="40.5" customHeight="1">
      <c r="A233" s="514"/>
      <c r="B233" s="514"/>
      <c r="C233" s="514"/>
      <c r="D233" s="512" t="s">
        <v>821</v>
      </c>
      <c r="E233" s="506" t="s">
        <v>815</v>
      </c>
      <c r="F233" s="506" t="s">
        <v>833</v>
      </c>
      <c r="G233" s="506" t="s">
        <v>1130</v>
      </c>
      <c r="H233" s="507">
        <v>3342.42</v>
      </c>
      <c r="I233" s="507">
        <v>3342.42</v>
      </c>
      <c r="J233" s="507">
        <v>1271.6600000000001</v>
      </c>
      <c r="K233" s="507">
        <v>1271.6600000000001</v>
      </c>
      <c r="L233" s="508">
        <v>467.90300000000002</v>
      </c>
      <c r="M233" s="508">
        <v>243.923</v>
      </c>
      <c r="N233" s="508">
        <v>53.13</v>
      </c>
      <c r="O233" s="508">
        <v>455.32600000000002</v>
      </c>
      <c r="P233" s="508">
        <f t="shared" si="79"/>
        <v>1220.2820000000002</v>
      </c>
      <c r="Q233" s="507">
        <f t="shared" si="96"/>
        <v>968914.81628000014</v>
      </c>
      <c r="R233" s="507">
        <f t="shared" si="97"/>
        <v>505105.99148000008</v>
      </c>
      <c r="S233" s="507">
        <f t="shared" si="98"/>
        <v>110019.47880000001</v>
      </c>
      <c r="T233" s="507">
        <f t="shared" si="99"/>
        <v>942870.86776000017</v>
      </c>
      <c r="U233" s="507">
        <f t="shared" si="81"/>
        <v>2526911.1543200002</v>
      </c>
      <c r="V233" s="507" t="s">
        <v>713</v>
      </c>
      <c r="W233" s="518"/>
      <c r="X233" s="519"/>
    </row>
    <row r="234" spans="1:24" ht="40.5" customHeight="1">
      <c r="A234" s="514"/>
      <c r="B234" s="514"/>
      <c r="C234" s="514"/>
      <c r="D234" s="512" t="s">
        <v>821</v>
      </c>
      <c r="E234" s="506" t="s">
        <v>815</v>
      </c>
      <c r="F234" s="506" t="s">
        <v>832</v>
      </c>
      <c r="G234" s="506" t="s">
        <v>1130</v>
      </c>
      <c r="H234" s="507">
        <v>4767.68</v>
      </c>
      <c r="I234" s="507">
        <v>4767.68</v>
      </c>
      <c r="J234" s="507">
        <v>1689.17</v>
      </c>
      <c r="K234" s="507">
        <v>1689.17</v>
      </c>
      <c r="L234" s="508">
        <v>98.121000000000009</v>
      </c>
      <c r="M234" s="508">
        <v>46.423000000000002</v>
      </c>
      <c r="N234" s="508">
        <v>18.535</v>
      </c>
      <c r="O234" s="508">
        <v>98.125</v>
      </c>
      <c r="P234" s="508">
        <f t="shared" si="79"/>
        <v>261.20400000000001</v>
      </c>
      <c r="Q234" s="507">
        <f t="shared" si="96"/>
        <v>302066.47971000004</v>
      </c>
      <c r="R234" s="507">
        <f t="shared" si="97"/>
        <v>142913.66973000002</v>
      </c>
      <c r="S234" s="507">
        <f t="shared" si="98"/>
        <v>57060.182850000005</v>
      </c>
      <c r="T234" s="507">
        <f t="shared" si="99"/>
        <v>302078.79375000001</v>
      </c>
      <c r="U234" s="507">
        <f t="shared" si="81"/>
        <v>804119.12604</v>
      </c>
      <c r="V234" s="507" t="s">
        <v>713</v>
      </c>
      <c r="W234" s="518"/>
      <c r="X234" s="519"/>
    </row>
    <row r="235" spans="1:24" ht="40.5" customHeight="1">
      <c r="A235" s="514"/>
      <c r="B235" s="514"/>
      <c r="C235" s="514"/>
      <c r="D235" s="512" t="s">
        <v>821</v>
      </c>
      <c r="E235" s="506" t="s">
        <v>815</v>
      </c>
      <c r="F235" s="506" t="s">
        <v>831</v>
      </c>
      <c r="G235" s="506" t="s">
        <v>1130</v>
      </c>
      <c r="H235" s="507">
        <v>3697.5</v>
      </c>
      <c r="I235" s="507">
        <v>3697.5</v>
      </c>
      <c r="J235" s="507">
        <v>1689.17</v>
      </c>
      <c r="K235" s="507">
        <v>1689.17</v>
      </c>
      <c r="L235" s="508">
        <v>811.87299999999993</v>
      </c>
      <c r="M235" s="508">
        <v>171.886</v>
      </c>
      <c r="N235" s="508">
        <v>0</v>
      </c>
      <c r="O235" s="508">
        <v>0</v>
      </c>
      <c r="P235" s="508">
        <f t="shared" si="79"/>
        <v>983.7589999999999</v>
      </c>
      <c r="Q235" s="507">
        <f t="shared" si="96"/>
        <v>1630508.9020899998</v>
      </c>
      <c r="R235" s="507">
        <f t="shared" si="97"/>
        <v>345203.81037999998</v>
      </c>
      <c r="S235" s="507">
        <f t="shared" si="98"/>
        <v>0</v>
      </c>
      <c r="T235" s="507">
        <f t="shared" si="99"/>
        <v>0</v>
      </c>
      <c r="U235" s="507">
        <f t="shared" si="81"/>
        <v>1975712.7124699997</v>
      </c>
      <c r="V235" s="507" t="s">
        <v>713</v>
      </c>
      <c r="W235" s="518"/>
      <c r="X235" s="519"/>
    </row>
    <row r="236" spans="1:24" ht="40.5" customHeight="1">
      <c r="A236" s="514"/>
      <c r="B236" s="514"/>
      <c r="C236" s="514"/>
      <c r="D236" s="512" t="s">
        <v>821</v>
      </c>
      <c r="E236" s="506" t="s">
        <v>815</v>
      </c>
      <c r="F236" s="506" t="s">
        <v>830</v>
      </c>
      <c r="G236" s="506" t="s">
        <v>1130</v>
      </c>
      <c r="H236" s="507">
        <v>3697.5</v>
      </c>
      <c r="I236" s="507">
        <v>3697.5</v>
      </c>
      <c r="J236" s="507">
        <v>1492.5</v>
      </c>
      <c r="K236" s="507">
        <v>1492.5</v>
      </c>
      <c r="L236" s="508">
        <v>75.045000000000002</v>
      </c>
      <c r="M236" s="508">
        <v>15.843</v>
      </c>
      <c r="N236" s="508">
        <v>0</v>
      </c>
      <c r="O236" s="508">
        <v>0</v>
      </c>
      <c r="P236" s="508">
        <f t="shared" si="79"/>
        <v>90.888000000000005</v>
      </c>
      <c r="Q236" s="507">
        <f t="shared" si="96"/>
        <v>165474.22500000001</v>
      </c>
      <c r="R236" s="507">
        <f t="shared" si="97"/>
        <v>34933.815000000002</v>
      </c>
      <c r="S236" s="507">
        <f t="shared" si="98"/>
        <v>0</v>
      </c>
      <c r="T236" s="507">
        <f t="shared" si="99"/>
        <v>0</v>
      </c>
      <c r="U236" s="507">
        <f t="shared" si="81"/>
        <v>200408.04</v>
      </c>
      <c r="V236" s="507" t="s">
        <v>713</v>
      </c>
      <c r="W236" s="518"/>
      <c r="X236" s="519"/>
    </row>
    <row r="237" spans="1:24" ht="40.5" customHeight="1">
      <c r="A237" s="514"/>
      <c r="B237" s="514"/>
      <c r="C237" s="514"/>
      <c r="D237" s="512" t="s">
        <v>821</v>
      </c>
      <c r="E237" s="506" t="s">
        <v>815</v>
      </c>
      <c r="F237" s="506" t="s">
        <v>829</v>
      </c>
      <c r="G237" s="506" t="s">
        <v>1130</v>
      </c>
      <c r="H237" s="507">
        <v>3697.5</v>
      </c>
      <c r="I237" s="507">
        <v>3697.5</v>
      </c>
      <c r="J237" s="507">
        <v>1373.33</v>
      </c>
      <c r="K237" s="507">
        <v>1373.33</v>
      </c>
      <c r="L237" s="508">
        <v>187.81400000000002</v>
      </c>
      <c r="M237" s="508">
        <v>41.368000000000002</v>
      </c>
      <c r="N237" s="508">
        <v>0</v>
      </c>
      <c r="O237" s="508">
        <v>0</v>
      </c>
      <c r="P237" s="508">
        <f t="shared" si="79"/>
        <v>229.18200000000002</v>
      </c>
      <c r="Q237" s="507">
        <f t="shared" si="96"/>
        <v>436511.66438000009</v>
      </c>
      <c r="R237" s="507">
        <f t="shared" si="97"/>
        <v>96146.264560000011</v>
      </c>
      <c r="S237" s="507">
        <f t="shared" si="98"/>
        <v>0</v>
      </c>
      <c r="T237" s="507">
        <f t="shared" si="99"/>
        <v>0</v>
      </c>
      <c r="U237" s="507">
        <f t="shared" si="81"/>
        <v>532657.92894000013</v>
      </c>
      <c r="V237" s="507" t="s">
        <v>713</v>
      </c>
      <c r="W237" s="518"/>
      <c r="X237" s="519"/>
    </row>
    <row r="238" spans="1:24" ht="40.5" customHeight="1">
      <c r="A238" s="514"/>
      <c r="B238" s="514"/>
      <c r="C238" s="514"/>
      <c r="D238" s="512" t="s">
        <v>821</v>
      </c>
      <c r="E238" s="506" t="s">
        <v>815</v>
      </c>
      <c r="F238" s="506" t="s">
        <v>828</v>
      </c>
      <c r="G238" s="506" t="s">
        <v>1130</v>
      </c>
      <c r="H238" s="507">
        <v>3697.5</v>
      </c>
      <c r="I238" s="507">
        <v>3697.5</v>
      </c>
      <c r="J238" s="507">
        <v>1787.5</v>
      </c>
      <c r="K238" s="507">
        <v>1787.5</v>
      </c>
      <c r="L238" s="508">
        <v>106.035</v>
      </c>
      <c r="M238" s="508">
        <v>22.385000000000002</v>
      </c>
      <c r="N238" s="508">
        <v>0</v>
      </c>
      <c r="O238" s="508">
        <v>0</v>
      </c>
      <c r="P238" s="508">
        <f t="shared" si="79"/>
        <v>128.41999999999999</v>
      </c>
      <c r="Q238" s="507">
        <f t="shared" si="96"/>
        <v>202526.85</v>
      </c>
      <c r="R238" s="507">
        <f t="shared" si="97"/>
        <v>42755.350000000006</v>
      </c>
      <c r="S238" s="507">
        <f t="shared" si="98"/>
        <v>0</v>
      </c>
      <c r="T238" s="507">
        <f t="shared" si="99"/>
        <v>0</v>
      </c>
      <c r="U238" s="507">
        <f t="shared" si="81"/>
        <v>245282.2</v>
      </c>
      <c r="V238" s="507" t="s">
        <v>713</v>
      </c>
      <c r="W238" s="518"/>
      <c r="X238" s="519"/>
    </row>
    <row r="239" spans="1:24" ht="40.5" customHeight="1">
      <c r="A239" s="514"/>
      <c r="B239" s="514"/>
      <c r="C239" s="514"/>
      <c r="D239" s="512" t="s">
        <v>821</v>
      </c>
      <c r="E239" s="506" t="s">
        <v>815</v>
      </c>
      <c r="F239" s="506" t="s">
        <v>827</v>
      </c>
      <c r="G239" s="506" t="s">
        <v>1130</v>
      </c>
      <c r="H239" s="507">
        <v>3697.5</v>
      </c>
      <c r="I239" s="507">
        <v>3697.5</v>
      </c>
      <c r="J239" s="507">
        <v>1373.33</v>
      </c>
      <c r="K239" s="507">
        <v>1373.33</v>
      </c>
      <c r="L239" s="508">
        <v>189.154</v>
      </c>
      <c r="M239" s="508">
        <v>39.936999999999998</v>
      </c>
      <c r="N239" s="508">
        <v>0</v>
      </c>
      <c r="O239" s="508">
        <v>0</v>
      </c>
      <c r="P239" s="508">
        <f t="shared" si="79"/>
        <v>229.09100000000001</v>
      </c>
      <c r="Q239" s="507">
        <f t="shared" si="96"/>
        <v>439626.05218</v>
      </c>
      <c r="R239" s="507">
        <f t="shared" si="97"/>
        <v>92820.377290000004</v>
      </c>
      <c r="S239" s="507">
        <f t="shared" si="98"/>
        <v>0</v>
      </c>
      <c r="T239" s="507">
        <f t="shared" si="99"/>
        <v>0</v>
      </c>
      <c r="U239" s="507">
        <f t="shared" si="81"/>
        <v>532446.42946999997</v>
      </c>
      <c r="V239" s="507" t="s">
        <v>713</v>
      </c>
      <c r="W239" s="518"/>
      <c r="X239" s="519"/>
    </row>
    <row r="240" spans="1:24" ht="40.5" customHeight="1">
      <c r="A240" s="514"/>
      <c r="B240" s="514"/>
      <c r="C240" s="514"/>
      <c r="D240" s="512" t="s">
        <v>821</v>
      </c>
      <c r="E240" s="506" t="s">
        <v>815</v>
      </c>
      <c r="F240" s="506" t="s">
        <v>826</v>
      </c>
      <c r="G240" s="506" t="s">
        <v>1130</v>
      </c>
      <c r="H240" s="507">
        <v>3697.5</v>
      </c>
      <c r="I240" s="507">
        <v>3697.5</v>
      </c>
      <c r="J240" s="507">
        <v>1689.17</v>
      </c>
      <c r="K240" s="507">
        <v>1689.17</v>
      </c>
      <c r="L240" s="508">
        <v>403.34100000000001</v>
      </c>
      <c r="M240" s="508">
        <v>85.466999999999999</v>
      </c>
      <c r="N240" s="508">
        <v>0</v>
      </c>
      <c r="O240" s="508">
        <v>0</v>
      </c>
      <c r="P240" s="508">
        <f t="shared" si="79"/>
        <v>488.80799999999999</v>
      </c>
      <c r="Q240" s="507">
        <f t="shared" si="96"/>
        <v>810041.83053000004</v>
      </c>
      <c r="R240" s="507">
        <f t="shared" si="97"/>
        <v>171645.94011</v>
      </c>
      <c r="S240" s="507">
        <f t="shared" si="98"/>
        <v>0</v>
      </c>
      <c r="T240" s="507">
        <f t="shared" si="99"/>
        <v>0</v>
      </c>
      <c r="U240" s="507">
        <f t="shared" si="81"/>
        <v>981687.77064</v>
      </c>
      <c r="V240" s="507" t="s">
        <v>713</v>
      </c>
      <c r="W240" s="518"/>
      <c r="X240" s="519"/>
    </row>
    <row r="241" spans="1:24" ht="40.5" customHeight="1">
      <c r="A241" s="514"/>
      <c r="B241" s="514"/>
      <c r="C241" s="514"/>
      <c r="D241" s="512" t="s">
        <v>821</v>
      </c>
      <c r="E241" s="506" t="s">
        <v>815</v>
      </c>
      <c r="F241" s="506" t="s">
        <v>825</v>
      </c>
      <c r="G241" s="506" t="s">
        <v>1130</v>
      </c>
      <c r="H241" s="507">
        <v>3697.5</v>
      </c>
      <c r="I241" s="507">
        <v>3697.5</v>
      </c>
      <c r="J241" s="507">
        <v>1689.17</v>
      </c>
      <c r="K241" s="507">
        <v>1689.17</v>
      </c>
      <c r="L241" s="508">
        <v>323.46199999999999</v>
      </c>
      <c r="M241" s="508">
        <v>35.784999999999997</v>
      </c>
      <c r="N241" s="508">
        <v>0</v>
      </c>
      <c r="O241" s="508">
        <v>0</v>
      </c>
      <c r="P241" s="508">
        <f t="shared" si="79"/>
        <v>359.24699999999996</v>
      </c>
      <c r="Q241" s="507">
        <f t="shared" si="96"/>
        <v>649618.43845999998</v>
      </c>
      <c r="R241" s="507">
        <f t="shared" si="97"/>
        <v>71868.089049999995</v>
      </c>
      <c r="S241" s="507">
        <f t="shared" si="98"/>
        <v>0</v>
      </c>
      <c r="T241" s="507">
        <f t="shared" si="99"/>
        <v>0</v>
      </c>
      <c r="U241" s="507">
        <f t="shared" si="81"/>
        <v>721486.52750999993</v>
      </c>
      <c r="V241" s="507" t="s">
        <v>713</v>
      </c>
      <c r="W241" s="518"/>
      <c r="X241" s="519"/>
    </row>
    <row r="242" spans="1:24" ht="40.5" customHeight="1">
      <c r="A242" s="514"/>
      <c r="B242" s="514"/>
      <c r="C242" s="514"/>
      <c r="D242" s="512" t="s">
        <v>821</v>
      </c>
      <c r="E242" s="506" t="s">
        <v>815</v>
      </c>
      <c r="F242" s="506" t="s">
        <v>824</v>
      </c>
      <c r="G242" s="506" t="s">
        <v>1130</v>
      </c>
      <c r="H242" s="507">
        <v>3697.5</v>
      </c>
      <c r="I242" s="507">
        <v>3697.5</v>
      </c>
      <c r="J242" s="507">
        <v>1841.67</v>
      </c>
      <c r="K242" s="507">
        <v>1841.67</v>
      </c>
      <c r="L242" s="508">
        <v>129.85499999999999</v>
      </c>
      <c r="M242" s="508">
        <v>27.414000000000001</v>
      </c>
      <c r="N242" s="508">
        <v>0</v>
      </c>
      <c r="O242" s="508">
        <v>0</v>
      </c>
      <c r="P242" s="508">
        <f t="shared" si="79"/>
        <v>157.26900000000001</v>
      </c>
      <c r="Q242" s="507">
        <f t="shared" si="96"/>
        <v>240988.80464999998</v>
      </c>
      <c r="R242" s="507">
        <f t="shared" si="97"/>
        <v>50875.723620000004</v>
      </c>
      <c r="S242" s="507">
        <f t="shared" si="98"/>
        <v>0</v>
      </c>
      <c r="T242" s="507">
        <f t="shared" si="99"/>
        <v>0</v>
      </c>
      <c r="U242" s="507">
        <f t="shared" si="81"/>
        <v>291864.52827000001</v>
      </c>
      <c r="V242" s="507" t="s">
        <v>713</v>
      </c>
      <c r="W242" s="518"/>
      <c r="X242" s="519"/>
    </row>
    <row r="243" spans="1:24" ht="40.5" customHeight="1">
      <c r="A243" s="514"/>
      <c r="B243" s="514"/>
      <c r="C243" s="514"/>
      <c r="D243" s="512" t="s">
        <v>821</v>
      </c>
      <c r="E243" s="506" t="s">
        <v>815</v>
      </c>
      <c r="F243" s="506" t="s">
        <v>823</v>
      </c>
      <c r="G243" s="506" t="s">
        <v>1130</v>
      </c>
      <c r="H243" s="507">
        <v>3697.5</v>
      </c>
      <c r="I243" s="507">
        <v>3697.5</v>
      </c>
      <c r="J243" s="507">
        <v>1689.17</v>
      </c>
      <c r="K243" s="507">
        <v>1689.17</v>
      </c>
      <c r="L243" s="508">
        <v>830.01600000000008</v>
      </c>
      <c r="M243" s="508">
        <v>174.45699999999999</v>
      </c>
      <c r="N243" s="508">
        <v>0</v>
      </c>
      <c r="O243" s="508">
        <v>0</v>
      </c>
      <c r="P243" s="508">
        <f t="shared" si="79"/>
        <v>1004.4730000000001</v>
      </c>
      <c r="Q243" s="507">
        <f t="shared" si="96"/>
        <v>1666946.0332800001</v>
      </c>
      <c r="R243" s="507">
        <f t="shared" si="97"/>
        <v>350367.22680999996</v>
      </c>
      <c r="S243" s="507">
        <f t="shared" si="98"/>
        <v>0</v>
      </c>
      <c r="T243" s="507">
        <f t="shared" si="99"/>
        <v>0</v>
      </c>
      <c r="U243" s="507">
        <f t="shared" si="81"/>
        <v>2017313.26009</v>
      </c>
      <c r="V243" s="507" t="s">
        <v>713</v>
      </c>
      <c r="W243" s="518"/>
      <c r="X243" s="519"/>
    </row>
    <row r="244" spans="1:24" ht="63" customHeight="1">
      <c r="A244" s="514"/>
      <c r="B244" s="514"/>
      <c r="C244" s="514"/>
      <c r="D244" s="512" t="s">
        <v>821</v>
      </c>
      <c r="E244" s="506" t="s">
        <v>815</v>
      </c>
      <c r="F244" s="506" t="s">
        <v>822</v>
      </c>
      <c r="G244" s="506" t="s">
        <v>1130</v>
      </c>
      <c r="H244" s="507">
        <v>3697.5</v>
      </c>
      <c r="I244" s="507">
        <v>3697.5</v>
      </c>
      <c r="J244" s="507">
        <v>1580</v>
      </c>
      <c r="K244" s="507">
        <v>1580</v>
      </c>
      <c r="L244" s="508">
        <v>698.30099999999993</v>
      </c>
      <c r="M244" s="508">
        <v>147.41900000000001</v>
      </c>
      <c r="N244" s="508">
        <v>0</v>
      </c>
      <c r="O244" s="508">
        <v>0</v>
      </c>
      <c r="P244" s="508">
        <f t="shared" si="79"/>
        <v>845.71999999999991</v>
      </c>
      <c r="Q244" s="507">
        <f t="shared" si="96"/>
        <v>1478652.3674999999</v>
      </c>
      <c r="R244" s="507">
        <f t="shared" si="97"/>
        <v>312159.73250000004</v>
      </c>
      <c r="S244" s="507">
        <f t="shared" si="98"/>
        <v>0</v>
      </c>
      <c r="T244" s="507">
        <f t="shared" si="99"/>
        <v>0</v>
      </c>
      <c r="U244" s="507">
        <f t="shared" si="81"/>
        <v>1790812.1</v>
      </c>
      <c r="V244" s="507" t="s">
        <v>713</v>
      </c>
      <c r="W244" s="518"/>
      <c r="X244" s="519"/>
    </row>
    <row r="245" spans="1:24" ht="30.75" customHeight="1">
      <c r="A245" s="514"/>
      <c r="B245" s="514"/>
      <c r="C245" s="514"/>
      <c r="D245" s="512" t="s">
        <v>821</v>
      </c>
      <c r="E245" s="506" t="s">
        <v>815</v>
      </c>
      <c r="F245" s="506" t="s">
        <v>820</v>
      </c>
      <c r="G245" s="506" t="s">
        <v>1130</v>
      </c>
      <c r="H245" s="507">
        <v>3697.5</v>
      </c>
      <c r="I245" s="507">
        <v>3697.5</v>
      </c>
      <c r="J245" s="507">
        <v>1580</v>
      </c>
      <c r="K245" s="507">
        <v>1580</v>
      </c>
      <c r="L245" s="508">
        <v>1617.4459999999999</v>
      </c>
      <c r="M245" s="508">
        <v>346.84</v>
      </c>
      <c r="N245" s="508">
        <v>0</v>
      </c>
      <c r="O245" s="508">
        <v>0</v>
      </c>
      <c r="P245" s="508">
        <f t="shared" si="79"/>
        <v>1964.2859999999998</v>
      </c>
      <c r="Q245" s="507">
        <f t="shared" si="96"/>
        <v>3424941.9049999998</v>
      </c>
      <c r="R245" s="507">
        <f t="shared" si="97"/>
        <v>734433.7</v>
      </c>
      <c r="S245" s="507">
        <f t="shared" si="98"/>
        <v>0</v>
      </c>
      <c r="T245" s="507">
        <f t="shared" si="99"/>
        <v>0</v>
      </c>
      <c r="U245" s="507">
        <f t="shared" si="81"/>
        <v>4159375.6049999995</v>
      </c>
      <c r="V245" s="507" t="s">
        <v>713</v>
      </c>
      <c r="W245" s="518"/>
      <c r="X245" s="519"/>
    </row>
    <row r="246" spans="1:24" ht="58.5" customHeight="1">
      <c r="A246" s="514"/>
      <c r="B246" s="514"/>
      <c r="C246" s="514"/>
      <c r="D246" s="512" t="s">
        <v>821</v>
      </c>
      <c r="E246" s="506" t="s">
        <v>815</v>
      </c>
      <c r="F246" s="506" t="s">
        <v>1195</v>
      </c>
      <c r="G246" s="506" t="s">
        <v>1130</v>
      </c>
      <c r="H246" s="507">
        <v>3857.63</v>
      </c>
      <c r="I246" s="507">
        <v>3857.63</v>
      </c>
      <c r="J246" s="507">
        <v>1689.17</v>
      </c>
      <c r="K246" s="507">
        <v>1689.17</v>
      </c>
      <c r="L246" s="508">
        <v>0</v>
      </c>
      <c r="M246" s="508">
        <v>169.74700000000001</v>
      </c>
      <c r="N246" s="508">
        <v>158.857</v>
      </c>
      <c r="O246" s="508">
        <v>814.43299999999999</v>
      </c>
      <c r="P246" s="508">
        <f t="shared" si="79"/>
        <v>1143.037</v>
      </c>
      <c r="Q246" s="507">
        <f t="shared" si="96"/>
        <v>0</v>
      </c>
      <c r="R246" s="507">
        <f t="shared" si="97"/>
        <v>368089.57962000003</v>
      </c>
      <c r="S246" s="507">
        <f t="shared" si="98"/>
        <v>344475.05021999998</v>
      </c>
      <c r="T246" s="507">
        <f t="shared" si="99"/>
        <v>1766065.3831800001</v>
      </c>
      <c r="U246" s="507">
        <f t="shared" si="81"/>
        <v>2478630.0130200004</v>
      </c>
      <c r="V246" s="507" t="s">
        <v>713</v>
      </c>
      <c r="W246" s="518"/>
      <c r="X246" s="519"/>
    </row>
    <row r="247" spans="1:24" ht="55.5" customHeight="1">
      <c r="A247" s="514"/>
      <c r="B247" s="514"/>
      <c r="C247" s="514"/>
      <c r="D247" s="512" t="s">
        <v>821</v>
      </c>
      <c r="E247" s="506" t="s">
        <v>815</v>
      </c>
      <c r="F247" s="506" t="s">
        <v>1196</v>
      </c>
      <c r="G247" s="506" t="s">
        <v>1130</v>
      </c>
      <c r="H247" s="507">
        <v>3857.63</v>
      </c>
      <c r="I247" s="507">
        <v>3857.63</v>
      </c>
      <c r="J247" s="507">
        <v>1492.5</v>
      </c>
      <c r="K247" s="507">
        <v>1492.5</v>
      </c>
      <c r="L247" s="508">
        <v>0</v>
      </c>
      <c r="M247" s="508">
        <v>19.661999999999999</v>
      </c>
      <c r="N247" s="508">
        <v>14.175000000000001</v>
      </c>
      <c r="O247" s="508">
        <v>75.043000000000006</v>
      </c>
      <c r="P247" s="508">
        <f t="shared" si="79"/>
        <v>108.88000000000001</v>
      </c>
      <c r="Q247" s="507">
        <f t="shared" si="96"/>
        <v>0</v>
      </c>
      <c r="R247" s="507">
        <f t="shared" si="97"/>
        <v>46503.18606</v>
      </c>
      <c r="S247" s="507">
        <f t="shared" si="98"/>
        <v>33525.717750000003</v>
      </c>
      <c r="T247" s="507">
        <f t="shared" si="99"/>
        <v>177486.45059000002</v>
      </c>
      <c r="U247" s="507">
        <f t="shared" si="81"/>
        <v>257515.35440000001</v>
      </c>
      <c r="V247" s="507" t="s">
        <v>713</v>
      </c>
      <c r="W247" s="518"/>
      <c r="X247" s="519"/>
    </row>
    <row r="248" spans="1:24" ht="55.5" customHeight="1">
      <c r="A248" s="514"/>
      <c r="B248" s="514"/>
      <c r="C248" s="514"/>
      <c r="D248" s="512" t="s">
        <v>821</v>
      </c>
      <c r="E248" s="506" t="s">
        <v>815</v>
      </c>
      <c r="F248" s="506" t="s">
        <v>1197</v>
      </c>
      <c r="G248" s="506" t="s">
        <v>1130</v>
      </c>
      <c r="H248" s="507">
        <v>3857.63</v>
      </c>
      <c r="I248" s="507">
        <v>3857.63</v>
      </c>
      <c r="J248" s="507">
        <v>1373.33</v>
      </c>
      <c r="K248" s="507">
        <v>1373.33</v>
      </c>
      <c r="L248" s="508">
        <v>0</v>
      </c>
      <c r="M248" s="508">
        <v>51.343000000000004</v>
      </c>
      <c r="N248" s="508">
        <v>37.529000000000003</v>
      </c>
      <c r="O248" s="508">
        <v>198.684</v>
      </c>
      <c r="P248" s="508">
        <f t="shared" si="79"/>
        <v>287.55600000000004</v>
      </c>
      <c r="Q248" s="507">
        <f t="shared" si="96"/>
        <v>0</v>
      </c>
      <c r="R248" s="507">
        <f t="shared" si="97"/>
        <v>127551.41490000002</v>
      </c>
      <c r="S248" s="507">
        <f t="shared" si="98"/>
        <v>93233.294700000013</v>
      </c>
      <c r="T248" s="507">
        <f t="shared" si="99"/>
        <v>493590.66120000003</v>
      </c>
      <c r="U248" s="507">
        <f t="shared" si="81"/>
        <v>714375.37080000003</v>
      </c>
      <c r="V248" s="507" t="s">
        <v>713</v>
      </c>
      <c r="W248" s="518"/>
      <c r="X248" s="519"/>
    </row>
    <row r="249" spans="1:24" ht="55.5" customHeight="1">
      <c r="A249" s="514"/>
      <c r="B249" s="514"/>
      <c r="C249" s="514"/>
      <c r="D249" s="512" t="s">
        <v>821</v>
      </c>
      <c r="E249" s="506" t="s">
        <v>815</v>
      </c>
      <c r="F249" s="506" t="s">
        <v>1198</v>
      </c>
      <c r="G249" s="506" t="s">
        <v>1130</v>
      </c>
      <c r="H249" s="507">
        <v>3857.63</v>
      </c>
      <c r="I249" s="507">
        <v>3857.63</v>
      </c>
      <c r="J249" s="507">
        <v>1787.5</v>
      </c>
      <c r="K249" s="507">
        <v>1787.5</v>
      </c>
      <c r="L249" s="508">
        <v>0</v>
      </c>
      <c r="M249" s="508">
        <v>27.782</v>
      </c>
      <c r="N249" s="508">
        <v>20.03</v>
      </c>
      <c r="O249" s="508">
        <v>106.039</v>
      </c>
      <c r="P249" s="508">
        <f t="shared" si="79"/>
        <v>153.851</v>
      </c>
      <c r="Q249" s="507">
        <f t="shared" si="96"/>
        <v>0</v>
      </c>
      <c r="R249" s="507">
        <f t="shared" si="97"/>
        <v>57512.35166</v>
      </c>
      <c r="S249" s="507">
        <f t="shared" si="98"/>
        <v>41464.703900000008</v>
      </c>
      <c r="T249" s="507">
        <f t="shared" si="99"/>
        <v>219514.51507000002</v>
      </c>
      <c r="U249" s="507">
        <f t="shared" si="81"/>
        <v>318491.57063000003</v>
      </c>
      <c r="V249" s="507" t="s">
        <v>713</v>
      </c>
      <c r="W249" s="518"/>
      <c r="X249" s="519"/>
    </row>
    <row r="250" spans="1:24" ht="55.5" customHeight="1">
      <c r="A250" s="514"/>
      <c r="B250" s="514"/>
      <c r="C250" s="514"/>
      <c r="D250" s="512" t="s">
        <v>821</v>
      </c>
      <c r="E250" s="506" t="s">
        <v>815</v>
      </c>
      <c r="F250" s="506" t="s">
        <v>1199</v>
      </c>
      <c r="G250" s="506" t="s">
        <v>1130</v>
      </c>
      <c r="H250" s="507">
        <v>3857.63</v>
      </c>
      <c r="I250" s="507">
        <v>3857.63</v>
      </c>
      <c r="J250" s="507">
        <v>1373.33</v>
      </c>
      <c r="K250" s="507">
        <v>1373.33</v>
      </c>
      <c r="L250" s="508">
        <v>0</v>
      </c>
      <c r="M250" s="508">
        <v>49.564999999999998</v>
      </c>
      <c r="N250" s="508">
        <v>35.756</v>
      </c>
      <c r="O250" s="508">
        <v>189.28899999999999</v>
      </c>
      <c r="P250" s="508">
        <f t="shared" si="79"/>
        <v>274.61</v>
      </c>
      <c r="Q250" s="507">
        <f t="shared" si="96"/>
        <v>0</v>
      </c>
      <c r="R250" s="507">
        <f t="shared" si="97"/>
        <v>123134.32950000001</v>
      </c>
      <c r="S250" s="507">
        <f t="shared" si="98"/>
        <v>88828.630800000014</v>
      </c>
      <c r="T250" s="507">
        <f t="shared" si="99"/>
        <v>470250.66269999999</v>
      </c>
      <c r="U250" s="507">
        <f t="shared" si="81"/>
        <v>682213.62300000002</v>
      </c>
      <c r="V250" s="507" t="s">
        <v>713</v>
      </c>
      <c r="W250" s="518"/>
      <c r="X250" s="519"/>
    </row>
    <row r="251" spans="1:24" ht="55.5" customHeight="1">
      <c r="A251" s="514"/>
      <c r="B251" s="514"/>
      <c r="C251" s="514"/>
      <c r="D251" s="512" t="s">
        <v>821</v>
      </c>
      <c r="E251" s="506" t="s">
        <v>815</v>
      </c>
      <c r="F251" s="506" t="s">
        <v>1200</v>
      </c>
      <c r="G251" s="506" t="s">
        <v>1130</v>
      </c>
      <c r="H251" s="507">
        <v>3857.63</v>
      </c>
      <c r="I251" s="507">
        <v>3857.63</v>
      </c>
      <c r="J251" s="507">
        <v>1689.17</v>
      </c>
      <c r="K251" s="507">
        <v>1689.17</v>
      </c>
      <c r="L251" s="508">
        <v>0</v>
      </c>
      <c r="M251" s="508">
        <v>106.071</v>
      </c>
      <c r="N251" s="508">
        <v>77.697000000000003</v>
      </c>
      <c r="O251" s="508">
        <v>412.69799999999998</v>
      </c>
      <c r="P251" s="508">
        <f t="shared" si="79"/>
        <v>596.46600000000001</v>
      </c>
      <c r="Q251" s="507">
        <f t="shared" si="96"/>
        <v>0</v>
      </c>
      <c r="R251" s="507">
        <f t="shared" si="97"/>
        <v>230010.72065999999</v>
      </c>
      <c r="S251" s="507">
        <f t="shared" si="98"/>
        <v>168482.83662000002</v>
      </c>
      <c r="T251" s="507">
        <f t="shared" si="99"/>
        <v>894919.10508000001</v>
      </c>
      <c r="U251" s="507">
        <f t="shared" si="81"/>
        <v>1293412.66236</v>
      </c>
      <c r="V251" s="507" t="s">
        <v>713</v>
      </c>
      <c r="W251" s="518"/>
      <c r="X251" s="519"/>
    </row>
    <row r="252" spans="1:24" ht="55.5" customHeight="1">
      <c r="A252" s="514"/>
      <c r="B252" s="514"/>
      <c r="C252" s="514"/>
      <c r="D252" s="512" t="s">
        <v>821</v>
      </c>
      <c r="E252" s="506" t="s">
        <v>815</v>
      </c>
      <c r="F252" s="506" t="s">
        <v>1201</v>
      </c>
      <c r="G252" s="506" t="s">
        <v>1130</v>
      </c>
      <c r="H252" s="507">
        <v>3857.63</v>
      </c>
      <c r="I252" s="507">
        <v>3857.63</v>
      </c>
      <c r="J252" s="507">
        <v>1689.17</v>
      </c>
      <c r="K252" s="507">
        <v>1689.17</v>
      </c>
      <c r="L252" s="508">
        <v>0</v>
      </c>
      <c r="M252" s="508">
        <v>67.103999999999999</v>
      </c>
      <c r="N252" s="508">
        <v>55.616</v>
      </c>
      <c r="O252" s="508">
        <v>299.83499999999998</v>
      </c>
      <c r="P252" s="508">
        <f t="shared" si="79"/>
        <v>422.55499999999995</v>
      </c>
      <c r="Q252" s="507">
        <f t="shared" si="96"/>
        <v>0</v>
      </c>
      <c r="R252" s="507">
        <f t="shared" si="97"/>
        <v>145512.33984</v>
      </c>
      <c r="S252" s="507">
        <f t="shared" si="98"/>
        <v>120601.07136</v>
      </c>
      <c r="T252" s="507">
        <f t="shared" si="99"/>
        <v>650180.20409999997</v>
      </c>
      <c r="U252" s="507">
        <f t="shared" si="81"/>
        <v>916293.61529999995</v>
      </c>
      <c r="V252" s="507" t="s">
        <v>713</v>
      </c>
      <c r="W252" s="518"/>
      <c r="X252" s="519"/>
    </row>
    <row r="253" spans="1:24" ht="55.5" customHeight="1">
      <c r="A253" s="514"/>
      <c r="B253" s="514"/>
      <c r="C253" s="514"/>
      <c r="D253" s="512" t="s">
        <v>821</v>
      </c>
      <c r="E253" s="506" t="s">
        <v>815</v>
      </c>
      <c r="F253" s="506" t="s">
        <v>1202</v>
      </c>
      <c r="G253" s="506" t="s">
        <v>1130</v>
      </c>
      <c r="H253" s="507">
        <v>3857.63</v>
      </c>
      <c r="I253" s="507">
        <v>3857.63</v>
      </c>
      <c r="J253" s="507">
        <v>1841.67</v>
      </c>
      <c r="K253" s="507">
        <v>1841.67</v>
      </c>
      <c r="L253" s="508">
        <v>0</v>
      </c>
      <c r="M253" s="508">
        <v>34.023000000000003</v>
      </c>
      <c r="N253" s="508">
        <v>25.044</v>
      </c>
      <c r="O253" s="508">
        <v>129.86699999999999</v>
      </c>
      <c r="P253" s="508">
        <f t="shared" si="79"/>
        <v>188.934</v>
      </c>
      <c r="Q253" s="507">
        <f t="shared" si="96"/>
        <v>0</v>
      </c>
      <c r="R253" s="507">
        <f t="shared" si="97"/>
        <v>68589.00708000001</v>
      </c>
      <c r="S253" s="507">
        <f t="shared" si="98"/>
        <v>50487.702239999999</v>
      </c>
      <c r="T253" s="507">
        <f t="shared" si="99"/>
        <v>261806.67731999999</v>
      </c>
      <c r="U253" s="507">
        <f t="shared" si="81"/>
        <v>380883.38663999998</v>
      </c>
      <c r="V253" s="507" t="s">
        <v>713</v>
      </c>
      <c r="W253" s="518"/>
      <c r="X253" s="519"/>
    </row>
    <row r="254" spans="1:24" ht="55.5" customHeight="1">
      <c r="A254" s="514"/>
      <c r="B254" s="514"/>
      <c r="C254" s="514"/>
      <c r="D254" s="512" t="s">
        <v>821</v>
      </c>
      <c r="E254" s="506" t="s">
        <v>815</v>
      </c>
      <c r="F254" s="506" t="s">
        <v>1203</v>
      </c>
      <c r="G254" s="506" t="s">
        <v>1130</v>
      </c>
      <c r="H254" s="507">
        <v>3857.63</v>
      </c>
      <c r="I254" s="507">
        <v>3857.63</v>
      </c>
      <c r="J254" s="507">
        <v>1689.17</v>
      </c>
      <c r="K254" s="507">
        <v>1689.17</v>
      </c>
      <c r="L254" s="508">
        <v>0</v>
      </c>
      <c r="M254" s="508">
        <v>218.696</v>
      </c>
      <c r="N254" s="508">
        <f>154.103*0+153.648</f>
        <v>153.648</v>
      </c>
      <c r="O254" s="508">
        <f>826.109*0+812.93</f>
        <v>812.93</v>
      </c>
      <c r="P254" s="508">
        <f t="shared" si="79"/>
        <v>1185.2739999999999</v>
      </c>
      <c r="Q254" s="507">
        <f t="shared" si="96"/>
        <v>0</v>
      </c>
      <c r="R254" s="507">
        <f t="shared" si="97"/>
        <v>474233.52815999999</v>
      </c>
      <c r="S254" s="507">
        <f t="shared" si="98"/>
        <v>333179.54207999998</v>
      </c>
      <c r="T254" s="507">
        <f t="shared" si="99"/>
        <v>1762806.1878</v>
      </c>
      <c r="U254" s="507">
        <f t="shared" si="81"/>
        <v>2570219.2580399998</v>
      </c>
      <c r="V254" s="507" t="s">
        <v>713</v>
      </c>
      <c r="W254" s="518"/>
      <c r="X254" s="519"/>
    </row>
    <row r="255" spans="1:24" ht="55.5" customHeight="1">
      <c r="A255" s="514"/>
      <c r="B255" s="514"/>
      <c r="C255" s="514"/>
      <c r="D255" s="512" t="s">
        <v>821</v>
      </c>
      <c r="E255" s="506" t="s">
        <v>815</v>
      </c>
      <c r="F255" s="506" t="s">
        <v>1204</v>
      </c>
      <c r="G255" s="506" t="s">
        <v>1130</v>
      </c>
      <c r="H255" s="507">
        <v>3857.63</v>
      </c>
      <c r="I255" s="507">
        <v>3857.63</v>
      </c>
      <c r="J255" s="507">
        <v>1580</v>
      </c>
      <c r="K255" s="507">
        <v>1580</v>
      </c>
      <c r="L255" s="508">
        <v>0</v>
      </c>
      <c r="M255" s="508">
        <v>182.95999999999998</v>
      </c>
      <c r="N255" s="508">
        <v>130.208</v>
      </c>
      <c r="O255" s="508">
        <v>689.31799999999998</v>
      </c>
      <c r="P255" s="508">
        <f t="shared" si="79"/>
        <v>1002.486</v>
      </c>
      <c r="Q255" s="507">
        <f t="shared" si="96"/>
        <v>0</v>
      </c>
      <c r="R255" s="507">
        <f t="shared" si="97"/>
        <v>416715.18479999999</v>
      </c>
      <c r="S255" s="507">
        <f t="shared" si="98"/>
        <v>296565.64704000001</v>
      </c>
      <c r="T255" s="507">
        <f t="shared" si="99"/>
        <v>1570011.3563399999</v>
      </c>
      <c r="U255" s="507">
        <f t="shared" si="81"/>
        <v>2283292.1881800001</v>
      </c>
      <c r="V255" s="507" t="s">
        <v>713</v>
      </c>
      <c r="W255" s="518"/>
      <c r="X255" s="519"/>
    </row>
    <row r="256" spans="1:24" ht="55.5" customHeight="1">
      <c r="A256" s="514"/>
      <c r="B256" s="514"/>
      <c r="C256" s="514"/>
      <c r="D256" s="512" t="s">
        <v>821</v>
      </c>
      <c r="E256" s="506" t="s">
        <v>815</v>
      </c>
      <c r="F256" s="506" t="s">
        <v>1205</v>
      </c>
      <c r="G256" s="506" t="s">
        <v>1130</v>
      </c>
      <c r="H256" s="507">
        <v>3857.63</v>
      </c>
      <c r="I256" s="507">
        <v>3857.63</v>
      </c>
      <c r="J256" s="507">
        <v>1580</v>
      </c>
      <c r="K256" s="507">
        <v>1580</v>
      </c>
      <c r="L256" s="508">
        <v>0</v>
      </c>
      <c r="M256" s="508">
        <v>421.88099999999997</v>
      </c>
      <c r="N256" s="508">
        <f>311.799*0+311.584</f>
        <v>311.584</v>
      </c>
      <c r="O256" s="508">
        <f>1544.63*0+1466.826</f>
        <v>1466.826</v>
      </c>
      <c r="P256" s="508">
        <f t="shared" si="79"/>
        <v>2200.2910000000002</v>
      </c>
      <c r="Q256" s="507">
        <f t="shared" si="96"/>
        <v>0</v>
      </c>
      <c r="R256" s="507">
        <f t="shared" si="97"/>
        <v>960888.82203000004</v>
      </c>
      <c r="S256" s="507">
        <f t="shared" si="98"/>
        <v>709673.06592000008</v>
      </c>
      <c r="T256" s="507">
        <f t="shared" si="99"/>
        <v>3340886.9023800003</v>
      </c>
      <c r="U256" s="507">
        <f t="shared" si="81"/>
        <v>5011448.7903300002</v>
      </c>
      <c r="V256" s="507" t="s">
        <v>713</v>
      </c>
      <c r="W256" s="518"/>
      <c r="X256" s="519"/>
    </row>
    <row r="257" spans="1:24" ht="46.5" customHeight="1">
      <c r="A257" s="514"/>
      <c r="B257" s="514"/>
      <c r="C257" s="514"/>
      <c r="D257" s="512"/>
      <c r="E257" s="506" t="s">
        <v>815</v>
      </c>
      <c r="F257" s="506" t="s">
        <v>1207</v>
      </c>
      <c r="G257" s="506" t="s">
        <v>1131</v>
      </c>
      <c r="H257" s="507">
        <v>3697.5</v>
      </c>
      <c r="I257" s="507">
        <v>3697.5</v>
      </c>
      <c r="J257" s="507">
        <v>1689.17</v>
      </c>
      <c r="K257" s="507">
        <v>1689.17</v>
      </c>
      <c r="L257" s="508">
        <v>0</v>
      </c>
      <c r="M257" s="508">
        <v>0</v>
      </c>
      <c r="N257" s="508">
        <v>0</v>
      </c>
      <c r="O257" s="508">
        <v>0</v>
      </c>
      <c r="P257" s="508">
        <f t="shared" si="79"/>
        <v>0</v>
      </c>
      <c r="Q257" s="507">
        <f t="shared" si="96"/>
        <v>0</v>
      </c>
      <c r="R257" s="507">
        <f t="shared" si="97"/>
        <v>0</v>
      </c>
      <c r="S257" s="507">
        <f t="shared" si="98"/>
        <v>0</v>
      </c>
      <c r="T257" s="507">
        <f t="shared" si="99"/>
        <v>0</v>
      </c>
      <c r="U257" s="507">
        <f t="shared" si="81"/>
        <v>0</v>
      </c>
      <c r="V257" s="507"/>
      <c r="W257" s="518"/>
      <c r="X257" s="519"/>
    </row>
    <row r="258" spans="1:24" ht="46.5" customHeight="1">
      <c r="A258" s="514"/>
      <c r="B258" s="514"/>
      <c r="C258" s="514"/>
      <c r="D258" s="512"/>
      <c r="E258" s="506" t="s">
        <v>815</v>
      </c>
      <c r="F258" s="506" t="s">
        <v>1203</v>
      </c>
      <c r="G258" s="506" t="s">
        <v>1131</v>
      </c>
      <c r="H258" s="507">
        <v>3857.63</v>
      </c>
      <c r="I258" s="507">
        <v>3857.63</v>
      </c>
      <c r="J258" s="507">
        <v>1689.17</v>
      </c>
      <c r="K258" s="507">
        <v>1689.17</v>
      </c>
      <c r="L258" s="508">
        <v>0</v>
      </c>
      <c r="M258" s="508">
        <v>0</v>
      </c>
      <c r="N258" s="508">
        <v>0.45500000000000002</v>
      </c>
      <c r="O258" s="508">
        <v>13.179</v>
      </c>
      <c r="P258" s="508">
        <f t="shared" si="79"/>
        <v>13.634</v>
      </c>
      <c r="Q258" s="507">
        <f t="shared" si="96"/>
        <v>0</v>
      </c>
      <c r="R258" s="507">
        <f t="shared" si="97"/>
        <v>0</v>
      </c>
      <c r="S258" s="507">
        <f t="shared" si="98"/>
        <v>986.64930000000004</v>
      </c>
      <c r="T258" s="507">
        <f t="shared" si="99"/>
        <v>28578.134340000001</v>
      </c>
      <c r="U258" s="507">
        <f t="shared" si="81"/>
        <v>29564.783640000001</v>
      </c>
      <c r="V258" s="507"/>
      <c r="W258" s="518"/>
      <c r="X258" s="519"/>
    </row>
    <row r="259" spans="1:24" ht="46.5" customHeight="1">
      <c r="A259" s="514"/>
      <c r="B259" s="514"/>
      <c r="C259" s="514"/>
      <c r="D259" s="512"/>
      <c r="E259" s="506" t="s">
        <v>815</v>
      </c>
      <c r="F259" s="506" t="s">
        <v>1206</v>
      </c>
      <c r="G259" s="506" t="s">
        <v>1131</v>
      </c>
      <c r="H259" s="507">
        <v>3697.5</v>
      </c>
      <c r="I259" s="507">
        <v>3697.5</v>
      </c>
      <c r="J259" s="507">
        <v>1580</v>
      </c>
      <c r="K259" s="507">
        <v>1580</v>
      </c>
      <c r="L259" s="508">
        <v>0</v>
      </c>
      <c r="M259" s="508">
        <v>0</v>
      </c>
      <c r="N259" s="508">
        <v>0</v>
      </c>
      <c r="O259" s="508">
        <v>0</v>
      </c>
      <c r="P259" s="508">
        <f t="shared" si="79"/>
        <v>0</v>
      </c>
      <c r="Q259" s="507">
        <f t="shared" si="96"/>
        <v>0</v>
      </c>
      <c r="R259" s="507">
        <f t="shared" si="97"/>
        <v>0</v>
      </c>
      <c r="S259" s="507">
        <f t="shared" si="98"/>
        <v>0</v>
      </c>
      <c r="T259" s="507">
        <f t="shared" si="99"/>
        <v>0</v>
      </c>
      <c r="U259" s="507">
        <f t="shared" si="81"/>
        <v>0</v>
      </c>
      <c r="V259" s="507"/>
      <c r="W259" s="518"/>
      <c r="X259" s="519"/>
    </row>
    <row r="260" spans="1:24" ht="46.5" customHeight="1">
      <c r="A260" s="514"/>
      <c r="B260" s="514"/>
      <c r="C260" s="514"/>
      <c r="D260" s="512"/>
      <c r="E260" s="506" t="s">
        <v>815</v>
      </c>
      <c r="F260" s="506" t="s">
        <v>1205</v>
      </c>
      <c r="G260" s="506" t="s">
        <v>1131</v>
      </c>
      <c r="H260" s="507">
        <v>3857.63</v>
      </c>
      <c r="I260" s="507">
        <v>3857.63</v>
      </c>
      <c r="J260" s="507">
        <v>1580</v>
      </c>
      <c r="K260" s="507">
        <v>1580</v>
      </c>
      <c r="L260" s="508">
        <v>0</v>
      </c>
      <c r="M260" s="508">
        <v>0</v>
      </c>
      <c r="N260" s="508">
        <v>0.215</v>
      </c>
      <c r="O260" s="508">
        <v>77.804000000000002</v>
      </c>
      <c r="P260" s="508">
        <f t="shared" si="79"/>
        <v>78.019000000000005</v>
      </c>
      <c r="Q260" s="507">
        <f t="shared" si="96"/>
        <v>0</v>
      </c>
      <c r="R260" s="507">
        <f t="shared" si="97"/>
        <v>0</v>
      </c>
      <c r="S260" s="507">
        <f t="shared" si="98"/>
        <v>489.69045</v>
      </c>
      <c r="T260" s="507">
        <f t="shared" si="99"/>
        <v>177208.72452000002</v>
      </c>
      <c r="U260" s="507">
        <f t="shared" si="81"/>
        <v>177698.41497000001</v>
      </c>
      <c r="V260" s="507"/>
      <c r="W260" s="518"/>
      <c r="X260" s="519"/>
    </row>
    <row r="261" spans="1:24" ht="41.25" customHeight="1">
      <c r="A261" s="514" t="s">
        <v>819</v>
      </c>
      <c r="B261" s="514" t="s">
        <v>818</v>
      </c>
      <c r="C261" s="514" t="s">
        <v>817</v>
      </c>
      <c r="D261" s="589"/>
      <c r="E261" s="512" t="s">
        <v>816</v>
      </c>
      <c r="F261" s="512"/>
      <c r="G261" s="512" t="s">
        <v>1215</v>
      </c>
      <c r="H261" s="507" t="s">
        <v>713</v>
      </c>
      <c r="I261" s="507" t="s">
        <v>713</v>
      </c>
      <c r="J261" s="507" t="s">
        <v>713</v>
      </c>
      <c r="K261" s="507" t="s">
        <v>713</v>
      </c>
      <c r="L261" s="508">
        <f t="shared" ref="L261:U261" si="100">SUM(L262:L263)</f>
        <v>888.71400000000006</v>
      </c>
      <c r="M261" s="508">
        <f t="shared" si="100"/>
        <v>399.26599999999996</v>
      </c>
      <c r="N261" s="508">
        <f t="shared" si="100"/>
        <v>150.32999999999998</v>
      </c>
      <c r="O261" s="508">
        <f t="shared" si="100"/>
        <v>783.04</v>
      </c>
      <c r="P261" s="508">
        <f t="shared" si="100"/>
        <v>2221.35</v>
      </c>
      <c r="Q261" s="507">
        <f t="shared" si="100"/>
        <v>6716304.9736200003</v>
      </c>
      <c r="R261" s="507">
        <f t="shared" si="100"/>
        <v>3017384.9197800001</v>
      </c>
      <c r="S261" s="507">
        <f t="shared" si="100"/>
        <v>1136093.4188999999</v>
      </c>
      <c r="T261" s="507">
        <f>SUM(T262:T263)</f>
        <v>5917691.6831999999</v>
      </c>
      <c r="U261" s="507">
        <f t="shared" si="100"/>
        <v>16787474.995500002</v>
      </c>
      <c r="V261" s="507">
        <v>2237672.5099999998</v>
      </c>
      <c r="W261" s="518">
        <f>T261/3</f>
        <v>1972563.8943999999</v>
      </c>
      <c r="X261" s="518">
        <f>U261+V261-W261</f>
        <v>17052583.611100003</v>
      </c>
    </row>
    <row r="262" spans="1:24" ht="46.5" customHeight="1">
      <c r="A262" s="514"/>
      <c r="B262" s="514"/>
      <c r="C262" s="514"/>
      <c r="D262" s="512" t="s">
        <v>816</v>
      </c>
      <c r="E262" s="506" t="s">
        <v>815</v>
      </c>
      <c r="F262" s="506" t="s">
        <v>814</v>
      </c>
      <c r="G262" s="506" t="s">
        <v>1130</v>
      </c>
      <c r="H262" s="507">
        <v>9955.33</v>
      </c>
      <c r="I262" s="507">
        <v>9955.33</v>
      </c>
      <c r="J262" s="507">
        <v>2398</v>
      </c>
      <c r="K262" s="507">
        <v>2398</v>
      </c>
      <c r="L262" s="508">
        <v>824.36800000000005</v>
      </c>
      <c r="M262" s="508">
        <v>344.20799999999997</v>
      </c>
      <c r="N262" s="508">
        <v>130.6</v>
      </c>
      <c r="O262" s="508">
        <v>680.29</v>
      </c>
      <c r="P262" s="508">
        <f t="shared" si="79"/>
        <v>1979.4659999999999</v>
      </c>
      <c r="Q262" s="507">
        <f>(H262-J262)*L262</f>
        <v>6230021.0174400005</v>
      </c>
      <c r="R262" s="507">
        <f>(H262-J262)*M262</f>
        <v>2601293.4446399999</v>
      </c>
      <c r="S262" s="507">
        <f>(I262-J262)*N262</f>
        <v>986987.29799999995</v>
      </c>
      <c r="T262" s="507">
        <f>(I262-K262)*O262</f>
        <v>5141176.0257000001</v>
      </c>
      <c r="U262" s="507">
        <f t="shared" si="81"/>
        <v>14959477.785780001</v>
      </c>
      <c r="V262" s="507" t="s">
        <v>713</v>
      </c>
      <c r="W262" s="518"/>
      <c r="X262" s="519"/>
    </row>
    <row r="263" spans="1:24" ht="46.5" customHeight="1">
      <c r="A263" s="514"/>
      <c r="B263" s="514"/>
      <c r="C263" s="514"/>
      <c r="D263" s="512" t="s">
        <v>816</v>
      </c>
      <c r="E263" s="506" t="s">
        <v>815</v>
      </c>
      <c r="F263" s="506" t="s">
        <v>814</v>
      </c>
      <c r="G263" s="506" t="s">
        <v>1131</v>
      </c>
      <c r="H263" s="507">
        <v>9955.33</v>
      </c>
      <c r="I263" s="507">
        <v>9955.33</v>
      </c>
      <c r="J263" s="507">
        <v>2398</v>
      </c>
      <c r="K263" s="507">
        <v>2398</v>
      </c>
      <c r="L263" s="508">
        <v>64.346000000000004</v>
      </c>
      <c r="M263" s="508">
        <v>55.058</v>
      </c>
      <c r="N263" s="508">
        <v>19.73</v>
      </c>
      <c r="O263" s="508">
        <v>102.75</v>
      </c>
      <c r="P263" s="508">
        <f t="shared" si="79"/>
        <v>241.88399999999999</v>
      </c>
      <c r="Q263" s="507">
        <f>(H263-J263)*L263</f>
        <v>486283.95618000004</v>
      </c>
      <c r="R263" s="507">
        <f>(H263-J263)*M263</f>
        <v>416091.47514</v>
      </c>
      <c r="S263" s="507">
        <f>(I263-J263)*N263</f>
        <v>149106.12090000001</v>
      </c>
      <c r="T263" s="507">
        <f>(I263-K263)*O263</f>
        <v>776515.65749999997</v>
      </c>
      <c r="U263" s="507">
        <f t="shared" si="81"/>
        <v>1827997.2097199999</v>
      </c>
      <c r="V263" s="507" t="s">
        <v>713</v>
      </c>
      <c r="W263" s="518"/>
      <c r="X263" s="519"/>
    </row>
    <row r="264" spans="1:24" ht="38.25" customHeight="1">
      <c r="A264" s="514" t="s">
        <v>813</v>
      </c>
      <c r="B264" s="514" t="s">
        <v>812</v>
      </c>
      <c r="C264" s="514" t="s">
        <v>79</v>
      </c>
      <c r="D264" s="589"/>
      <c r="E264" s="512" t="s">
        <v>810</v>
      </c>
      <c r="F264" s="512"/>
      <c r="G264" s="512" t="s">
        <v>1215</v>
      </c>
      <c r="H264" s="507" t="s">
        <v>713</v>
      </c>
      <c r="I264" s="507" t="s">
        <v>713</v>
      </c>
      <c r="J264" s="507" t="s">
        <v>713</v>
      </c>
      <c r="K264" s="507" t="s">
        <v>713</v>
      </c>
      <c r="L264" s="508">
        <f t="shared" ref="L264:U264" si="101">SUM(L265:L266)</f>
        <v>645.46300000000008</v>
      </c>
      <c r="M264" s="508">
        <f t="shared" si="101"/>
        <v>376.69100000000003</v>
      </c>
      <c r="N264" s="508">
        <f t="shared" si="101"/>
        <v>168.72900000000001</v>
      </c>
      <c r="O264" s="508">
        <f t="shared" si="101"/>
        <v>568.98</v>
      </c>
      <c r="P264" s="508">
        <f t="shared" si="101"/>
        <v>1759.8630000000003</v>
      </c>
      <c r="Q264" s="507">
        <f t="shared" si="101"/>
        <v>3410495.4882000005</v>
      </c>
      <c r="R264" s="507">
        <f t="shared" si="101"/>
        <v>1907603.6208200003</v>
      </c>
      <c r="S264" s="507">
        <f t="shared" si="101"/>
        <v>820058.84174000018</v>
      </c>
      <c r="T264" s="507">
        <f t="shared" si="101"/>
        <v>2888891.9651400005</v>
      </c>
      <c r="U264" s="507">
        <f t="shared" si="101"/>
        <v>9027049.9159000013</v>
      </c>
      <c r="V264" s="507">
        <v>1118817.6200000001</v>
      </c>
      <c r="W264" s="518">
        <f>T264/3</f>
        <v>962963.98838000011</v>
      </c>
      <c r="X264" s="518">
        <f>U264+V264-W264</f>
        <v>9182903.5475200005</v>
      </c>
    </row>
    <row r="265" spans="1:24" ht="46.5" customHeight="1">
      <c r="A265" s="514"/>
      <c r="B265" s="514"/>
      <c r="C265" s="514"/>
      <c r="D265" s="512" t="s">
        <v>810</v>
      </c>
      <c r="E265" s="506" t="s">
        <v>726</v>
      </c>
      <c r="F265" s="506" t="s">
        <v>811</v>
      </c>
      <c r="G265" s="506" t="s">
        <v>1130</v>
      </c>
      <c r="H265" s="507">
        <v>6768.27</v>
      </c>
      <c r="I265" s="507">
        <v>6768.27</v>
      </c>
      <c r="J265" s="507">
        <v>2376</v>
      </c>
      <c r="K265" s="507">
        <v>2376</v>
      </c>
      <c r="L265" s="508">
        <v>409.15600000000006</v>
      </c>
      <c r="M265" s="508">
        <v>272.76600000000002</v>
      </c>
      <c r="N265" s="508">
        <v>136.30600000000001</v>
      </c>
      <c r="O265" s="508">
        <v>408.91800000000001</v>
      </c>
      <c r="P265" s="508">
        <f t="shared" ref="P265:P327" si="102">SUM(L265:O265)</f>
        <v>1227.1460000000002</v>
      </c>
      <c r="Q265" s="507">
        <f>(H265-J265)*L265</f>
        <v>1797123.6241200005</v>
      </c>
      <c r="R265" s="507">
        <f>(H265-J265)*M265</f>
        <v>1198061.9188200003</v>
      </c>
      <c r="S265" s="507">
        <f>(I265-J265)*N265</f>
        <v>598692.75462000014</v>
      </c>
      <c r="T265" s="507">
        <f>(I265-K265)*O265</f>
        <v>1796078.2638600003</v>
      </c>
      <c r="U265" s="507">
        <f t="shared" ref="U265:U328" si="103">SUM(Q265:T265)</f>
        <v>5389956.5614200011</v>
      </c>
      <c r="V265" s="507" t="s">
        <v>713</v>
      </c>
      <c r="W265" s="518"/>
      <c r="X265" s="519"/>
    </row>
    <row r="266" spans="1:24" ht="46.5" customHeight="1">
      <c r="A266" s="514"/>
      <c r="B266" s="514"/>
      <c r="C266" s="514"/>
      <c r="D266" s="512" t="s">
        <v>810</v>
      </c>
      <c r="E266" s="506" t="s">
        <v>726</v>
      </c>
      <c r="F266" s="506" t="s">
        <v>809</v>
      </c>
      <c r="G266" s="506" t="s">
        <v>1130</v>
      </c>
      <c r="H266" s="507">
        <v>9203.44</v>
      </c>
      <c r="I266" s="507">
        <v>9203.44</v>
      </c>
      <c r="J266" s="507">
        <v>2376</v>
      </c>
      <c r="K266" s="507">
        <v>2376</v>
      </c>
      <c r="L266" s="508">
        <v>236.30699999999999</v>
      </c>
      <c r="M266" s="508">
        <v>103.92500000000001</v>
      </c>
      <c r="N266" s="508">
        <v>32.423000000000002</v>
      </c>
      <c r="O266" s="508">
        <v>160.06200000000001</v>
      </c>
      <c r="P266" s="508">
        <f t="shared" si="102"/>
        <v>532.71699999999998</v>
      </c>
      <c r="Q266" s="507">
        <f>(H266-J266)*L266</f>
        <v>1613371.86408</v>
      </c>
      <c r="R266" s="507">
        <f>(H266-J266)*M266</f>
        <v>709541.70200000016</v>
      </c>
      <c r="S266" s="507">
        <f>(I266-J266)*N266</f>
        <v>221366.08712000004</v>
      </c>
      <c r="T266" s="507">
        <f>(I266-K266)*O266</f>
        <v>1092813.7012800002</v>
      </c>
      <c r="U266" s="507">
        <f t="shared" si="103"/>
        <v>3637093.3544800007</v>
      </c>
      <c r="V266" s="507" t="s">
        <v>713</v>
      </c>
      <c r="W266" s="518"/>
      <c r="X266" s="519"/>
    </row>
    <row r="267" spans="1:24" ht="30.75" customHeight="1">
      <c r="A267" s="514" t="s">
        <v>754</v>
      </c>
      <c r="B267" s="514" t="s">
        <v>808</v>
      </c>
      <c r="C267" s="514" t="s">
        <v>807</v>
      </c>
      <c r="D267" s="589"/>
      <c r="E267" s="512" t="s">
        <v>806</v>
      </c>
      <c r="F267" s="512"/>
      <c r="G267" s="512" t="s">
        <v>1215</v>
      </c>
      <c r="H267" s="507" t="s">
        <v>713</v>
      </c>
      <c r="I267" s="507" t="s">
        <v>713</v>
      </c>
      <c r="J267" s="507" t="s">
        <v>713</v>
      </c>
      <c r="K267" s="507" t="s">
        <v>713</v>
      </c>
      <c r="L267" s="508">
        <f t="shared" ref="L267:U267" si="104">SUM(L268)</f>
        <v>2370.9639999999999</v>
      </c>
      <c r="M267" s="508">
        <f t="shared" si="104"/>
        <v>1219.202</v>
      </c>
      <c r="N267" s="508">
        <f t="shared" si="104"/>
        <v>406.18299999999999</v>
      </c>
      <c r="O267" s="508">
        <f t="shared" si="104"/>
        <v>2378.9549999999999</v>
      </c>
      <c r="P267" s="508">
        <f t="shared" si="104"/>
        <v>6375.3040000000001</v>
      </c>
      <c r="Q267" s="507">
        <f t="shared" si="104"/>
        <v>5545281.7321199998</v>
      </c>
      <c r="R267" s="507">
        <f t="shared" si="104"/>
        <v>2851506.2136599999</v>
      </c>
      <c r="S267" s="507">
        <f t="shared" si="104"/>
        <v>949992.98589000001</v>
      </c>
      <c r="T267" s="507">
        <f t="shared" si="104"/>
        <v>5563971.3226499995</v>
      </c>
      <c r="U267" s="507">
        <f t="shared" si="104"/>
        <v>14910752.254319999</v>
      </c>
      <c r="V267" s="507">
        <v>1861575.37</v>
      </c>
      <c r="W267" s="518">
        <f>T267/3</f>
        <v>1854657.1075499998</v>
      </c>
      <c r="X267" s="518">
        <f>U267+V267-W267</f>
        <v>14917670.516770002</v>
      </c>
    </row>
    <row r="268" spans="1:24" ht="61.5" customHeight="1">
      <c r="A268" s="514"/>
      <c r="B268" s="514"/>
      <c r="C268" s="514"/>
      <c r="D268" s="512" t="s">
        <v>806</v>
      </c>
      <c r="E268" s="506" t="s">
        <v>1187</v>
      </c>
      <c r="F268" s="506" t="s">
        <v>1211</v>
      </c>
      <c r="G268" s="506" t="s">
        <v>1130</v>
      </c>
      <c r="H268" s="507">
        <v>4483.83</v>
      </c>
      <c r="I268" s="507">
        <v>4483.83</v>
      </c>
      <c r="J268" s="507">
        <v>2145</v>
      </c>
      <c r="K268" s="507">
        <v>2145</v>
      </c>
      <c r="L268" s="508">
        <v>2370.9639999999999</v>
      </c>
      <c r="M268" s="508">
        <v>1219.202</v>
      </c>
      <c r="N268" s="508">
        <v>406.18299999999999</v>
      </c>
      <c r="O268" s="508">
        <v>2378.9549999999999</v>
      </c>
      <c r="P268" s="508">
        <f t="shared" si="102"/>
        <v>6375.3040000000001</v>
      </c>
      <c r="Q268" s="507">
        <f>(H268-J268)*L268</f>
        <v>5545281.7321199998</v>
      </c>
      <c r="R268" s="507">
        <f>(H268-J268)*M268</f>
        <v>2851506.2136599999</v>
      </c>
      <c r="S268" s="507">
        <f>(I268-J268)*N268</f>
        <v>949992.98589000001</v>
      </c>
      <c r="T268" s="507">
        <f>(I268-K268)*O268</f>
        <v>5563971.3226499995</v>
      </c>
      <c r="U268" s="507">
        <f t="shared" si="103"/>
        <v>14910752.254319999</v>
      </c>
      <c r="V268" s="507" t="s">
        <v>713</v>
      </c>
      <c r="W268" s="518"/>
      <c r="X268" s="519"/>
    </row>
    <row r="269" spans="1:24" ht="30.75" customHeight="1">
      <c r="A269" s="514" t="s">
        <v>754</v>
      </c>
      <c r="B269" s="514" t="s">
        <v>804</v>
      </c>
      <c r="C269" s="514" t="s">
        <v>803</v>
      </c>
      <c r="D269" s="589"/>
      <c r="E269" s="512" t="s">
        <v>802</v>
      </c>
      <c r="F269" s="512"/>
      <c r="G269" s="512" t="s">
        <v>1215</v>
      </c>
      <c r="H269" s="507" t="s">
        <v>713</v>
      </c>
      <c r="I269" s="507" t="s">
        <v>713</v>
      </c>
      <c r="J269" s="507" t="s">
        <v>713</v>
      </c>
      <c r="K269" s="507" t="s">
        <v>713</v>
      </c>
      <c r="L269" s="508">
        <f t="shared" ref="L269:U269" si="105">SUM(L270:L271)</f>
        <v>11994.745999999999</v>
      </c>
      <c r="M269" s="508">
        <f t="shared" si="105"/>
        <v>6211.2280000000001</v>
      </c>
      <c r="N269" s="508">
        <f t="shared" si="105"/>
        <v>2336.6</v>
      </c>
      <c r="O269" s="508">
        <f t="shared" si="105"/>
        <v>10359.039999999999</v>
      </c>
      <c r="P269" s="508">
        <f t="shared" si="105"/>
        <v>30901.614000000001</v>
      </c>
      <c r="Q269" s="507">
        <f t="shared" si="105"/>
        <v>58574302.984180003</v>
      </c>
      <c r="R269" s="507">
        <f t="shared" si="105"/>
        <v>30331476.029239997</v>
      </c>
      <c r="S269" s="507">
        <f t="shared" si="105"/>
        <v>11410388.877999999</v>
      </c>
      <c r="T269" s="507">
        <f t="shared" si="105"/>
        <v>50586610.803199999</v>
      </c>
      <c r="U269" s="507">
        <f t="shared" si="105"/>
        <v>150902778.69461998</v>
      </c>
      <c r="V269" s="507">
        <v>18875514.09</v>
      </c>
      <c r="W269" s="518">
        <f>T269/3</f>
        <v>16862203.601066668</v>
      </c>
      <c r="X269" s="518">
        <f>U269+V269-W269</f>
        <v>152916089.18355331</v>
      </c>
    </row>
    <row r="270" spans="1:24" ht="50.25" customHeight="1">
      <c r="A270" s="514"/>
      <c r="B270" s="514"/>
      <c r="C270" s="514"/>
      <c r="D270" s="512" t="s">
        <v>802</v>
      </c>
      <c r="E270" s="506" t="s">
        <v>798</v>
      </c>
      <c r="F270" s="506" t="s">
        <v>797</v>
      </c>
      <c r="G270" s="506" t="s">
        <v>1130</v>
      </c>
      <c r="H270" s="507">
        <v>6416.33</v>
      </c>
      <c r="I270" s="507">
        <v>6416.33</v>
      </c>
      <c r="J270" s="507">
        <v>1533</v>
      </c>
      <c r="K270" s="507">
        <v>1533</v>
      </c>
      <c r="L270" s="508">
        <v>11740.757</v>
      </c>
      <c r="M270" s="508">
        <v>6067.5349999999999</v>
      </c>
      <c r="N270" s="508">
        <v>1991.28</v>
      </c>
      <c r="O270" s="508">
        <v>9668.41</v>
      </c>
      <c r="P270" s="508">
        <f t="shared" si="102"/>
        <v>29467.982</v>
      </c>
      <c r="Q270" s="507">
        <f>(H270-J270)*L270</f>
        <v>57333990.88081</v>
      </c>
      <c r="R270" s="507">
        <f>(H270-J270)*M270</f>
        <v>29629775.691549998</v>
      </c>
      <c r="S270" s="507">
        <f>(I270-J270)*N270</f>
        <v>9724077.3623999991</v>
      </c>
      <c r="T270" s="507">
        <f>(I270-K270)*O270</f>
        <v>47214036.605300002</v>
      </c>
      <c r="U270" s="507">
        <f t="shared" si="103"/>
        <v>143901880.54005998</v>
      </c>
      <c r="V270" s="507" t="s">
        <v>713</v>
      </c>
      <c r="W270" s="518"/>
      <c r="X270" s="519"/>
    </row>
    <row r="271" spans="1:24" ht="50.25" customHeight="1">
      <c r="A271" s="514"/>
      <c r="B271" s="514"/>
      <c r="C271" s="514"/>
      <c r="D271" s="512" t="s">
        <v>802</v>
      </c>
      <c r="E271" s="506" t="s">
        <v>798</v>
      </c>
      <c r="F271" s="506" t="s">
        <v>797</v>
      </c>
      <c r="G271" s="506" t="s">
        <v>1131</v>
      </c>
      <c r="H271" s="507">
        <v>6416.33</v>
      </c>
      <c r="I271" s="507">
        <v>6416.33</v>
      </c>
      <c r="J271" s="507">
        <v>1533</v>
      </c>
      <c r="K271" s="507">
        <v>1533</v>
      </c>
      <c r="L271" s="508">
        <v>253.989</v>
      </c>
      <c r="M271" s="508">
        <v>143.69299999999998</v>
      </c>
      <c r="N271" s="508">
        <v>345.32</v>
      </c>
      <c r="O271" s="508">
        <v>690.63</v>
      </c>
      <c r="P271" s="508">
        <f t="shared" si="102"/>
        <v>1433.6320000000001</v>
      </c>
      <c r="Q271" s="507">
        <f>(H271-J271)*L271</f>
        <v>1240312.1033699999</v>
      </c>
      <c r="R271" s="507">
        <f>(H271-J271)*M271</f>
        <v>701700.33768999996</v>
      </c>
      <c r="S271" s="507">
        <f>(I271-J271)*N271</f>
        <v>1686311.5156</v>
      </c>
      <c r="T271" s="507">
        <f>(I271-K271)*O271</f>
        <v>3372574.1979</v>
      </c>
      <c r="U271" s="507">
        <f t="shared" si="103"/>
        <v>7000898.1545599997</v>
      </c>
      <c r="V271" s="507" t="s">
        <v>713</v>
      </c>
      <c r="W271" s="518"/>
      <c r="X271" s="519"/>
    </row>
    <row r="272" spans="1:24" ht="50.25" customHeight="1">
      <c r="A272" s="514"/>
      <c r="B272" s="514"/>
      <c r="C272" s="514"/>
      <c r="D272" s="512" t="s">
        <v>802</v>
      </c>
      <c r="E272" s="506" t="s">
        <v>798</v>
      </c>
      <c r="F272" s="506" t="s">
        <v>797</v>
      </c>
      <c r="G272" s="506" t="s">
        <v>579</v>
      </c>
      <c r="H272" s="507">
        <v>54.16</v>
      </c>
      <c r="I272" s="507">
        <v>54.16</v>
      </c>
      <c r="J272" s="507">
        <v>53.57</v>
      </c>
      <c r="K272" s="507">
        <v>53.57</v>
      </c>
      <c r="L272" s="508">
        <v>3506.1350000000002</v>
      </c>
      <c r="M272" s="508">
        <v>1882.8119999999999</v>
      </c>
      <c r="N272" s="508">
        <v>5216.3100000000004</v>
      </c>
      <c r="O272" s="508">
        <v>10432.48</v>
      </c>
      <c r="P272" s="508">
        <f t="shared" si="102"/>
        <v>21037.737000000001</v>
      </c>
      <c r="Q272" s="507">
        <f>(H272-J272)*L272</f>
        <v>2068.6196499999874</v>
      </c>
      <c r="R272" s="507">
        <f>(H272-J272)*M272</f>
        <v>1110.8590799999929</v>
      </c>
      <c r="S272" s="507">
        <f>(I272-J272)*N272</f>
        <v>3077.6228999999807</v>
      </c>
      <c r="T272" s="507">
        <f>(I272-K272)*O272</f>
        <v>6155.1631999999609</v>
      </c>
      <c r="U272" s="507">
        <f t="shared" si="103"/>
        <v>12412.264829999922</v>
      </c>
      <c r="V272" s="507" t="s">
        <v>713</v>
      </c>
      <c r="W272" s="518"/>
      <c r="X272" s="519"/>
    </row>
    <row r="273" spans="1:24" ht="30.75" customHeight="1">
      <c r="A273" s="514" t="s">
        <v>760</v>
      </c>
      <c r="B273" s="514" t="s">
        <v>801</v>
      </c>
      <c r="C273" s="514" t="s">
        <v>800</v>
      </c>
      <c r="D273" s="589"/>
      <c r="E273" s="512" t="s">
        <v>799</v>
      </c>
      <c r="F273" s="512"/>
      <c r="G273" s="512" t="s">
        <v>1215</v>
      </c>
      <c r="H273" s="507" t="s">
        <v>713</v>
      </c>
      <c r="I273" s="507" t="s">
        <v>713</v>
      </c>
      <c r="J273" s="507" t="s">
        <v>713</v>
      </c>
      <c r="K273" s="507" t="s">
        <v>713</v>
      </c>
      <c r="L273" s="508">
        <f t="shared" ref="L273:U273" si="106">SUM(L274)</f>
        <v>886.33799999999997</v>
      </c>
      <c r="M273" s="508">
        <f t="shared" si="106"/>
        <v>315.97200000000004</v>
      </c>
      <c r="N273" s="508">
        <f t="shared" si="106"/>
        <v>171.333</v>
      </c>
      <c r="O273" s="508">
        <f t="shared" si="106"/>
        <v>727.03</v>
      </c>
      <c r="P273" s="508">
        <f t="shared" si="106"/>
        <v>2100.6729999999998</v>
      </c>
      <c r="Q273" s="507">
        <f t="shared" si="106"/>
        <v>4246950.5706599997</v>
      </c>
      <c r="R273" s="507">
        <f t="shared" si="106"/>
        <v>1514001.9560400001</v>
      </c>
      <c r="S273" s="507">
        <f t="shared" si="106"/>
        <v>820954.06280999992</v>
      </c>
      <c r="T273" s="507">
        <f t="shared" si="106"/>
        <v>3483615.1370999995</v>
      </c>
      <c r="U273" s="507">
        <f t="shared" si="106"/>
        <v>10065521.726609999</v>
      </c>
      <c r="V273" s="507">
        <v>1357284.08</v>
      </c>
      <c r="W273" s="518">
        <f>T273/3</f>
        <v>1161205.0456999999</v>
      </c>
      <c r="X273" s="518">
        <f>U273+V273-W273</f>
        <v>10261600.760909999</v>
      </c>
    </row>
    <row r="274" spans="1:24" ht="50.25" customHeight="1">
      <c r="A274" s="514"/>
      <c r="B274" s="514"/>
      <c r="C274" s="514"/>
      <c r="D274" s="512" t="s">
        <v>799</v>
      </c>
      <c r="E274" s="506" t="s">
        <v>798</v>
      </c>
      <c r="F274" s="506" t="s">
        <v>797</v>
      </c>
      <c r="G274" s="506" t="s">
        <v>1130</v>
      </c>
      <c r="H274" s="507">
        <v>6162.57</v>
      </c>
      <c r="I274" s="507">
        <v>6162.57</v>
      </c>
      <c r="J274" s="507">
        <v>1371</v>
      </c>
      <c r="K274" s="507">
        <v>1371</v>
      </c>
      <c r="L274" s="508">
        <v>886.33799999999997</v>
      </c>
      <c r="M274" s="508">
        <v>315.97200000000004</v>
      </c>
      <c r="N274" s="508">
        <v>171.333</v>
      </c>
      <c r="O274" s="508">
        <v>727.03</v>
      </c>
      <c r="P274" s="508">
        <f t="shared" si="102"/>
        <v>2100.6729999999998</v>
      </c>
      <c r="Q274" s="507">
        <f>(H274-J274)*L274</f>
        <v>4246950.5706599997</v>
      </c>
      <c r="R274" s="507">
        <f>(H274-J274)*M274</f>
        <v>1514001.9560400001</v>
      </c>
      <c r="S274" s="507">
        <f>(I274-J274)*N274</f>
        <v>820954.06280999992</v>
      </c>
      <c r="T274" s="507">
        <f>(I274-K274)*O274</f>
        <v>3483615.1370999995</v>
      </c>
      <c r="U274" s="507">
        <f t="shared" si="103"/>
        <v>10065521.726609999</v>
      </c>
      <c r="V274" s="507" t="s">
        <v>713</v>
      </c>
      <c r="W274" s="518"/>
      <c r="X274" s="519"/>
    </row>
    <row r="275" spans="1:24" ht="30.75" customHeight="1">
      <c r="A275" s="514" t="s">
        <v>796</v>
      </c>
      <c r="B275" s="514" t="s">
        <v>795</v>
      </c>
      <c r="C275" s="514" t="s">
        <v>794</v>
      </c>
      <c r="D275" s="589"/>
      <c r="E275" s="512" t="s">
        <v>792</v>
      </c>
      <c r="F275" s="512"/>
      <c r="G275" s="512" t="s">
        <v>1215</v>
      </c>
      <c r="H275" s="507" t="s">
        <v>713</v>
      </c>
      <c r="I275" s="507" t="s">
        <v>713</v>
      </c>
      <c r="J275" s="507" t="s">
        <v>713</v>
      </c>
      <c r="K275" s="507" t="s">
        <v>713</v>
      </c>
      <c r="L275" s="508">
        <f t="shared" ref="L275:U275" si="107">SUM(L276:L277)</f>
        <v>480.82600000000002</v>
      </c>
      <c r="M275" s="508">
        <f t="shared" si="107"/>
        <v>150.72499999999999</v>
      </c>
      <c r="N275" s="508">
        <f t="shared" si="107"/>
        <v>85</v>
      </c>
      <c r="O275" s="508">
        <f t="shared" si="107"/>
        <v>445.89300000000003</v>
      </c>
      <c r="P275" s="508">
        <f t="shared" si="107"/>
        <v>1162.444</v>
      </c>
      <c r="Q275" s="507">
        <f t="shared" si="107"/>
        <v>2166586.2193999998</v>
      </c>
      <c r="R275" s="507">
        <f t="shared" si="107"/>
        <v>695692.78690000006</v>
      </c>
      <c r="S275" s="507">
        <f t="shared" si="107"/>
        <v>390608.07751999993</v>
      </c>
      <c r="T275" s="507">
        <f t="shared" si="107"/>
        <v>2025174.1806000001</v>
      </c>
      <c r="U275" s="507">
        <f t="shared" si="107"/>
        <v>5278061.2644200008</v>
      </c>
      <c r="V275" s="507">
        <v>802953.91</v>
      </c>
      <c r="W275" s="518">
        <f>T275/3</f>
        <v>675058.06020000007</v>
      </c>
      <c r="X275" s="518">
        <f>U275+V275-W275</f>
        <v>5405957.1142200008</v>
      </c>
    </row>
    <row r="276" spans="1:24" ht="65.25" customHeight="1">
      <c r="A276" s="514"/>
      <c r="B276" s="514"/>
      <c r="C276" s="514"/>
      <c r="D276" s="512" t="s">
        <v>792</v>
      </c>
      <c r="E276" s="506" t="s">
        <v>791</v>
      </c>
      <c r="F276" s="506" t="s">
        <v>793</v>
      </c>
      <c r="G276" s="506" t="s">
        <v>1130</v>
      </c>
      <c r="H276" s="507">
        <v>6817.8</v>
      </c>
      <c r="I276" s="507">
        <v>6817.8</v>
      </c>
      <c r="J276" s="507">
        <v>1885</v>
      </c>
      <c r="K276" s="507">
        <v>1885</v>
      </c>
      <c r="L276" s="508">
        <v>291.96600000000001</v>
      </c>
      <c r="M276" s="508">
        <v>106.735</v>
      </c>
      <c r="N276" s="508">
        <v>58.607999999999997</v>
      </c>
      <c r="O276" s="508">
        <v>285.47300000000001</v>
      </c>
      <c r="P276" s="508">
        <f t="shared" si="102"/>
        <v>742.78200000000004</v>
      </c>
      <c r="Q276" s="507">
        <f>(H276-J276)*L276</f>
        <v>1440209.8848000001</v>
      </c>
      <c r="R276" s="507">
        <f>(H276-J276)*M276</f>
        <v>526502.40800000005</v>
      </c>
      <c r="S276" s="507">
        <f>(I276-J276)*N276</f>
        <v>289101.54239999998</v>
      </c>
      <c r="T276" s="507">
        <f>(I276-K276)*O276</f>
        <v>1408181.2144000002</v>
      </c>
      <c r="U276" s="507">
        <f t="shared" si="103"/>
        <v>3663995.0496000005</v>
      </c>
      <c r="V276" s="507" t="s">
        <v>713</v>
      </c>
      <c r="W276" s="518"/>
      <c r="X276" s="519"/>
    </row>
    <row r="277" spans="1:24" ht="65.25" customHeight="1">
      <c r="A277" s="514"/>
      <c r="B277" s="514"/>
      <c r="C277" s="514"/>
      <c r="D277" s="512" t="s">
        <v>792</v>
      </c>
      <c r="E277" s="506" t="s">
        <v>791</v>
      </c>
      <c r="F277" s="506" t="s">
        <v>790</v>
      </c>
      <c r="G277" s="506" t="s">
        <v>1130</v>
      </c>
      <c r="H277" s="507">
        <v>5731.11</v>
      </c>
      <c r="I277" s="507">
        <v>5731.11</v>
      </c>
      <c r="J277" s="507">
        <v>1885</v>
      </c>
      <c r="K277" s="507">
        <v>1885</v>
      </c>
      <c r="L277" s="508">
        <v>188.85999999999999</v>
      </c>
      <c r="M277" s="508">
        <v>43.99</v>
      </c>
      <c r="N277" s="508">
        <v>26.391999999999999</v>
      </c>
      <c r="O277" s="508">
        <v>160.41999999999999</v>
      </c>
      <c r="P277" s="508">
        <f t="shared" si="102"/>
        <v>419.66200000000003</v>
      </c>
      <c r="Q277" s="507">
        <f>(H277-J277)*L277</f>
        <v>726376.33459999983</v>
      </c>
      <c r="R277" s="507">
        <f>(H277-J277)*M277</f>
        <v>169190.37889999998</v>
      </c>
      <c r="S277" s="507">
        <f>(I277-J277)*N277</f>
        <v>101506.53511999999</v>
      </c>
      <c r="T277" s="507">
        <f>(I277-K277)*O277</f>
        <v>616992.96619999991</v>
      </c>
      <c r="U277" s="507">
        <f t="shared" si="103"/>
        <v>1614066.2148199999</v>
      </c>
      <c r="V277" s="507" t="s">
        <v>713</v>
      </c>
      <c r="W277" s="518"/>
      <c r="X277" s="519"/>
    </row>
    <row r="278" spans="1:24" ht="30.75" customHeight="1">
      <c r="A278" s="514" t="s">
        <v>754</v>
      </c>
      <c r="B278" s="514" t="s">
        <v>789</v>
      </c>
      <c r="C278" s="514" t="s">
        <v>788</v>
      </c>
      <c r="D278" s="589"/>
      <c r="E278" s="512" t="s">
        <v>787</v>
      </c>
      <c r="F278" s="512"/>
      <c r="G278" s="512" t="s">
        <v>1215</v>
      </c>
      <c r="H278" s="507" t="s">
        <v>713</v>
      </c>
      <c r="I278" s="507" t="s">
        <v>713</v>
      </c>
      <c r="J278" s="507" t="s">
        <v>713</v>
      </c>
      <c r="K278" s="507" t="s">
        <v>713</v>
      </c>
      <c r="L278" s="508">
        <f t="shared" ref="L278:U278" si="108">SUM(L279)</f>
        <v>4604.8130000000001</v>
      </c>
      <c r="M278" s="508">
        <f t="shared" si="108"/>
        <v>2115.6089999999999</v>
      </c>
      <c r="N278" s="508">
        <f t="shared" si="108"/>
        <v>769</v>
      </c>
      <c r="O278" s="508">
        <f t="shared" si="108"/>
        <v>3966</v>
      </c>
      <c r="P278" s="508">
        <f t="shared" si="108"/>
        <v>11455.422</v>
      </c>
      <c r="Q278" s="507">
        <f t="shared" si="108"/>
        <v>17842821.50866</v>
      </c>
      <c r="R278" s="507">
        <f t="shared" si="108"/>
        <v>8197604.0653799986</v>
      </c>
      <c r="S278" s="507">
        <f t="shared" si="108"/>
        <v>2979736.5799999996</v>
      </c>
      <c r="T278" s="507">
        <f t="shared" si="108"/>
        <v>15367536.119999999</v>
      </c>
      <c r="U278" s="507">
        <f t="shared" si="108"/>
        <v>44387698.274039999</v>
      </c>
      <c r="V278" s="507">
        <v>6492970</v>
      </c>
      <c r="W278" s="518">
        <f>T278/3</f>
        <v>5122512.04</v>
      </c>
      <c r="X278" s="518">
        <f>U278+V278-W278</f>
        <v>45758156.23404</v>
      </c>
    </row>
    <row r="279" spans="1:24" ht="56.25" customHeight="1">
      <c r="A279" s="514"/>
      <c r="B279" s="514"/>
      <c r="C279" s="514"/>
      <c r="D279" s="512" t="s">
        <v>787</v>
      </c>
      <c r="E279" s="506" t="s">
        <v>742</v>
      </c>
      <c r="F279" s="506" t="s">
        <v>786</v>
      </c>
      <c r="G279" s="506" t="s">
        <v>1130</v>
      </c>
      <c r="H279" s="507">
        <v>5618.82</v>
      </c>
      <c r="I279" s="507">
        <v>5618.82</v>
      </c>
      <c r="J279" s="507">
        <v>1744</v>
      </c>
      <c r="K279" s="507">
        <v>1744</v>
      </c>
      <c r="L279" s="508">
        <v>4604.8130000000001</v>
      </c>
      <c r="M279" s="508">
        <v>2115.6089999999999</v>
      </c>
      <c r="N279" s="508">
        <v>769</v>
      </c>
      <c r="O279" s="508">
        <v>3966</v>
      </c>
      <c r="P279" s="508">
        <f t="shared" si="102"/>
        <v>11455.422</v>
      </c>
      <c r="Q279" s="507">
        <f>(H279-J279)*L279</f>
        <v>17842821.50866</v>
      </c>
      <c r="R279" s="507">
        <f>(H279-J279)*M279</f>
        <v>8197604.0653799986</v>
      </c>
      <c r="S279" s="507">
        <f>(I279-J279)*N279</f>
        <v>2979736.5799999996</v>
      </c>
      <c r="T279" s="507">
        <f>(I279-K279)*O279</f>
        <v>15367536.119999999</v>
      </c>
      <c r="U279" s="507">
        <f t="shared" si="103"/>
        <v>44387698.274039999</v>
      </c>
      <c r="V279" s="507" t="s">
        <v>713</v>
      </c>
      <c r="W279" s="518"/>
      <c r="X279" s="519"/>
    </row>
    <row r="280" spans="1:24" ht="27.75" customHeight="1">
      <c r="A280" s="514" t="s">
        <v>760</v>
      </c>
      <c r="B280" s="514" t="s">
        <v>785</v>
      </c>
      <c r="C280" s="514" t="s">
        <v>87</v>
      </c>
      <c r="D280" s="589"/>
      <c r="E280" s="512" t="s">
        <v>784</v>
      </c>
      <c r="F280" s="512"/>
      <c r="G280" s="512" t="s">
        <v>1215</v>
      </c>
      <c r="H280" s="507" t="s">
        <v>713</v>
      </c>
      <c r="I280" s="507" t="s">
        <v>713</v>
      </c>
      <c r="J280" s="507" t="s">
        <v>713</v>
      </c>
      <c r="K280" s="507" t="s">
        <v>713</v>
      </c>
      <c r="L280" s="508">
        <f t="shared" ref="L280:U280" si="109">SUM(L281)</f>
        <v>179.066</v>
      </c>
      <c r="M280" s="508">
        <f t="shared" si="109"/>
        <v>69.515999999999991</v>
      </c>
      <c r="N280" s="508">
        <f t="shared" si="109"/>
        <v>53.83</v>
      </c>
      <c r="O280" s="508">
        <f t="shared" si="109"/>
        <v>202.51</v>
      </c>
      <c r="P280" s="508">
        <f t="shared" si="109"/>
        <v>504.92199999999997</v>
      </c>
      <c r="Q280" s="507">
        <f t="shared" si="109"/>
        <v>997379.71339999989</v>
      </c>
      <c r="R280" s="507">
        <f t="shared" si="109"/>
        <v>387197.16839999991</v>
      </c>
      <c r="S280" s="507">
        <f t="shared" si="109"/>
        <v>299827.71699999995</v>
      </c>
      <c r="T280" s="507">
        <f t="shared" si="109"/>
        <v>1127960.4489999998</v>
      </c>
      <c r="U280" s="507">
        <f t="shared" si="109"/>
        <v>2812365.0477999998</v>
      </c>
      <c r="V280" s="507">
        <v>336238.15</v>
      </c>
      <c r="W280" s="518">
        <f>T280/3</f>
        <v>375986.81633333326</v>
      </c>
      <c r="X280" s="518">
        <f>U280+V280-W280</f>
        <v>2772616.3814666662</v>
      </c>
    </row>
    <row r="281" spans="1:24" ht="47.25" customHeight="1">
      <c r="A281" s="514"/>
      <c r="B281" s="514"/>
      <c r="C281" s="514"/>
      <c r="D281" s="512" t="s">
        <v>784</v>
      </c>
      <c r="E281" s="506" t="s">
        <v>777</v>
      </c>
      <c r="F281" s="506" t="s">
        <v>783</v>
      </c>
      <c r="G281" s="506" t="s">
        <v>1130</v>
      </c>
      <c r="H281" s="507">
        <v>7558.9</v>
      </c>
      <c r="I281" s="507">
        <v>7558.9</v>
      </c>
      <c r="J281" s="507">
        <v>1989</v>
      </c>
      <c r="K281" s="507">
        <v>1989</v>
      </c>
      <c r="L281" s="508">
        <v>179.066</v>
      </c>
      <c r="M281" s="508">
        <v>69.515999999999991</v>
      </c>
      <c r="N281" s="508">
        <v>53.83</v>
      </c>
      <c r="O281" s="508">
        <v>202.51</v>
      </c>
      <c r="P281" s="508">
        <f t="shared" si="102"/>
        <v>504.92199999999997</v>
      </c>
      <c r="Q281" s="507">
        <f>(H281-J281)*L281</f>
        <v>997379.71339999989</v>
      </c>
      <c r="R281" s="507">
        <f>(H281-J281)*M281</f>
        <v>387197.16839999991</v>
      </c>
      <c r="S281" s="507">
        <f>(I281-J281)*N281</f>
        <v>299827.71699999995</v>
      </c>
      <c r="T281" s="507">
        <f>(I281-K281)*O281</f>
        <v>1127960.4489999998</v>
      </c>
      <c r="U281" s="507">
        <f t="shared" si="103"/>
        <v>2812365.0477999998</v>
      </c>
      <c r="V281" s="507" t="s">
        <v>713</v>
      </c>
      <c r="W281" s="518"/>
      <c r="X281" s="519"/>
    </row>
    <row r="282" spans="1:24" ht="39.75" customHeight="1">
      <c r="A282" s="514" t="s">
        <v>760</v>
      </c>
      <c r="B282" s="514" t="s">
        <v>782</v>
      </c>
      <c r="C282" s="514" t="s">
        <v>81</v>
      </c>
      <c r="D282" s="589"/>
      <c r="E282" s="512" t="s">
        <v>767</v>
      </c>
      <c r="F282" s="512"/>
      <c r="G282" s="512" t="s">
        <v>1215</v>
      </c>
      <c r="H282" s="507" t="s">
        <v>713</v>
      </c>
      <c r="I282" s="507" t="s">
        <v>713</v>
      </c>
      <c r="J282" s="507" t="s">
        <v>713</v>
      </c>
      <c r="K282" s="507" t="s">
        <v>713</v>
      </c>
      <c r="L282" s="508">
        <f t="shared" ref="L282:U282" si="110">SUM(L283:L300)</f>
        <v>25793.263000000003</v>
      </c>
      <c r="M282" s="508">
        <f t="shared" si="110"/>
        <v>13729.635999999997</v>
      </c>
      <c r="N282" s="508">
        <f t="shared" si="110"/>
        <v>4325.55</v>
      </c>
      <c r="O282" s="508">
        <f t="shared" si="110"/>
        <v>24871.82</v>
      </c>
      <c r="P282" s="508">
        <f t="shared" si="110"/>
        <v>68720.269</v>
      </c>
      <c r="Q282" s="507">
        <f t="shared" si="110"/>
        <v>112709735.02582997</v>
      </c>
      <c r="R282" s="507">
        <f t="shared" si="110"/>
        <v>58046527.587799989</v>
      </c>
      <c r="S282" s="507">
        <f t="shared" si="110"/>
        <v>18248636.987999998</v>
      </c>
      <c r="T282" s="507">
        <f t="shared" si="110"/>
        <v>104928825.49839997</v>
      </c>
      <c r="U282" s="507">
        <f t="shared" si="110"/>
        <v>293933725.10002995</v>
      </c>
      <c r="V282" s="507">
        <v>37477346.890000001</v>
      </c>
      <c r="W282" s="518">
        <f>T282/3</f>
        <v>34976275.166133322</v>
      </c>
      <c r="X282" s="518">
        <f>U282+V282-W282</f>
        <v>296434796.82389659</v>
      </c>
    </row>
    <row r="283" spans="1:24" ht="88.5" customHeight="1">
      <c r="A283" s="514"/>
      <c r="B283" s="514"/>
      <c r="C283" s="514"/>
      <c r="D283" s="512" t="s">
        <v>767</v>
      </c>
      <c r="E283" s="506" t="s">
        <v>777</v>
      </c>
      <c r="F283" s="506" t="s">
        <v>781</v>
      </c>
      <c r="G283" s="506" t="s">
        <v>1130</v>
      </c>
      <c r="H283" s="507">
        <v>6223.97</v>
      </c>
      <c r="I283" s="507">
        <v>6223.97</v>
      </c>
      <c r="J283" s="507">
        <v>1880</v>
      </c>
      <c r="K283" s="507">
        <v>1880</v>
      </c>
      <c r="L283" s="508">
        <v>3008.4540000000002</v>
      </c>
      <c r="M283" s="508">
        <v>1249.848</v>
      </c>
      <c r="N283" s="508">
        <v>496.09</v>
      </c>
      <c r="O283" s="508">
        <v>2852.49</v>
      </c>
      <c r="P283" s="508">
        <f t="shared" si="102"/>
        <v>7606.8819999999996</v>
      </c>
      <c r="Q283" s="507">
        <f t="shared" ref="Q283:Q300" si="111">(H283-J283)*L283</f>
        <v>13068633.922380002</v>
      </c>
      <c r="R283" s="507">
        <f t="shared" ref="R283:R300" si="112">(H283-J283)*M283</f>
        <v>5429302.2165600006</v>
      </c>
      <c r="S283" s="507">
        <f t="shared" ref="S283:S300" si="113">(I283-J283)*N283</f>
        <v>2155000.0773</v>
      </c>
      <c r="T283" s="507">
        <f t="shared" ref="T283:T300" si="114">(I283-K283)*O283</f>
        <v>12391130.985299999</v>
      </c>
      <c r="U283" s="507">
        <f t="shared" si="103"/>
        <v>33044067.201540001</v>
      </c>
      <c r="V283" s="507" t="s">
        <v>713</v>
      </c>
      <c r="W283" s="518"/>
      <c r="X283" s="519"/>
    </row>
    <row r="284" spans="1:24" ht="69" customHeight="1">
      <c r="A284" s="514"/>
      <c r="B284" s="514"/>
      <c r="C284" s="514"/>
      <c r="D284" s="512" t="s">
        <v>767</v>
      </c>
      <c r="E284" s="506" t="s">
        <v>777</v>
      </c>
      <c r="F284" s="506" t="s">
        <v>780</v>
      </c>
      <c r="G284" s="506" t="s">
        <v>1130</v>
      </c>
      <c r="H284" s="507">
        <v>6502.7</v>
      </c>
      <c r="I284" s="507">
        <v>6502.7</v>
      </c>
      <c r="J284" s="507">
        <v>1880</v>
      </c>
      <c r="K284" s="507">
        <v>1880</v>
      </c>
      <c r="L284" s="508">
        <v>1882.9119999999998</v>
      </c>
      <c r="M284" s="508">
        <v>781.26699999999994</v>
      </c>
      <c r="N284" s="508">
        <v>296.87</v>
      </c>
      <c r="O284" s="508">
        <v>1707.03</v>
      </c>
      <c r="P284" s="508">
        <f t="shared" si="102"/>
        <v>4668.0789999999997</v>
      </c>
      <c r="Q284" s="507">
        <f t="shared" si="111"/>
        <v>8704137.3023999985</v>
      </c>
      <c r="R284" s="507">
        <f t="shared" si="112"/>
        <v>3611562.9608999994</v>
      </c>
      <c r="S284" s="507">
        <f t="shared" si="113"/>
        <v>1372340.949</v>
      </c>
      <c r="T284" s="507">
        <f t="shared" si="114"/>
        <v>7891087.5809999993</v>
      </c>
      <c r="U284" s="507">
        <f t="shared" si="103"/>
        <v>21579128.793299999</v>
      </c>
      <c r="V284" s="507" t="s">
        <v>713</v>
      </c>
      <c r="W284" s="518"/>
      <c r="X284" s="519"/>
    </row>
    <row r="285" spans="1:24" ht="50.25" customHeight="1">
      <c r="A285" s="514"/>
      <c r="B285" s="514"/>
      <c r="C285" s="514"/>
      <c r="D285" s="512" t="s">
        <v>767</v>
      </c>
      <c r="E285" s="506" t="s">
        <v>777</v>
      </c>
      <c r="F285" s="506" t="s">
        <v>779</v>
      </c>
      <c r="G285" s="506" t="s">
        <v>1130</v>
      </c>
      <c r="H285" s="507">
        <v>6317.58</v>
      </c>
      <c r="I285" s="507">
        <v>6317.58</v>
      </c>
      <c r="J285" s="507">
        <v>1298.33</v>
      </c>
      <c r="K285" s="507">
        <v>1298.33</v>
      </c>
      <c r="L285" s="508">
        <v>78.525000000000006</v>
      </c>
      <c r="M285" s="508">
        <v>29.526</v>
      </c>
      <c r="N285" s="508">
        <v>13.64</v>
      </c>
      <c r="O285" s="508">
        <v>78.42</v>
      </c>
      <c r="P285" s="508">
        <f t="shared" si="102"/>
        <v>200.11099999999999</v>
      </c>
      <c r="Q285" s="507">
        <f t="shared" si="111"/>
        <v>394136.60625000001</v>
      </c>
      <c r="R285" s="507">
        <f t="shared" si="112"/>
        <v>148198.37549999999</v>
      </c>
      <c r="S285" s="507">
        <f t="shared" si="113"/>
        <v>68462.570000000007</v>
      </c>
      <c r="T285" s="507">
        <f t="shared" si="114"/>
        <v>393609.58500000002</v>
      </c>
      <c r="U285" s="507">
        <f t="shared" si="103"/>
        <v>1004407.1367500001</v>
      </c>
      <c r="V285" s="507" t="s">
        <v>713</v>
      </c>
      <c r="W285" s="518"/>
      <c r="X285" s="519"/>
    </row>
    <row r="286" spans="1:24" ht="73.5" customHeight="1">
      <c r="A286" s="514"/>
      <c r="B286" s="514"/>
      <c r="C286" s="514"/>
      <c r="D286" s="512" t="s">
        <v>767</v>
      </c>
      <c r="E286" s="506" t="s">
        <v>777</v>
      </c>
      <c r="F286" s="506" t="s">
        <v>778</v>
      </c>
      <c r="G286" s="506" t="s">
        <v>1130</v>
      </c>
      <c r="H286" s="507">
        <v>10368.83</v>
      </c>
      <c r="I286" s="507">
        <v>10368.83</v>
      </c>
      <c r="J286" s="507">
        <v>1657.5</v>
      </c>
      <c r="K286" s="507">
        <v>1657.5</v>
      </c>
      <c r="L286" s="508">
        <v>58.935000000000002</v>
      </c>
      <c r="M286" s="508">
        <v>22.937999999999999</v>
      </c>
      <c r="N286" s="508">
        <v>11.97</v>
      </c>
      <c r="O286" s="508">
        <v>68.849999999999994</v>
      </c>
      <c r="P286" s="508">
        <f t="shared" si="102"/>
        <v>162.69299999999998</v>
      </c>
      <c r="Q286" s="507">
        <f t="shared" si="111"/>
        <v>513402.23355</v>
      </c>
      <c r="R286" s="507">
        <f t="shared" si="112"/>
        <v>199820.48754</v>
      </c>
      <c r="S286" s="507">
        <f t="shared" si="113"/>
        <v>104274.6201</v>
      </c>
      <c r="T286" s="507">
        <f t="shared" si="114"/>
        <v>599775.07049999991</v>
      </c>
      <c r="U286" s="507">
        <f t="shared" si="103"/>
        <v>1417272.41169</v>
      </c>
      <c r="V286" s="507" t="s">
        <v>713</v>
      </c>
      <c r="W286" s="518"/>
      <c r="X286" s="519"/>
    </row>
    <row r="287" spans="1:24" ht="73.5" customHeight="1">
      <c r="A287" s="514"/>
      <c r="B287" s="514"/>
      <c r="C287" s="514"/>
      <c r="D287" s="512" t="s">
        <v>767</v>
      </c>
      <c r="E287" s="506" t="s">
        <v>777</v>
      </c>
      <c r="F287" s="506" t="s">
        <v>776</v>
      </c>
      <c r="G287" s="506" t="s">
        <v>1130</v>
      </c>
      <c r="H287" s="507">
        <v>23015.17</v>
      </c>
      <c r="I287" s="507">
        <v>23015.17</v>
      </c>
      <c r="J287" s="507">
        <v>1657.5</v>
      </c>
      <c r="K287" s="507">
        <v>1657.5</v>
      </c>
      <c r="L287" s="508">
        <v>121.74300000000001</v>
      </c>
      <c r="M287" s="508">
        <v>47.126000000000005</v>
      </c>
      <c r="N287" s="508">
        <v>20.62</v>
      </c>
      <c r="O287" s="508">
        <v>118.54</v>
      </c>
      <c r="P287" s="508">
        <f t="shared" si="102"/>
        <v>308.02900000000005</v>
      </c>
      <c r="Q287" s="507">
        <f t="shared" si="111"/>
        <v>2600146.8188100001</v>
      </c>
      <c r="R287" s="507">
        <f t="shared" si="112"/>
        <v>1006501.55642</v>
      </c>
      <c r="S287" s="507">
        <f t="shared" si="113"/>
        <v>440395.15539999999</v>
      </c>
      <c r="T287" s="507">
        <f t="shared" si="114"/>
        <v>2531738.2017999999</v>
      </c>
      <c r="U287" s="507">
        <f t="shared" si="103"/>
        <v>6578781.7324299999</v>
      </c>
      <c r="V287" s="507" t="s">
        <v>713</v>
      </c>
      <c r="W287" s="518"/>
      <c r="X287" s="519"/>
    </row>
    <row r="288" spans="1:24" ht="50.25" customHeight="1">
      <c r="A288" s="514"/>
      <c r="B288" s="514"/>
      <c r="C288" s="514"/>
      <c r="D288" s="512" t="s">
        <v>767</v>
      </c>
      <c r="E288" s="506" t="s">
        <v>769</v>
      </c>
      <c r="F288" s="506" t="s">
        <v>538</v>
      </c>
      <c r="G288" s="506" t="s">
        <v>1130</v>
      </c>
      <c r="H288" s="507">
        <v>9574.48</v>
      </c>
      <c r="I288" s="507">
        <v>9574.48</v>
      </c>
      <c r="J288" s="507">
        <v>1833.33</v>
      </c>
      <c r="K288" s="507">
        <v>1833.33</v>
      </c>
      <c r="L288" s="508">
        <v>2755.6550000000002</v>
      </c>
      <c r="M288" s="508">
        <v>1128.7429999999999</v>
      </c>
      <c r="N288" s="508">
        <v>307.64999999999998</v>
      </c>
      <c r="O288" s="508">
        <v>1768.96</v>
      </c>
      <c r="P288" s="508">
        <f t="shared" si="102"/>
        <v>5961.0079999999998</v>
      </c>
      <c r="Q288" s="507">
        <f t="shared" si="111"/>
        <v>21331938.703250002</v>
      </c>
      <c r="R288" s="507">
        <f t="shared" si="112"/>
        <v>8737768.87445</v>
      </c>
      <c r="S288" s="507">
        <f t="shared" si="113"/>
        <v>2381564.7974999999</v>
      </c>
      <c r="T288" s="507">
        <f t="shared" si="114"/>
        <v>13693784.704</v>
      </c>
      <c r="U288" s="507">
        <f t="shared" si="103"/>
        <v>46145057.0792</v>
      </c>
      <c r="V288" s="507" t="s">
        <v>713</v>
      </c>
      <c r="W288" s="518"/>
      <c r="X288" s="519"/>
    </row>
    <row r="289" spans="1:24" ht="50.25" customHeight="1">
      <c r="A289" s="514"/>
      <c r="B289" s="514"/>
      <c r="C289" s="514"/>
      <c r="D289" s="512" t="s">
        <v>767</v>
      </c>
      <c r="E289" s="506" t="s">
        <v>769</v>
      </c>
      <c r="F289" s="506" t="s">
        <v>538</v>
      </c>
      <c r="G289" s="506" t="s">
        <v>1131</v>
      </c>
      <c r="H289" s="507">
        <v>9574.48</v>
      </c>
      <c r="I289" s="507">
        <v>9574.48</v>
      </c>
      <c r="J289" s="507">
        <v>1833.33</v>
      </c>
      <c r="K289" s="507">
        <v>1833.33</v>
      </c>
      <c r="L289" s="508">
        <v>36.260999999999996</v>
      </c>
      <c r="M289" s="508">
        <v>26.137999999999998</v>
      </c>
      <c r="N289" s="508">
        <v>5.01</v>
      </c>
      <c r="O289" s="508">
        <v>28.8</v>
      </c>
      <c r="P289" s="508">
        <f t="shared" si="102"/>
        <v>96.208999999999989</v>
      </c>
      <c r="Q289" s="507">
        <f t="shared" si="111"/>
        <v>280701.84014999995</v>
      </c>
      <c r="R289" s="507">
        <f t="shared" si="112"/>
        <v>202338.17869999999</v>
      </c>
      <c r="S289" s="507">
        <f t="shared" si="113"/>
        <v>38783.161499999995</v>
      </c>
      <c r="T289" s="507">
        <f t="shared" si="114"/>
        <v>222945.12</v>
      </c>
      <c r="U289" s="507">
        <f t="shared" si="103"/>
        <v>744768.30034999992</v>
      </c>
      <c r="V289" s="507" t="s">
        <v>713</v>
      </c>
      <c r="W289" s="518"/>
      <c r="X289" s="519"/>
    </row>
    <row r="290" spans="1:24" ht="50.25" customHeight="1">
      <c r="A290" s="514"/>
      <c r="B290" s="514"/>
      <c r="C290" s="514"/>
      <c r="D290" s="512" t="s">
        <v>767</v>
      </c>
      <c r="E290" s="506" t="s">
        <v>769</v>
      </c>
      <c r="F290" s="506" t="s">
        <v>775</v>
      </c>
      <c r="G290" s="506" t="s">
        <v>1130</v>
      </c>
      <c r="H290" s="507">
        <v>6635.24</v>
      </c>
      <c r="I290" s="507">
        <v>6635.24</v>
      </c>
      <c r="J290" s="507">
        <v>1453.33</v>
      </c>
      <c r="K290" s="507">
        <v>1453.33</v>
      </c>
      <c r="L290" s="508">
        <v>399.44399999999996</v>
      </c>
      <c r="M290" s="508">
        <v>272.66499999999996</v>
      </c>
      <c r="N290" s="508">
        <v>71.92</v>
      </c>
      <c r="O290" s="508">
        <v>413.53</v>
      </c>
      <c r="P290" s="508">
        <f t="shared" si="102"/>
        <v>1157.5589999999997</v>
      </c>
      <c r="Q290" s="507">
        <f t="shared" si="111"/>
        <v>2069882.8580399998</v>
      </c>
      <c r="R290" s="507">
        <f t="shared" si="112"/>
        <v>1412925.4901499997</v>
      </c>
      <c r="S290" s="507">
        <f t="shared" si="113"/>
        <v>372682.96720000001</v>
      </c>
      <c r="T290" s="507">
        <f t="shared" si="114"/>
        <v>2142875.2422999996</v>
      </c>
      <c r="U290" s="507">
        <f t="shared" si="103"/>
        <v>5998366.5576899983</v>
      </c>
      <c r="V290" s="507" t="s">
        <v>713</v>
      </c>
      <c r="W290" s="518"/>
      <c r="X290" s="519"/>
    </row>
    <row r="291" spans="1:24" ht="50.25" customHeight="1">
      <c r="A291" s="514"/>
      <c r="B291" s="514"/>
      <c r="C291" s="514"/>
      <c r="D291" s="512" t="s">
        <v>767</v>
      </c>
      <c r="E291" s="506" t="s">
        <v>769</v>
      </c>
      <c r="F291" s="506" t="s">
        <v>774</v>
      </c>
      <c r="G291" s="506" t="s">
        <v>1130</v>
      </c>
      <c r="H291" s="507">
        <v>9193.31</v>
      </c>
      <c r="I291" s="507">
        <v>9193.31</v>
      </c>
      <c r="J291" s="507">
        <v>1453.33</v>
      </c>
      <c r="K291" s="507">
        <v>1453.33</v>
      </c>
      <c r="L291" s="508">
        <v>163.59299999999999</v>
      </c>
      <c r="M291" s="508">
        <v>109.062</v>
      </c>
      <c r="N291" s="508">
        <v>34.630000000000003</v>
      </c>
      <c r="O291" s="508">
        <v>199.12</v>
      </c>
      <c r="P291" s="508">
        <f t="shared" si="102"/>
        <v>506.40499999999997</v>
      </c>
      <c r="Q291" s="507">
        <f t="shared" si="111"/>
        <v>1266206.5481399999</v>
      </c>
      <c r="R291" s="507">
        <f t="shared" si="112"/>
        <v>844137.69875999994</v>
      </c>
      <c r="S291" s="507">
        <f t="shared" si="113"/>
        <v>268035.5074</v>
      </c>
      <c r="T291" s="507">
        <f t="shared" si="114"/>
        <v>1541184.8176</v>
      </c>
      <c r="U291" s="507">
        <f t="shared" si="103"/>
        <v>3919564.5718999999</v>
      </c>
      <c r="V291" s="507" t="s">
        <v>713</v>
      </c>
      <c r="W291" s="518"/>
      <c r="X291" s="519"/>
    </row>
    <row r="292" spans="1:24" ht="50.25" customHeight="1">
      <c r="A292" s="514"/>
      <c r="B292" s="514"/>
      <c r="C292" s="514"/>
      <c r="D292" s="512" t="s">
        <v>767</v>
      </c>
      <c r="E292" s="506" t="s">
        <v>769</v>
      </c>
      <c r="F292" s="506" t="s">
        <v>412</v>
      </c>
      <c r="G292" s="506" t="s">
        <v>1130</v>
      </c>
      <c r="H292" s="507">
        <v>11260.82</v>
      </c>
      <c r="I292" s="507">
        <v>11260.82</v>
      </c>
      <c r="J292" s="507">
        <v>1616.67</v>
      </c>
      <c r="K292" s="507">
        <v>1616.67</v>
      </c>
      <c r="L292" s="508">
        <v>100.455</v>
      </c>
      <c r="M292" s="508">
        <v>66.97</v>
      </c>
      <c r="N292" s="508">
        <v>34.1</v>
      </c>
      <c r="O292" s="508">
        <v>196.08</v>
      </c>
      <c r="P292" s="508">
        <f t="shared" si="102"/>
        <v>397.60500000000002</v>
      </c>
      <c r="Q292" s="507">
        <f t="shared" si="111"/>
        <v>968803.08824999991</v>
      </c>
      <c r="R292" s="507">
        <f t="shared" si="112"/>
        <v>645868.72549999994</v>
      </c>
      <c r="S292" s="507">
        <f t="shared" si="113"/>
        <v>328865.51500000001</v>
      </c>
      <c r="T292" s="507">
        <f t="shared" si="114"/>
        <v>1891024.932</v>
      </c>
      <c r="U292" s="507">
        <f t="shared" si="103"/>
        <v>3834562.2607499999</v>
      </c>
      <c r="V292" s="507" t="s">
        <v>713</v>
      </c>
      <c r="W292" s="518"/>
      <c r="X292" s="519"/>
    </row>
    <row r="293" spans="1:24" ht="50.25" customHeight="1">
      <c r="A293" s="514"/>
      <c r="B293" s="514"/>
      <c r="C293" s="514"/>
      <c r="D293" s="512" t="s">
        <v>767</v>
      </c>
      <c r="E293" s="506" t="s">
        <v>769</v>
      </c>
      <c r="F293" s="506" t="s">
        <v>591</v>
      </c>
      <c r="G293" s="506" t="s">
        <v>1130</v>
      </c>
      <c r="H293" s="507">
        <v>6602.1</v>
      </c>
      <c r="I293" s="507">
        <v>6602.1</v>
      </c>
      <c r="J293" s="507">
        <v>1453.33</v>
      </c>
      <c r="K293" s="507">
        <v>1453.33</v>
      </c>
      <c r="L293" s="508">
        <v>1466.3980000000001</v>
      </c>
      <c r="M293" s="508">
        <v>949.02700000000004</v>
      </c>
      <c r="N293" s="508">
        <v>275.85000000000002</v>
      </c>
      <c r="O293" s="508">
        <v>1586.11</v>
      </c>
      <c r="P293" s="508">
        <f t="shared" si="102"/>
        <v>4277.3850000000002</v>
      </c>
      <c r="Q293" s="507">
        <f t="shared" si="111"/>
        <v>7550146.030460001</v>
      </c>
      <c r="R293" s="507">
        <f t="shared" si="112"/>
        <v>4886321.7467900002</v>
      </c>
      <c r="S293" s="507">
        <f t="shared" si="113"/>
        <v>1420288.2045000002</v>
      </c>
      <c r="T293" s="507">
        <f t="shared" si="114"/>
        <v>8166515.5847000005</v>
      </c>
      <c r="U293" s="507">
        <f t="shared" si="103"/>
        <v>22023271.566450004</v>
      </c>
      <c r="V293" s="507" t="s">
        <v>713</v>
      </c>
      <c r="W293" s="518"/>
      <c r="X293" s="519"/>
    </row>
    <row r="294" spans="1:24" ht="50.25" customHeight="1">
      <c r="A294" s="514"/>
      <c r="B294" s="514"/>
      <c r="C294" s="514"/>
      <c r="D294" s="512" t="s">
        <v>767</v>
      </c>
      <c r="E294" s="506" t="s">
        <v>756</v>
      </c>
      <c r="F294" s="506" t="s">
        <v>773</v>
      </c>
      <c r="G294" s="506" t="s">
        <v>1130</v>
      </c>
      <c r="H294" s="507">
        <v>8352.0300000000007</v>
      </c>
      <c r="I294" s="507">
        <v>8352.0300000000007</v>
      </c>
      <c r="J294" s="507">
        <v>2150</v>
      </c>
      <c r="K294" s="507">
        <v>2150</v>
      </c>
      <c r="L294" s="508">
        <v>718.12800000000004</v>
      </c>
      <c r="M294" s="508">
        <v>444.87800000000004</v>
      </c>
      <c r="N294" s="508">
        <v>117.23</v>
      </c>
      <c r="O294" s="508">
        <v>674.1</v>
      </c>
      <c r="P294" s="508">
        <f t="shared" si="102"/>
        <v>1954.3360000000002</v>
      </c>
      <c r="Q294" s="507">
        <f t="shared" si="111"/>
        <v>4453851.399840001</v>
      </c>
      <c r="R294" s="507">
        <f t="shared" si="112"/>
        <v>2759146.7023400008</v>
      </c>
      <c r="S294" s="507">
        <f t="shared" si="113"/>
        <v>727063.97690000013</v>
      </c>
      <c r="T294" s="507">
        <f t="shared" si="114"/>
        <v>4180788.4230000004</v>
      </c>
      <c r="U294" s="507">
        <f t="shared" si="103"/>
        <v>12120850.502080003</v>
      </c>
      <c r="V294" s="507" t="s">
        <v>713</v>
      </c>
      <c r="W294" s="518"/>
      <c r="X294" s="519"/>
    </row>
    <row r="295" spans="1:24" ht="50.25" customHeight="1">
      <c r="A295" s="514"/>
      <c r="B295" s="514"/>
      <c r="C295" s="514"/>
      <c r="D295" s="512" t="s">
        <v>767</v>
      </c>
      <c r="E295" s="506" t="s">
        <v>756</v>
      </c>
      <c r="F295" s="506" t="s">
        <v>772</v>
      </c>
      <c r="G295" s="506" t="s">
        <v>1130</v>
      </c>
      <c r="H295" s="507">
        <v>7260.74</v>
      </c>
      <c r="I295" s="507">
        <v>7260.74</v>
      </c>
      <c r="J295" s="507">
        <v>2150</v>
      </c>
      <c r="K295" s="507">
        <v>2150</v>
      </c>
      <c r="L295" s="508">
        <v>192.37400000000002</v>
      </c>
      <c r="M295" s="508">
        <v>126.01599999999999</v>
      </c>
      <c r="N295" s="508">
        <v>15.06</v>
      </c>
      <c r="O295" s="508">
        <v>86.59</v>
      </c>
      <c r="P295" s="508">
        <f t="shared" si="102"/>
        <v>420.03999999999996</v>
      </c>
      <c r="Q295" s="507">
        <f t="shared" si="111"/>
        <v>983173.49676000013</v>
      </c>
      <c r="R295" s="507">
        <f t="shared" si="112"/>
        <v>644035.01183999993</v>
      </c>
      <c r="S295" s="507">
        <f t="shared" si="113"/>
        <v>76967.744399999996</v>
      </c>
      <c r="T295" s="507">
        <f t="shared" si="114"/>
        <v>442538.97659999999</v>
      </c>
      <c r="U295" s="507">
        <f t="shared" si="103"/>
        <v>2146715.2296000002</v>
      </c>
      <c r="V295" s="507" t="s">
        <v>713</v>
      </c>
      <c r="W295" s="518"/>
      <c r="X295" s="519"/>
    </row>
    <row r="296" spans="1:24" ht="50.25" customHeight="1">
      <c r="A296" s="514"/>
      <c r="B296" s="514"/>
      <c r="C296" s="514"/>
      <c r="D296" s="512" t="s">
        <v>767</v>
      </c>
      <c r="E296" s="506" t="s">
        <v>756</v>
      </c>
      <c r="F296" s="506" t="s">
        <v>768</v>
      </c>
      <c r="G296" s="506" t="s">
        <v>1130</v>
      </c>
      <c r="H296" s="507">
        <v>4845.01</v>
      </c>
      <c r="I296" s="507">
        <v>4845.01</v>
      </c>
      <c r="J296" s="507">
        <v>2150</v>
      </c>
      <c r="K296" s="507">
        <v>2150</v>
      </c>
      <c r="L296" s="508">
        <v>9361.3029999999999</v>
      </c>
      <c r="M296" s="508">
        <v>4959.6790000000001</v>
      </c>
      <c r="N296" s="508">
        <v>1598.85</v>
      </c>
      <c r="O296" s="508">
        <v>9193.3799999999992</v>
      </c>
      <c r="P296" s="508">
        <f t="shared" si="102"/>
        <v>25113.212</v>
      </c>
      <c r="Q296" s="507">
        <f t="shared" si="111"/>
        <v>25228805.198030002</v>
      </c>
      <c r="R296" s="507">
        <f t="shared" si="112"/>
        <v>13366384.501790002</v>
      </c>
      <c r="S296" s="507">
        <f t="shared" si="113"/>
        <v>4308916.7385</v>
      </c>
      <c r="T296" s="507">
        <f t="shared" si="114"/>
        <v>24776251.033799998</v>
      </c>
      <c r="U296" s="507">
        <f t="shared" si="103"/>
        <v>67680357.472120002</v>
      </c>
      <c r="V296" s="507" t="s">
        <v>713</v>
      </c>
      <c r="W296" s="518"/>
      <c r="X296" s="519"/>
    </row>
    <row r="297" spans="1:24" ht="50.25" customHeight="1">
      <c r="A297" s="514"/>
      <c r="B297" s="514"/>
      <c r="C297" s="514"/>
      <c r="D297" s="512" t="s">
        <v>767</v>
      </c>
      <c r="E297" s="506" t="s">
        <v>756</v>
      </c>
      <c r="F297" s="506" t="s">
        <v>768</v>
      </c>
      <c r="G297" s="506" t="s">
        <v>1131</v>
      </c>
      <c r="H297" s="507">
        <v>4845.01</v>
      </c>
      <c r="I297" s="507">
        <v>4845.01</v>
      </c>
      <c r="J297" s="507">
        <v>2150</v>
      </c>
      <c r="K297" s="507">
        <v>2150</v>
      </c>
      <c r="L297" s="508">
        <v>1339.5529999999999</v>
      </c>
      <c r="M297" s="508">
        <v>1277.5430000000001</v>
      </c>
      <c r="N297" s="508">
        <v>346.93</v>
      </c>
      <c r="O297" s="508">
        <v>1994.86</v>
      </c>
      <c r="P297" s="508">
        <f t="shared" si="102"/>
        <v>4958.8859999999995</v>
      </c>
      <c r="Q297" s="507">
        <f t="shared" si="111"/>
        <v>3610108.7305299998</v>
      </c>
      <c r="R297" s="507">
        <f t="shared" si="112"/>
        <v>3442991.1604300006</v>
      </c>
      <c r="S297" s="507">
        <f t="shared" si="113"/>
        <v>934979.81930000009</v>
      </c>
      <c r="T297" s="507">
        <f t="shared" si="114"/>
        <v>5376167.6486</v>
      </c>
      <c r="U297" s="507">
        <f t="shared" si="103"/>
        <v>13364247.358860001</v>
      </c>
      <c r="V297" s="507" t="s">
        <v>713</v>
      </c>
      <c r="W297" s="518"/>
      <c r="X297" s="519"/>
    </row>
    <row r="298" spans="1:24" ht="50.25" customHeight="1">
      <c r="A298" s="514"/>
      <c r="B298" s="514"/>
      <c r="C298" s="514"/>
      <c r="D298" s="512" t="s">
        <v>767</v>
      </c>
      <c r="E298" s="506" t="s">
        <v>771</v>
      </c>
      <c r="F298" s="506" t="s">
        <v>770</v>
      </c>
      <c r="G298" s="506" t="s">
        <v>1130</v>
      </c>
      <c r="H298" s="507">
        <v>6435.71</v>
      </c>
      <c r="I298" s="507">
        <v>6435.71</v>
      </c>
      <c r="J298" s="507">
        <v>1716.67</v>
      </c>
      <c r="K298" s="507">
        <v>1716.67</v>
      </c>
      <c r="L298" s="508">
        <v>1982.749</v>
      </c>
      <c r="M298" s="508">
        <v>1169.663</v>
      </c>
      <c r="N298" s="508">
        <v>350.81</v>
      </c>
      <c r="O298" s="508">
        <v>2017.14</v>
      </c>
      <c r="P298" s="508">
        <f t="shared" si="102"/>
        <v>5520.3620000000001</v>
      </c>
      <c r="Q298" s="507">
        <f t="shared" si="111"/>
        <v>9356671.8409599997</v>
      </c>
      <c r="R298" s="507">
        <f t="shared" si="112"/>
        <v>5519686.4835200002</v>
      </c>
      <c r="S298" s="507">
        <f t="shared" si="113"/>
        <v>1655486.4224</v>
      </c>
      <c r="T298" s="507">
        <f t="shared" si="114"/>
        <v>9518964.3455999997</v>
      </c>
      <c r="U298" s="507">
        <f t="shared" si="103"/>
        <v>26050809.09248</v>
      </c>
      <c r="V298" s="507" t="s">
        <v>713</v>
      </c>
      <c r="W298" s="518"/>
      <c r="X298" s="519"/>
    </row>
    <row r="299" spans="1:24" ht="50.25" customHeight="1">
      <c r="A299" s="514"/>
      <c r="B299" s="514"/>
      <c r="C299" s="514"/>
      <c r="D299" s="512" t="s">
        <v>767</v>
      </c>
      <c r="E299" s="506" t="s">
        <v>726</v>
      </c>
      <c r="F299" s="506" t="s">
        <v>766</v>
      </c>
      <c r="G299" s="506" t="s">
        <v>1130</v>
      </c>
      <c r="H299" s="507">
        <v>6836.63</v>
      </c>
      <c r="I299" s="507">
        <v>6836.63</v>
      </c>
      <c r="J299" s="507">
        <v>1980</v>
      </c>
      <c r="K299" s="507">
        <v>1980</v>
      </c>
      <c r="L299" s="508">
        <v>1812.5619999999999</v>
      </c>
      <c r="M299" s="508">
        <v>758.12199999999996</v>
      </c>
      <c r="N299" s="508">
        <v>262.31</v>
      </c>
      <c r="O299" s="508">
        <v>1508.27</v>
      </c>
      <c r="P299" s="508">
        <f t="shared" si="102"/>
        <v>4341.2639999999992</v>
      </c>
      <c r="Q299" s="507">
        <f t="shared" si="111"/>
        <v>8802942.9860599991</v>
      </c>
      <c r="R299" s="507">
        <f t="shared" si="112"/>
        <v>3681918.04886</v>
      </c>
      <c r="S299" s="507">
        <f t="shared" si="113"/>
        <v>1273942.6152999999</v>
      </c>
      <c r="T299" s="507">
        <f t="shared" si="114"/>
        <v>7325109.3300999999</v>
      </c>
      <c r="U299" s="507">
        <f t="shared" si="103"/>
        <v>21083912.980319999</v>
      </c>
      <c r="V299" s="507" t="s">
        <v>713</v>
      </c>
      <c r="W299" s="518"/>
      <c r="X299" s="519"/>
    </row>
    <row r="300" spans="1:24" ht="50.25" customHeight="1">
      <c r="A300" s="514"/>
      <c r="B300" s="514"/>
      <c r="C300" s="514"/>
      <c r="D300" s="512" t="s">
        <v>767</v>
      </c>
      <c r="E300" s="506" t="s">
        <v>726</v>
      </c>
      <c r="F300" s="506" t="s">
        <v>766</v>
      </c>
      <c r="G300" s="506" t="s">
        <v>1131</v>
      </c>
      <c r="H300" s="507">
        <v>6836.63</v>
      </c>
      <c r="I300" s="507">
        <v>6836.63</v>
      </c>
      <c r="J300" s="507">
        <v>1980</v>
      </c>
      <c r="K300" s="507">
        <v>1980</v>
      </c>
      <c r="L300" s="508">
        <v>314.21900000000005</v>
      </c>
      <c r="M300" s="508">
        <v>310.42500000000001</v>
      </c>
      <c r="N300" s="508">
        <v>66.010000000000005</v>
      </c>
      <c r="O300" s="508">
        <v>379.55</v>
      </c>
      <c r="P300" s="508">
        <f t="shared" si="102"/>
        <v>1070.204</v>
      </c>
      <c r="Q300" s="507">
        <f t="shared" si="111"/>
        <v>1526045.4219700003</v>
      </c>
      <c r="R300" s="507">
        <f t="shared" si="112"/>
        <v>1507619.36775</v>
      </c>
      <c r="S300" s="507">
        <f t="shared" si="113"/>
        <v>320586.14630000002</v>
      </c>
      <c r="T300" s="507">
        <f t="shared" si="114"/>
        <v>1843333.9165000001</v>
      </c>
      <c r="U300" s="507">
        <f t="shared" si="103"/>
        <v>5197584.8525200002</v>
      </c>
      <c r="V300" s="507" t="s">
        <v>713</v>
      </c>
      <c r="W300" s="518"/>
      <c r="X300" s="519"/>
    </row>
    <row r="301" spans="1:24" ht="38.25" customHeight="1">
      <c r="A301" s="514" t="s">
        <v>760</v>
      </c>
      <c r="B301" s="514" t="s">
        <v>765</v>
      </c>
      <c r="C301" s="514" t="s">
        <v>91</v>
      </c>
      <c r="D301" s="589"/>
      <c r="E301" s="512" t="s">
        <v>762</v>
      </c>
      <c r="F301" s="512"/>
      <c r="G301" s="512" t="s">
        <v>1215</v>
      </c>
      <c r="H301" s="507" t="s">
        <v>713</v>
      </c>
      <c r="I301" s="507" t="s">
        <v>713</v>
      </c>
      <c r="J301" s="507" t="s">
        <v>713</v>
      </c>
      <c r="K301" s="507" t="s">
        <v>713</v>
      </c>
      <c r="L301" s="508">
        <f t="shared" ref="L301:U301" si="115">SUM(L302:L307)</f>
        <v>1820.1649999999997</v>
      </c>
      <c r="M301" s="508">
        <f t="shared" si="115"/>
        <v>869.50099999999998</v>
      </c>
      <c r="N301" s="508">
        <f t="shared" si="115"/>
        <v>409.298</v>
      </c>
      <c r="O301" s="508">
        <f t="shared" si="115"/>
        <v>1568.0079999999998</v>
      </c>
      <c r="P301" s="508">
        <f t="shared" si="115"/>
        <v>4666.9719999999998</v>
      </c>
      <c r="Q301" s="507">
        <f t="shared" si="115"/>
        <v>7292996.2273999993</v>
      </c>
      <c r="R301" s="507">
        <f t="shared" si="115"/>
        <v>3218509.9667799994</v>
      </c>
      <c r="S301" s="507">
        <f t="shared" si="115"/>
        <v>1640896.59626</v>
      </c>
      <c r="T301" s="507">
        <f t="shared" si="115"/>
        <v>6377420.6325599998</v>
      </c>
      <c r="U301" s="507">
        <f t="shared" si="115"/>
        <v>18529823.423</v>
      </c>
      <c r="V301" s="507">
        <v>2472599.88</v>
      </c>
      <c r="W301" s="518">
        <f>T301/3</f>
        <v>2125806.8775200001</v>
      </c>
      <c r="X301" s="518">
        <f>U301+V301-W301</f>
        <v>18876616.425480001</v>
      </c>
    </row>
    <row r="302" spans="1:24" ht="81.75" customHeight="1">
      <c r="A302" s="514"/>
      <c r="B302" s="514"/>
      <c r="C302" s="514"/>
      <c r="D302" s="512" t="s">
        <v>762</v>
      </c>
      <c r="E302" s="506" t="s">
        <v>756</v>
      </c>
      <c r="F302" s="506" t="s">
        <v>764</v>
      </c>
      <c r="G302" s="506" t="s">
        <v>1130</v>
      </c>
      <c r="H302" s="507">
        <v>5847.13</v>
      </c>
      <c r="I302" s="507">
        <v>5847.13</v>
      </c>
      <c r="J302" s="507">
        <v>2150</v>
      </c>
      <c r="K302" s="507">
        <v>2150</v>
      </c>
      <c r="L302" s="508">
        <v>1046.9559999999999</v>
      </c>
      <c r="M302" s="508">
        <v>0</v>
      </c>
      <c r="N302" s="508">
        <v>244.55</v>
      </c>
      <c r="O302" s="508">
        <v>821.31</v>
      </c>
      <c r="P302" s="508">
        <f t="shared" si="102"/>
        <v>2112.8159999999998</v>
      </c>
      <c r="Q302" s="507">
        <f t="shared" ref="Q302:Q307" si="116">(H302-J302)*L302</f>
        <v>3870732.4362799996</v>
      </c>
      <c r="R302" s="507">
        <f t="shared" ref="R302:R307" si="117">(H302-J302)*M302</f>
        <v>0</v>
      </c>
      <c r="S302" s="507">
        <f t="shared" ref="S302:S307" si="118">(I302-J302)*N302</f>
        <v>904133.14150000003</v>
      </c>
      <c r="T302" s="507">
        <f t="shared" ref="T302:T307" si="119">(I302-K302)*O302</f>
        <v>3036489.8402999998</v>
      </c>
      <c r="U302" s="507">
        <f t="shared" si="103"/>
        <v>7811355.4180800002</v>
      </c>
      <c r="V302" s="507" t="s">
        <v>713</v>
      </c>
      <c r="W302" s="518"/>
      <c r="X302" s="519"/>
    </row>
    <row r="303" spans="1:24" ht="58.5" customHeight="1">
      <c r="A303" s="514"/>
      <c r="B303" s="514"/>
      <c r="C303" s="514"/>
      <c r="D303" s="512" t="s">
        <v>762</v>
      </c>
      <c r="E303" s="506" t="s">
        <v>756</v>
      </c>
      <c r="F303" s="506" t="s">
        <v>763</v>
      </c>
      <c r="G303" s="506" t="s">
        <v>1130</v>
      </c>
      <c r="H303" s="507">
        <v>6980.97</v>
      </c>
      <c r="I303" s="507">
        <v>6980.97</v>
      </c>
      <c r="J303" s="507">
        <v>2150</v>
      </c>
      <c r="K303" s="507">
        <v>2150</v>
      </c>
      <c r="L303" s="508">
        <v>8.495000000000001</v>
      </c>
      <c r="M303" s="508">
        <v>0</v>
      </c>
      <c r="N303" s="508">
        <v>0.92800000000000005</v>
      </c>
      <c r="O303" s="508">
        <v>8.7780000000000005</v>
      </c>
      <c r="P303" s="508">
        <f t="shared" si="102"/>
        <v>18.201000000000001</v>
      </c>
      <c r="Q303" s="507">
        <f t="shared" si="116"/>
        <v>41039.090150000004</v>
      </c>
      <c r="R303" s="507">
        <f t="shared" si="117"/>
        <v>0</v>
      </c>
      <c r="S303" s="507">
        <f t="shared" si="118"/>
        <v>4483.1401600000008</v>
      </c>
      <c r="T303" s="507">
        <f t="shared" si="119"/>
        <v>42406.254660000006</v>
      </c>
      <c r="U303" s="507">
        <f t="shared" si="103"/>
        <v>87928.48497000002</v>
      </c>
      <c r="V303" s="507" t="s">
        <v>713</v>
      </c>
      <c r="W303" s="518"/>
      <c r="X303" s="519"/>
    </row>
    <row r="304" spans="1:24" ht="81.75" customHeight="1">
      <c r="A304" s="514"/>
      <c r="B304" s="514"/>
      <c r="C304" s="514"/>
      <c r="D304" s="512" t="s">
        <v>762</v>
      </c>
      <c r="E304" s="506" t="s">
        <v>756</v>
      </c>
      <c r="F304" s="506" t="s">
        <v>761</v>
      </c>
      <c r="G304" s="506" t="s">
        <v>1130</v>
      </c>
      <c r="H304" s="507">
        <v>6620.03</v>
      </c>
      <c r="I304" s="507">
        <v>6620.03</v>
      </c>
      <c r="J304" s="507">
        <v>2150</v>
      </c>
      <c r="K304" s="507">
        <v>2150</v>
      </c>
      <c r="L304" s="508">
        <v>714.11400000000003</v>
      </c>
      <c r="M304" s="508">
        <v>0</v>
      </c>
      <c r="N304" s="508">
        <v>163.82</v>
      </c>
      <c r="O304" s="508">
        <v>737.92</v>
      </c>
      <c r="P304" s="508">
        <f t="shared" si="102"/>
        <v>1615.8539999999998</v>
      </c>
      <c r="Q304" s="507">
        <f t="shared" si="116"/>
        <v>3192111.00342</v>
      </c>
      <c r="R304" s="507">
        <f t="shared" si="117"/>
        <v>0</v>
      </c>
      <c r="S304" s="507">
        <f t="shared" si="118"/>
        <v>732280.31459999993</v>
      </c>
      <c r="T304" s="507">
        <f t="shared" si="119"/>
        <v>3298524.5375999995</v>
      </c>
      <c r="U304" s="507">
        <f t="shared" si="103"/>
        <v>7222915.8556199996</v>
      </c>
      <c r="V304" s="507" t="s">
        <v>713</v>
      </c>
      <c r="W304" s="518"/>
      <c r="X304" s="519"/>
    </row>
    <row r="305" spans="1:24" ht="81.75" customHeight="1">
      <c r="A305" s="514"/>
      <c r="B305" s="514"/>
      <c r="C305" s="514"/>
      <c r="D305" s="512"/>
      <c r="E305" s="506" t="s">
        <v>756</v>
      </c>
      <c r="F305" s="506" t="s">
        <v>1184</v>
      </c>
      <c r="G305" s="506" t="s">
        <v>1130</v>
      </c>
      <c r="H305" s="507">
        <v>5984.48</v>
      </c>
      <c r="I305" s="507">
        <v>5984.48</v>
      </c>
      <c r="J305" s="507">
        <v>2580</v>
      </c>
      <c r="K305" s="507">
        <v>2580</v>
      </c>
      <c r="L305" s="508">
        <v>26.512</v>
      </c>
      <c r="M305" s="508">
        <v>500.16700000000003</v>
      </c>
      <c r="N305" s="508">
        <v>0</v>
      </c>
      <c r="O305" s="508">
        <v>0</v>
      </c>
      <c r="P305" s="508">
        <f t="shared" si="102"/>
        <v>526.67900000000009</v>
      </c>
      <c r="Q305" s="507">
        <f t="shared" si="116"/>
        <v>90259.573759999985</v>
      </c>
      <c r="R305" s="507">
        <f t="shared" si="117"/>
        <v>1702808.5481599998</v>
      </c>
      <c r="S305" s="507">
        <f t="shared" si="118"/>
        <v>0</v>
      </c>
      <c r="T305" s="507">
        <f t="shared" si="119"/>
        <v>0</v>
      </c>
      <c r="U305" s="507">
        <f t="shared" si="103"/>
        <v>1793068.1219199998</v>
      </c>
      <c r="V305" s="507"/>
      <c r="W305" s="518"/>
      <c r="X305" s="519"/>
    </row>
    <row r="306" spans="1:24" ht="92.25" customHeight="1">
      <c r="A306" s="514"/>
      <c r="B306" s="514"/>
      <c r="C306" s="514"/>
      <c r="D306" s="512"/>
      <c r="E306" s="506" t="s">
        <v>756</v>
      </c>
      <c r="F306" s="506" t="s">
        <v>1185</v>
      </c>
      <c r="G306" s="506" t="s">
        <v>1130</v>
      </c>
      <c r="H306" s="507">
        <v>7070.33</v>
      </c>
      <c r="I306" s="507">
        <v>7070.33</v>
      </c>
      <c r="J306" s="507">
        <v>2580</v>
      </c>
      <c r="K306" s="507">
        <v>2580</v>
      </c>
      <c r="L306" s="508">
        <v>0.28299999999999997</v>
      </c>
      <c r="M306" s="508">
        <v>4.3420000000000005</v>
      </c>
      <c r="N306" s="508">
        <v>0</v>
      </c>
      <c r="O306" s="508">
        <v>0</v>
      </c>
      <c r="P306" s="508">
        <f t="shared" si="102"/>
        <v>4.6250000000000009</v>
      </c>
      <c r="Q306" s="507">
        <f t="shared" si="116"/>
        <v>1270.7633899999998</v>
      </c>
      <c r="R306" s="507">
        <f t="shared" si="117"/>
        <v>19497.012860000003</v>
      </c>
      <c r="S306" s="507">
        <f t="shared" si="118"/>
        <v>0</v>
      </c>
      <c r="T306" s="507">
        <f t="shared" si="119"/>
        <v>0</v>
      </c>
      <c r="U306" s="507">
        <f t="shared" si="103"/>
        <v>20767.776250000003</v>
      </c>
      <c r="V306" s="507"/>
      <c r="W306" s="518"/>
      <c r="X306" s="519"/>
    </row>
    <row r="307" spans="1:24" ht="92.25" customHeight="1">
      <c r="A307" s="514"/>
      <c r="B307" s="514"/>
      <c r="C307" s="514"/>
      <c r="D307" s="512"/>
      <c r="E307" s="506" t="s">
        <v>756</v>
      </c>
      <c r="F307" s="506" t="s">
        <v>1186</v>
      </c>
      <c r="G307" s="506" t="s">
        <v>1130</v>
      </c>
      <c r="H307" s="507">
        <v>6679.28</v>
      </c>
      <c r="I307" s="507">
        <v>6679.28</v>
      </c>
      <c r="J307" s="507">
        <v>2580</v>
      </c>
      <c r="K307" s="507">
        <v>2580</v>
      </c>
      <c r="L307" s="508">
        <v>23.805</v>
      </c>
      <c r="M307" s="508">
        <v>364.99200000000002</v>
      </c>
      <c r="N307" s="508">
        <v>0</v>
      </c>
      <c r="O307" s="508">
        <v>0</v>
      </c>
      <c r="P307" s="508">
        <f t="shared" si="102"/>
        <v>388.79700000000003</v>
      </c>
      <c r="Q307" s="507">
        <f t="shared" si="116"/>
        <v>97583.36039999999</v>
      </c>
      <c r="R307" s="507">
        <f t="shared" si="117"/>
        <v>1496204.40576</v>
      </c>
      <c r="S307" s="507">
        <f t="shared" si="118"/>
        <v>0</v>
      </c>
      <c r="T307" s="507">
        <f t="shared" si="119"/>
        <v>0</v>
      </c>
      <c r="U307" s="507">
        <f t="shared" si="103"/>
        <v>1593787.7661599999</v>
      </c>
      <c r="V307" s="507"/>
      <c r="W307" s="518"/>
      <c r="X307" s="519"/>
    </row>
    <row r="308" spans="1:24" ht="41.25" customHeight="1">
      <c r="A308" s="514" t="s">
        <v>760</v>
      </c>
      <c r="B308" s="514" t="s">
        <v>759</v>
      </c>
      <c r="C308" s="514" t="s">
        <v>758</v>
      </c>
      <c r="D308" s="589"/>
      <c r="E308" s="512" t="s">
        <v>757</v>
      </c>
      <c r="F308" s="512"/>
      <c r="G308" s="512" t="s">
        <v>1215</v>
      </c>
      <c r="H308" s="507" t="s">
        <v>713</v>
      </c>
      <c r="I308" s="507" t="s">
        <v>713</v>
      </c>
      <c r="J308" s="507" t="s">
        <v>713</v>
      </c>
      <c r="K308" s="507" t="s">
        <v>713</v>
      </c>
      <c r="L308" s="508">
        <f t="shared" ref="L308:U308" si="120">SUM(L309)</f>
        <v>2773.1840000000002</v>
      </c>
      <c r="M308" s="508">
        <f t="shared" si="120"/>
        <v>1278.9159999999999</v>
      </c>
      <c r="N308" s="508">
        <f t="shared" si="120"/>
        <v>451.89</v>
      </c>
      <c r="O308" s="508">
        <f t="shared" si="120"/>
        <v>2550.39</v>
      </c>
      <c r="P308" s="508">
        <f t="shared" si="120"/>
        <v>7054.380000000001</v>
      </c>
      <c r="Q308" s="507">
        <f t="shared" si="120"/>
        <v>7230439.4476800021</v>
      </c>
      <c r="R308" s="507">
        <f t="shared" si="120"/>
        <v>3334479.3193200002</v>
      </c>
      <c r="S308" s="507">
        <f t="shared" si="120"/>
        <v>1178199.2403000002</v>
      </c>
      <c r="T308" s="507">
        <f t="shared" si="120"/>
        <v>6649555.3353000004</v>
      </c>
      <c r="U308" s="507">
        <f t="shared" si="120"/>
        <v>18392673.342600003</v>
      </c>
      <c r="V308" s="507">
        <v>2260278.86</v>
      </c>
      <c r="W308" s="518">
        <f>T308/3</f>
        <v>2216518.4451000001</v>
      </c>
      <c r="X308" s="518">
        <f>U308+V308-W308</f>
        <v>18436433.7575</v>
      </c>
    </row>
    <row r="309" spans="1:24" ht="52.5" customHeight="1">
      <c r="A309" s="514"/>
      <c r="B309" s="514"/>
      <c r="C309" s="514"/>
      <c r="D309" s="512" t="s">
        <v>757</v>
      </c>
      <c r="E309" s="506" t="s">
        <v>756</v>
      </c>
      <c r="F309" s="506" t="s">
        <v>755</v>
      </c>
      <c r="G309" s="506" t="s">
        <v>1130</v>
      </c>
      <c r="H309" s="507">
        <v>5187.2700000000004</v>
      </c>
      <c r="I309" s="507">
        <v>5187.2700000000004</v>
      </c>
      <c r="J309" s="507">
        <v>2580</v>
      </c>
      <c r="K309" s="507">
        <v>2580</v>
      </c>
      <c r="L309" s="508">
        <v>2773.1840000000002</v>
      </c>
      <c r="M309" s="508">
        <v>1278.9159999999999</v>
      </c>
      <c r="N309" s="508">
        <v>451.89</v>
      </c>
      <c r="O309" s="508">
        <v>2550.39</v>
      </c>
      <c r="P309" s="508">
        <f t="shared" si="102"/>
        <v>7054.380000000001</v>
      </c>
      <c r="Q309" s="507">
        <f>(H309-J309)*L309</f>
        <v>7230439.4476800021</v>
      </c>
      <c r="R309" s="507">
        <f>(H309-J309)*M309</f>
        <v>3334479.3193200002</v>
      </c>
      <c r="S309" s="507">
        <f>(I309-J309)*N309</f>
        <v>1178199.2403000002</v>
      </c>
      <c r="T309" s="507">
        <f>(I309-K309)*O309</f>
        <v>6649555.3353000004</v>
      </c>
      <c r="U309" s="507">
        <f t="shared" si="103"/>
        <v>18392673.342600003</v>
      </c>
      <c r="V309" s="507" t="s">
        <v>713</v>
      </c>
      <c r="W309" s="518"/>
      <c r="X309" s="519"/>
    </row>
    <row r="310" spans="1:24" ht="38.25" customHeight="1">
      <c r="A310" s="514" t="s">
        <v>754</v>
      </c>
      <c r="B310" s="514" t="s">
        <v>753</v>
      </c>
      <c r="C310" s="514" t="s">
        <v>752</v>
      </c>
      <c r="D310" s="589"/>
      <c r="E310" s="512" t="s">
        <v>751</v>
      </c>
      <c r="F310" s="512"/>
      <c r="G310" s="512" t="s">
        <v>1215</v>
      </c>
      <c r="H310" s="507" t="s">
        <v>713</v>
      </c>
      <c r="I310" s="507" t="s">
        <v>713</v>
      </c>
      <c r="J310" s="507" t="s">
        <v>713</v>
      </c>
      <c r="K310" s="507" t="s">
        <v>713</v>
      </c>
      <c r="L310" s="508">
        <f t="shared" ref="L310:U310" si="121">SUM(L311)</f>
        <v>2885.0219999999999</v>
      </c>
      <c r="M310" s="508">
        <f t="shared" si="121"/>
        <v>1923.348</v>
      </c>
      <c r="N310" s="508">
        <f t="shared" si="121"/>
        <v>949.28</v>
      </c>
      <c r="O310" s="508">
        <f t="shared" si="121"/>
        <v>2847.82</v>
      </c>
      <c r="P310" s="508">
        <f t="shared" si="121"/>
        <v>8605.4699999999993</v>
      </c>
      <c r="Q310" s="507">
        <f t="shared" si="121"/>
        <v>10981865.093220001</v>
      </c>
      <c r="R310" s="507">
        <f t="shared" si="121"/>
        <v>7321243.3954800004</v>
      </c>
      <c r="S310" s="507">
        <f t="shared" si="121"/>
        <v>3613443.8128</v>
      </c>
      <c r="T310" s="507">
        <f t="shared" si="121"/>
        <v>10840255.308200002</v>
      </c>
      <c r="U310" s="507">
        <f t="shared" si="121"/>
        <v>32756807.609700006</v>
      </c>
      <c r="V310" s="507">
        <v>3660621.7</v>
      </c>
      <c r="W310" s="518">
        <f>T310/3</f>
        <v>3613418.4360666671</v>
      </c>
      <c r="X310" s="518">
        <f>U310+V310-W310</f>
        <v>32804010.873633336</v>
      </c>
    </row>
    <row r="311" spans="1:24" ht="52.5" customHeight="1">
      <c r="A311" s="514"/>
      <c r="B311" s="514"/>
      <c r="C311" s="514"/>
      <c r="D311" s="512" t="s">
        <v>751</v>
      </c>
      <c r="E311" s="506" t="s">
        <v>742</v>
      </c>
      <c r="F311" s="506" t="s">
        <v>750</v>
      </c>
      <c r="G311" s="506" t="s">
        <v>1130</v>
      </c>
      <c r="H311" s="507">
        <v>5506.51</v>
      </c>
      <c r="I311" s="507">
        <v>5506.51</v>
      </c>
      <c r="J311" s="507">
        <v>1700</v>
      </c>
      <c r="K311" s="507">
        <v>1700</v>
      </c>
      <c r="L311" s="508">
        <v>2885.0219999999999</v>
      </c>
      <c r="M311" s="508">
        <v>1923.348</v>
      </c>
      <c r="N311" s="508">
        <v>949.28</v>
      </c>
      <c r="O311" s="508">
        <v>2847.82</v>
      </c>
      <c r="P311" s="508">
        <f t="shared" si="102"/>
        <v>8605.4699999999993</v>
      </c>
      <c r="Q311" s="507">
        <f>(H311-J311)*L311</f>
        <v>10981865.093220001</v>
      </c>
      <c r="R311" s="507">
        <f>(H311-J311)*M311</f>
        <v>7321243.3954800004</v>
      </c>
      <c r="S311" s="507">
        <f>(I311-J311)*N311</f>
        <v>3613443.8128</v>
      </c>
      <c r="T311" s="507">
        <f>(I311-K311)*O311</f>
        <v>10840255.308200002</v>
      </c>
      <c r="U311" s="507">
        <f t="shared" si="103"/>
        <v>32756807.609700006</v>
      </c>
      <c r="V311" s="507" t="s">
        <v>713</v>
      </c>
      <c r="W311" s="518"/>
      <c r="X311" s="519"/>
    </row>
    <row r="312" spans="1:24" ht="42.75" customHeight="1">
      <c r="A312" s="514" t="s">
        <v>724</v>
      </c>
      <c r="B312" s="514" t="s">
        <v>749</v>
      </c>
      <c r="C312" s="514" t="s">
        <v>94</v>
      </c>
      <c r="D312" s="589"/>
      <c r="E312" s="512" t="s">
        <v>748</v>
      </c>
      <c r="F312" s="512"/>
      <c r="G312" s="512" t="s">
        <v>1215</v>
      </c>
      <c r="H312" s="507" t="s">
        <v>713</v>
      </c>
      <c r="I312" s="507" t="s">
        <v>713</v>
      </c>
      <c r="J312" s="507" t="s">
        <v>713</v>
      </c>
      <c r="K312" s="507" t="s">
        <v>713</v>
      </c>
      <c r="L312" s="508">
        <f t="shared" ref="L312:U312" si="122">SUM(L313)</f>
        <v>2620.489</v>
      </c>
      <c r="M312" s="508">
        <f t="shared" si="122"/>
        <v>1295.1849999999999</v>
      </c>
      <c r="N312" s="508">
        <f t="shared" si="122"/>
        <v>490.8</v>
      </c>
      <c r="O312" s="508">
        <f t="shared" si="122"/>
        <v>2354.1</v>
      </c>
      <c r="P312" s="508">
        <f t="shared" si="122"/>
        <v>6760.5740000000005</v>
      </c>
      <c r="Q312" s="507">
        <f t="shared" si="122"/>
        <v>10203948.32199</v>
      </c>
      <c r="R312" s="507">
        <f t="shared" si="122"/>
        <v>5043333.8233499993</v>
      </c>
      <c r="S312" s="507">
        <f t="shared" si="122"/>
        <v>1911131.0279999999</v>
      </c>
      <c r="T312" s="507">
        <f t="shared" si="122"/>
        <v>9166653.5309999995</v>
      </c>
      <c r="U312" s="507">
        <f t="shared" si="122"/>
        <v>26325066.70434</v>
      </c>
      <c r="V312" s="507">
        <v>3783626.68</v>
      </c>
      <c r="W312" s="518">
        <f>T312/3</f>
        <v>3055551.1769999997</v>
      </c>
      <c r="X312" s="518">
        <f>U312+V312-W312</f>
        <v>27053142.207339998</v>
      </c>
    </row>
    <row r="313" spans="1:24" ht="52.5" customHeight="1">
      <c r="A313" s="514"/>
      <c r="B313" s="514"/>
      <c r="C313" s="514"/>
      <c r="D313" s="512" t="s">
        <v>748</v>
      </c>
      <c r="E313" s="506" t="s">
        <v>747</v>
      </c>
      <c r="F313" s="506" t="s">
        <v>1182</v>
      </c>
      <c r="G313" s="506" t="s">
        <v>1130</v>
      </c>
      <c r="H313" s="507">
        <v>5637.91</v>
      </c>
      <c r="I313" s="507">
        <v>5637.91</v>
      </c>
      <c r="J313" s="507">
        <v>1744</v>
      </c>
      <c r="K313" s="507">
        <v>1744</v>
      </c>
      <c r="L313" s="508">
        <v>2620.489</v>
      </c>
      <c r="M313" s="508">
        <v>1295.1849999999999</v>
      </c>
      <c r="N313" s="508">
        <v>490.8</v>
      </c>
      <c r="O313" s="508">
        <v>2354.1</v>
      </c>
      <c r="P313" s="508">
        <f t="shared" si="102"/>
        <v>6760.5740000000005</v>
      </c>
      <c r="Q313" s="507">
        <f>(H313-J313)*L313</f>
        <v>10203948.32199</v>
      </c>
      <c r="R313" s="507">
        <f>(H313-J313)*M313</f>
        <v>5043333.8233499993</v>
      </c>
      <c r="S313" s="507">
        <f>(I313-J313)*N313</f>
        <v>1911131.0279999999</v>
      </c>
      <c r="T313" s="507">
        <f>(I313-K313)*O313</f>
        <v>9166653.5309999995</v>
      </c>
      <c r="U313" s="507">
        <f t="shared" si="103"/>
        <v>26325066.70434</v>
      </c>
      <c r="V313" s="507" t="s">
        <v>713</v>
      </c>
      <c r="W313" s="518"/>
      <c r="X313" s="519"/>
    </row>
    <row r="314" spans="1:24" ht="45.75" customHeight="1">
      <c r="A314" s="514" t="s">
        <v>746</v>
      </c>
      <c r="B314" s="514" t="s">
        <v>745</v>
      </c>
      <c r="C314" s="514" t="s">
        <v>744</v>
      </c>
      <c r="D314" s="589"/>
      <c r="E314" s="512" t="s">
        <v>743</v>
      </c>
      <c r="F314" s="512"/>
      <c r="G314" s="512" t="s">
        <v>1215</v>
      </c>
      <c r="H314" s="507" t="s">
        <v>713</v>
      </c>
      <c r="I314" s="507" t="s">
        <v>713</v>
      </c>
      <c r="J314" s="507" t="s">
        <v>713</v>
      </c>
      <c r="K314" s="507" t="s">
        <v>713</v>
      </c>
      <c r="L314" s="508">
        <f t="shared" ref="L314:U314" si="123">SUM(L315:L319)</f>
        <v>5000.6319999999996</v>
      </c>
      <c r="M314" s="508">
        <f t="shared" si="123"/>
        <v>2532.0700000000002</v>
      </c>
      <c r="N314" s="508">
        <f t="shared" si="123"/>
        <v>1144.28</v>
      </c>
      <c r="O314" s="508">
        <f t="shared" si="123"/>
        <v>4321.4859999999999</v>
      </c>
      <c r="P314" s="508">
        <f t="shared" si="123"/>
        <v>12998.468000000001</v>
      </c>
      <c r="Q314" s="507">
        <f t="shared" si="123"/>
        <v>27524337.307209998</v>
      </c>
      <c r="R314" s="507">
        <f t="shared" si="123"/>
        <v>13867907.545899998</v>
      </c>
      <c r="S314" s="507">
        <f t="shared" si="123"/>
        <v>6375580.1757999994</v>
      </c>
      <c r="T314" s="507">
        <f t="shared" si="123"/>
        <v>23233990.276639998</v>
      </c>
      <c r="U314" s="507">
        <f t="shared" si="123"/>
        <v>71001815.305549994</v>
      </c>
      <c r="V314" s="507">
        <v>9329303.1199999992</v>
      </c>
      <c r="W314" s="518">
        <f>T314/3</f>
        <v>7744663.4255466657</v>
      </c>
      <c r="X314" s="518">
        <f>U314+V314-W314</f>
        <v>72586455.000003338</v>
      </c>
    </row>
    <row r="315" spans="1:24" ht="45" customHeight="1">
      <c r="A315" s="514"/>
      <c r="B315" s="514"/>
      <c r="C315" s="514"/>
      <c r="D315" s="512" t="s">
        <v>743</v>
      </c>
      <c r="E315" s="506" t="s">
        <v>1181</v>
      </c>
      <c r="F315" s="506" t="s">
        <v>1176</v>
      </c>
      <c r="G315" s="506" t="s">
        <v>1130</v>
      </c>
      <c r="H315" s="507">
        <v>5997.75</v>
      </c>
      <c r="I315" s="507">
        <v>5997.75</v>
      </c>
      <c r="J315" s="507">
        <v>1744</v>
      </c>
      <c r="K315" s="507">
        <v>1744</v>
      </c>
      <c r="L315" s="508">
        <v>981.43700000000001</v>
      </c>
      <c r="M315" s="508">
        <v>485.625</v>
      </c>
      <c r="N315" s="508">
        <v>200.87</v>
      </c>
      <c r="O315" s="508">
        <v>999.93700000000001</v>
      </c>
      <c r="P315" s="508">
        <f t="shared" si="102"/>
        <v>2667.8689999999997</v>
      </c>
      <c r="Q315" s="507">
        <f>(H315-J315)*L315</f>
        <v>4174787.6387499999</v>
      </c>
      <c r="R315" s="507">
        <f>(H315-J315)*M315</f>
        <v>2065727.34375</v>
      </c>
      <c r="S315" s="507">
        <f>(I315-J315)*N315</f>
        <v>854450.76250000007</v>
      </c>
      <c r="T315" s="507">
        <f>(I315-K315)*O315</f>
        <v>4253482.0137499999</v>
      </c>
      <c r="U315" s="507">
        <f t="shared" si="103"/>
        <v>11348447.758749999</v>
      </c>
      <c r="V315" s="507" t="s">
        <v>713</v>
      </c>
      <c r="W315" s="518"/>
      <c r="X315" s="519"/>
    </row>
    <row r="316" spans="1:24" ht="45" customHeight="1">
      <c r="A316" s="514"/>
      <c r="B316" s="514"/>
      <c r="C316" s="514"/>
      <c r="D316" s="512" t="s">
        <v>743</v>
      </c>
      <c r="E316" s="506" t="s">
        <v>1181</v>
      </c>
      <c r="F316" s="506" t="s">
        <v>1177</v>
      </c>
      <c r="G316" s="506" t="s">
        <v>1130</v>
      </c>
      <c r="H316" s="507">
        <v>5885.93</v>
      </c>
      <c r="I316" s="507">
        <v>5885.93</v>
      </c>
      <c r="J316" s="507">
        <v>1744</v>
      </c>
      <c r="K316" s="507">
        <v>1744</v>
      </c>
      <c r="L316" s="508">
        <v>493.27199999999999</v>
      </c>
      <c r="M316" s="508">
        <v>177</v>
      </c>
      <c r="N316" s="508">
        <v>44.16</v>
      </c>
      <c r="O316" s="508">
        <v>408.76499999999999</v>
      </c>
      <c r="P316" s="508">
        <f t="shared" si="102"/>
        <v>1123.1969999999999</v>
      </c>
      <c r="Q316" s="507">
        <f>(H316-J316)*L316</f>
        <v>2043098.0949600001</v>
      </c>
      <c r="R316" s="507">
        <f>(H316-J316)*M316</f>
        <v>733121.6100000001</v>
      </c>
      <c r="S316" s="507">
        <f>(I316-J316)*N316</f>
        <v>182907.62880000001</v>
      </c>
      <c r="T316" s="507">
        <f>(I316-K316)*O316</f>
        <v>1693076.01645</v>
      </c>
      <c r="U316" s="507">
        <f t="shared" si="103"/>
        <v>4652203.3502099998</v>
      </c>
      <c r="V316" s="507" t="s">
        <v>713</v>
      </c>
      <c r="W316" s="518"/>
      <c r="X316" s="519"/>
    </row>
    <row r="317" spans="1:24" ht="45" customHeight="1">
      <c r="A317" s="514"/>
      <c r="B317" s="514"/>
      <c r="C317" s="514"/>
      <c r="D317" s="512" t="s">
        <v>743</v>
      </c>
      <c r="E317" s="506" t="s">
        <v>1181</v>
      </c>
      <c r="F317" s="506" t="s">
        <v>1178</v>
      </c>
      <c r="G317" s="506" t="s">
        <v>1130</v>
      </c>
      <c r="H317" s="507">
        <v>5885.93</v>
      </c>
      <c r="I317" s="507">
        <v>5885.93</v>
      </c>
      <c r="J317" s="507">
        <v>1700</v>
      </c>
      <c r="K317" s="507">
        <v>1700</v>
      </c>
      <c r="L317" s="508">
        <v>425.67599999999999</v>
      </c>
      <c r="M317" s="508">
        <v>283.78399999999999</v>
      </c>
      <c r="N317" s="508">
        <v>142.19</v>
      </c>
      <c r="O317" s="508">
        <v>426.57</v>
      </c>
      <c r="P317" s="508">
        <f t="shared" si="102"/>
        <v>1278.22</v>
      </c>
      <c r="Q317" s="507">
        <f>(H317-J317)*L317</f>
        <v>1781849.9386800001</v>
      </c>
      <c r="R317" s="507">
        <f>(H317-J317)*M317</f>
        <v>1187899.95912</v>
      </c>
      <c r="S317" s="507">
        <f>(I317-J317)*N317</f>
        <v>595197.38670000003</v>
      </c>
      <c r="T317" s="507">
        <f>(I317-K317)*O317</f>
        <v>1785592.1601</v>
      </c>
      <c r="U317" s="507">
        <f t="shared" si="103"/>
        <v>5350539.444600001</v>
      </c>
      <c r="V317" s="507" t="s">
        <v>713</v>
      </c>
      <c r="W317" s="518"/>
      <c r="X317" s="519"/>
    </row>
    <row r="318" spans="1:24" ht="45" customHeight="1">
      <c r="A318" s="514"/>
      <c r="B318" s="514"/>
      <c r="C318" s="514"/>
      <c r="D318" s="512" t="s">
        <v>743</v>
      </c>
      <c r="E318" s="506" t="s">
        <v>1181</v>
      </c>
      <c r="F318" s="506" t="s">
        <v>1179</v>
      </c>
      <c r="G318" s="506" t="s">
        <v>1130</v>
      </c>
      <c r="H318" s="507">
        <v>7618.91</v>
      </c>
      <c r="I318" s="507">
        <v>7618.91</v>
      </c>
      <c r="J318" s="507">
        <v>1700</v>
      </c>
      <c r="K318" s="507">
        <v>1700</v>
      </c>
      <c r="L318" s="508">
        <v>2992.1419999999998</v>
      </c>
      <c r="M318" s="508">
        <v>1540.029</v>
      </c>
      <c r="N318" s="508">
        <v>732.94</v>
      </c>
      <c r="O318" s="508">
        <v>2413.8539999999998</v>
      </c>
      <c r="P318" s="508">
        <f t="shared" si="102"/>
        <v>7678.9650000000001</v>
      </c>
      <c r="Q318" s="507">
        <f>(H318-J318)*L318</f>
        <v>17710219.205219999</v>
      </c>
      <c r="R318" s="507">
        <f>(H318-J318)*M318</f>
        <v>9115293.0483899992</v>
      </c>
      <c r="S318" s="507">
        <f>(I318-J318)*N318</f>
        <v>4338205.8953999998</v>
      </c>
      <c r="T318" s="507">
        <f>(I318-K318)*O318</f>
        <v>14287384.579139998</v>
      </c>
      <c r="U318" s="507">
        <f t="shared" si="103"/>
        <v>45451102.728149995</v>
      </c>
      <c r="V318" s="507" t="s">
        <v>713</v>
      </c>
      <c r="W318" s="518"/>
      <c r="X318" s="519"/>
    </row>
    <row r="319" spans="1:24" ht="45" customHeight="1">
      <c r="A319" s="514"/>
      <c r="B319" s="514"/>
      <c r="C319" s="514"/>
      <c r="D319" s="512" t="s">
        <v>743</v>
      </c>
      <c r="E319" s="506" t="s">
        <v>1181</v>
      </c>
      <c r="F319" s="506" t="s">
        <v>1180</v>
      </c>
      <c r="G319" s="506" t="s">
        <v>1130</v>
      </c>
      <c r="H319" s="507">
        <v>18167.52</v>
      </c>
      <c r="I319" s="507">
        <v>18167.52</v>
      </c>
      <c r="J319" s="507">
        <v>1384</v>
      </c>
      <c r="K319" s="507">
        <v>1384</v>
      </c>
      <c r="L319" s="508">
        <v>108.10500000000002</v>
      </c>
      <c r="M319" s="508">
        <v>45.632000000000005</v>
      </c>
      <c r="N319" s="508">
        <v>24.12</v>
      </c>
      <c r="O319" s="508">
        <v>72.36</v>
      </c>
      <c r="P319" s="508">
        <f t="shared" si="102"/>
        <v>250.21700000000004</v>
      </c>
      <c r="Q319" s="507">
        <f>(H319-J319)*L319</f>
        <v>1814382.4296000004</v>
      </c>
      <c r="R319" s="507">
        <f>(H319-J319)*M319</f>
        <v>765865.58464000013</v>
      </c>
      <c r="S319" s="507">
        <f>(I319-J319)*N319</f>
        <v>404818.50240000006</v>
      </c>
      <c r="T319" s="507">
        <f>(I319-K319)*O319</f>
        <v>1214455.5072000001</v>
      </c>
      <c r="U319" s="507">
        <f t="shared" si="103"/>
        <v>4199522.0238400009</v>
      </c>
      <c r="V319" s="507" t="s">
        <v>713</v>
      </c>
      <c r="W319" s="518"/>
      <c r="X319" s="519"/>
    </row>
    <row r="320" spans="1:24" ht="30.75" customHeight="1">
      <c r="A320" s="514" t="s">
        <v>741</v>
      </c>
      <c r="B320" s="514" t="s">
        <v>740</v>
      </c>
      <c r="C320" s="514" t="s">
        <v>739</v>
      </c>
      <c r="D320" s="589"/>
      <c r="E320" s="512" t="s">
        <v>738</v>
      </c>
      <c r="F320" s="512"/>
      <c r="G320" s="512" t="s">
        <v>1215</v>
      </c>
      <c r="H320" s="507" t="s">
        <v>713</v>
      </c>
      <c r="I320" s="507" t="s">
        <v>713</v>
      </c>
      <c r="J320" s="507" t="s">
        <v>713</v>
      </c>
      <c r="K320" s="507" t="s">
        <v>713</v>
      </c>
      <c r="L320" s="508">
        <f t="shared" ref="L320:U320" si="124">SUM(L321:L322)</f>
        <v>28514.907999999999</v>
      </c>
      <c r="M320" s="508">
        <f t="shared" si="124"/>
        <v>12790.144</v>
      </c>
      <c r="N320" s="508">
        <f t="shared" si="124"/>
        <v>17114.436000000002</v>
      </c>
      <c r="O320" s="508">
        <f t="shared" si="124"/>
        <v>17114.436000000002</v>
      </c>
      <c r="P320" s="508">
        <f t="shared" si="124"/>
        <v>75533.923999999999</v>
      </c>
      <c r="Q320" s="507">
        <f t="shared" si="124"/>
        <v>125958617.95931999</v>
      </c>
      <c r="R320" s="507">
        <f t="shared" si="124"/>
        <v>56497775.18976</v>
      </c>
      <c r="S320" s="507">
        <f>SUM(S321:S322)</f>
        <v>75599426.998440012</v>
      </c>
      <c r="T320" s="507">
        <f t="shared" si="124"/>
        <v>75599426.998440012</v>
      </c>
      <c r="U320" s="507">
        <f t="shared" si="124"/>
        <v>333655247.14596003</v>
      </c>
      <c r="V320" s="507">
        <v>34928392.460000001</v>
      </c>
      <c r="W320" s="518">
        <f>T320/3</f>
        <v>25199808.999480005</v>
      </c>
      <c r="X320" s="518">
        <f>U320+V320-W320</f>
        <v>343383830.60648</v>
      </c>
    </row>
    <row r="321" spans="1:24" ht="45" customHeight="1">
      <c r="A321" s="514"/>
      <c r="B321" s="514"/>
      <c r="C321" s="514"/>
      <c r="D321" s="512" t="s">
        <v>738</v>
      </c>
      <c r="E321" s="506" t="s">
        <v>737</v>
      </c>
      <c r="F321" s="506" t="s">
        <v>736</v>
      </c>
      <c r="G321" s="506" t="s">
        <v>1130</v>
      </c>
      <c r="H321" s="507">
        <v>5794.29</v>
      </c>
      <c r="I321" s="507">
        <v>5794.29</v>
      </c>
      <c r="J321" s="507">
        <v>1377</v>
      </c>
      <c r="K321" s="507">
        <v>1377</v>
      </c>
      <c r="L321" s="508">
        <v>26268.14</v>
      </c>
      <c r="M321" s="508">
        <v>11412.25</v>
      </c>
      <c r="N321" s="508">
        <v>15544.637000000001</v>
      </c>
      <c r="O321" s="508">
        <v>15544.637000000001</v>
      </c>
      <c r="P321" s="508">
        <f t="shared" si="102"/>
        <v>68769.664000000004</v>
      </c>
      <c r="Q321" s="507">
        <f>(H321-J321)*L321</f>
        <v>116033992.1406</v>
      </c>
      <c r="R321" s="507">
        <f>(H321-J321)*M321</f>
        <v>50411217.802500002</v>
      </c>
      <c r="S321" s="507">
        <f>(I321-J321)*N321</f>
        <v>68665169.573730007</v>
      </c>
      <c r="T321" s="507">
        <f>(I321-K321)*O321</f>
        <v>68665169.573730007</v>
      </c>
      <c r="U321" s="507">
        <f t="shared" si="103"/>
        <v>303775549.09056002</v>
      </c>
      <c r="V321" s="507" t="s">
        <v>713</v>
      </c>
      <c r="W321" s="518"/>
      <c r="X321" s="519"/>
    </row>
    <row r="322" spans="1:24" ht="45" customHeight="1">
      <c r="A322" s="514"/>
      <c r="B322" s="514"/>
      <c r="C322" s="514"/>
      <c r="D322" s="512" t="s">
        <v>738</v>
      </c>
      <c r="E322" s="506" t="s">
        <v>737</v>
      </c>
      <c r="F322" s="506" t="s">
        <v>736</v>
      </c>
      <c r="G322" s="506" t="s">
        <v>1131</v>
      </c>
      <c r="H322" s="507">
        <v>5794.29</v>
      </c>
      <c r="I322" s="507">
        <v>5794.29</v>
      </c>
      <c r="J322" s="507">
        <v>1377</v>
      </c>
      <c r="K322" s="507">
        <v>1377</v>
      </c>
      <c r="L322" s="508">
        <v>2246.768</v>
      </c>
      <c r="M322" s="508">
        <v>1377.894</v>
      </c>
      <c r="N322" s="508">
        <v>1569.799</v>
      </c>
      <c r="O322" s="508">
        <v>1569.799</v>
      </c>
      <c r="P322" s="508">
        <f t="shared" si="102"/>
        <v>6764.26</v>
      </c>
      <c r="Q322" s="507">
        <f>(H322-J322)*L322</f>
        <v>9924625.8187199999</v>
      </c>
      <c r="R322" s="507">
        <f>(H322-J322)*M322</f>
        <v>6086557.3872600002</v>
      </c>
      <c r="S322" s="507">
        <f>(I322-J322)*N322</f>
        <v>6934257.4247099999</v>
      </c>
      <c r="T322" s="507">
        <f>(I322-K322)*O322</f>
        <v>6934257.4247099999</v>
      </c>
      <c r="U322" s="507">
        <f t="shared" si="103"/>
        <v>29879698.055399999</v>
      </c>
      <c r="V322" s="507" t="s">
        <v>713</v>
      </c>
      <c r="W322" s="518"/>
      <c r="X322" s="519"/>
    </row>
    <row r="323" spans="1:24" ht="45" customHeight="1">
      <c r="A323" s="514"/>
      <c r="B323" s="514"/>
      <c r="C323" s="514"/>
      <c r="D323" s="512" t="s">
        <v>738</v>
      </c>
      <c r="E323" s="506" t="s">
        <v>737</v>
      </c>
      <c r="F323" s="506" t="s">
        <v>736</v>
      </c>
      <c r="G323" s="506" t="s">
        <v>579</v>
      </c>
      <c r="H323" s="507">
        <v>94.43</v>
      </c>
      <c r="I323" s="507">
        <v>94.43</v>
      </c>
      <c r="J323" s="507">
        <v>47.42</v>
      </c>
      <c r="K323" s="507">
        <v>47.42</v>
      </c>
      <c r="L323" s="508">
        <v>6000.5430000000006</v>
      </c>
      <c r="M323" s="508">
        <v>4127.6289999999999</v>
      </c>
      <c r="N323" s="508">
        <v>7350</v>
      </c>
      <c r="O323" s="508">
        <v>7350</v>
      </c>
      <c r="P323" s="508">
        <f t="shared" si="102"/>
        <v>24828.171999999999</v>
      </c>
      <c r="Q323" s="507">
        <f>(H323-J323)*L323</f>
        <v>282085.52643000009</v>
      </c>
      <c r="R323" s="507">
        <f>(H323-J323)*M323</f>
        <v>194039.83929</v>
      </c>
      <c r="S323" s="507">
        <f>(I323-J323)*N323</f>
        <v>345523.50000000006</v>
      </c>
      <c r="T323" s="507">
        <f>(I323-K323)*O323</f>
        <v>345523.50000000006</v>
      </c>
      <c r="U323" s="507">
        <f t="shared" si="103"/>
        <v>1167172.3657200001</v>
      </c>
      <c r="V323" s="507" t="s">
        <v>713</v>
      </c>
      <c r="W323" s="518"/>
      <c r="X323" s="519"/>
    </row>
    <row r="324" spans="1:24" ht="30.75" customHeight="1">
      <c r="A324" s="514" t="s">
        <v>735</v>
      </c>
      <c r="B324" s="514" t="s">
        <v>734</v>
      </c>
      <c r="C324" s="514" t="s">
        <v>60</v>
      </c>
      <c r="D324" s="589"/>
      <c r="E324" s="512" t="s">
        <v>733</v>
      </c>
      <c r="F324" s="512"/>
      <c r="G324" s="512" t="s">
        <v>1215</v>
      </c>
      <c r="H324" s="507" t="s">
        <v>713</v>
      </c>
      <c r="I324" s="507" t="s">
        <v>713</v>
      </c>
      <c r="J324" s="507" t="s">
        <v>713</v>
      </c>
      <c r="K324" s="507" t="s">
        <v>713</v>
      </c>
      <c r="L324" s="508">
        <f t="shared" ref="L324:U324" si="125">SUM(L325)</f>
        <v>44.133000000000003</v>
      </c>
      <c r="M324" s="508">
        <f t="shared" si="125"/>
        <v>21.829000000000001</v>
      </c>
      <c r="N324" s="508">
        <f t="shared" si="125"/>
        <v>7.3559999999999999</v>
      </c>
      <c r="O324" s="508">
        <f t="shared" si="125"/>
        <v>44.133000000000003</v>
      </c>
      <c r="P324" s="508">
        <f t="shared" si="125"/>
        <v>117.45099999999999</v>
      </c>
      <c r="Q324" s="507">
        <f t="shared" si="125"/>
        <v>140544.62781000001</v>
      </c>
      <c r="R324" s="507">
        <f t="shared" si="125"/>
        <v>69515.978529999993</v>
      </c>
      <c r="S324" s="507">
        <f t="shared" si="125"/>
        <v>23425.696919999998</v>
      </c>
      <c r="T324" s="507">
        <f t="shared" si="125"/>
        <v>140544.62781000001</v>
      </c>
      <c r="U324" s="507">
        <f t="shared" si="125"/>
        <v>374030.93106999999</v>
      </c>
      <c r="V324" s="507">
        <v>46848.21</v>
      </c>
      <c r="W324" s="518">
        <f>T324/3</f>
        <v>46848.209269999999</v>
      </c>
      <c r="X324" s="518">
        <f>U324+V324-W324</f>
        <v>374030.93180000002</v>
      </c>
    </row>
    <row r="325" spans="1:24" ht="45" customHeight="1">
      <c r="A325" s="514"/>
      <c r="B325" s="514"/>
      <c r="C325" s="514"/>
      <c r="D325" s="512" t="s">
        <v>733</v>
      </c>
      <c r="E325" s="506" t="s">
        <v>732</v>
      </c>
      <c r="F325" s="506" t="s">
        <v>731</v>
      </c>
      <c r="G325" s="506" t="s">
        <v>1130</v>
      </c>
      <c r="H325" s="507">
        <v>4906.24</v>
      </c>
      <c r="I325" s="507">
        <v>4906.24</v>
      </c>
      <c r="J325" s="507">
        <v>1721.67</v>
      </c>
      <c r="K325" s="507">
        <v>1721.67</v>
      </c>
      <c r="L325" s="508">
        <v>44.133000000000003</v>
      </c>
      <c r="M325" s="508">
        <v>21.829000000000001</v>
      </c>
      <c r="N325" s="508">
        <v>7.3559999999999999</v>
      </c>
      <c r="O325" s="508">
        <v>44.133000000000003</v>
      </c>
      <c r="P325" s="508">
        <f t="shared" si="102"/>
        <v>117.45099999999999</v>
      </c>
      <c r="Q325" s="507">
        <f>(H325-J325)*L325</f>
        <v>140544.62781000001</v>
      </c>
      <c r="R325" s="507">
        <f>(H325-J325)*M325</f>
        <v>69515.978529999993</v>
      </c>
      <c r="S325" s="507">
        <f>(I325-J325)*N325</f>
        <v>23425.696919999998</v>
      </c>
      <c r="T325" s="507">
        <f>(I325-K325)*O325</f>
        <v>140544.62781000001</v>
      </c>
      <c r="U325" s="507">
        <f t="shared" si="103"/>
        <v>374030.93106999999</v>
      </c>
      <c r="V325" s="507" t="s">
        <v>713</v>
      </c>
      <c r="W325" s="518"/>
      <c r="X325" s="519"/>
    </row>
    <row r="326" spans="1:24" ht="30.75" customHeight="1">
      <c r="A326" s="514" t="s">
        <v>730</v>
      </c>
      <c r="B326" s="514" t="s">
        <v>729</v>
      </c>
      <c r="C326" s="514" t="s">
        <v>728</v>
      </c>
      <c r="D326" s="589"/>
      <c r="E326" s="512" t="s">
        <v>725</v>
      </c>
      <c r="F326" s="512"/>
      <c r="G326" s="512" t="s">
        <v>1215</v>
      </c>
      <c r="H326" s="507" t="s">
        <v>713</v>
      </c>
      <c r="I326" s="507" t="s">
        <v>713</v>
      </c>
      <c r="J326" s="507" t="s">
        <v>713</v>
      </c>
      <c r="K326" s="507" t="s">
        <v>713</v>
      </c>
      <c r="L326" s="508">
        <f t="shared" ref="L326:U326" si="126">SUM(L327:L332)</f>
        <v>1151605.855</v>
      </c>
      <c r="M326" s="508">
        <f t="shared" si="126"/>
        <v>601751.48499999999</v>
      </c>
      <c r="N326" s="508">
        <f t="shared" si="126"/>
        <v>240407</v>
      </c>
      <c r="O326" s="508">
        <f t="shared" si="126"/>
        <v>955733</v>
      </c>
      <c r="P326" s="508">
        <f t="shared" si="126"/>
        <v>2949497.34</v>
      </c>
      <c r="Q326" s="507">
        <f t="shared" si="126"/>
        <v>368409324.64024013</v>
      </c>
      <c r="R326" s="507">
        <f t="shared" si="126"/>
        <v>189853713.41974002</v>
      </c>
      <c r="S326" s="507">
        <f t="shared" si="126"/>
        <v>97631605.820000023</v>
      </c>
      <c r="T326" s="507">
        <f t="shared" si="126"/>
        <v>388780001.24000007</v>
      </c>
      <c r="U326" s="507">
        <f t="shared" si="126"/>
        <v>1044674645.1199802</v>
      </c>
      <c r="V326" s="507">
        <v>119014100.11</v>
      </c>
      <c r="W326" s="518">
        <f>T326/3</f>
        <v>129593333.74666668</v>
      </c>
      <c r="X326" s="518">
        <f>U326+V326-W326</f>
        <v>1034095411.4833136</v>
      </c>
    </row>
    <row r="327" spans="1:24" ht="45" customHeight="1">
      <c r="A327" s="514"/>
      <c r="B327" s="514"/>
      <c r="C327" s="514"/>
      <c r="D327" s="512" t="s">
        <v>725</v>
      </c>
      <c r="E327" s="506" t="s">
        <v>727</v>
      </c>
      <c r="F327" s="506" t="s">
        <v>714</v>
      </c>
      <c r="G327" s="506" t="s">
        <v>1130</v>
      </c>
      <c r="H327" s="507">
        <v>2178.13</v>
      </c>
      <c r="I327" s="507">
        <v>2178.13</v>
      </c>
      <c r="J327" s="507">
        <v>1789.17</v>
      </c>
      <c r="K327" s="507">
        <v>1789.17</v>
      </c>
      <c r="L327" s="508">
        <v>608216.99600000004</v>
      </c>
      <c r="M327" s="508">
        <v>268016.40099999995</v>
      </c>
      <c r="N327" s="508">
        <v>71803</v>
      </c>
      <c r="O327" s="508">
        <v>466990</v>
      </c>
      <c r="P327" s="508">
        <f t="shared" si="102"/>
        <v>1415026.3969999999</v>
      </c>
      <c r="Q327" s="507">
        <f t="shared" ref="Q327:Q332" si="127">(H327-J327)*L327</f>
        <v>236572082.76416004</v>
      </c>
      <c r="R327" s="507">
        <f t="shared" ref="R327:R332" si="128">(H327-J327)*M327</f>
        <v>104247659.33295999</v>
      </c>
      <c r="S327" s="507">
        <f t="shared" ref="S327:S332" si="129">(I327-J327)*N327</f>
        <v>27928494.880000003</v>
      </c>
      <c r="T327" s="507">
        <f t="shared" ref="T327:T332" si="130">(I327-K327)*O327</f>
        <v>181640430.40000001</v>
      </c>
      <c r="U327" s="507">
        <f t="shared" si="103"/>
        <v>550388667.37712002</v>
      </c>
      <c r="V327" s="507" t="s">
        <v>713</v>
      </c>
      <c r="W327" s="518"/>
      <c r="X327" s="519"/>
    </row>
    <row r="328" spans="1:24" ht="45" customHeight="1">
      <c r="A328" s="514"/>
      <c r="B328" s="514"/>
      <c r="C328" s="514"/>
      <c r="D328" s="512" t="s">
        <v>725</v>
      </c>
      <c r="E328" s="506" t="s">
        <v>727</v>
      </c>
      <c r="F328" s="506" t="s">
        <v>714</v>
      </c>
      <c r="G328" s="506" t="s">
        <v>1131</v>
      </c>
      <c r="H328" s="507">
        <v>2178.13</v>
      </c>
      <c r="I328" s="507">
        <v>2178.13</v>
      </c>
      <c r="J328" s="507">
        <v>1789.17</v>
      </c>
      <c r="K328" s="507">
        <v>1789.17</v>
      </c>
      <c r="L328" s="508">
        <v>99473.958000000013</v>
      </c>
      <c r="M328" s="508">
        <v>86667.962999999989</v>
      </c>
      <c r="N328" s="508">
        <v>73139</v>
      </c>
      <c r="O328" s="508">
        <v>98439</v>
      </c>
      <c r="P328" s="508">
        <f t="shared" ref="P328:P365" si="131">SUM(L328:O328)</f>
        <v>357719.92099999997</v>
      </c>
      <c r="Q328" s="507">
        <f t="shared" si="127"/>
        <v>38691390.703680009</v>
      </c>
      <c r="R328" s="507">
        <f t="shared" si="128"/>
        <v>33710370.88848</v>
      </c>
      <c r="S328" s="507">
        <f t="shared" si="129"/>
        <v>28448145.440000001</v>
      </c>
      <c r="T328" s="507">
        <f t="shared" si="130"/>
        <v>38288833.440000005</v>
      </c>
      <c r="U328" s="507">
        <f t="shared" si="103"/>
        <v>139138740.47216001</v>
      </c>
      <c r="V328" s="507" t="s">
        <v>713</v>
      </c>
      <c r="W328" s="518"/>
      <c r="X328" s="519"/>
    </row>
    <row r="329" spans="1:24" ht="45" customHeight="1">
      <c r="A329" s="514"/>
      <c r="B329" s="514"/>
      <c r="C329" s="514"/>
      <c r="D329" s="512" t="s">
        <v>725</v>
      </c>
      <c r="E329" s="506" t="s">
        <v>726</v>
      </c>
      <c r="F329" s="506" t="s">
        <v>714</v>
      </c>
      <c r="G329" s="506" t="s">
        <v>1130</v>
      </c>
      <c r="H329" s="507">
        <v>2178.13</v>
      </c>
      <c r="I329" s="507">
        <v>2178.13</v>
      </c>
      <c r="J329" s="507">
        <v>1743.33</v>
      </c>
      <c r="K329" s="507">
        <v>1743.33</v>
      </c>
      <c r="L329" s="508">
        <v>3738.9259999999999</v>
      </c>
      <c r="M329" s="508">
        <v>2126.4659999999999</v>
      </c>
      <c r="N329" s="508">
        <v>38361</v>
      </c>
      <c r="O329" s="508">
        <v>317951</v>
      </c>
      <c r="P329" s="508">
        <f t="shared" si="131"/>
        <v>362177.39199999999</v>
      </c>
      <c r="Q329" s="507">
        <f t="shared" si="127"/>
        <v>1625685.0248000007</v>
      </c>
      <c r="R329" s="507">
        <f t="shared" si="128"/>
        <v>924587.41680000036</v>
      </c>
      <c r="S329" s="507">
        <f t="shared" si="129"/>
        <v>16679362.800000006</v>
      </c>
      <c r="T329" s="507">
        <f t="shared" si="130"/>
        <v>138245094.80000007</v>
      </c>
      <c r="U329" s="507">
        <f t="shared" ref="U329:U365" si="132">SUM(Q329:T329)</f>
        <v>157474730.04160008</v>
      </c>
      <c r="V329" s="507" t="s">
        <v>713</v>
      </c>
      <c r="W329" s="518"/>
      <c r="X329" s="519"/>
    </row>
    <row r="330" spans="1:24" ht="45" customHeight="1">
      <c r="A330" s="514"/>
      <c r="B330" s="514"/>
      <c r="C330" s="514"/>
      <c r="D330" s="512" t="s">
        <v>725</v>
      </c>
      <c r="E330" s="506" t="s">
        <v>726</v>
      </c>
      <c r="F330" s="506" t="s">
        <v>714</v>
      </c>
      <c r="G330" s="506" t="s">
        <v>1131</v>
      </c>
      <c r="H330" s="507">
        <v>2178.13</v>
      </c>
      <c r="I330" s="507">
        <v>2178.13</v>
      </c>
      <c r="J330" s="507">
        <v>1743.33</v>
      </c>
      <c r="K330" s="507">
        <v>1743.33</v>
      </c>
      <c r="L330" s="508">
        <v>421.03100000000001</v>
      </c>
      <c r="M330" s="508">
        <v>426.78000000000003</v>
      </c>
      <c r="N330" s="508">
        <v>55989</v>
      </c>
      <c r="O330" s="508">
        <v>68595</v>
      </c>
      <c r="P330" s="508">
        <f t="shared" si="131"/>
        <v>125431.811</v>
      </c>
      <c r="Q330" s="507">
        <f t="shared" si="127"/>
        <v>183064.27880000009</v>
      </c>
      <c r="R330" s="507">
        <f t="shared" si="128"/>
        <v>185563.94400000011</v>
      </c>
      <c r="S330" s="507">
        <f t="shared" si="129"/>
        <v>24344017.20000001</v>
      </c>
      <c r="T330" s="507">
        <f t="shared" si="130"/>
        <v>29825106.000000011</v>
      </c>
      <c r="U330" s="507">
        <f t="shared" si="132"/>
        <v>54537751.422800019</v>
      </c>
      <c r="V330" s="507" t="s">
        <v>713</v>
      </c>
      <c r="W330" s="518"/>
      <c r="X330" s="519"/>
    </row>
    <row r="331" spans="1:24" ht="45" customHeight="1">
      <c r="A331" s="514"/>
      <c r="B331" s="514"/>
      <c r="C331" s="514"/>
      <c r="D331" s="512" t="s">
        <v>725</v>
      </c>
      <c r="E331" s="506" t="s">
        <v>715</v>
      </c>
      <c r="F331" s="506" t="s">
        <v>714</v>
      </c>
      <c r="G331" s="506" t="s">
        <v>1130</v>
      </c>
      <c r="H331" s="507">
        <v>1545.2</v>
      </c>
      <c r="I331" s="507">
        <v>1545.2</v>
      </c>
      <c r="J331" s="507">
        <v>1337.5</v>
      </c>
      <c r="K331" s="507">
        <v>1337.5</v>
      </c>
      <c r="L331" s="508">
        <v>368479.728</v>
      </c>
      <c r="M331" s="508">
        <v>177317.68299999999</v>
      </c>
      <c r="N331" s="508">
        <v>883</v>
      </c>
      <c r="O331" s="508">
        <v>3331</v>
      </c>
      <c r="P331" s="508">
        <f t="shared" si="131"/>
        <v>550011.41099999996</v>
      </c>
      <c r="Q331" s="507">
        <f t="shared" si="127"/>
        <v>76533239.50560002</v>
      </c>
      <c r="R331" s="507">
        <f t="shared" si="128"/>
        <v>36828882.759100005</v>
      </c>
      <c r="S331" s="507">
        <f t="shared" si="129"/>
        <v>183399.10000000003</v>
      </c>
      <c r="T331" s="507">
        <f t="shared" si="130"/>
        <v>691848.70000000019</v>
      </c>
      <c r="U331" s="507">
        <f t="shared" si="132"/>
        <v>114237370.06470002</v>
      </c>
      <c r="V331" s="507" t="s">
        <v>713</v>
      </c>
      <c r="W331" s="518"/>
      <c r="X331" s="519"/>
    </row>
    <row r="332" spans="1:24" ht="45" customHeight="1">
      <c r="A332" s="514"/>
      <c r="B332" s="514"/>
      <c r="C332" s="514"/>
      <c r="D332" s="512" t="s">
        <v>725</v>
      </c>
      <c r="E332" s="506" t="s">
        <v>715</v>
      </c>
      <c r="F332" s="506" t="s">
        <v>714</v>
      </c>
      <c r="G332" s="506" t="s">
        <v>1131</v>
      </c>
      <c r="H332" s="507">
        <v>1545.2</v>
      </c>
      <c r="I332" s="507">
        <v>1545.2</v>
      </c>
      <c r="J332" s="507">
        <v>1337.5</v>
      </c>
      <c r="K332" s="507">
        <v>1337.5</v>
      </c>
      <c r="L332" s="508">
        <v>71275.216</v>
      </c>
      <c r="M332" s="508">
        <v>67196.191999999995</v>
      </c>
      <c r="N332" s="508">
        <v>232</v>
      </c>
      <c r="O332" s="508">
        <v>427</v>
      </c>
      <c r="P332" s="508">
        <f t="shared" si="131"/>
        <v>139130.408</v>
      </c>
      <c r="Q332" s="507">
        <f t="shared" si="127"/>
        <v>14803862.363200003</v>
      </c>
      <c r="R332" s="507">
        <f t="shared" si="128"/>
        <v>13956649.078400003</v>
      </c>
      <c r="S332" s="507">
        <f t="shared" si="129"/>
        <v>48186.400000000009</v>
      </c>
      <c r="T332" s="507">
        <f t="shared" si="130"/>
        <v>88687.900000000023</v>
      </c>
      <c r="U332" s="507">
        <f t="shared" si="132"/>
        <v>28897385.741600003</v>
      </c>
      <c r="V332" s="507" t="s">
        <v>713</v>
      </c>
      <c r="W332" s="518"/>
      <c r="X332" s="519"/>
    </row>
    <row r="333" spans="1:24" ht="30.75" customHeight="1">
      <c r="A333" s="514" t="s">
        <v>724</v>
      </c>
      <c r="B333" s="514" t="s">
        <v>723</v>
      </c>
      <c r="C333" s="514" t="s">
        <v>119</v>
      </c>
      <c r="D333" s="589"/>
      <c r="E333" s="512" t="s">
        <v>118</v>
      </c>
      <c r="F333" s="512"/>
      <c r="G333" s="512" t="s">
        <v>1215</v>
      </c>
      <c r="H333" s="507" t="s">
        <v>713</v>
      </c>
      <c r="I333" s="507" t="s">
        <v>713</v>
      </c>
      <c r="J333" s="507" t="s">
        <v>713</v>
      </c>
      <c r="K333" s="507" t="s">
        <v>713</v>
      </c>
      <c r="L333" s="508">
        <f t="shared" ref="L333:U333" si="133">SUM(L334:L336)</f>
        <v>4181.3250000000007</v>
      </c>
      <c r="M333" s="508">
        <f t="shared" si="133"/>
        <v>2489.46</v>
      </c>
      <c r="N333" s="508">
        <f t="shared" si="133"/>
        <v>1178.2809999999999</v>
      </c>
      <c r="O333" s="508">
        <f t="shared" si="133"/>
        <v>3979.6870000000004</v>
      </c>
      <c r="P333" s="508">
        <f t="shared" si="133"/>
        <v>11828.753000000001</v>
      </c>
      <c r="Q333" s="507">
        <f t="shared" si="133"/>
        <v>20756000.859750003</v>
      </c>
      <c r="R333" s="507">
        <f t="shared" si="133"/>
        <v>12442309.69569</v>
      </c>
      <c r="S333" s="507">
        <f t="shared" si="133"/>
        <v>5910221.2316200007</v>
      </c>
      <c r="T333" s="507">
        <f t="shared" si="133"/>
        <v>19840630.714990005</v>
      </c>
      <c r="U333" s="507">
        <f t="shared" si="133"/>
        <v>58949162.502050005</v>
      </c>
      <c r="V333" s="507">
        <v>6989814.21</v>
      </c>
      <c r="W333" s="518">
        <f>T333/3</f>
        <v>6613543.571663335</v>
      </c>
      <c r="X333" s="518">
        <f>U333+V333-W333</f>
        <v>59325433.140386671</v>
      </c>
    </row>
    <row r="334" spans="1:24" ht="45" customHeight="1">
      <c r="A334" s="514"/>
      <c r="B334" s="514"/>
      <c r="C334" s="514"/>
      <c r="D334" s="512" t="s">
        <v>118</v>
      </c>
      <c r="E334" s="506" t="s">
        <v>720</v>
      </c>
      <c r="F334" s="506" t="s">
        <v>722</v>
      </c>
      <c r="G334" s="506" t="s">
        <v>1130</v>
      </c>
      <c r="H334" s="507">
        <v>6124.47</v>
      </c>
      <c r="I334" s="507">
        <v>6124.47</v>
      </c>
      <c r="J334" s="507">
        <v>1916</v>
      </c>
      <c r="K334" s="507">
        <v>1916</v>
      </c>
      <c r="L334" s="508">
        <v>1607.5250000000001</v>
      </c>
      <c r="M334" s="508">
        <v>920.34300000000007</v>
      </c>
      <c r="N334" s="508">
        <v>426.99099999999999</v>
      </c>
      <c r="O334" s="508">
        <v>1490.2370000000001</v>
      </c>
      <c r="P334" s="508">
        <f t="shared" si="131"/>
        <v>4445.0960000000005</v>
      </c>
      <c r="Q334" s="507">
        <f>(H334-J334)*L334</f>
        <v>6765220.7367500011</v>
      </c>
      <c r="R334" s="507">
        <f>(H334-J334)*M334</f>
        <v>3873235.9052100005</v>
      </c>
      <c r="S334" s="507">
        <f>(I334-J334)*N334</f>
        <v>1796978.8137700001</v>
      </c>
      <c r="T334" s="507">
        <f>(I334-K334)*O334</f>
        <v>6271617.707390001</v>
      </c>
      <c r="U334" s="507">
        <f t="shared" si="132"/>
        <v>18707053.163120002</v>
      </c>
      <c r="V334" s="507" t="s">
        <v>713</v>
      </c>
      <c r="W334" s="518"/>
      <c r="X334" s="519"/>
    </row>
    <row r="335" spans="1:24" ht="45" customHeight="1">
      <c r="A335" s="514"/>
      <c r="B335" s="514"/>
      <c r="C335" s="514"/>
      <c r="D335" s="512" t="s">
        <v>118</v>
      </c>
      <c r="E335" s="506" t="s">
        <v>720</v>
      </c>
      <c r="F335" s="506" t="s">
        <v>721</v>
      </c>
      <c r="G335" s="506" t="s">
        <v>1130</v>
      </c>
      <c r="H335" s="507">
        <v>9062.19</v>
      </c>
      <c r="I335" s="507">
        <v>9062.19</v>
      </c>
      <c r="J335" s="507">
        <v>1916</v>
      </c>
      <c r="K335" s="507">
        <v>1916</v>
      </c>
      <c r="L335" s="508">
        <v>350.02</v>
      </c>
      <c r="M335" s="508">
        <v>233.392</v>
      </c>
      <c r="N335" s="508">
        <v>116.995</v>
      </c>
      <c r="O335" s="508">
        <v>357.11200000000002</v>
      </c>
      <c r="P335" s="508">
        <f t="shared" si="131"/>
        <v>1057.519</v>
      </c>
      <c r="Q335" s="507">
        <f>(H335-J335)*L335</f>
        <v>2501309.4238</v>
      </c>
      <c r="R335" s="507">
        <f>(H335-J335)*M335</f>
        <v>1667863.57648</v>
      </c>
      <c r="S335" s="507">
        <f>(I335-J335)*N335</f>
        <v>836068.4990500001</v>
      </c>
      <c r="T335" s="507">
        <f>(I335-K335)*O335</f>
        <v>2551990.2032800005</v>
      </c>
      <c r="U335" s="507">
        <f t="shared" si="132"/>
        <v>7557231.702610001</v>
      </c>
      <c r="V335" s="507" t="s">
        <v>713</v>
      </c>
      <c r="W335" s="518"/>
      <c r="X335" s="519"/>
    </row>
    <row r="336" spans="1:24" ht="45" customHeight="1">
      <c r="A336" s="514"/>
      <c r="B336" s="514"/>
      <c r="C336" s="514"/>
      <c r="D336" s="512" t="s">
        <v>118</v>
      </c>
      <c r="E336" s="506" t="s">
        <v>720</v>
      </c>
      <c r="F336" s="506" t="s">
        <v>719</v>
      </c>
      <c r="G336" s="506" t="s">
        <v>1130</v>
      </c>
      <c r="H336" s="507">
        <v>7082.64</v>
      </c>
      <c r="I336" s="507">
        <v>7082.64</v>
      </c>
      <c r="J336" s="507">
        <v>1916</v>
      </c>
      <c r="K336" s="507">
        <v>1916</v>
      </c>
      <c r="L336" s="508">
        <v>2223.7800000000002</v>
      </c>
      <c r="M336" s="508">
        <v>1335.7249999999999</v>
      </c>
      <c r="N336" s="508">
        <v>634.29499999999996</v>
      </c>
      <c r="O336" s="508">
        <v>2132.3380000000002</v>
      </c>
      <c r="P336" s="508">
        <f t="shared" si="131"/>
        <v>6326.1380000000008</v>
      </c>
      <c r="Q336" s="507">
        <f>(H336-J336)*L336</f>
        <v>11489470.699200002</v>
      </c>
      <c r="R336" s="507">
        <f>(H336-J336)*M336</f>
        <v>6901210.2139999997</v>
      </c>
      <c r="S336" s="507">
        <f>(I336-J336)*N336</f>
        <v>3277173.9188000001</v>
      </c>
      <c r="T336" s="507">
        <f>(I336-K336)*O336</f>
        <v>11017022.804320002</v>
      </c>
      <c r="U336" s="507">
        <f t="shared" si="132"/>
        <v>32684877.636320002</v>
      </c>
      <c r="V336" s="507" t="s">
        <v>713</v>
      </c>
      <c r="W336" s="518"/>
      <c r="X336" s="519"/>
    </row>
    <row r="337" spans="1:24" ht="30.75" customHeight="1">
      <c r="A337" s="514" t="s">
        <v>718</v>
      </c>
      <c r="B337" s="514" t="s">
        <v>717</v>
      </c>
      <c r="C337" s="514" t="s">
        <v>100</v>
      </c>
      <c r="D337" s="589"/>
      <c r="E337" s="512" t="s">
        <v>716</v>
      </c>
      <c r="F337" s="512"/>
      <c r="G337" s="512" t="s">
        <v>1215</v>
      </c>
      <c r="H337" s="507" t="s">
        <v>713</v>
      </c>
      <c r="I337" s="507" t="s">
        <v>713</v>
      </c>
      <c r="J337" s="507" t="s">
        <v>713</v>
      </c>
      <c r="K337" s="507" t="s">
        <v>713</v>
      </c>
      <c r="L337" s="508">
        <f t="shared" ref="L337:U337" si="134">SUM(L338)</f>
        <v>119.376</v>
      </c>
      <c r="M337" s="508">
        <f t="shared" si="134"/>
        <v>79.581000000000003</v>
      </c>
      <c r="N337" s="508">
        <f t="shared" si="134"/>
        <v>38.42</v>
      </c>
      <c r="O337" s="508">
        <f t="shared" si="134"/>
        <v>115.28</v>
      </c>
      <c r="P337" s="508">
        <f t="shared" si="134"/>
        <v>352.65700000000004</v>
      </c>
      <c r="Q337" s="507">
        <f t="shared" si="134"/>
        <v>663401.08224000002</v>
      </c>
      <c r="R337" s="507">
        <f t="shared" si="134"/>
        <v>442250.71643999999</v>
      </c>
      <c r="S337" s="507">
        <f t="shared" si="134"/>
        <v>213509.16080000001</v>
      </c>
      <c r="T337" s="507">
        <f t="shared" si="134"/>
        <v>640638.62719999999</v>
      </c>
      <c r="U337" s="507">
        <f t="shared" si="134"/>
        <v>1959799.5866799999</v>
      </c>
      <c r="V337" s="507">
        <v>221117.02</v>
      </c>
      <c r="W337" s="518">
        <f>T337/3</f>
        <v>213546.20906666666</v>
      </c>
      <c r="X337" s="518">
        <f>U337+V337-W337</f>
        <v>1967370.3976133331</v>
      </c>
    </row>
    <row r="338" spans="1:24" ht="45" customHeight="1">
      <c r="A338" s="514"/>
      <c r="B338" s="514"/>
      <c r="C338" s="514"/>
      <c r="D338" s="512" t="s">
        <v>716</v>
      </c>
      <c r="E338" s="506" t="s">
        <v>715</v>
      </c>
      <c r="F338" s="506" t="s">
        <v>714</v>
      </c>
      <c r="G338" s="506" t="s">
        <v>1130</v>
      </c>
      <c r="H338" s="507">
        <v>6944.24</v>
      </c>
      <c r="I338" s="507">
        <v>6944.24</v>
      </c>
      <c r="J338" s="507">
        <v>1387</v>
      </c>
      <c r="K338" s="507">
        <v>1387</v>
      </c>
      <c r="L338" s="508">
        <v>119.376</v>
      </c>
      <c r="M338" s="508">
        <v>79.581000000000003</v>
      </c>
      <c r="N338" s="508">
        <v>38.42</v>
      </c>
      <c r="O338" s="508">
        <v>115.28</v>
      </c>
      <c r="P338" s="508">
        <f t="shared" si="131"/>
        <v>352.65700000000004</v>
      </c>
      <c r="Q338" s="507">
        <f>(H338-J338)*L338</f>
        <v>663401.08224000002</v>
      </c>
      <c r="R338" s="507">
        <f>(H338-J338)*M338</f>
        <v>442250.71643999999</v>
      </c>
      <c r="S338" s="507">
        <f>(I338-J338)*N338</f>
        <v>213509.16080000001</v>
      </c>
      <c r="T338" s="507">
        <f>(I338-K338)*O338</f>
        <v>640638.62719999999</v>
      </c>
      <c r="U338" s="507">
        <f t="shared" si="132"/>
        <v>1959799.5866799999</v>
      </c>
      <c r="V338" s="507" t="s">
        <v>713</v>
      </c>
      <c r="W338" s="518"/>
      <c r="X338" s="519"/>
    </row>
    <row r="339" spans="1:24" ht="45" customHeight="1">
      <c r="A339" s="514" t="s">
        <v>1169</v>
      </c>
      <c r="B339" s="514"/>
      <c r="C339" s="514" t="s">
        <v>1140</v>
      </c>
      <c r="D339" s="589"/>
      <c r="E339" s="512" t="s">
        <v>1139</v>
      </c>
      <c r="F339" s="512"/>
      <c r="G339" s="512" t="s">
        <v>1215</v>
      </c>
      <c r="H339" s="507"/>
      <c r="I339" s="507"/>
      <c r="J339" s="507"/>
      <c r="K339" s="507"/>
      <c r="L339" s="508">
        <v>0</v>
      </c>
      <c r="M339" s="508">
        <v>0</v>
      </c>
      <c r="N339" s="508">
        <v>0</v>
      </c>
      <c r="O339" s="508">
        <v>0</v>
      </c>
      <c r="P339" s="508">
        <v>0</v>
      </c>
      <c r="Q339" s="507">
        <v>0</v>
      </c>
      <c r="R339" s="507">
        <v>0</v>
      </c>
      <c r="S339" s="507">
        <v>0</v>
      </c>
      <c r="T339" s="507">
        <v>0</v>
      </c>
      <c r="U339" s="507">
        <v>0</v>
      </c>
      <c r="V339" s="507">
        <v>4479092.47</v>
      </c>
      <c r="W339" s="518">
        <f>T339/3</f>
        <v>0</v>
      </c>
      <c r="X339" s="518">
        <f t="shared" ref="X339:X342" si="135">U339+V339-W339</f>
        <v>4479092.47</v>
      </c>
    </row>
    <row r="340" spans="1:24" s="357" customFormat="1" ht="30.75" customHeight="1">
      <c r="A340" s="590" t="s">
        <v>1134</v>
      </c>
      <c r="B340" s="590"/>
      <c r="C340" s="590"/>
      <c r="D340" s="590"/>
      <c r="E340" s="590"/>
      <c r="F340" s="590"/>
      <c r="G340" s="507" t="s">
        <v>1215</v>
      </c>
      <c r="H340" s="507" t="s">
        <v>713</v>
      </c>
      <c r="I340" s="507" t="s">
        <v>713</v>
      </c>
      <c r="J340" s="507" t="s">
        <v>713</v>
      </c>
      <c r="K340" s="507" t="s">
        <v>713</v>
      </c>
      <c r="L340" s="508">
        <f t="shared" ref="L340" si="136">L7+L9+L11+L15+L18+L22+L24+L26+L28+L31+L33+L37+L42+L46+L50+L52+L54+L56+L60+L62+L64+L66+L68+L77+L80+L87+L91+L96+L99+L107+L109+L111+L113+L116+L118+L126+L129+L134+L137+L140+L142+L147+L149+L153+L155+L157+L171+L173+L177+L179+L184+L186+L188+L192+L197+L201+L204+L206+L208+L210+L214+L216+L220+L229+L231+L261+L264+L267+L269+L273+L275+L278+L280+L282+L301+L308+L310+L312+L314+L320+L324+L326+L333+L337+L123+L339</f>
        <v>1851280.9810000001</v>
      </c>
      <c r="M340" s="508">
        <f t="shared" ref="M340" si="137">M7+M9+M11+M15+M18+M22+M24+M26+M28+M31+M33+M37+M42+M46+M50+M52+M54+M56+M60+M62+M64+M66+M68+M77+M80+M87+M91+M96+M99+M107+M109+M111+M113+M116+M118+M126+M129+M134+M137+M140+M142+M147+M149+M153+M155+M157+M171+M173+M177+M179+M184+M186+M188+M192+M197+M201+M204+M206+M208+M210+M214+M216+M220+M229+M231+M261+M264+M267+M269+M273+M275+M278+M280+M282+M301+M308+M310+M312+M314+M320+M324+M326+M333+M337+M123+M339</f>
        <v>946707.58599999989</v>
      </c>
      <c r="N340" s="508">
        <f t="shared" ref="N340" si="138">N7+N9+N11+N15+N18+N22+N24+N26+N28+N31+N33+N37+N42+N46+N50+N52+N54+N56+N60+N62+N64+N66+N68+N77+N80+N87+N91+N96+N99+N107+N109+N111+N113+N116+N118+N126+N129+N134+N137+N140+N142+N147+N149+N153+N155+N157+N171+N173+N177+N179+N184+N186+N188+N192+N197+N201+N204+N206+N208+N210+N214+N216+N220+N229+N231+N261+N264+N267+N269+N273+N275+N278+N280+N282+N301+N308+N310+N312+N314+N320+N324+N326+N333+N337+N123+N339</f>
        <v>402889.05999999994</v>
      </c>
      <c r="O340" s="508">
        <f t="shared" ref="O340" si="139">O7+O9+O11+O15+O18+O22+O24+O26+O28+O31+O33+O37+O42+O46+O50+O52+O54+O56+O60+O62+O64+O66+O68+O77+O80+O87+O91+O96+O99+O107+O109+O111+O113+O116+O118+O126+O129+O134+O137+O140+O142+O147+O149+O153+O155+O157+O171+O173+O177+O179+O184+O186+O188+O192+O197+O201+O204+O206+O208+O210+O214+O216+O220+O229+O231+O261+O264+O267+O269+O273+O275+O278+O280+O282+O301+O308+O310+O312+O314+O320+O324+O326+O333+O337+O123+O339</f>
        <v>1546597.6440000001</v>
      </c>
      <c r="P340" s="508">
        <f t="shared" ref="P340" si="140">P7+P9+P11+P15+P18+P22+P24+P26+P28+P31+P33+P37+P42+P46+P50+P52+P54+P56+P60+P62+P64+P66+P68+P77+P80+P87+P91+P96+P99+P107+P109+P111+P113+P116+P118+P126+P129+P134+P137+P140+P142+P147+P149+P153+P155+P157+P171+P173+P177+P179+P184+P186+P188+P192+P197+P201+P204+P206+P208+P210+P214+P216+P220+P229+P231+P261+P264+P267+P269+P273+P275+P278+P280+P282+P301+P308+P310+P312+P314+P320+P324+P326+P333+P337+P123+P339</f>
        <v>4747475.2709999988</v>
      </c>
      <c r="Q340" s="507">
        <f t="shared" ref="Q340" si="141">Q7+Q9+Q11+Q15+Q18+Q22+Q24+Q26+Q28+Q31+Q33+Q37+Q42+Q46+Q50+Q52+Q54+Q56+Q60+Q62+Q64+Q66+Q68+Q77+Q80+Q87+Q91+Q96+Q99+Q107+Q109+Q111+Q113+Q116+Q118+Q126+Q129+Q134+Q137+Q140+Q142+Q147+Q149+Q153+Q155+Q157+Q171+Q173+Q177+Q179+Q184+Q186+Q188+Q192+Q197+Q201+Q204+Q206+Q208+Q210+Q214+Q216+Q220+Q229+Q231+Q261+Q264+Q267+Q269+Q273+Q275+Q278+Q280+Q282+Q301+Q308+Q310+Q312+Q314+Q320+Q324+Q326+Q333+Q337+Q123+Q339</f>
        <v>1822422887.7719409</v>
      </c>
      <c r="R340" s="507">
        <f t="shared" ref="R340" si="142">R7+R9+R11+R15+R18+R22+R24+R26+R28+R31+R33+R37+R42+R46+R50+R52+R54+R56+R60+R62+R64+R66+R68+R77+R80+R87+R91+R96+R99+R107+R109+R111+R113+R116+R118+R126+R129+R134+R137+R140+R142+R147+R149+R153+R155+R157+R171+R173+R177+R179+R184+R186+R188+R192+R197+R201+R204+R206+R208+R210+R214+R216+R220+R229+R231+R261+R264+R267+R269+R273+R275+R278+R280+R282+R301+R308+R310+R312+R314+R320+R324+R326+R333+R337+R123+R339</f>
        <v>917726932.42743981</v>
      </c>
      <c r="S340" s="507">
        <f t="shared" ref="S340" si="143">S7+S9+S11+S15+S18+S22+S24+S26+S28+S31+S33+S37+S42+S46+S50+S52+S54+S56+S60+S62+S64+S66+S68+S77+S80+S87+S91+S96+S99+S107+S109+S111+S113+S116+S118+S126+S129+S134+S137+S140+S142+S147+S149+S153+S155+S157+S171+S173+S177+S179+S184+S186+S188+S192+S197+S201+S204+S206+S208+S210+S214+S216+S220+S229+S231+S261+S264+S267+S269+S273+S275+S278+S280+S282+S301+S308+S310+S312+S314+S320+S324+S326+S333+S337+S123+S339</f>
        <v>459214738.08670008</v>
      </c>
      <c r="T340" s="507">
        <f>T7+T9+T11+T15+T18+T22+T24+T26+T28+T31+T33+T37+T42+T46+T50+T52+T54+T56+T60+T62+T64+T66+T68+T77+T80+T87+T91+T96+T99+T107+T109+T111+T113+T116+T118+T126+T129+T134+T137+T140+T142+T147+T149+T153+T155+T157+T171+T173+T177+T179+T184+T186+T188+T192+T197+T201+T204+T206+T208+T210+T214+T216+T220+T229+T231+T261+T264+T267+T269+T273+T275+T278+T280+T282+T301+T308+T310+T312+T314+T320+T324+T326+T333+T337+T123+T339</f>
        <v>1642139553.8392296</v>
      </c>
      <c r="U340" s="507">
        <f>U7+U9+U11+U15+U18+U22+U24+U26+U28+U31+U33+U37+U42+U46+U50+U52+U54+U56+U60+U62+U64+U66+U68+U77+U80+U87+U91+U96+U99+U107+U109+U111+U113+U116+U118+U126+U129+U134+U137+U140+U142+U147+U149+U153+U155+U157+U171+U173+U177+U179+U184+U186+U188+U192+U197+U201+U204+U206+U208+U210+U214+U216+U220+U229+U231+U261+U264+U267+U269+U273+U275+U278+U280+U282+U301+U308+U310+U312+U314+U320+U324+U326+U333+U337+U123+U339</f>
        <v>4841504112.1253119</v>
      </c>
      <c r="V340" s="507">
        <f>V7+V9+V11+V15+V18+V22+V24+V26+V28+V31+V33+V37+V42+V46+V50+V52+V54+V56+V60+V62+V64+V66+V68+V77+V80+V87+V91+V96+V99+V107+V109+V111+V113+V116+V118+V126+V129+V134+V137+V140+V142+V147+V149+V153+V155+V157+V171+V173+V177+V179+V184+V186+V188+V192+V197+V201+V204+V206+V208+V210+V214+V216+V220+V229+V231+V261+V264+V267+V269+V273+V275+V278+V280+V282+V301+V308+V310+V312+V314+V320+V324+V326+V333+V337+V123+V339</f>
        <v>599696798.41999996</v>
      </c>
      <c r="W340" s="507">
        <f t="shared" ref="W340" si="144">W7+W9+W11+W15+W18+W22+W24+W26+W28+W31+W33+W37+W42+W46+W50+W52+W54+W56+W60+W62+W64+W66+W68+W77+W80+W87+W91+W96+W99+W107+W109+W111+W113+W116+W118+W126+W129+W134+W137+W140+W142+W147+W149+W153+W155+W157+W171+W173+W177+W179+W184+W186+W188+W192+W197+W201+W204+W206+W208+W210+W214+W216+W220+W229+W231+W261+W264+W267+W269+W273+W275+W278+W280+W282+W301+W308+W310+W312+W314+W320+W324+W326+W333+W337+W123+W339</f>
        <v>547379851.27974343</v>
      </c>
      <c r="X340" s="518">
        <f>U340+V340-W340</f>
        <v>4893821059.2655687</v>
      </c>
    </row>
    <row r="341" spans="1:24" s="357" customFormat="1" ht="30.75" customHeight="1">
      <c r="A341" s="590"/>
      <c r="B341" s="590"/>
      <c r="C341" s="590"/>
      <c r="D341" s="590"/>
      <c r="E341" s="590"/>
      <c r="F341" s="590"/>
      <c r="G341" s="507" t="s">
        <v>579</v>
      </c>
      <c r="H341" s="507"/>
      <c r="I341" s="507"/>
      <c r="J341" s="507"/>
      <c r="K341" s="507"/>
      <c r="L341" s="508">
        <f t="shared" ref="L341:S341" si="145">L21+L36+L41+L45+L152+L200+L213+L272+L323</f>
        <v>516902.85700000002</v>
      </c>
      <c r="M341" s="508">
        <f t="shared" si="145"/>
        <v>485649.53400000004</v>
      </c>
      <c r="N341" s="508">
        <f t="shared" si="145"/>
        <v>397865.74000000005</v>
      </c>
      <c r="O341" s="508">
        <f t="shared" si="145"/>
        <v>508033.58999999997</v>
      </c>
      <c r="P341" s="508">
        <f t="shared" si="145"/>
        <v>1908451.7209999997</v>
      </c>
      <c r="Q341" s="507">
        <f t="shared" si="145"/>
        <v>2567578.173</v>
      </c>
      <c r="R341" s="507">
        <f t="shared" si="145"/>
        <v>2179155.1132000005</v>
      </c>
      <c r="S341" s="507">
        <f t="shared" si="145"/>
        <v>1851129.9103999999</v>
      </c>
      <c r="T341" s="507">
        <f>T21+T36+T41+T45+T152+T200+T213+T272+T323</f>
        <v>2637327.9523999994</v>
      </c>
      <c r="U341" s="507">
        <f>U21+U36+U41+U45+U152+U200+U213+U272+U323</f>
        <v>9235191.1490000002</v>
      </c>
      <c r="V341" s="507"/>
      <c r="W341" s="507"/>
      <c r="X341" s="518">
        <f t="shared" si="135"/>
        <v>9235191.1490000002</v>
      </c>
    </row>
    <row r="342" spans="1:24" ht="44.25" customHeight="1">
      <c r="A342" s="510" t="s">
        <v>1141</v>
      </c>
      <c r="B342" s="510" t="s">
        <v>1142</v>
      </c>
      <c r="C342" s="514" t="s">
        <v>1143</v>
      </c>
      <c r="D342" s="589" t="s">
        <v>1144</v>
      </c>
      <c r="E342" s="512" t="s">
        <v>1144</v>
      </c>
      <c r="F342" s="512"/>
      <c r="G342" s="512" t="s">
        <v>1215</v>
      </c>
      <c r="H342" s="589"/>
      <c r="I342" s="589"/>
      <c r="J342" s="589"/>
      <c r="K342" s="589"/>
      <c r="L342" s="508">
        <f t="shared" ref="L342:U342" si="146">SUM(L343)</f>
        <v>68.89</v>
      </c>
      <c r="M342" s="508">
        <f t="shared" si="146"/>
        <v>22.4</v>
      </c>
      <c r="N342" s="508">
        <f t="shared" si="146"/>
        <v>9</v>
      </c>
      <c r="O342" s="508">
        <f t="shared" si="146"/>
        <v>49</v>
      </c>
      <c r="P342" s="508">
        <f t="shared" si="146"/>
        <v>149.29</v>
      </c>
      <c r="Q342" s="507">
        <f t="shared" si="146"/>
        <v>645083.8933</v>
      </c>
      <c r="R342" s="507">
        <f t="shared" si="146"/>
        <v>209752.92799999999</v>
      </c>
      <c r="S342" s="507">
        <f t="shared" si="146"/>
        <v>84275.73</v>
      </c>
      <c r="T342" s="507">
        <f t="shared" si="146"/>
        <v>458834.52999999997</v>
      </c>
      <c r="U342" s="507">
        <f t="shared" si="146"/>
        <v>1397947.0813</v>
      </c>
      <c r="V342" s="518">
        <v>192804.14</v>
      </c>
      <c r="W342" s="518">
        <f>T342/3</f>
        <v>152944.84333333332</v>
      </c>
      <c r="X342" s="518">
        <f t="shared" si="135"/>
        <v>1437806.3779666666</v>
      </c>
    </row>
    <row r="343" spans="1:24" ht="46.5" customHeight="1">
      <c r="A343" s="509" t="s">
        <v>714</v>
      </c>
      <c r="B343" s="509"/>
      <c r="C343" s="517"/>
      <c r="D343" s="513" t="s">
        <v>1144</v>
      </c>
      <c r="E343" s="510" t="s">
        <v>937</v>
      </c>
      <c r="F343" s="510" t="s">
        <v>1090</v>
      </c>
      <c r="G343" s="506" t="s">
        <v>1130</v>
      </c>
      <c r="H343" s="507">
        <v>11412.97</v>
      </c>
      <c r="I343" s="507">
        <v>11412.97</v>
      </c>
      <c r="J343" s="507">
        <v>2049</v>
      </c>
      <c r="K343" s="507">
        <v>2049</v>
      </c>
      <c r="L343" s="508">
        <v>68.89</v>
      </c>
      <c r="M343" s="508">
        <v>22.4</v>
      </c>
      <c r="N343" s="511">
        <v>9</v>
      </c>
      <c r="O343" s="511">
        <v>49</v>
      </c>
      <c r="P343" s="508">
        <f t="shared" si="131"/>
        <v>149.29</v>
      </c>
      <c r="Q343" s="507">
        <f>(H343-J343)*L343</f>
        <v>645083.8933</v>
      </c>
      <c r="R343" s="507">
        <f>(H343-J343)*M343</f>
        <v>209752.92799999999</v>
      </c>
      <c r="S343" s="507">
        <f>(I343-J343)*N343</f>
        <v>84275.73</v>
      </c>
      <c r="T343" s="507">
        <f>(I343-K343)*O343</f>
        <v>458834.52999999997</v>
      </c>
      <c r="U343" s="507">
        <f t="shared" si="132"/>
        <v>1397947.0813</v>
      </c>
      <c r="V343" s="518"/>
      <c r="W343" s="520"/>
      <c r="X343" s="519"/>
    </row>
    <row r="344" spans="1:24" ht="47.25" customHeight="1">
      <c r="A344" s="510" t="s">
        <v>1145</v>
      </c>
      <c r="B344" s="510" t="s">
        <v>1146</v>
      </c>
      <c r="C344" s="514" t="s">
        <v>1147</v>
      </c>
      <c r="D344" s="589" t="s">
        <v>1148</v>
      </c>
      <c r="E344" s="512" t="s">
        <v>1148</v>
      </c>
      <c r="F344" s="506"/>
      <c r="G344" s="512" t="s">
        <v>1215</v>
      </c>
      <c r="H344" s="589"/>
      <c r="I344" s="589"/>
      <c r="J344" s="589"/>
      <c r="K344" s="589"/>
      <c r="L344" s="508">
        <f t="shared" ref="L344:U344" si="147">SUM(L345)</f>
        <v>15.561</v>
      </c>
      <c r="M344" s="508">
        <f t="shared" si="147"/>
        <v>8.8680000000000003</v>
      </c>
      <c r="N344" s="508">
        <f t="shared" si="147"/>
        <v>5.1870000000000003</v>
      </c>
      <c r="O344" s="508">
        <f t="shared" si="147"/>
        <v>15.561</v>
      </c>
      <c r="P344" s="508">
        <f t="shared" si="147"/>
        <v>45.177000000000007</v>
      </c>
      <c r="Q344" s="507">
        <f t="shared" si="147"/>
        <v>50355.396000000001</v>
      </c>
      <c r="R344" s="507">
        <f t="shared" si="147"/>
        <v>28696.848000000002</v>
      </c>
      <c r="S344" s="507">
        <f t="shared" si="147"/>
        <v>16785.132000000001</v>
      </c>
      <c r="T344" s="507">
        <f t="shared" si="147"/>
        <v>50355.396000000001</v>
      </c>
      <c r="U344" s="507">
        <f t="shared" si="147"/>
        <v>146192.772</v>
      </c>
      <c r="V344" s="518">
        <v>16785.13</v>
      </c>
      <c r="W344" s="518">
        <f>T344/3</f>
        <v>16785.132000000001</v>
      </c>
      <c r="X344" s="518">
        <f>U344+V344-W344</f>
        <v>146192.76999999999</v>
      </c>
    </row>
    <row r="345" spans="1:24" ht="46.5" customHeight="1">
      <c r="A345" s="509" t="s">
        <v>714</v>
      </c>
      <c r="B345" s="509"/>
      <c r="C345" s="517"/>
      <c r="D345" s="513" t="s">
        <v>1148</v>
      </c>
      <c r="E345" s="510" t="s">
        <v>720</v>
      </c>
      <c r="F345" s="510" t="s">
        <v>1152</v>
      </c>
      <c r="G345" s="506" t="s">
        <v>1130</v>
      </c>
      <c r="H345" s="507">
        <v>5152</v>
      </c>
      <c r="I345" s="507">
        <v>5152</v>
      </c>
      <c r="J345" s="507">
        <v>1916</v>
      </c>
      <c r="K345" s="507">
        <v>1916</v>
      </c>
      <c r="L345" s="508">
        <v>15.561</v>
      </c>
      <c r="M345" s="508">
        <v>8.8680000000000003</v>
      </c>
      <c r="N345" s="511">
        <v>5.1870000000000003</v>
      </c>
      <c r="O345" s="511">
        <v>15.561</v>
      </c>
      <c r="P345" s="508">
        <f t="shared" si="131"/>
        <v>45.177000000000007</v>
      </c>
      <c r="Q345" s="507">
        <f>(H345-J345)*L345</f>
        <v>50355.396000000001</v>
      </c>
      <c r="R345" s="507">
        <f>(H345-J345)*M345</f>
        <v>28696.848000000002</v>
      </c>
      <c r="S345" s="507">
        <f>(I345-J345)*N345</f>
        <v>16785.132000000001</v>
      </c>
      <c r="T345" s="507">
        <f>(I345-K345)*O345</f>
        <v>50355.396000000001</v>
      </c>
      <c r="U345" s="507">
        <f t="shared" si="132"/>
        <v>146192.772</v>
      </c>
      <c r="V345" s="518"/>
      <c r="W345" s="520"/>
      <c r="X345" s="519"/>
    </row>
    <row r="346" spans="1:24" ht="51" customHeight="1">
      <c r="A346" s="510" t="s">
        <v>1101</v>
      </c>
      <c r="B346" s="510" t="s">
        <v>1149</v>
      </c>
      <c r="C346" s="514" t="s">
        <v>1150</v>
      </c>
      <c r="D346" s="589" t="s">
        <v>1151</v>
      </c>
      <c r="E346" s="512" t="s">
        <v>1151</v>
      </c>
      <c r="F346" s="506"/>
      <c r="G346" s="512" t="s">
        <v>1215</v>
      </c>
      <c r="H346" s="589"/>
      <c r="I346" s="589"/>
      <c r="J346" s="589"/>
      <c r="K346" s="589"/>
      <c r="L346" s="508">
        <f t="shared" ref="L346:U346" si="148">SUM(L347:L363)</f>
        <v>10074.656000000001</v>
      </c>
      <c r="M346" s="508">
        <f t="shared" si="148"/>
        <v>7838.0599999999986</v>
      </c>
      <c r="N346" s="508">
        <f t="shared" si="148"/>
        <v>5150.905999999999</v>
      </c>
      <c r="O346" s="508">
        <f t="shared" si="148"/>
        <v>11919.670999999998</v>
      </c>
      <c r="P346" s="508">
        <f t="shared" si="148"/>
        <v>34983.292999999998</v>
      </c>
      <c r="Q346" s="507">
        <f t="shared" si="148"/>
        <v>55131391.120760001</v>
      </c>
      <c r="R346" s="507">
        <f t="shared" si="148"/>
        <v>43563168.073299997</v>
      </c>
      <c r="S346" s="507">
        <f t="shared" si="148"/>
        <v>22892431.792890001</v>
      </c>
      <c r="T346" s="507">
        <f t="shared" si="148"/>
        <v>62301335.832910001</v>
      </c>
      <c r="U346" s="507">
        <f t="shared" si="148"/>
        <v>183888326.81985998</v>
      </c>
      <c r="V346" s="518">
        <v>18584834.010000002</v>
      </c>
      <c r="W346" s="518">
        <f>T346/3</f>
        <v>20767111.944303334</v>
      </c>
      <c r="X346" s="518">
        <f>U346+V346-W346</f>
        <v>181706048.88555664</v>
      </c>
    </row>
    <row r="347" spans="1:24" ht="46.5" customHeight="1">
      <c r="A347" s="509" t="s">
        <v>714</v>
      </c>
      <c r="B347" s="509"/>
      <c r="C347" s="517"/>
      <c r="D347" s="513" t="s">
        <v>1151</v>
      </c>
      <c r="E347" s="510" t="s">
        <v>727</v>
      </c>
      <c r="F347" s="510" t="s">
        <v>1153</v>
      </c>
      <c r="G347" s="506" t="s">
        <v>1130</v>
      </c>
      <c r="H347" s="507">
        <v>5841.48</v>
      </c>
      <c r="I347" s="507">
        <v>5841.48</v>
      </c>
      <c r="J347" s="507">
        <v>1789.17</v>
      </c>
      <c r="K347" s="507">
        <v>1789.17</v>
      </c>
      <c r="L347" s="508">
        <v>239.54399999999998</v>
      </c>
      <c r="M347" s="508">
        <v>159.696</v>
      </c>
      <c r="N347" s="511">
        <v>81.870999999999995</v>
      </c>
      <c r="O347" s="511">
        <v>271.173</v>
      </c>
      <c r="P347" s="508">
        <f t="shared" si="131"/>
        <v>752.28399999999999</v>
      </c>
      <c r="Q347" s="507">
        <f t="shared" ref="Q347:Q363" si="149">(H347-J347)*L347</f>
        <v>970706.54663999984</v>
      </c>
      <c r="R347" s="507">
        <f t="shared" ref="R347:R363" si="150">(H347-J347)*M347</f>
        <v>647137.69775999989</v>
      </c>
      <c r="S347" s="507">
        <f t="shared" ref="S347:S363" si="151">(I347-J347)*N347</f>
        <v>331766.67200999992</v>
      </c>
      <c r="T347" s="507">
        <f t="shared" ref="T347:T363" si="152">(I347-K347)*O347</f>
        <v>1098877.0596299998</v>
      </c>
      <c r="U347" s="507">
        <f t="shared" si="132"/>
        <v>3048487.9760399992</v>
      </c>
      <c r="V347" s="520"/>
      <c r="W347" s="520"/>
      <c r="X347" s="521"/>
    </row>
    <row r="348" spans="1:24" ht="46.5" customHeight="1">
      <c r="A348" s="509" t="s">
        <v>714</v>
      </c>
      <c r="B348" s="509"/>
      <c r="C348" s="517"/>
      <c r="D348" s="513" t="s">
        <v>1151</v>
      </c>
      <c r="E348" s="510" t="s">
        <v>1081</v>
      </c>
      <c r="F348" s="510" t="s">
        <v>1154</v>
      </c>
      <c r="G348" s="506" t="s">
        <v>1130</v>
      </c>
      <c r="H348" s="507">
        <v>2162.58</v>
      </c>
      <c r="I348" s="507">
        <v>2162.58</v>
      </c>
      <c r="J348" s="507">
        <v>1670.83</v>
      </c>
      <c r="K348" s="507">
        <v>1670.83</v>
      </c>
      <c r="L348" s="508">
        <v>2494.0830000000001</v>
      </c>
      <c r="M348" s="508">
        <v>1807.5519999999999</v>
      </c>
      <c r="N348" s="511">
        <v>461.69799999999998</v>
      </c>
      <c r="O348" s="511">
        <v>1529.232</v>
      </c>
      <c r="P348" s="508">
        <f t="shared" si="131"/>
        <v>6292.5650000000005</v>
      </c>
      <c r="Q348" s="507">
        <f t="shared" si="149"/>
        <v>1226465.31525</v>
      </c>
      <c r="R348" s="507">
        <f t="shared" si="150"/>
        <v>888863.696</v>
      </c>
      <c r="S348" s="507">
        <f t="shared" si="151"/>
        <v>227039.9915</v>
      </c>
      <c r="T348" s="507">
        <f t="shared" si="152"/>
        <v>751999.83600000001</v>
      </c>
      <c r="U348" s="507">
        <f t="shared" si="132"/>
        <v>3094368.8387500001</v>
      </c>
      <c r="V348" s="520"/>
      <c r="W348" s="520"/>
      <c r="X348" s="521"/>
    </row>
    <row r="349" spans="1:24" ht="46.5" customHeight="1">
      <c r="A349" s="509" t="s">
        <v>714</v>
      </c>
      <c r="B349" s="509"/>
      <c r="C349" s="517"/>
      <c r="D349" s="513" t="s">
        <v>1151</v>
      </c>
      <c r="E349" s="510" t="s">
        <v>1155</v>
      </c>
      <c r="F349" s="510" t="s">
        <v>1156</v>
      </c>
      <c r="G349" s="506" t="s">
        <v>1130</v>
      </c>
      <c r="H349" s="507">
        <v>10185.540000000001</v>
      </c>
      <c r="I349" s="507">
        <v>10185.540000000001</v>
      </c>
      <c r="J349" s="507">
        <v>2400</v>
      </c>
      <c r="K349" s="507">
        <v>2400</v>
      </c>
      <c r="L349" s="508">
        <v>2549.3680000000004</v>
      </c>
      <c r="M349" s="508">
        <v>2532.027</v>
      </c>
      <c r="N349" s="511">
        <v>1131.432</v>
      </c>
      <c r="O349" s="511">
        <v>3747.5189999999998</v>
      </c>
      <c r="P349" s="508">
        <f t="shared" si="131"/>
        <v>9960.3459999999995</v>
      </c>
      <c r="Q349" s="507">
        <f t="shared" si="149"/>
        <v>19848206.538720004</v>
      </c>
      <c r="R349" s="507">
        <f t="shared" si="150"/>
        <v>19713197.489580002</v>
      </c>
      <c r="S349" s="507">
        <f t="shared" si="151"/>
        <v>8808809.0932800006</v>
      </c>
      <c r="T349" s="507">
        <f t="shared" si="152"/>
        <v>29176459.075260002</v>
      </c>
      <c r="U349" s="507">
        <f t="shared" si="132"/>
        <v>77546672.196840003</v>
      </c>
      <c r="V349" s="520"/>
      <c r="W349" s="520"/>
      <c r="X349" s="521"/>
    </row>
    <row r="350" spans="1:24" ht="46.5" customHeight="1">
      <c r="A350" s="509" t="s">
        <v>714</v>
      </c>
      <c r="B350" s="509"/>
      <c r="C350" s="517"/>
      <c r="D350" s="513" t="s">
        <v>1151</v>
      </c>
      <c r="E350" s="510" t="s">
        <v>715</v>
      </c>
      <c r="F350" s="510" t="s">
        <v>1157</v>
      </c>
      <c r="G350" s="506" t="s">
        <v>1130</v>
      </c>
      <c r="H350" s="507">
        <v>15355.28</v>
      </c>
      <c r="I350" s="507">
        <v>15355.28</v>
      </c>
      <c r="J350" s="507">
        <v>1492.5</v>
      </c>
      <c r="K350" s="507">
        <v>1492.5</v>
      </c>
      <c r="L350" s="508">
        <v>1114.972</v>
      </c>
      <c r="M350" s="508">
        <v>714.00699999999995</v>
      </c>
      <c r="N350" s="511">
        <v>361.07799999999997</v>
      </c>
      <c r="O350" s="511">
        <v>1195.9590000000001</v>
      </c>
      <c r="P350" s="508">
        <f t="shared" si="131"/>
        <v>3386.0159999999996</v>
      </c>
      <c r="Q350" s="507">
        <f t="shared" si="149"/>
        <v>15456611.542160001</v>
      </c>
      <c r="R350" s="507">
        <f t="shared" si="150"/>
        <v>9898121.9594599996</v>
      </c>
      <c r="S350" s="507">
        <f t="shared" si="151"/>
        <v>5005544.87684</v>
      </c>
      <c r="T350" s="507">
        <f t="shared" si="152"/>
        <v>16579316.506020002</v>
      </c>
      <c r="U350" s="507">
        <f t="shared" si="132"/>
        <v>46939594.88448</v>
      </c>
      <c r="V350" s="520"/>
      <c r="W350" s="520"/>
      <c r="X350" s="521"/>
    </row>
    <row r="351" spans="1:24" ht="46.5" customHeight="1">
      <c r="A351" s="509" t="s">
        <v>714</v>
      </c>
      <c r="B351" s="509"/>
      <c r="C351" s="517"/>
      <c r="D351" s="513" t="s">
        <v>1151</v>
      </c>
      <c r="E351" s="510" t="s">
        <v>798</v>
      </c>
      <c r="F351" s="510" t="s">
        <v>1158</v>
      </c>
      <c r="G351" s="506" t="s">
        <v>1130</v>
      </c>
      <c r="H351" s="507">
        <v>4529.99</v>
      </c>
      <c r="I351" s="507">
        <v>4529.99</v>
      </c>
      <c r="J351" s="507">
        <v>1671.67</v>
      </c>
      <c r="K351" s="507">
        <v>1671.67</v>
      </c>
      <c r="L351" s="508">
        <v>284.08199999999999</v>
      </c>
      <c r="M351" s="508">
        <v>189.38800000000001</v>
      </c>
      <c r="N351" s="511">
        <v>68.787000000000006</v>
      </c>
      <c r="O351" s="511">
        <v>227.834</v>
      </c>
      <c r="P351" s="508">
        <f t="shared" si="131"/>
        <v>770.09100000000012</v>
      </c>
      <c r="Q351" s="507">
        <f t="shared" si="149"/>
        <v>811997.26223999995</v>
      </c>
      <c r="R351" s="507">
        <f t="shared" si="150"/>
        <v>541331.50815999997</v>
      </c>
      <c r="S351" s="507">
        <f t="shared" si="151"/>
        <v>196615.25784000001</v>
      </c>
      <c r="T351" s="507">
        <f t="shared" si="152"/>
        <v>651222.47887999995</v>
      </c>
      <c r="U351" s="507">
        <f t="shared" si="132"/>
        <v>2201166.5071199997</v>
      </c>
      <c r="V351" s="520"/>
      <c r="W351" s="520"/>
      <c r="X351" s="521"/>
    </row>
    <row r="352" spans="1:24" ht="46.5" customHeight="1">
      <c r="A352" s="509" t="s">
        <v>714</v>
      </c>
      <c r="B352" s="509"/>
      <c r="C352" s="517"/>
      <c r="D352" s="513" t="s">
        <v>1151</v>
      </c>
      <c r="E352" s="510" t="s">
        <v>915</v>
      </c>
      <c r="F352" s="510" t="s">
        <v>1159</v>
      </c>
      <c r="G352" s="506" t="s">
        <v>1130</v>
      </c>
      <c r="H352" s="507">
        <v>9788.43</v>
      </c>
      <c r="I352" s="507">
        <v>9788.43</v>
      </c>
      <c r="J352" s="507">
        <v>1590.83</v>
      </c>
      <c r="K352" s="507">
        <v>1590.83</v>
      </c>
      <c r="L352" s="508">
        <v>19.401</v>
      </c>
      <c r="M352" s="508">
        <v>12.933999999999999</v>
      </c>
      <c r="N352" s="511">
        <v>10.923999999999999</v>
      </c>
      <c r="O352" s="511">
        <v>36.180999999999997</v>
      </c>
      <c r="P352" s="508">
        <f t="shared" si="131"/>
        <v>79.44</v>
      </c>
      <c r="Q352" s="507">
        <f t="shared" si="149"/>
        <v>159041.63760000002</v>
      </c>
      <c r="R352" s="507">
        <f t="shared" si="150"/>
        <v>106027.75839999999</v>
      </c>
      <c r="S352" s="507">
        <f t="shared" si="151"/>
        <v>89550.582399999999</v>
      </c>
      <c r="T352" s="507">
        <f t="shared" si="152"/>
        <v>296597.36560000002</v>
      </c>
      <c r="U352" s="507">
        <f t="shared" si="132"/>
        <v>651217.34400000004</v>
      </c>
      <c r="V352" s="520"/>
      <c r="W352" s="520"/>
      <c r="X352" s="521"/>
    </row>
    <row r="353" spans="1:24" ht="46.5" customHeight="1">
      <c r="A353" s="509" t="s">
        <v>714</v>
      </c>
      <c r="B353" s="509"/>
      <c r="C353" s="517"/>
      <c r="D353" s="513" t="s">
        <v>1151</v>
      </c>
      <c r="E353" s="510" t="s">
        <v>791</v>
      </c>
      <c r="F353" s="510" t="s">
        <v>1160</v>
      </c>
      <c r="G353" s="506" t="s">
        <v>1130</v>
      </c>
      <c r="H353" s="507">
        <v>2855.52</v>
      </c>
      <c r="I353" s="507">
        <v>2855.52</v>
      </c>
      <c r="J353" s="507">
        <v>1570.83</v>
      </c>
      <c r="K353" s="507">
        <v>1570.83</v>
      </c>
      <c r="L353" s="508">
        <v>948.93700000000013</v>
      </c>
      <c r="M353" s="508">
        <v>227.761</v>
      </c>
      <c r="N353" s="511">
        <v>650.53300000000002</v>
      </c>
      <c r="O353" s="511">
        <v>2154.6889999999999</v>
      </c>
      <c r="P353" s="508">
        <f t="shared" si="131"/>
        <v>3981.92</v>
      </c>
      <c r="Q353" s="507">
        <f t="shared" si="149"/>
        <v>1219089.8745300001</v>
      </c>
      <c r="R353" s="507">
        <f t="shared" si="150"/>
        <v>292602.27909000003</v>
      </c>
      <c r="S353" s="507">
        <f t="shared" si="151"/>
        <v>835733.2397700001</v>
      </c>
      <c r="T353" s="507">
        <f t="shared" si="152"/>
        <v>2768107.4114099997</v>
      </c>
      <c r="U353" s="507">
        <f t="shared" si="132"/>
        <v>5115532.8048</v>
      </c>
      <c r="V353" s="520"/>
      <c r="W353" s="520"/>
      <c r="X353" s="521"/>
    </row>
    <row r="354" spans="1:24" ht="46.5" customHeight="1">
      <c r="A354" s="509" t="s">
        <v>714</v>
      </c>
      <c r="B354" s="509"/>
      <c r="C354" s="517"/>
      <c r="D354" s="513" t="s">
        <v>1151</v>
      </c>
      <c r="E354" s="510" t="s">
        <v>726</v>
      </c>
      <c r="F354" s="510" t="s">
        <v>1161</v>
      </c>
      <c r="G354" s="506" t="s">
        <v>1130</v>
      </c>
      <c r="H354" s="507">
        <v>3489.57</v>
      </c>
      <c r="I354" s="507">
        <v>3489.57</v>
      </c>
      <c r="J354" s="507">
        <v>1943.33</v>
      </c>
      <c r="K354" s="507">
        <v>1943.33</v>
      </c>
      <c r="L354" s="508">
        <v>80.25</v>
      </c>
      <c r="M354" s="508">
        <v>53.5</v>
      </c>
      <c r="N354" s="511">
        <v>21.113</v>
      </c>
      <c r="O354" s="511">
        <v>69.930999999999997</v>
      </c>
      <c r="P354" s="508">
        <f t="shared" si="131"/>
        <v>224.79399999999998</v>
      </c>
      <c r="Q354" s="507">
        <f t="shared" si="149"/>
        <v>124085.76000000002</v>
      </c>
      <c r="R354" s="507">
        <f t="shared" si="150"/>
        <v>82723.840000000011</v>
      </c>
      <c r="S354" s="507">
        <f t="shared" si="151"/>
        <v>32645.765120000004</v>
      </c>
      <c r="T354" s="507">
        <f t="shared" si="152"/>
        <v>108130.10944000001</v>
      </c>
      <c r="U354" s="507">
        <f t="shared" si="132"/>
        <v>347585.47456000006</v>
      </c>
      <c r="V354" s="520"/>
      <c r="W354" s="520"/>
      <c r="X354" s="521"/>
    </row>
    <row r="355" spans="1:24" ht="46.5" customHeight="1">
      <c r="A355" s="509" t="s">
        <v>714</v>
      </c>
      <c r="B355" s="509"/>
      <c r="C355" s="517"/>
      <c r="D355" s="513" t="s">
        <v>1151</v>
      </c>
      <c r="E355" s="510" t="s">
        <v>726</v>
      </c>
      <c r="F355" s="510" t="s">
        <v>1162</v>
      </c>
      <c r="G355" s="506" t="s">
        <v>1130</v>
      </c>
      <c r="H355" s="507">
        <v>9381.2999999999993</v>
      </c>
      <c r="I355" s="507">
        <v>9381.2999999999993</v>
      </c>
      <c r="J355" s="507">
        <v>1980</v>
      </c>
      <c r="K355" s="507">
        <v>1980</v>
      </c>
      <c r="L355" s="508">
        <v>100.17</v>
      </c>
      <c r="M355" s="508">
        <v>66.78</v>
      </c>
      <c r="N355" s="511">
        <v>27.814</v>
      </c>
      <c r="O355" s="511">
        <v>92.126999999999995</v>
      </c>
      <c r="P355" s="508">
        <f t="shared" si="131"/>
        <v>286.89099999999996</v>
      </c>
      <c r="Q355" s="507">
        <f t="shared" si="149"/>
        <v>741388.2209999999</v>
      </c>
      <c r="R355" s="507">
        <f t="shared" si="150"/>
        <v>494258.81399999995</v>
      </c>
      <c r="S355" s="507">
        <f t="shared" si="151"/>
        <v>205859.75819999998</v>
      </c>
      <c r="T355" s="507">
        <f t="shared" si="152"/>
        <v>681859.56509999989</v>
      </c>
      <c r="U355" s="507">
        <f t="shared" si="132"/>
        <v>2123366.3583</v>
      </c>
      <c r="V355" s="520"/>
      <c r="W355" s="520"/>
      <c r="X355" s="521"/>
    </row>
    <row r="356" spans="1:24" ht="46.5" customHeight="1">
      <c r="A356" s="509" t="s">
        <v>714</v>
      </c>
      <c r="B356" s="509"/>
      <c r="C356" s="517"/>
      <c r="D356" s="513" t="s">
        <v>1151</v>
      </c>
      <c r="E356" s="510" t="s">
        <v>903</v>
      </c>
      <c r="F356" s="510" t="s">
        <v>1163</v>
      </c>
      <c r="G356" s="506" t="s">
        <v>1130</v>
      </c>
      <c r="H356" s="507">
        <v>13681.81</v>
      </c>
      <c r="I356" s="507">
        <v>13681.81</v>
      </c>
      <c r="J356" s="507">
        <v>2000</v>
      </c>
      <c r="K356" s="507">
        <v>2000</v>
      </c>
      <c r="L356" s="508">
        <v>364.71299999999997</v>
      </c>
      <c r="M356" s="508">
        <v>184.35999999999999</v>
      </c>
      <c r="N356" s="511">
        <v>112.175</v>
      </c>
      <c r="O356" s="511">
        <v>371.54300000000001</v>
      </c>
      <c r="P356" s="508">
        <f t="shared" si="131"/>
        <v>1032.7909999999999</v>
      </c>
      <c r="Q356" s="507">
        <f t="shared" si="149"/>
        <v>4260507.9705299996</v>
      </c>
      <c r="R356" s="507">
        <f t="shared" si="150"/>
        <v>2153658.4915999998</v>
      </c>
      <c r="S356" s="507">
        <f t="shared" si="151"/>
        <v>1310407.03675</v>
      </c>
      <c r="T356" s="507">
        <f t="shared" si="152"/>
        <v>4340294.7328300001</v>
      </c>
      <c r="U356" s="507">
        <f t="shared" si="132"/>
        <v>12064868.231709998</v>
      </c>
      <c r="V356" s="520"/>
      <c r="W356" s="520"/>
      <c r="X356" s="521"/>
    </row>
    <row r="357" spans="1:24" ht="46.5" customHeight="1">
      <c r="A357" s="509" t="s">
        <v>714</v>
      </c>
      <c r="B357" s="509"/>
      <c r="C357" s="517"/>
      <c r="D357" s="513" t="s">
        <v>1151</v>
      </c>
      <c r="E357" s="510" t="s">
        <v>727</v>
      </c>
      <c r="F357" s="510" t="s">
        <v>714</v>
      </c>
      <c r="G357" s="506" t="s">
        <v>1131</v>
      </c>
      <c r="H357" s="507">
        <v>5841.48</v>
      </c>
      <c r="I357" s="507">
        <v>5841.48</v>
      </c>
      <c r="J357" s="507">
        <v>1789.17</v>
      </c>
      <c r="K357" s="507">
        <v>1789.17</v>
      </c>
      <c r="L357" s="508">
        <v>24.496000000000002</v>
      </c>
      <c r="M357" s="508">
        <v>8.7460000000000004</v>
      </c>
      <c r="N357" s="511">
        <v>15.131</v>
      </c>
      <c r="O357" s="511">
        <v>15.131</v>
      </c>
      <c r="P357" s="508">
        <f t="shared" si="131"/>
        <v>63.504000000000005</v>
      </c>
      <c r="Q357" s="507">
        <f t="shared" si="149"/>
        <v>99265.38575999999</v>
      </c>
      <c r="R357" s="507">
        <f t="shared" si="150"/>
        <v>35441.503259999998</v>
      </c>
      <c r="S357" s="507">
        <f t="shared" si="151"/>
        <v>61315.502609999996</v>
      </c>
      <c r="T357" s="507">
        <f t="shared" si="152"/>
        <v>61315.502609999996</v>
      </c>
      <c r="U357" s="507">
        <f t="shared" si="132"/>
        <v>257337.89423999999</v>
      </c>
      <c r="V357" s="520"/>
      <c r="W357" s="520"/>
      <c r="X357" s="521"/>
    </row>
    <row r="358" spans="1:24" ht="46.5" customHeight="1">
      <c r="A358" s="509" t="s">
        <v>714</v>
      </c>
      <c r="B358" s="509"/>
      <c r="C358" s="517"/>
      <c r="D358" s="513" t="s">
        <v>1151</v>
      </c>
      <c r="E358" s="510" t="s">
        <v>903</v>
      </c>
      <c r="F358" s="510" t="s">
        <v>714</v>
      </c>
      <c r="G358" s="506" t="s">
        <v>1131</v>
      </c>
      <c r="H358" s="507">
        <v>13681.81</v>
      </c>
      <c r="I358" s="507">
        <v>13681.81</v>
      </c>
      <c r="J358" s="507">
        <v>2000</v>
      </c>
      <c r="K358" s="507">
        <v>2000</v>
      </c>
      <c r="L358" s="508">
        <v>36.109000000000002</v>
      </c>
      <c r="M358" s="508">
        <v>35.579000000000001</v>
      </c>
      <c r="N358" s="511">
        <v>42.566000000000003</v>
      </c>
      <c r="O358" s="511">
        <v>42.567</v>
      </c>
      <c r="P358" s="508">
        <f t="shared" si="131"/>
        <v>156.821</v>
      </c>
      <c r="Q358" s="507">
        <f t="shared" si="149"/>
        <v>421818.47729000001</v>
      </c>
      <c r="R358" s="507">
        <f t="shared" si="150"/>
        <v>415627.11799</v>
      </c>
      <c r="S358" s="507">
        <f t="shared" si="151"/>
        <v>497247.92446000001</v>
      </c>
      <c r="T358" s="507">
        <f t="shared" si="152"/>
        <v>497259.60626999999</v>
      </c>
      <c r="U358" s="507">
        <f t="shared" si="132"/>
        <v>1831953.1260099998</v>
      </c>
      <c r="V358" s="520"/>
      <c r="W358" s="520"/>
      <c r="X358" s="521"/>
    </row>
    <row r="359" spans="1:24" ht="46.5" customHeight="1">
      <c r="A359" s="509" t="s">
        <v>714</v>
      </c>
      <c r="B359" s="509"/>
      <c r="C359" s="517"/>
      <c r="D359" s="513" t="s">
        <v>1151</v>
      </c>
      <c r="E359" s="510" t="s">
        <v>791</v>
      </c>
      <c r="F359" s="510" t="s">
        <v>1164</v>
      </c>
      <c r="G359" s="506" t="s">
        <v>1131</v>
      </c>
      <c r="H359" s="507">
        <v>2855.52</v>
      </c>
      <c r="I359" s="507">
        <v>2855.52</v>
      </c>
      <c r="J359" s="507">
        <v>1570.83</v>
      </c>
      <c r="K359" s="507">
        <v>1570.83</v>
      </c>
      <c r="L359" s="508">
        <v>141.25200000000001</v>
      </c>
      <c r="M359" s="508">
        <v>124.777</v>
      </c>
      <c r="N359" s="511">
        <v>94.463999999999999</v>
      </c>
      <c r="O359" s="511">
        <v>94.463999999999999</v>
      </c>
      <c r="P359" s="508">
        <f t="shared" si="131"/>
        <v>454.95699999999999</v>
      </c>
      <c r="Q359" s="507">
        <f t="shared" si="149"/>
        <v>181465.03188000002</v>
      </c>
      <c r="R359" s="507">
        <f t="shared" si="150"/>
        <v>160299.76413</v>
      </c>
      <c r="S359" s="507">
        <f t="shared" si="151"/>
        <v>121356.95616</v>
      </c>
      <c r="T359" s="507">
        <f t="shared" si="152"/>
        <v>121356.95616</v>
      </c>
      <c r="U359" s="507">
        <f t="shared" si="132"/>
        <v>584478.70833000005</v>
      </c>
      <c r="V359" s="520"/>
      <c r="W359" s="520"/>
      <c r="X359" s="521"/>
    </row>
    <row r="360" spans="1:24" ht="46.5" customHeight="1">
      <c r="A360" s="509" t="s">
        <v>714</v>
      </c>
      <c r="B360" s="509"/>
      <c r="C360" s="517"/>
      <c r="D360" s="513" t="s">
        <v>1151</v>
      </c>
      <c r="E360" s="510" t="s">
        <v>798</v>
      </c>
      <c r="F360" s="510" t="s">
        <v>797</v>
      </c>
      <c r="G360" s="506" t="s">
        <v>1131</v>
      </c>
      <c r="H360" s="507">
        <v>4529.99</v>
      </c>
      <c r="I360" s="507">
        <v>4529.99</v>
      </c>
      <c r="J360" s="507">
        <v>1671.67</v>
      </c>
      <c r="K360" s="507">
        <v>1671.67</v>
      </c>
      <c r="L360" s="508">
        <v>27.665999999999997</v>
      </c>
      <c r="M360" s="508">
        <v>25.888999999999996</v>
      </c>
      <c r="N360" s="511">
        <v>30.457000000000001</v>
      </c>
      <c r="O360" s="511">
        <v>30.457000000000001</v>
      </c>
      <c r="P360" s="508">
        <f t="shared" si="131"/>
        <v>114.46899999999999</v>
      </c>
      <c r="Q360" s="507">
        <f t="shared" si="149"/>
        <v>79078.281119999985</v>
      </c>
      <c r="R360" s="507">
        <f t="shared" si="150"/>
        <v>73999.046479999975</v>
      </c>
      <c r="S360" s="507">
        <f t="shared" si="151"/>
        <v>87055.852239999993</v>
      </c>
      <c r="T360" s="507">
        <f t="shared" si="152"/>
        <v>87055.852239999993</v>
      </c>
      <c r="U360" s="507">
        <f t="shared" si="132"/>
        <v>327189.03207999992</v>
      </c>
      <c r="V360" s="520"/>
      <c r="W360" s="520"/>
      <c r="X360" s="521"/>
    </row>
    <row r="361" spans="1:24" ht="46.5" customHeight="1">
      <c r="A361" s="509" t="s">
        <v>714</v>
      </c>
      <c r="B361" s="509"/>
      <c r="C361" s="517"/>
      <c r="D361" s="513" t="s">
        <v>1151</v>
      </c>
      <c r="E361" s="510" t="s">
        <v>1081</v>
      </c>
      <c r="F361" s="510" t="s">
        <v>1154</v>
      </c>
      <c r="G361" s="506" t="s">
        <v>1131</v>
      </c>
      <c r="H361" s="507">
        <v>2162.58</v>
      </c>
      <c r="I361" s="507">
        <v>2162.58</v>
      </c>
      <c r="J361" s="507">
        <v>1670.83</v>
      </c>
      <c r="K361" s="507">
        <v>1670.83</v>
      </c>
      <c r="L361" s="508">
        <v>624.03000000000009</v>
      </c>
      <c r="M361" s="508">
        <v>818.2349999999999</v>
      </c>
      <c r="N361" s="511">
        <v>1545.557</v>
      </c>
      <c r="O361" s="511">
        <v>1545.558</v>
      </c>
      <c r="P361" s="508">
        <f t="shared" si="131"/>
        <v>4533.38</v>
      </c>
      <c r="Q361" s="507">
        <f t="shared" si="149"/>
        <v>306866.75250000006</v>
      </c>
      <c r="R361" s="507">
        <f t="shared" si="150"/>
        <v>402367.06124999997</v>
      </c>
      <c r="S361" s="507">
        <f t="shared" si="151"/>
        <v>760027.65474999999</v>
      </c>
      <c r="T361" s="507">
        <f t="shared" si="152"/>
        <v>760028.14650000003</v>
      </c>
      <c r="U361" s="507">
        <f t="shared" si="132"/>
        <v>2229289.6150000002</v>
      </c>
      <c r="V361" s="520"/>
      <c r="W361" s="520"/>
      <c r="X361" s="521"/>
    </row>
    <row r="362" spans="1:24" ht="46.5" customHeight="1">
      <c r="A362" s="509" t="s">
        <v>714</v>
      </c>
      <c r="B362" s="509"/>
      <c r="C362" s="517"/>
      <c r="D362" s="513" t="s">
        <v>1151</v>
      </c>
      <c r="E362" s="510" t="s">
        <v>715</v>
      </c>
      <c r="F362" s="510" t="s">
        <v>1165</v>
      </c>
      <c r="G362" s="506" t="s">
        <v>1131</v>
      </c>
      <c r="H362" s="507">
        <v>15355.28</v>
      </c>
      <c r="I362" s="507">
        <v>15355.28</v>
      </c>
      <c r="J362" s="507">
        <v>1492.5</v>
      </c>
      <c r="K362" s="507">
        <v>1492.5</v>
      </c>
      <c r="L362" s="508">
        <v>204.053</v>
      </c>
      <c r="M362" s="508">
        <v>136.72699999999998</v>
      </c>
      <c r="N362" s="511">
        <v>76.552999999999997</v>
      </c>
      <c r="O362" s="511">
        <v>76.552999999999997</v>
      </c>
      <c r="P362" s="508">
        <f t="shared" si="131"/>
        <v>493.88599999999997</v>
      </c>
      <c r="Q362" s="507">
        <f t="shared" si="149"/>
        <v>2828741.8473400003</v>
      </c>
      <c r="R362" s="507">
        <f t="shared" si="150"/>
        <v>1895416.3210599998</v>
      </c>
      <c r="S362" s="507">
        <f t="shared" si="151"/>
        <v>1061237.3973399999</v>
      </c>
      <c r="T362" s="507">
        <f t="shared" si="152"/>
        <v>1061237.3973399999</v>
      </c>
      <c r="U362" s="507">
        <f t="shared" si="132"/>
        <v>6846632.9630799992</v>
      </c>
      <c r="V362" s="520"/>
      <c r="W362" s="520"/>
      <c r="X362" s="521"/>
    </row>
    <row r="363" spans="1:24" ht="46.5" customHeight="1">
      <c r="A363" s="509" t="s">
        <v>714</v>
      </c>
      <c r="B363" s="509"/>
      <c r="C363" s="517"/>
      <c r="D363" s="513" t="s">
        <v>1151</v>
      </c>
      <c r="E363" s="510" t="s">
        <v>1155</v>
      </c>
      <c r="F363" s="510" t="s">
        <v>1166</v>
      </c>
      <c r="G363" s="506" t="s">
        <v>1131</v>
      </c>
      <c r="H363" s="507">
        <v>10185.540000000001</v>
      </c>
      <c r="I363" s="507">
        <v>10185.540000000001</v>
      </c>
      <c r="J363" s="507">
        <v>2400</v>
      </c>
      <c r="K363" s="507">
        <v>2400</v>
      </c>
      <c r="L363" s="508">
        <v>821.53</v>
      </c>
      <c r="M363" s="508">
        <v>740.10199999999998</v>
      </c>
      <c r="N363" s="511">
        <v>418.75299999999999</v>
      </c>
      <c r="O363" s="511">
        <v>418.75299999999999</v>
      </c>
      <c r="P363" s="508">
        <f t="shared" si="131"/>
        <v>2399.1379999999999</v>
      </c>
      <c r="Q363" s="507">
        <f t="shared" si="149"/>
        <v>6396054.6762000006</v>
      </c>
      <c r="R363" s="507">
        <f t="shared" si="150"/>
        <v>5762093.7250800002</v>
      </c>
      <c r="S363" s="507">
        <f t="shared" si="151"/>
        <v>3260218.2316200002</v>
      </c>
      <c r="T363" s="507">
        <f t="shared" si="152"/>
        <v>3260218.2316200002</v>
      </c>
      <c r="U363" s="507">
        <f t="shared" si="132"/>
        <v>18678584.864520002</v>
      </c>
      <c r="V363" s="520"/>
      <c r="W363" s="520"/>
      <c r="X363" s="521"/>
    </row>
    <row r="364" spans="1:24" ht="46.5" customHeight="1">
      <c r="A364" s="510" t="s">
        <v>1191</v>
      </c>
      <c r="B364" s="510"/>
      <c r="C364" s="514" t="s">
        <v>1143</v>
      </c>
      <c r="D364" s="589" t="s">
        <v>1144</v>
      </c>
      <c r="E364" s="512" t="s">
        <v>1192</v>
      </c>
      <c r="F364" s="506"/>
      <c r="G364" s="512" t="s">
        <v>1215</v>
      </c>
      <c r="H364" s="589"/>
      <c r="I364" s="589"/>
      <c r="J364" s="589"/>
      <c r="K364" s="589"/>
      <c r="L364" s="508">
        <f t="shared" ref="L364:U364" si="153">SUM(L365)</f>
        <v>0</v>
      </c>
      <c r="M364" s="508">
        <f t="shared" si="153"/>
        <v>0</v>
      </c>
      <c r="N364" s="508">
        <f t="shared" si="153"/>
        <v>5.8789999999999996</v>
      </c>
      <c r="O364" s="508">
        <f t="shared" si="153"/>
        <v>17.637</v>
      </c>
      <c r="P364" s="508">
        <f t="shared" si="153"/>
        <v>23.515999999999998</v>
      </c>
      <c r="Q364" s="507">
        <f t="shared" si="153"/>
        <v>0</v>
      </c>
      <c r="R364" s="507">
        <f t="shared" si="153"/>
        <v>0</v>
      </c>
      <c r="S364" s="507">
        <f t="shared" si="153"/>
        <v>9263.3639299999995</v>
      </c>
      <c r="T364" s="507">
        <f t="shared" si="153"/>
        <v>27790.091790000002</v>
      </c>
      <c r="U364" s="507">
        <f t="shared" si="153"/>
        <v>37053.455719999998</v>
      </c>
      <c r="V364" s="518">
        <v>9263.36</v>
      </c>
      <c r="W364" s="518">
        <f>T364/3</f>
        <v>9263.3639300000013</v>
      </c>
      <c r="X364" s="518">
        <f>U364+V364-W364</f>
        <v>37053.451789999999</v>
      </c>
    </row>
    <row r="365" spans="1:24" ht="46.5" customHeight="1">
      <c r="A365" s="509" t="s">
        <v>714</v>
      </c>
      <c r="B365" s="509"/>
      <c r="C365" s="517"/>
      <c r="D365" s="513" t="s">
        <v>1144</v>
      </c>
      <c r="E365" s="510" t="s">
        <v>720</v>
      </c>
      <c r="F365" s="510" t="s">
        <v>1193</v>
      </c>
      <c r="G365" s="506" t="s">
        <v>1130</v>
      </c>
      <c r="H365" s="507">
        <v>3491.67</v>
      </c>
      <c r="I365" s="507">
        <v>3491.67</v>
      </c>
      <c r="J365" s="507">
        <v>1916</v>
      </c>
      <c r="K365" s="507">
        <v>1916</v>
      </c>
      <c r="L365" s="508">
        <v>0</v>
      </c>
      <c r="M365" s="508">
        <v>0</v>
      </c>
      <c r="N365" s="511">
        <v>5.8789999999999996</v>
      </c>
      <c r="O365" s="511">
        <v>17.637</v>
      </c>
      <c r="P365" s="508">
        <f t="shared" si="131"/>
        <v>23.515999999999998</v>
      </c>
      <c r="Q365" s="507">
        <f>(H365-J365)*L365</f>
        <v>0</v>
      </c>
      <c r="R365" s="507">
        <f>(H365-J365)*M365</f>
        <v>0</v>
      </c>
      <c r="S365" s="507">
        <f>(I365-J365)*N365</f>
        <v>9263.3639299999995</v>
      </c>
      <c r="T365" s="507">
        <f>(I365-K365)*O365</f>
        <v>27790.091790000002</v>
      </c>
      <c r="U365" s="507">
        <f t="shared" si="132"/>
        <v>37053.455719999998</v>
      </c>
      <c r="V365" s="518"/>
      <c r="W365" s="520"/>
      <c r="X365" s="519"/>
    </row>
    <row r="366" spans="1:24" s="357" customFormat="1" ht="30.75" customHeight="1">
      <c r="A366" s="590" t="s">
        <v>1167</v>
      </c>
      <c r="B366" s="590"/>
      <c r="C366" s="590"/>
      <c r="D366" s="590"/>
      <c r="E366" s="590"/>
      <c r="F366" s="590"/>
      <c r="G366" s="590"/>
      <c r="H366" s="507" t="s">
        <v>713</v>
      </c>
      <c r="I366" s="507" t="s">
        <v>713</v>
      </c>
      <c r="J366" s="507" t="s">
        <v>713</v>
      </c>
      <c r="K366" s="507" t="s">
        <v>713</v>
      </c>
      <c r="L366" s="508">
        <f t="shared" ref="L366:X366" si="154">L342+L344+L346+L364</f>
        <v>10159.107</v>
      </c>
      <c r="M366" s="508">
        <f t="shared" si="154"/>
        <v>7869.3279999999986</v>
      </c>
      <c r="N366" s="508">
        <f t="shared" si="154"/>
        <v>5170.9719999999988</v>
      </c>
      <c r="O366" s="508">
        <f t="shared" si="154"/>
        <v>12001.868999999999</v>
      </c>
      <c r="P366" s="508">
        <f t="shared" si="154"/>
        <v>35201.275999999998</v>
      </c>
      <c r="Q366" s="507">
        <f t="shared" si="154"/>
        <v>55826830.410060003</v>
      </c>
      <c r="R366" s="507">
        <f t="shared" si="154"/>
        <v>43801617.849299997</v>
      </c>
      <c r="S366" s="507">
        <f t="shared" si="154"/>
        <v>23002756.018820003</v>
      </c>
      <c r="T366" s="507">
        <f t="shared" si="154"/>
        <v>62838315.850699998</v>
      </c>
      <c r="U366" s="507">
        <f>U342+U344+U346+U364</f>
        <v>185469520.12887999</v>
      </c>
      <c r="V366" s="507">
        <f t="shared" si="154"/>
        <v>18803686.640000001</v>
      </c>
      <c r="W366" s="507">
        <f>W342+W344+W346+W364</f>
        <v>20946105.283566669</v>
      </c>
      <c r="X366" s="507">
        <f t="shared" si="154"/>
        <v>183327101.4853133</v>
      </c>
    </row>
    <row r="367" spans="1:24" s="357" customFormat="1" ht="30.75" customHeight="1">
      <c r="A367" s="591" t="s">
        <v>1168</v>
      </c>
      <c r="B367" s="592"/>
      <c r="C367" s="592"/>
      <c r="D367" s="592"/>
      <c r="E367" s="592"/>
      <c r="F367" s="593"/>
      <c r="G367" s="506" t="s">
        <v>1220</v>
      </c>
      <c r="H367" s="507"/>
      <c r="I367" s="507"/>
      <c r="J367" s="507"/>
      <c r="K367" s="507"/>
      <c r="L367" s="508"/>
      <c r="M367" s="508"/>
      <c r="N367" s="508"/>
      <c r="O367" s="508"/>
      <c r="P367" s="508"/>
      <c r="Q367" s="507">
        <f>SUM(Q368:Q369)</f>
        <v>1880817296.355001</v>
      </c>
      <c r="R367" s="507">
        <f t="shared" ref="R367:X367" si="155">SUM(R368:R369)</f>
        <v>963707705.38993979</v>
      </c>
      <c r="S367" s="507">
        <f t="shared" si="155"/>
        <v>484068624.01592004</v>
      </c>
      <c r="T367" s="507">
        <f t="shared" si="155"/>
        <v>1707615197.6423295</v>
      </c>
      <c r="U367" s="507">
        <f t="shared" si="155"/>
        <v>5036208823.4031916</v>
      </c>
      <c r="V367" s="507">
        <f t="shared" si="155"/>
        <v>618500485.05999994</v>
      </c>
      <c r="W367" s="507">
        <f>SUM(W368:W369)</f>
        <v>568325956.56331015</v>
      </c>
      <c r="X367" s="594">
        <f t="shared" si="155"/>
        <v>5086383351.8998823</v>
      </c>
    </row>
    <row r="368" spans="1:24" s="522" customFormat="1" ht="30.75" customHeight="1">
      <c r="A368" s="595"/>
      <c r="B368" s="596"/>
      <c r="C368" s="596"/>
      <c r="D368" s="596"/>
      <c r="E368" s="596"/>
      <c r="F368" s="597"/>
      <c r="G368" s="598" t="s">
        <v>1215</v>
      </c>
      <c r="H368" s="599" t="s">
        <v>713</v>
      </c>
      <c r="I368" s="599" t="s">
        <v>713</v>
      </c>
      <c r="J368" s="599" t="s">
        <v>713</v>
      </c>
      <c r="K368" s="599" t="s">
        <v>713</v>
      </c>
      <c r="L368" s="600">
        <f t="shared" ref="L368:X368" si="156">L366+L340</f>
        <v>1861440.0880000002</v>
      </c>
      <c r="M368" s="600">
        <f>M366+M340</f>
        <v>954576.91399999987</v>
      </c>
      <c r="N368" s="600">
        <f t="shared" ref="N368:O368" si="157">N366+N340</f>
        <v>408060.03199999995</v>
      </c>
      <c r="O368" s="600">
        <f t="shared" si="157"/>
        <v>1558599.513</v>
      </c>
      <c r="P368" s="600">
        <f t="shared" si="156"/>
        <v>4782676.5469999984</v>
      </c>
      <c r="Q368" s="599">
        <f t="shared" si="156"/>
        <v>1878249718.1820009</v>
      </c>
      <c r="R368" s="599">
        <f t="shared" si="156"/>
        <v>961528550.27673984</v>
      </c>
      <c r="S368" s="599">
        <f>S366+S340</f>
        <v>482217494.10552007</v>
      </c>
      <c r="T368" s="599">
        <f t="shared" si="156"/>
        <v>1704977869.6899295</v>
      </c>
      <c r="U368" s="599">
        <f t="shared" si="156"/>
        <v>5026973632.2541914</v>
      </c>
      <c r="V368" s="599">
        <f t="shared" si="156"/>
        <v>618500485.05999994</v>
      </c>
      <c r="W368" s="599">
        <f>W366+W340</f>
        <v>568325956.56331015</v>
      </c>
      <c r="X368" s="599">
        <f t="shared" si="156"/>
        <v>5077148160.7508821</v>
      </c>
    </row>
    <row r="369" spans="1:27" s="523" customFormat="1" ht="28.5" customHeight="1">
      <c r="A369" s="601"/>
      <c r="B369" s="602"/>
      <c r="C369" s="602"/>
      <c r="D369" s="602"/>
      <c r="E369" s="602"/>
      <c r="F369" s="603"/>
      <c r="G369" s="598" t="s">
        <v>579</v>
      </c>
      <c r="H369" s="599" t="s">
        <v>713</v>
      </c>
      <c r="I369" s="599" t="s">
        <v>713</v>
      </c>
      <c r="J369" s="599" t="s">
        <v>713</v>
      </c>
      <c r="K369" s="599" t="s">
        <v>713</v>
      </c>
      <c r="L369" s="600">
        <f t="shared" ref="L369:X369" si="158">L341</f>
        <v>516902.85700000002</v>
      </c>
      <c r="M369" s="600">
        <f t="shared" si="158"/>
        <v>485649.53400000004</v>
      </c>
      <c r="N369" s="600">
        <f t="shared" si="158"/>
        <v>397865.74000000005</v>
      </c>
      <c r="O369" s="600">
        <f t="shared" si="158"/>
        <v>508033.58999999997</v>
      </c>
      <c r="P369" s="600">
        <f t="shared" si="158"/>
        <v>1908451.7209999997</v>
      </c>
      <c r="Q369" s="599">
        <f t="shared" si="158"/>
        <v>2567578.173</v>
      </c>
      <c r="R369" s="599">
        <f t="shared" si="158"/>
        <v>2179155.1132000005</v>
      </c>
      <c r="S369" s="599">
        <f t="shared" si="158"/>
        <v>1851129.9103999999</v>
      </c>
      <c r="T369" s="599">
        <f t="shared" si="158"/>
        <v>2637327.9523999994</v>
      </c>
      <c r="U369" s="599">
        <f t="shared" si="158"/>
        <v>9235191.1490000002</v>
      </c>
      <c r="V369" s="599">
        <f t="shared" si="158"/>
        <v>0</v>
      </c>
      <c r="W369" s="599">
        <f t="shared" si="158"/>
        <v>0</v>
      </c>
      <c r="X369" s="599">
        <f t="shared" si="158"/>
        <v>9235191.1490000002</v>
      </c>
    </row>
    <row r="370" spans="1:27" ht="12.75" customHeight="1">
      <c r="A370" s="362"/>
      <c r="B370" s="362"/>
      <c r="C370" s="362"/>
      <c r="D370" s="355"/>
    </row>
    <row r="371" spans="1:27" ht="154.5" customHeight="1">
      <c r="A371" s="362"/>
      <c r="B371" s="362"/>
      <c r="C371" s="362"/>
      <c r="D371" s="355"/>
      <c r="V371" s="556" t="s">
        <v>1226</v>
      </c>
      <c r="W371" s="557"/>
      <c r="X371" s="524">
        <v>3728822625.8099999</v>
      </c>
      <c r="AA371" s="525"/>
    </row>
    <row r="372" spans="1:27" ht="81.75" customHeight="1">
      <c r="A372" s="362"/>
      <c r="B372" s="362"/>
      <c r="C372" s="362"/>
      <c r="D372" s="355"/>
      <c r="V372" s="556" t="s">
        <v>1224</v>
      </c>
      <c r="W372" s="557"/>
      <c r="X372" s="524">
        <v>-31948664.829999998</v>
      </c>
    </row>
    <row r="373" spans="1:27" ht="81.75" customHeight="1">
      <c r="A373" s="362"/>
      <c r="B373" s="362"/>
      <c r="C373" s="362"/>
      <c r="D373" s="355"/>
      <c r="V373" s="556" t="s">
        <v>1225</v>
      </c>
      <c r="W373" s="557"/>
      <c r="X373" s="524">
        <v>351698.14</v>
      </c>
    </row>
    <row r="374" spans="1:27" ht="81.75" customHeight="1">
      <c r="A374" s="362"/>
      <c r="B374" s="362"/>
      <c r="C374" s="362"/>
      <c r="D374" s="355"/>
      <c r="V374" s="556" t="s">
        <v>1223</v>
      </c>
      <c r="W374" s="557"/>
      <c r="X374" s="524">
        <v>-3000</v>
      </c>
    </row>
    <row r="375" spans="1:27" ht="73.5" customHeight="1">
      <c r="V375" s="556" t="s">
        <v>1219</v>
      </c>
      <c r="W375" s="557"/>
      <c r="X375" s="524">
        <f>X367-(X371+X372+X373+X374)</f>
        <v>1389160692.7798824</v>
      </c>
    </row>
    <row r="377" spans="1:27" ht="12.75" hidden="1" customHeight="1"/>
    <row r="378" spans="1:27" ht="12.75" hidden="1" customHeight="1"/>
    <row r="379" spans="1:27" ht="12.75" hidden="1" customHeight="1"/>
    <row r="380" spans="1:27" ht="12.75" hidden="1" customHeight="1"/>
    <row r="381" spans="1:27" ht="12.75" hidden="1" customHeight="1"/>
    <row r="382" spans="1:27" ht="12.75" hidden="1" customHeight="1"/>
    <row r="383" spans="1:27" ht="12.75" hidden="1" customHeight="1"/>
    <row r="384" spans="1:27" ht="12.75" hidden="1" customHeight="1"/>
    <row r="385" ht="12.75" hidden="1" customHeight="1"/>
  </sheetData>
  <autoFilter ref="A6:X369"/>
  <mergeCells count="25">
    <mergeCell ref="V371:W371"/>
    <mergeCell ref="V375:W375"/>
    <mergeCell ref="A367:F369"/>
    <mergeCell ref="V372:W372"/>
    <mergeCell ref="V373:W373"/>
    <mergeCell ref="V374:W374"/>
    <mergeCell ref="A340:F341"/>
    <mergeCell ref="A366:G366"/>
    <mergeCell ref="G3:G5"/>
    <mergeCell ref="Q3:U3"/>
    <mergeCell ref="H3:I3"/>
    <mergeCell ref="J3:K3"/>
    <mergeCell ref="X3:X5"/>
    <mergeCell ref="L3:P3"/>
    <mergeCell ref="W3:W5"/>
    <mergeCell ref="V3:V5"/>
    <mergeCell ref="A1:V1"/>
    <mergeCell ref="A3:B5"/>
    <mergeCell ref="C3:C5"/>
    <mergeCell ref="E3:E5"/>
    <mergeCell ref="F3:F5"/>
    <mergeCell ref="H4:H5"/>
    <mergeCell ref="I4:I5"/>
    <mergeCell ref="J4:J5"/>
    <mergeCell ref="K4:K5"/>
  </mergeCells>
  <pageMargins left="0.39370078740157483" right="0.39370078740157483" top="0.78740157480314965" bottom="0.59055118110236227" header="0" footer="0.39370078740157483"/>
  <pageSetup paperSize="9" scale="24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T458"/>
  <sheetViews>
    <sheetView zoomScale="110" zoomScaleNormal="110" workbookViewId="0">
      <pane xSplit="13" ySplit="5" topLeftCell="N58" activePane="bottomRight" state="frozen"/>
      <selection pane="topRight" activeCell="N1" sqref="N1"/>
      <selection pane="bottomLeft" activeCell="A5" sqref="A5"/>
      <selection pane="bottomRight" activeCell="L4" sqref="L4"/>
    </sheetView>
  </sheetViews>
  <sheetFormatPr defaultRowHeight="13.5" outlineLevelCol="1"/>
  <cols>
    <col min="1" max="1" width="9.5703125" style="10" customWidth="1"/>
    <col min="2" max="2" width="42.7109375" style="14" customWidth="1"/>
    <col min="3" max="3" width="17.140625" style="67" customWidth="1"/>
    <col min="4" max="4" width="13.140625" style="18" customWidth="1"/>
    <col min="5" max="5" width="8.7109375" style="16" customWidth="1" outlineLevel="1"/>
    <col min="6" max="6" width="8.28515625" style="16" customWidth="1" outlineLevel="1"/>
    <col min="7" max="7" width="9" style="16" customWidth="1"/>
    <col min="8" max="8" width="9.140625" style="16" customWidth="1" outlineLevel="1"/>
    <col min="9" max="9" width="10" style="16" customWidth="1" outlineLevel="1"/>
    <col min="10" max="10" width="9.140625" style="16" customWidth="1"/>
    <col min="11" max="12" width="14.5703125" style="10" customWidth="1" outlineLevel="1"/>
    <col min="13" max="13" width="15" style="10" customWidth="1" outlineLevel="1"/>
    <col min="14" max="14" width="16.42578125" style="17" customWidth="1"/>
    <col min="15" max="15" width="15.5703125" style="10" hidden="1" customWidth="1" outlineLevel="1"/>
    <col min="16" max="16" width="14.140625" style="10" hidden="1" customWidth="1" outlineLevel="1"/>
    <col min="17" max="17" width="15" style="10" hidden="1" customWidth="1" outlineLevel="1"/>
    <col min="18" max="18" width="15.5703125" style="245" customWidth="1" collapsed="1"/>
    <col min="19" max="19" width="16.5703125" style="10" hidden="1" customWidth="1" outlineLevel="1"/>
    <col min="20" max="20" width="18.5703125" style="10" hidden="1" customWidth="1" outlineLevel="1"/>
    <col min="21" max="21" width="14.42578125" style="10" hidden="1" customWidth="1" outlineLevel="1"/>
    <col min="22" max="22" width="19.42578125" style="10" hidden="1" customWidth="1" outlineLevel="1"/>
    <col min="23" max="23" width="14.5703125" style="10" hidden="1" customWidth="1" outlineLevel="1"/>
    <col min="24" max="24" width="21.28515625" style="10" hidden="1" customWidth="1" outlineLevel="1"/>
    <col min="25" max="25" width="15.42578125" style="13" customWidth="1" collapsed="1"/>
    <col min="26" max="26" width="15" style="10" hidden="1" customWidth="1" outlineLevel="1"/>
    <col min="27" max="27" width="20.140625" style="10" hidden="1" customWidth="1" outlineLevel="1"/>
    <col min="28" max="28" width="14.140625" style="10" hidden="1" customWidth="1" outlineLevel="1"/>
    <col min="29" max="29" width="20.140625" style="10" hidden="1" customWidth="1" outlineLevel="1"/>
    <col min="30" max="30" width="14.140625" style="10" hidden="1" customWidth="1" outlineLevel="1"/>
    <col min="31" max="31" width="21.28515625" style="10" hidden="1" customWidth="1" outlineLevel="1"/>
    <col min="32" max="32" width="17" style="17" customWidth="1" collapsed="1"/>
    <col min="33" max="33" width="18" style="17" customWidth="1"/>
    <col min="34" max="34" width="18.7109375" style="71" hidden="1" customWidth="1" outlineLevel="1"/>
    <col min="35" max="35" width="18.42578125" style="71" hidden="1" customWidth="1" outlineLevel="1"/>
    <col min="36" max="36" width="20" style="71" hidden="1" customWidth="1" outlineLevel="1"/>
    <col min="37" max="37" width="19.85546875" style="167" customWidth="1" collapsed="1"/>
    <col min="38" max="38" width="19" style="71" hidden="1" customWidth="1" outlineLevel="1"/>
    <col min="39" max="39" width="19.140625" style="71" hidden="1" customWidth="1" outlineLevel="1"/>
    <col min="40" max="40" width="18.5703125" style="71" hidden="1" customWidth="1" outlineLevel="1"/>
    <col min="41" max="41" width="19.42578125" style="70" customWidth="1" collapsed="1"/>
    <col min="42" max="44" width="18.7109375" style="71" hidden="1" customWidth="1" outlineLevel="1"/>
    <col min="45" max="45" width="20.5703125" style="71" hidden="1" customWidth="1" outlineLevel="1"/>
    <col min="46" max="46" width="18.28515625" style="71" hidden="1" customWidth="1" outlineLevel="1"/>
    <col min="47" max="47" width="21.42578125" style="71" hidden="1" customWidth="1" outlineLevel="1"/>
    <col min="48" max="48" width="19.42578125" style="70" customWidth="1" collapsed="1"/>
    <col min="49" max="49" width="18.7109375" style="169" hidden="1" customWidth="1" outlineLevel="1"/>
    <col min="50" max="50" width="20.5703125" style="169" hidden="1" customWidth="1" outlineLevel="1"/>
    <col min="51" max="51" width="19.28515625" style="71" hidden="1" customWidth="1" outlineLevel="1"/>
    <col min="52" max="52" width="21" style="71" hidden="1" customWidth="1" outlineLevel="1"/>
    <col min="53" max="53" width="19.42578125" style="71" hidden="1" customWidth="1" outlineLevel="1"/>
    <col min="54" max="54" width="20.85546875" style="71" hidden="1" customWidth="1" outlineLevel="1"/>
    <col min="55" max="55" width="19.7109375" style="167" customWidth="1" collapsed="1"/>
    <col min="56" max="56" width="19.5703125" style="167" customWidth="1"/>
    <col min="57" max="57" width="10.85546875" style="13" bestFit="1" customWidth="1"/>
    <col min="58" max="202" width="9.140625" style="13"/>
    <col min="203" max="16384" width="9.140625" style="10"/>
  </cols>
  <sheetData>
    <row r="1" spans="1:202" s="1" customFormat="1" ht="15" customHeight="1">
      <c r="A1" s="560" t="s">
        <v>1</v>
      </c>
      <c r="B1" s="561" t="s">
        <v>2</v>
      </c>
      <c r="C1" s="567" t="s">
        <v>159</v>
      </c>
      <c r="D1" s="560" t="s">
        <v>3</v>
      </c>
      <c r="E1" s="570" t="s">
        <v>21</v>
      </c>
      <c r="F1" s="571"/>
      <c r="G1" s="564" t="s">
        <v>181</v>
      </c>
      <c r="H1" s="574" t="s">
        <v>22</v>
      </c>
      <c r="I1" s="575"/>
      <c r="J1" s="564" t="s">
        <v>182</v>
      </c>
      <c r="K1" s="130" t="s">
        <v>171</v>
      </c>
      <c r="L1" s="131"/>
      <c r="M1" s="131"/>
      <c r="N1" s="131"/>
      <c r="O1" s="131"/>
      <c r="P1" s="131"/>
      <c r="Q1" s="131"/>
      <c r="R1" s="285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2"/>
      <c r="AH1" s="558" t="s">
        <v>4</v>
      </c>
      <c r="AI1" s="559"/>
      <c r="AJ1" s="559"/>
      <c r="AK1" s="559"/>
      <c r="AL1" s="559"/>
      <c r="AM1" s="559"/>
      <c r="AN1" s="559"/>
      <c r="AO1" s="559"/>
      <c r="AP1" s="559"/>
      <c r="AQ1" s="559"/>
      <c r="AR1" s="559"/>
      <c r="AS1" s="559"/>
      <c r="AT1" s="559"/>
      <c r="AU1" s="559"/>
      <c r="AV1" s="559"/>
      <c r="AW1" s="559"/>
      <c r="AX1" s="559"/>
      <c r="AY1" s="559"/>
      <c r="AZ1" s="559"/>
      <c r="BA1" s="559"/>
      <c r="BB1" s="559"/>
      <c r="BC1" s="559"/>
      <c r="BD1" s="559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</row>
    <row r="2" spans="1:202" s="1" customFormat="1" ht="30" customHeight="1">
      <c r="A2" s="560"/>
      <c r="B2" s="562"/>
      <c r="C2" s="568"/>
      <c r="D2" s="560"/>
      <c r="E2" s="570"/>
      <c r="F2" s="571"/>
      <c r="G2" s="565"/>
      <c r="H2" s="570"/>
      <c r="I2" s="571"/>
      <c r="J2" s="565"/>
      <c r="K2" s="75" t="s">
        <v>5</v>
      </c>
      <c r="L2" s="75" t="s">
        <v>302</v>
      </c>
      <c r="M2" s="75" t="s">
        <v>7</v>
      </c>
      <c r="N2" s="2" t="s">
        <v>8</v>
      </c>
      <c r="O2" s="75" t="s">
        <v>303</v>
      </c>
      <c r="P2" s="75" t="s">
        <v>10</v>
      </c>
      <c r="Q2" s="75" t="s">
        <v>11</v>
      </c>
      <c r="R2" s="286" t="s">
        <v>12</v>
      </c>
      <c r="S2" s="75" t="s">
        <v>13</v>
      </c>
      <c r="T2" s="226" t="s">
        <v>295</v>
      </c>
      <c r="U2" s="75" t="s">
        <v>304</v>
      </c>
      <c r="V2" s="226" t="s">
        <v>296</v>
      </c>
      <c r="W2" s="75" t="s">
        <v>305</v>
      </c>
      <c r="X2" s="226" t="s">
        <v>297</v>
      </c>
      <c r="Y2" s="2" t="s">
        <v>16</v>
      </c>
      <c r="Z2" s="75" t="s">
        <v>306</v>
      </c>
      <c r="AA2" s="226" t="s">
        <v>298</v>
      </c>
      <c r="AB2" s="75" t="s">
        <v>307</v>
      </c>
      <c r="AC2" s="226" t="s">
        <v>299</v>
      </c>
      <c r="AD2" s="75" t="s">
        <v>308</v>
      </c>
      <c r="AE2" s="226" t="s">
        <v>300</v>
      </c>
      <c r="AF2" s="2" t="s">
        <v>20</v>
      </c>
      <c r="AG2" s="77" t="s">
        <v>525</v>
      </c>
      <c r="AH2" s="157" t="s">
        <v>5</v>
      </c>
      <c r="AI2" s="158" t="s">
        <v>302</v>
      </c>
      <c r="AJ2" s="158" t="s">
        <v>7</v>
      </c>
      <c r="AK2" s="159" t="s">
        <v>8</v>
      </c>
      <c r="AL2" s="158" t="s">
        <v>303</v>
      </c>
      <c r="AM2" s="158" t="s">
        <v>10</v>
      </c>
      <c r="AN2" s="158" t="s">
        <v>11</v>
      </c>
      <c r="AO2" s="159" t="s">
        <v>12</v>
      </c>
      <c r="AP2" s="158" t="s">
        <v>13</v>
      </c>
      <c r="AQ2" s="226" t="s">
        <v>295</v>
      </c>
      <c r="AR2" s="158" t="s">
        <v>304</v>
      </c>
      <c r="AS2" s="226" t="s">
        <v>296</v>
      </c>
      <c r="AT2" s="158" t="s">
        <v>305</v>
      </c>
      <c r="AU2" s="226" t="s">
        <v>301</v>
      </c>
      <c r="AV2" s="159" t="s">
        <v>16</v>
      </c>
      <c r="AW2" s="158" t="s">
        <v>306</v>
      </c>
      <c r="AX2" s="226" t="s">
        <v>298</v>
      </c>
      <c r="AY2" s="158" t="s">
        <v>307</v>
      </c>
      <c r="AZ2" s="226" t="s">
        <v>299</v>
      </c>
      <c r="BA2" s="158" t="s">
        <v>308</v>
      </c>
      <c r="BB2" s="226" t="s">
        <v>300</v>
      </c>
      <c r="BC2" s="159" t="s">
        <v>20</v>
      </c>
      <c r="BD2" s="160" t="s">
        <v>602</v>
      </c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</row>
    <row r="3" spans="1:202" s="1" customFormat="1" ht="17.25" customHeight="1">
      <c r="A3" s="560"/>
      <c r="B3" s="562"/>
      <c r="C3" s="568"/>
      <c r="D3" s="560"/>
      <c r="E3" s="570"/>
      <c r="F3" s="571"/>
      <c r="G3" s="565"/>
      <c r="H3" s="570"/>
      <c r="I3" s="571"/>
      <c r="J3" s="565"/>
      <c r="K3" s="325">
        <f t="shared" ref="K3:BD3" si="0">K4+K433</f>
        <v>854370.45400000026</v>
      </c>
      <c r="L3" s="325">
        <f t="shared" si="0"/>
        <v>765651.87900000007</v>
      </c>
      <c r="M3" s="325">
        <f t="shared" si="0"/>
        <v>0</v>
      </c>
      <c r="N3" s="325">
        <f t="shared" si="0"/>
        <v>1620022.333000001</v>
      </c>
      <c r="O3" s="325">
        <f t="shared" si="0"/>
        <v>0</v>
      </c>
      <c r="P3" s="325">
        <f t="shared" si="0"/>
        <v>0</v>
      </c>
      <c r="Q3" s="325">
        <f t="shared" si="0"/>
        <v>0</v>
      </c>
      <c r="R3" s="325">
        <f t="shared" si="0"/>
        <v>0</v>
      </c>
      <c r="S3" s="325">
        <f t="shared" si="0"/>
        <v>0</v>
      </c>
      <c r="T3" s="325">
        <f t="shared" si="0"/>
        <v>0</v>
      </c>
      <c r="U3" s="325">
        <f t="shared" si="0"/>
        <v>0</v>
      </c>
      <c r="V3" s="325">
        <f t="shared" si="0"/>
        <v>0</v>
      </c>
      <c r="W3" s="325">
        <f t="shared" si="0"/>
        <v>0</v>
      </c>
      <c r="X3" s="325">
        <f t="shared" si="0"/>
        <v>0</v>
      </c>
      <c r="Y3" s="325">
        <f t="shared" si="0"/>
        <v>0</v>
      </c>
      <c r="Z3" s="325">
        <f t="shared" si="0"/>
        <v>0</v>
      </c>
      <c r="AA3" s="325">
        <f t="shared" si="0"/>
        <v>0</v>
      </c>
      <c r="AB3" s="325">
        <f t="shared" si="0"/>
        <v>0</v>
      </c>
      <c r="AC3" s="325">
        <f t="shared" si="0"/>
        <v>0</v>
      </c>
      <c r="AD3" s="325">
        <f t="shared" si="0"/>
        <v>0</v>
      </c>
      <c r="AE3" s="325">
        <f t="shared" si="0"/>
        <v>0</v>
      </c>
      <c r="AF3" s="325">
        <f t="shared" si="0"/>
        <v>0</v>
      </c>
      <c r="AG3" s="325">
        <f t="shared" si="0"/>
        <v>1620022.333000001</v>
      </c>
      <c r="AH3" s="325">
        <f t="shared" si="0"/>
        <v>671430467.03145993</v>
      </c>
      <c r="AI3" s="325">
        <f t="shared" si="0"/>
        <v>604723377.78699005</v>
      </c>
      <c r="AJ3" s="325">
        <f t="shared" si="0"/>
        <v>0</v>
      </c>
      <c r="AK3" s="327">
        <f t="shared" si="0"/>
        <v>1276153844.81845</v>
      </c>
      <c r="AL3" s="325">
        <f t="shared" si="0"/>
        <v>0</v>
      </c>
      <c r="AM3" s="325">
        <f t="shared" si="0"/>
        <v>0</v>
      </c>
      <c r="AN3" s="325">
        <f t="shared" si="0"/>
        <v>0</v>
      </c>
      <c r="AO3" s="325">
        <f t="shared" si="0"/>
        <v>0</v>
      </c>
      <c r="AP3" s="325">
        <f t="shared" si="0"/>
        <v>0</v>
      </c>
      <c r="AQ3" s="325">
        <f t="shared" si="0"/>
        <v>0</v>
      </c>
      <c r="AR3" s="325">
        <f t="shared" si="0"/>
        <v>0</v>
      </c>
      <c r="AS3" s="325">
        <f t="shared" si="0"/>
        <v>0</v>
      </c>
      <c r="AT3" s="325">
        <f t="shared" si="0"/>
        <v>0</v>
      </c>
      <c r="AU3" s="325">
        <f t="shared" si="0"/>
        <v>0</v>
      </c>
      <c r="AV3" s="325">
        <f t="shared" si="0"/>
        <v>0</v>
      </c>
      <c r="AW3" s="325" t="e">
        <f t="shared" si="0"/>
        <v>#REF!</v>
      </c>
      <c r="AX3" s="325" t="e">
        <f t="shared" si="0"/>
        <v>#REF!</v>
      </c>
      <c r="AY3" s="325" t="e">
        <f t="shared" si="0"/>
        <v>#REF!</v>
      </c>
      <c r="AZ3" s="325" t="e">
        <f t="shared" si="0"/>
        <v>#REF!</v>
      </c>
      <c r="BA3" s="325" t="e">
        <f t="shared" si="0"/>
        <v>#REF!</v>
      </c>
      <c r="BB3" s="325" t="e">
        <f t="shared" si="0"/>
        <v>#REF!</v>
      </c>
      <c r="BC3" s="325">
        <f t="shared" si="0"/>
        <v>0</v>
      </c>
      <c r="BD3" s="325">
        <f t="shared" si="0"/>
        <v>1276153844.81845</v>
      </c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</row>
    <row r="4" spans="1:202" s="3" customFormat="1" ht="15" customHeight="1">
      <c r="A4" s="560"/>
      <c r="B4" s="562"/>
      <c r="C4" s="568"/>
      <c r="D4" s="560"/>
      <c r="E4" s="572"/>
      <c r="F4" s="573"/>
      <c r="G4" s="565"/>
      <c r="H4" s="572"/>
      <c r="I4" s="573"/>
      <c r="J4" s="565"/>
      <c r="K4" s="64">
        <f t="shared" ref="K4:AJ4" si="1">K424</f>
        <v>850977.9920000002</v>
      </c>
      <c r="L4" s="64">
        <f t="shared" si="1"/>
        <v>762260.31600000011</v>
      </c>
      <c r="M4" s="64">
        <f t="shared" si="1"/>
        <v>0</v>
      </c>
      <c r="N4" s="64">
        <f>N424</f>
        <v>1613238.3080000011</v>
      </c>
      <c r="O4" s="64">
        <f t="shared" si="1"/>
        <v>0</v>
      </c>
      <c r="P4" s="64">
        <f t="shared" si="1"/>
        <v>0</v>
      </c>
      <c r="Q4" s="64">
        <f t="shared" si="1"/>
        <v>0</v>
      </c>
      <c r="R4" s="64">
        <f t="shared" si="1"/>
        <v>0</v>
      </c>
      <c r="S4" s="64">
        <f>S424</f>
        <v>0</v>
      </c>
      <c r="T4" s="64">
        <f t="shared" si="1"/>
        <v>0</v>
      </c>
      <c r="U4" s="64">
        <f t="shared" si="1"/>
        <v>0</v>
      </c>
      <c r="V4" s="64">
        <f t="shared" si="1"/>
        <v>0</v>
      </c>
      <c r="W4" s="64">
        <f t="shared" si="1"/>
        <v>0</v>
      </c>
      <c r="X4" s="64">
        <f t="shared" si="1"/>
        <v>0</v>
      </c>
      <c r="Y4" s="64">
        <f t="shared" si="1"/>
        <v>0</v>
      </c>
      <c r="Z4" s="64">
        <f t="shared" si="1"/>
        <v>0</v>
      </c>
      <c r="AA4" s="64">
        <f t="shared" si="1"/>
        <v>0</v>
      </c>
      <c r="AB4" s="64">
        <f t="shared" si="1"/>
        <v>0</v>
      </c>
      <c r="AC4" s="64">
        <f t="shared" si="1"/>
        <v>0</v>
      </c>
      <c r="AD4" s="64">
        <f>AD424</f>
        <v>0</v>
      </c>
      <c r="AE4" s="64">
        <f t="shared" si="1"/>
        <v>0</v>
      </c>
      <c r="AF4" s="64">
        <f>AF424</f>
        <v>0</v>
      </c>
      <c r="AG4" s="64">
        <f>AG424</f>
        <v>1613238.3080000011</v>
      </c>
      <c r="AH4" s="161">
        <f t="shared" si="1"/>
        <v>652914291.95378995</v>
      </c>
      <c r="AI4" s="161">
        <f t="shared" si="1"/>
        <v>585749668.27054</v>
      </c>
      <c r="AJ4" s="161">
        <f t="shared" si="1"/>
        <v>0</v>
      </c>
      <c r="AK4" s="162">
        <f>AJ5</f>
        <v>1238663960.2243299</v>
      </c>
      <c r="AL4" s="161">
        <f t="shared" ref="AL4:AQ4" si="2">AL424</f>
        <v>0</v>
      </c>
      <c r="AM4" s="161">
        <f t="shared" si="2"/>
        <v>0</v>
      </c>
      <c r="AN4" s="161">
        <f>AN424</f>
        <v>0</v>
      </c>
      <c r="AO4" s="161">
        <f>AO424</f>
        <v>0</v>
      </c>
      <c r="AP4" s="161">
        <f t="shared" si="2"/>
        <v>0</v>
      </c>
      <c r="AQ4" s="161">
        <f t="shared" si="2"/>
        <v>0</v>
      </c>
      <c r="AR4" s="161">
        <f t="shared" ref="AR4:BC4" si="3">AR424</f>
        <v>0</v>
      </c>
      <c r="AS4" s="161">
        <f t="shared" si="3"/>
        <v>0</v>
      </c>
      <c r="AT4" s="161">
        <f t="shared" si="3"/>
        <v>0</v>
      </c>
      <c r="AU4" s="161">
        <f t="shared" si="3"/>
        <v>0</v>
      </c>
      <c r="AV4" s="161">
        <f>AV424</f>
        <v>0</v>
      </c>
      <c r="AW4" s="161" t="e">
        <f t="shared" si="3"/>
        <v>#REF!</v>
      </c>
      <c r="AX4" s="161" t="e">
        <f t="shared" si="3"/>
        <v>#REF!</v>
      </c>
      <c r="AY4" s="161" t="e">
        <f t="shared" si="3"/>
        <v>#REF!</v>
      </c>
      <c r="AZ4" s="161" t="e">
        <f t="shared" si="3"/>
        <v>#REF!</v>
      </c>
      <c r="BA4" s="161" t="e">
        <f t="shared" si="3"/>
        <v>#REF!</v>
      </c>
      <c r="BB4" s="161" t="e">
        <f t="shared" si="3"/>
        <v>#REF!</v>
      </c>
      <c r="BC4" s="163">
        <f t="shared" si="3"/>
        <v>0</v>
      </c>
      <c r="BD4" s="163">
        <f>AK4+AO4+AV4+BC4</f>
        <v>1238663960.2243299</v>
      </c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2"/>
      <c r="DE4" s="242"/>
      <c r="DF4" s="242"/>
      <c r="DG4" s="242"/>
      <c r="DH4" s="242"/>
      <c r="DI4" s="242"/>
      <c r="DJ4" s="242"/>
      <c r="DK4" s="242"/>
      <c r="DL4" s="242"/>
      <c r="DM4" s="242"/>
      <c r="DN4" s="242"/>
      <c r="DO4" s="242"/>
      <c r="DP4" s="242"/>
      <c r="DQ4" s="242"/>
      <c r="DR4" s="242"/>
      <c r="DS4" s="242"/>
      <c r="DT4" s="242"/>
      <c r="DU4" s="242"/>
      <c r="DV4" s="242"/>
      <c r="DW4" s="242"/>
      <c r="DX4" s="242"/>
      <c r="DY4" s="242"/>
      <c r="DZ4" s="242"/>
      <c r="EA4" s="242"/>
      <c r="EB4" s="242"/>
      <c r="EC4" s="242"/>
      <c r="ED4" s="242"/>
      <c r="EE4" s="242"/>
      <c r="EF4" s="242"/>
      <c r="EG4" s="242"/>
      <c r="EH4" s="242"/>
      <c r="EI4" s="242"/>
      <c r="EJ4" s="242"/>
      <c r="EK4" s="242"/>
      <c r="EL4" s="242"/>
      <c r="EM4" s="242"/>
      <c r="EN4" s="242"/>
      <c r="EO4" s="242"/>
      <c r="EP4" s="242"/>
      <c r="EQ4" s="242"/>
      <c r="ER4" s="242"/>
      <c r="ES4" s="242"/>
      <c r="ET4" s="242"/>
      <c r="EU4" s="242"/>
      <c r="EV4" s="242"/>
      <c r="EW4" s="242"/>
      <c r="EX4" s="242"/>
      <c r="EY4" s="242"/>
      <c r="EZ4" s="242"/>
      <c r="FA4" s="242"/>
      <c r="FB4" s="242"/>
      <c r="FC4" s="242"/>
      <c r="FD4" s="242"/>
      <c r="FE4" s="242"/>
      <c r="FF4" s="242"/>
      <c r="FG4" s="242"/>
      <c r="FH4" s="242"/>
      <c r="FI4" s="242"/>
      <c r="FJ4" s="242"/>
      <c r="FK4" s="242"/>
      <c r="FL4" s="242"/>
      <c r="FM4" s="242"/>
      <c r="FN4" s="242"/>
      <c r="FO4" s="242"/>
      <c r="FP4" s="242"/>
      <c r="FQ4" s="242"/>
      <c r="FR4" s="242"/>
      <c r="FS4" s="242"/>
      <c r="FT4" s="242"/>
      <c r="FU4" s="242"/>
      <c r="FV4" s="242"/>
      <c r="FW4" s="242"/>
      <c r="FX4" s="242"/>
      <c r="FY4" s="242"/>
      <c r="FZ4" s="242"/>
      <c r="GA4" s="242"/>
      <c r="GB4" s="242"/>
      <c r="GC4" s="242"/>
      <c r="GD4" s="242"/>
      <c r="GE4" s="242"/>
      <c r="GF4" s="242"/>
      <c r="GG4" s="242"/>
      <c r="GH4" s="242"/>
      <c r="GI4" s="242"/>
      <c r="GJ4" s="242"/>
      <c r="GK4" s="242"/>
      <c r="GL4" s="242"/>
      <c r="GM4" s="242"/>
      <c r="GN4" s="242"/>
      <c r="GO4" s="242"/>
      <c r="GP4" s="242"/>
      <c r="GQ4" s="242"/>
      <c r="GR4" s="242"/>
      <c r="GS4" s="242"/>
      <c r="GT4" s="242"/>
    </row>
    <row r="5" spans="1:202" s="3" customFormat="1" ht="15" customHeight="1">
      <c r="A5" s="560"/>
      <c r="B5" s="563"/>
      <c r="C5" s="569"/>
      <c r="D5" s="560"/>
      <c r="E5" s="4" t="s">
        <v>23</v>
      </c>
      <c r="F5" s="5" t="s">
        <v>24</v>
      </c>
      <c r="G5" s="566"/>
      <c r="H5" s="6" t="s">
        <v>23</v>
      </c>
      <c r="I5" s="5" t="s">
        <v>24</v>
      </c>
      <c r="J5" s="566"/>
      <c r="K5" s="64">
        <f>K4</f>
        <v>850977.9920000002</v>
      </c>
      <c r="L5" s="64">
        <f>K5+L4</f>
        <v>1613238.3080000002</v>
      </c>
      <c r="M5" s="64">
        <f>L5+M4</f>
        <v>1613238.3080000002</v>
      </c>
      <c r="N5" s="64">
        <f>N4</f>
        <v>1613238.3080000011</v>
      </c>
      <c r="O5" s="64">
        <f>N5+O4</f>
        <v>1613238.3080000011</v>
      </c>
      <c r="P5" s="7">
        <f>O5+P4</f>
        <v>1613238.3080000011</v>
      </c>
      <c r="Q5" s="64">
        <f>P5+Q4</f>
        <v>1613238.3080000011</v>
      </c>
      <c r="R5" s="64">
        <f>Q5</f>
        <v>1613238.3080000011</v>
      </c>
      <c r="S5" s="7">
        <f>Q5+S4</f>
        <v>1613238.3080000011</v>
      </c>
      <c r="T5" s="64">
        <f>S5+T4</f>
        <v>1613238.3080000011</v>
      </c>
      <c r="U5" s="7">
        <f>T5+U4</f>
        <v>1613238.3080000011</v>
      </c>
      <c r="V5" s="7">
        <f>U5+V4</f>
        <v>1613238.3080000011</v>
      </c>
      <c r="W5" s="7">
        <f>V5+W4</f>
        <v>1613238.3080000011</v>
      </c>
      <c r="X5" s="7">
        <f>W5+X4</f>
        <v>1613238.3080000011</v>
      </c>
      <c r="Y5" s="64">
        <f>X5</f>
        <v>1613238.3080000011</v>
      </c>
      <c r="Z5" s="64">
        <f>X5+Z4</f>
        <v>1613238.3080000011</v>
      </c>
      <c r="AA5" s="7">
        <f>Z5+AA4</f>
        <v>1613238.3080000011</v>
      </c>
      <c r="AB5" s="64">
        <f>AB4+AA5</f>
        <v>1613238.3080000011</v>
      </c>
      <c r="AC5" s="64">
        <f>AB5+AC4</f>
        <v>1613238.3080000011</v>
      </c>
      <c r="AD5" s="7">
        <f>AC5+AD4</f>
        <v>1613238.3080000011</v>
      </c>
      <c r="AE5" s="64">
        <f>AD5+AE4</f>
        <v>1613238.3080000011</v>
      </c>
      <c r="AF5" s="7">
        <f>AE5</f>
        <v>1613238.3080000011</v>
      </c>
      <c r="AG5" s="64">
        <f>AF5</f>
        <v>1613238.3080000011</v>
      </c>
      <c r="AH5" s="164">
        <f>AH4</f>
        <v>652914291.95378995</v>
      </c>
      <c r="AI5" s="164">
        <f>AH5+AI4</f>
        <v>1238663960.2243299</v>
      </c>
      <c r="AJ5" s="164">
        <f>AI5+AJ4</f>
        <v>1238663960.2243299</v>
      </c>
      <c r="AK5" s="162">
        <f>AJ5</f>
        <v>1238663960.2243299</v>
      </c>
      <c r="AL5" s="161">
        <f>AK4+AL4</f>
        <v>1238663960.2243299</v>
      </c>
      <c r="AM5" s="161">
        <f>AL5+AM4</f>
        <v>1238663960.2243299</v>
      </c>
      <c r="AN5" s="161">
        <f>AM5+AN4</f>
        <v>1238663960.2243299</v>
      </c>
      <c r="AO5" s="161">
        <f>AN5+AO4</f>
        <v>1238663960.2243299</v>
      </c>
      <c r="AP5" s="161">
        <f>AN5+AP4</f>
        <v>1238663960.2243299</v>
      </c>
      <c r="AQ5" s="161">
        <f>AP5+AQ4</f>
        <v>1238663960.2243299</v>
      </c>
      <c r="AR5" s="161">
        <f>AQ5+AR4</f>
        <v>1238663960.2243299</v>
      </c>
      <c r="AS5" s="161">
        <f>AR5+AS4</f>
        <v>1238663960.2243299</v>
      </c>
      <c r="AT5" s="161">
        <f>AS5+AT4</f>
        <v>1238663960.2243299</v>
      </c>
      <c r="AU5" s="161">
        <f>AT5+AU4</f>
        <v>1238663960.2243299</v>
      </c>
      <c r="AV5" s="165">
        <f>AU5</f>
        <v>1238663960.2243299</v>
      </c>
      <c r="AW5" s="161" t="e">
        <f>AU5+AW4</f>
        <v>#REF!</v>
      </c>
      <c r="AX5" s="161" t="e">
        <f>AW5+AX4</f>
        <v>#REF!</v>
      </c>
      <c r="AY5" s="161" t="e">
        <f>AX5+AY4</f>
        <v>#REF!</v>
      </c>
      <c r="AZ5" s="161" t="e">
        <f>AY5+AZ4</f>
        <v>#REF!</v>
      </c>
      <c r="BA5" s="161" t="e">
        <f>AZ5+BA4</f>
        <v>#REF!</v>
      </c>
      <c r="BB5" s="161" t="e">
        <f>BA5+BB4</f>
        <v>#REF!</v>
      </c>
      <c r="BC5" s="161"/>
      <c r="BD5" s="166">
        <f>BD424</f>
        <v>1238663960.2243302</v>
      </c>
      <c r="BE5" s="242"/>
      <c r="BF5" s="242"/>
      <c r="BG5" s="242"/>
      <c r="BH5" s="242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42"/>
      <c r="CO5" s="242"/>
      <c r="CP5" s="242"/>
      <c r="CQ5" s="242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42"/>
      <c r="DR5" s="242"/>
      <c r="DS5" s="242"/>
      <c r="DT5" s="242"/>
      <c r="DU5" s="242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42"/>
      <c r="EP5" s="242"/>
      <c r="EQ5" s="242"/>
      <c r="ER5" s="242"/>
      <c r="ES5" s="242"/>
      <c r="ET5" s="242"/>
      <c r="EU5" s="242"/>
      <c r="EV5" s="242"/>
      <c r="EW5" s="242"/>
      <c r="EX5" s="242"/>
      <c r="EY5" s="242"/>
      <c r="EZ5" s="242"/>
      <c r="FA5" s="242"/>
      <c r="FB5" s="242"/>
      <c r="FC5" s="242"/>
      <c r="FD5" s="242"/>
      <c r="FE5" s="242"/>
      <c r="FF5" s="242"/>
      <c r="FG5" s="242"/>
      <c r="FH5" s="242"/>
      <c r="FI5" s="242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42"/>
      <c r="FW5" s="242"/>
      <c r="FX5" s="242"/>
      <c r="FY5" s="242"/>
      <c r="FZ5" s="242"/>
      <c r="GA5" s="242"/>
      <c r="GB5" s="242"/>
      <c r="GC5" s="242"/>
      <c r="GD5" s="242"/>
      <c r="GE5" s="242"/>
      <c r="GF5" s="242"/>
      <c r="GG5" s="242"/>
      <c r="GH5" s="242"/>
      <c r="GI5" s="242"/>
      <c r="GJ5" s="242"/>
      <c r="GK5" s="242"/>
      <c r="GL5" s="242"/>
      <c r="GM5" s="242"/>
      <c r="GN5" s="242"/>
      <c r="GO5" s="242"/>
      <c r="GP5" s="242"/>
      <c r="GQ5" s="242"/>
      <c r="GR5" s="242"/>
      <c r="GS5" s="242"/>
      <c r="GT5" s="242"/>
    </row>
    <row r="6" spans="1:202" s="3" customFormat="1" ht="15" customHeight="1">
      <c r="A6" s="187" t="s">
        <v>25</v>
      </c>
      <c r="B6" s="170" t="s">
        <v>33</v>
      </c>
      <c r="C6" s="216"/>
      <c r="D6" s="138">
        <v>2901179251</v>
      </c>
      <c r="E6" s="175"/>
      <c r="F6" s="176"/>
      <c r="G6" s="177"/>
      <c r="H6" s="175"/>
      <c r="I6" s="176"/>
      <c r="J6" s="177"/>
      <c r="K6" s="251">
        <f t="shared" ref="K6:Z6" si="4">SUM(K7:K22)</f>
        <v>338.166</v>
      </c>
      <c r="L6" s="251">
        <f t="shared" si="4"/>
        <v>336.78</v>
      </c>
      <c r="M6" s="251">
        <f t="shared" si="4"/>
        <v>0</v>
      </c>
      <c r="N6" s="284">
        <f>SUM(N7:N22)</f>
        <v>674.94599999999991</v>
      </c>
      <c r="O6" s="272">
        <f t="shared" si="4"/>
        <v>0</v>
      </c>
      <c r="P6" s="272">
        <f t="shared" si="4"/>
        <v>0</v>
      </c>
      <c r="Q6" s="289">
        <f t="shared" si="4"/>
        <v>0</v>
      </c>
      <c r="R6" s="284">
        <f t="shared" si="4"/>
        <v>0</v>
      </c>
      <c r="S6" s="289">
        <f t="shared" si="4"/>
        <v>0</v>
      </c>
      <c r="T6" s="272">
        <f t="shared" si="4"/>
        <v>0</v>
      </c>
      <c r="U6" s="272">
        <f t="shared" si="4"/>
        <v>0</v>
      </c>
      <c r="V6" s="272">
        <f t="shared" si="4"/>
        <v>0</v>
      </c>
      <c r="W6" s="289">
        <f t="shared" si="4"/>
        <v>0</v>
      </c>
      <c r="X6" s="263">
        <f t="shared" si="4"/>
        <v>0</v>
      </c>
      <c r="Y6" s="284">
        <f>SUM(Y7:Y22)</f>
        <v>0</v>
      </c>
      <c r="Z6" s="272">
        <f t="shared" si="4"/>
        <v>0</v>
      </c>
      <c r="AA6" s="272">
        <f t="shared" ref="AA6:AF6" si="5">SUM(AA7:AA22)</f>
        <v>0</v>
      </c>
      <c r="AB6" s="272">
        <f t="shared" si="5"/>
        <v>0</v>
      </c>
      <c r="AC6" s="272">
        <f t="shared" si="5"/>
        <v>0</v>
      </c>
      <c r="AD6" s="272">
        <f t="shared" si="5"/>
        <v>0</v>
      </c>
      <c r="AE6" s="272">
        <f t="shared" si="5"/>
        <v>0</v>
      </c>
      <c r="AF6" s="284">
        <f t="shared" si="5"/>
        <v>0</v>
      </c>
      <c r="AG6" s="282">
        <f t="shared" ref="AG6:AG37" si="6">AF6+Y6+R6+N6</f>
        <v>674.94599999999991</v>
      </c>
      <c r="AH6" s="227">
        <f t="shared" ref="AH6:AN6" si="7">SUM(AH7:AH22)</f>
        <v>5258849.9009400001</v>
      </c>
      <c r="AI6" s="227">
        <f t="shared" si="7"/>
        <v>5237296.0901999995</v>
      </c>
      <c r="AJ6" s="227">
        <f t="shared" si="7"/>
        <v>0</v>
      </c>
      <c r="AK6" s="260">
        <f t="shared" si="7"/>
        <v>10496145.991140001</v>
      </c>
      <c r="AL6" s="227">
        <f t="shared" si="7"/>
        <v>0</v>
      </c>
      <c r="AM6" s="227">
        <f t="shared" si="7"/>
        <v>0</v>
      </c>
      <c r="AN6" s="227">
        <f t="shared" si="7"/>
        <v>0</v>
      </c>
      <c r="AO6" s="260">
        <f>SUM(AL6:AN6)</f>
        <v>0</v>
      </c>
      <c r="AP6" s="227">
        <f t="shared" ref="AP6:AU6" si="8">SUM(AP7:AP22)</f>
        <v>0</v>
      </c>
      <c r="AQ6" s="227">
        <f t="shared" si="8"/>
        <v>0</v>
      </c>
      <c r="AR6" s="227">
        <f t="shared" si="8"/>
        <v>0</v>
      </c>
      <c r="AS6" s="227">
        <f t="shared" si="8"/>
        <v>0</v>
      </c>
      <c r="AT6" s="227">
        <f t="shared" si="8"/>
        <v>0</v>
      </c>
      <c r="AU6" s="227">
        <f t="shared" si="8"/>
        <v>0</v>
      </c>
      <c r="AV6" s="260">
        <f>SUM(AP6:AU6)</f>
        <v>0</v>
      </c>
      <c r="AW6" s="227">
        <f t="shared" ref="AW6:BB6" si="9">SUM(AW7:AW22)</f>
        <v>0</v>
      </c>
      <c r="AX6" s="227">
        <f t="shared" si="9"/>
        <v>0</v>
      </c>
      <c r="AY6" s="227">
        <f t="shared" si="9"/>
        <v>0</v>
      </c>
      <c r="AZ6" s="227">
        <f t="shared" si="9"/>
        <v>0</v>
      </c>
      <c r="BA6" s="227">
        <f t="shared" si="9"/>
        <v>0</v>
      </c>
      <c r="BB6" s="227">
        <f t="shared" si="9"/>
        <v>0</v>
      </c>
      <c r="BC6" s="260">
        <f t="shared" ref="BC6:BC22" si="10">SUM(AW6:BB6)</f>
        <v>0</v>
      </c>
      <c r="BD6" s="238">
        <f t="shared" ref="BD6:BD37" si="11">BC6+AV6+AO6+AK6</f>
        <v>10496145.991140001</v>
      </c>
      <c r="BE6" s="243"/>
      <c r="BF6" s="242"/>
      <c r="BG6" s="242"/>
      <c r="BH6" s="242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  <c r="BW6" s="242"/>
      <c r="BX6" s="242"/>
      <c r="BY6" s="242"/>
      <c r="BZ6" s="242"/>
      <c r="CA6" s="242"/>
      <c r="CB6" s="242"/>
      <c r="CC6" s="242"/>
      <c r="CD6" s="242"/>
      <c r="CE6" s="242"/>
      <c r="CF6" s="242"/>
      <c r="CG6" s="242"/>
      <c r="CH6" s="242"/>
      <c r="CI6" s="242"/>
      <c r="CJ6" s="242"/>
      <c r="CK6" s="242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242"/>
      <c r="DW6" s="242"/>
      <c r="DX6" s="242"/>
      <c r="DY6" s="242"/>
      <c r="DZ6" s="242"/>
      <c r="EA6" s="242"/>
      <c r="EB6" s="242"/>
      <c r="EC6" s="242"/>
      <c r="ED6" s="242"/>
      <c r="EE6" s="242"/>
      <c r="EF6" s="242"/>
      <c r="EG6" s="242"/>
      <c r="EH6" s="242"/>
      <c r="EI6" s="242"/>
      <c r="EJ6" s="242"/>
      <c r="EK6" s="242"/>
      <c r="EL6" s="242"/>
      <c r="EM6" s="242"/>
      <c r="EN6" s="242"/>
      <c r="EO6" s="242"/>
      <c r="EP6" s="242"/>
      <c r="EQ6" s="242"/>
      <c r="ER6" s="242"/>
      <c r="ES6" s="242"/>
      <c r="ET6" s="242"/>
      <c r="EU6" s="242"/>
      <c r="EV6" s="242"/>
      <c r="EW6" s="242"/>
      <c r="EX6" s="242"/>
      <c r="EY6" s="242"/>
      <c r="EZ6" s="242"/>
      <c r="FA6" s="242"/>
      <c r="FB6" s="242"/>
      <c r="FC6" s="242"/>
      <c r="FD6" s="242"/>
      <c r="FE6" s="242"/>
      <c r="FF6" s="242"/>
      <c r="FG6" s="242"/>
      <c r="FH6" s="242"/>
      <c r="FI6" s="242"/>
      <c r="FJ6" s="242"/>
      <c r="FK6" s="242"/>
      <c r="FL6" s="242"/>
      <c r="FM6" s="242"/>
      <c r="FN6" s="242"/>
      <c r="FO6" s="242"/>
      <c r="FP6" s="242"/>
      <c r="FQ6" s="242"/>
      <c r="FR6" s="242"/>
      <c r="FS6" s="242"/>
      <c r="FT6" s="242"/>
      <c r="FU6" s="242"/>
      <c r="FV6" s="242"/>
      <c r="FW6" s="242"/>
      <c r="FX6" s="242"/>
      <c r="FY6" s="242"/>
      <c r="FZ6" s="242"/>
      <c r="GA6" s="242"/>
      <c r="GB6" s="242"/>
      <c r="GC6" s="242"/>
      <c r="GD6" s="242"/>
      <c r="GE6" s="242"/>
      <c r="GF6" s="242"/>
      <c r="GG6" s="242"/>
      <c r="GH6" s="242"/>
      <c r="GI6" s="242"/>
      <c r="GJ6" s="242"/>
      <c r="GK6" s="242"/>
      <c r="GL6" s="242"/>
      <c r="GM6" s="242"/>
      <c r="GN6" s="242"/>
      <c r="GO6" s="242"/>
      <c r="GP6" s="242"/>
      <c r="GQ6" s="242"/>
      <c r="GR6" s="242"/>
      <c r="GS6" s="242"/>
      <c r="GT6" s="242"/>
    </row>
    <row r="7" spans="1:202" s="3" customFormat="1" ht="15" customHeight="1">
      <c r="A7" s="186">
        <v>1</v>
      </c>
      <c r="B7" s="173" t="s">
        <v>283</v>
      </c>
      <c r="C7" s="218"/>
      <c r="D7" s="141"/>
      <c r="E7" s="178"/>
      <c r="F7" s="147"/>
      <c r="G7" s="177">
        <f t="shared" ref="G7:G34" si="12">E7-F7</f>
        <v>0</v>
      </c>
      <c r="H7" s="178"/>
      <c r="I7" s="147"/>
      <c r="J7" s="177">
        <f t="shared" ref="J7:J27" si="13">H7-I7</f>
        <v>0</v>
      </c>
      <c r="K7" s="252"/>
      <c r="L7" s="252"/>
      <c r="M7" s="252"/>
      <c r="N7" s="287">
        <f t="shared" ref="N7:N24" si="14">K7+L7+M7</f>
        <v>0</v>
      </c>
      <c r="O7" s="273"/>
      <c r="P7" s="273"/>
      <c r="Q7" s="290"/>
      <c r="R7" s="287">
        <f t="shared" ref="R7:R22" si="15">O7+P7+Q7</f>
        <v>0</v>
      </c>
      <c r="S7" s="290"/>
      <c r="T7" s="273"/>
      <c r="U7" s="273"/>
      <c r="V7" s="273"/>
      <c r="W7" s="290"/>
      <c r="X7" s="264"/>
      <c r="Y7" s="287">
        <f>SUM(S7:X7)</f>
        <v>0</v>
      </c>
      <c r="Z7" s="273"/>
      <c r="AA7" s="273"/>
      <c r="AB7" s="273"/>
      <c r="AC7" s="273"/>
      <c r="AD7" s="273"/>
      <c r="AE7" s="273"/>
      <c r="AF7" s="287">
        <f>SUM(Z7:AE7)</f>
        <v>0</v>
      </c>
      <c r="AG7" s="283">
        <f t="shared" si="6"/>
        <v>0</v>
      </c>
      <c r="AH7" s="228">
        <f t="shared" ref="AH7:AH22" si="16">K7*$G7</f>
        <v>0</v>
      </c>
      <c r="AI7" s="228">
        <f t="shared" ref="AI7:AI22" si="17">L7*$G7</f>
        <v>0</v>
      </c>
      <c r="AJ7" s="228">
        <f t="shared" ref="AJ7:AJ22" si="18">M7*$G7</f>
        <v>0</v>
      </c>
      <c r="AK7" s="261">
        <f t="shared" ref="AK7:AK22" si="19">AH7+AI7+AJ7</f>
        <v>0</v>
      </c>
      <c r="AL7" s="228">
        <f t="shared" ref="AL7:AL22" si="20">O7*$G7</f>
        <v>0</v>
      </c>
      <c r="AM7" s="228">
        <f t="shared" ref="AM7:AM22" si="21">P7*$G7</f>
        <v>0</v>
      </c>
      <c r="AN7" s="228">
        <f t="shared" ref="AN7:AN22" si="22">Q7*$G7</f>
        <v>0</v>
      </c>
      <c r="AO7" s="261">
        <f>SUM(AL7:AN7)</f>
        <v>0</v>
      </c>
      <c r="AP7" s="228">
        <f t="shared" ref="AP7:AP22" si="23">S7*$J7</f>
        <v>0</v>
      </c>
      <c r="AQ7" s="228">
        <f t="shared" ref="AQ7:AQ22" si="24">T7*$J7</f>
        <v>0</v>
      </c>
      <c r="AR7" s="228">
        <f t="shared" ref="AR7:AR22" si="25">U7*$J7</f>
        <v>0</v>
      </c>
      <c r="AS7" s="228">
        <f t="shared" ref="AS7:AS22" si="26">V7*$J7</f>
        <v>0</v>
      </c>
      <c r="AT7" s="228">
        <f t="shared" ref="AT7:AT22" si="27">W7*$J7</f>
        <v>0</v>
      </c>
      <c r="AU7" s="228">
        <f t="shared" ref="AU7:AU22" si="28">X7*$J7</f>
        <v>0</v>
      </c>
      <c r="AV7" s="261">
        <f t="shared" ref="AV7:AV26" si="29">SUM(AP7:AU7)</f>
        <v>0</v>
      </c>
      <c r="AW7" s="228">
        <f t="shared" ref="AW7:AW22" si="30">Z7*$J7</f>
        <v>0</v>
      </c>
      <c r="AX7" s="228">
        <f t="shared" ref="AX7:AX22" si="31">AA7*$J7</f>
        <v>0</v>
      </c>
      <c r="AY7" s="228">
        <f t="shared" ref="AY7:AY22" si="32">AB7*$J7</f>
        <v>0</v>
      </c>
      <c r="AZ7" s="228">
        <f t="shared" ref="AZ7:AZ22" si="33">AC7*$J7</f>
        <v>0</v>
      </c>
      <c r="BA7" s="228">
        <f t="shared" ref="BA7:BA22" si="34">AD7*$J7</f>
        <v>0</v>
      </c>
      <c r="BB7" s="228">
        <f t="shared" ref="BB7:BB22" si="35">AE7*$J7</f>
        <v>0</v>
      </c>
      <c r="BC7" s="261">
        <f t="shared" si="10"/>
        <v>0</v>
      </c>
      <c r="BD7" s="239">
        <f t="shared" si="11"/>
        <v>0</v>
      </c>
      <c r="BE7" s="243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242"/>
      <c r="CA7" s="242"/>
      <c r="CB7" s="242"/>
      <c r="CC7" s="242"/>
      <c r="CD7" s="242"/>
      <c r="CE7" s="242"/>
      <c r="CF7" s="242"/>
      <c r="CG7" s="242"/>
      <c r="CH7" s="242"/>
      <c r="CI7" s="242"/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242"/>
      <c r="DW7" s="242"/>
      <c r="DX7" s="242"/>
      <c r="DY7" s="242"/>
      <c r="DZ7" s="242"/>
      <c r="EA7" s="242"/>
      <c r="EB7" s="242"/>
      <c r="EC7" s="242"/>
      <c r="ED7" s="242"/>
      <c r="EE7" s="242"/>
      <c r="EF7" s="242"/>
      <c r="EG7" s="242"/>
      <c r="EH7" s="242"/>
      <c r="EI7" s="242"/>
      <c r="EJ7" s="242"/>
      <c r="EK7" s="242"/>
      <c r="EL7" s="242"/>
      <c r="EM7" s="242"/>
      <c r="EN7" s="242"/>
      <c r="EO7" s="242"/>
      <c r="EP7" s="242"/>
      <c r="EQ7" s="242"/>
      <c r="ER7" s="242"/>
      <c r="ES7" s="242"/>
      <c r="ET7" s="242"/>
      <c r="EU7" s="242"/>
      <c r="EV7" s="242"/>
      <c r="EW7" s="242"/>
      <c r="EX7" s="242"/>
      <c r="EY7" s="242"/>
      <c r="EZ7" s="242"/>
      <c r="FA7" s="242"/>
      <c r="FB7" s="242"/>
      <c r="FC7" s="242"/>
      <c r="FD7" s="242"/>
      <c r="FE7" s="242"/>
      <c r="FF7" s="242"/>
      <c r="FG7" s="242"/>
      <c r="FH7" s="242"/>
      <c r="FI7" s="242"/>
      <c r="FJ7" s="242"/>
      <c r="FK7" s="242"/>
      <c r="FL7" s="242"/>
      <c r="FM7" s="242"/>
      <c r="FN7" s="242"/>
      <c r="FO7" s="242"/>
      <c r="FP7" s="242"/>
      <c r="FQ7" s="242"/>
      <c r="FR7" s="242"/>
      <c r="FS7" s="242"/>
      <c r="FT7" s="242"/>
      <c r="FU7" s="242"/>
      <c r="FV7" s="242"/>
      <c r="FW7" s="242"/>
      <c r="FX7" s="242"/>
      <c r="FY7" s="242"/>
      <c r="FZ7" s="242"/>
      <c r="GA7" s="242"/>
      <c r="GB7" s="242"/>
      <c r="GC7" s="242"/>
      <c r="GD7" s="242"/>
      <c r="GE7" s="242"/>
      <c r="GF7" s="242"/>
      <c r="GG7" s="242"/>
      <c r="GH7" s="242"/>
      <c r="GI7" s="242"/>
      <c r="GJ7" s="242"/>
      <c r="GK7" s="242"/>
      <c r="GL7" s="242"/>
      <c r="GM7" s="242"/>
      <c r="GN7" s="242"/>
      <c r="GO7" s="242"/>
      <c r="GP7" s="242"/>
      <c r="GQ7" s="242"/>
      <c r="GR7" s="242"/>
      <c r="GS7" s="242"/>
      <c r="GT7" s="242"/>
    </row>
    <row r="8" spans="1:202" s="3" customFormat="1" ht="15" customHeight="1">
      <c r="A8" s="186">
        <v>3</v>
      </c>
      <c r="B8" s="173" t="s">
        <v>184</v>
      </c>
      <c r="C8" s="218" t="s">
        <v>186</v>
      </c>
      <c r="D8" s="141"/>
      <c r="E8" s="178"/>
      <c r="F8" s="147"/>
      <c r="G8" s="177">
        <f t="shared" si="12"/>
        <v>0</v>
      </c>
      <c r="H8" s="178"/>
      <c r="I8" s="147"/>
      <c r="J8" s="177">
        <f t="shared" si="13"/>
        <v>0</v>
      </c>
      <c r="K8" s="252"/>
      <c r="L8" s="252"/>
      <c r="M8" s="252"/>
      <c r="N8" s="287">
        <f t="shared" si="14"/>
        <v>0</v>
      </c>
      <c r="O8" s="273"/>
      <c r="P8" s="273"/>
      <c r="Q8" s="290"/>
      <c r="R8" s="287">
        <f t="shared" si="15"/>
        <v>0</v>
      </c>
      <c r="S8" s="290"/>
      <c r="T8" s="273"/>
      <c r="U8" s="273"/>
      <c r="V8" s="273"/>
      <c r="W8" s="290"/>
      <c r="X8" s="264"/>
      <c r="Y8" s="287">
        <f t="shared" ref="Y8:Y22" si="36">SUM(S8:X8)</f>
        <v>0</v>
      </c>
      <c r="Z8" s="273"/>
      <c r="AA8" s="273"/>
      <c r="AB8" s="273"/>
      <c r="AC8" s="273"/>
      <c r="AD8" s="273"/>
      <c r="AE8" s="273"/>
      <c r="AF8" s="287">
        <f t="shared" ref="AF8:AF22" si="37">SUM(Z8:AE8)</f>
        <v>0</v>
      </c>
      <c r="AG8" s="283">
        <f t="shared" si="6"/>
        <v>0</v>
      </c>
      <c r="AH8" s="228">
        <f t="shared" si="16"/>
        <v>0</v>
      </c>
      <c r="AI8" s="228">
        <f t="shared" si="17"/>
        <v>0</v>
      </c>
      <c r="AJ8" s="228">
        <f t="shared" si="18"/>
        <v>0</v>
      </c>
      <c r="AK8" s="261">
        <f t="shared" si="19"/>
        <v>0</v>
      </c>
      <c r="AL8" s="228">
        <f t="shared" si="20"/>
        <v>0</v>
      </c>
      <c r="AM8" s="228">
        <f t="shared" si="21"/>
        <v>0</v>
      </c>
      <c r="AN8" s="228">
        <f t="shared" si="22"/>
        <v>0</v>
      </c>
      <c r="AO8" s="261">
        <f t="shared" ref="AO8:AO25" si="38">SUM(AL8:AN8)</f>
        <v>0</v>
      </c>
      <c r="AP8" s="228">
        <f t="shared" si="23"/>
        <v>0</v>
      </c>
      <c r="AQ8" s="228">
        <f t="shared" si="24"/>
        <v>0</v>
      </c>
      <c r="AR8" s="228">
        <f t="shared" si="25"/>
        <v>0</v>
      </c>
      <c r="AS8" s="228">
        <f t="shared" si="26"/>
        <v>0</v>
      </c>
      <c r="AT8" s="228">
        <f t="shared" si="27"/>
        <v>0</v>
      </c>
      <c r="AU8" s="228">
        <f t="shared" si="28"/>
        <v>0</v>
      </c>
      <c r="AV8" s="261">
        <f t="shared" si="29"/>
        <v>0</v>
      </c>
      <c r="AW8" s="228">
        <f t="shared" si="30"/>
        <v>0</v>
      </c>
      <c r="AX8" s="228">
        <f t="shared" si="31"/>
        <v>0</v>
      </c>
      <c r="AY8" s="228">
        <f t="shared" si="32"/>
        <v>0</v>
      </c>
      <c r="AZ8" s="228">
        <f t="shared" si="33"/>
        <v>0</v>
      </c>
      <c r="BA8" s="228">
        <f t="shared" si="34"/>
        <v>0</v>
      </c>
      <c r="BB8" s="228">
        <f t="shared" si="35"/>
        <v>0</v>
      </c>
      <c r="BC8" s="261">
        <f t="shared" si="10"/>
        <v>0</v>
      </c>
      <c r="BD8" s="239">
        <f t="shared" si="11"/>
        <v>0</v>
      </c>
      <c r="BE8" s="243"/>
      <c r="BF8" s="242"/>
      <c r="BG8" s="242"/>
      <c r="BH8" s="242"/>
      <c r="BI8" s="242"/>
      <c r="BJ8" s="242"/>
      <c r="BK8" s="242"/>
      <c r="BL8" s="242"/>
      <c r="BM8" s="242"/>
      <c r="BN8" s="242"/>
      <c r="BO8" s="242"/>
      <c r="BP8" s="242"/>
      <c r="BQ8" s="242"/>
      <c r="BR8" s="242"/>
      <c r="BS8" s="242"/>
      <c r="BT8" s="242"/>
      <c r="BU8" s="242"/>
      <c r="BV8" s="242"/>
      <c r="BW8" s="242"/>
      <c r="BX8" s="242"/>
      <c r="BY8" s="242"/>
      <c r="BZ8" s="242"/>
      <c r="CA8" s="242"/>
      <c r="CB8" s="242"/>
      <c r="CC8" s="242"/>
      <c r="CD8" s="242"/>
      <c r="CE8" s="242"/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242"/>
      <c r="DW8" s="242"/>
      <c r="DX8" s="242"/>
      <c r="DY8" s="242"/>
      <c r="DZ8" s="242"/>
      <c r="EA8" s="242"/>
      <c r="EB8" s="242"/>
      <c r="EC8" s="242"/>
      <c r="ED8" s="242"/>
      <c r="EE8" s="242"/>
      <c r="EF8" s="242"/>
      <c r="EG8" s="242"/>
      <c r="EH8" s="242"/>
      <c r="EI8" s="242"/>
      <c r="EJ8" s="242"/>
      <c r="EK8" s="242"/>
      <c r="EL8" s="242"/>
      <c r="EM8" s="242"/>
      <c r="EN8" s="242"/>
      <c r="EO8" s="242"/>
      <c r="EP8" s="242"/>
      <c r="EQ8" s="242"/>
      <c r="ER8" s="242"/>
      <c r="ES8" s="242"/>
      <c r="ET8" s="242"/>
      <c r="EU8" s="242"/>
      <c r="EV8" s="242"/>
      <c r="EW8" s="242"/>
      <c r="EX8" s="242"/>
      <c r="EY8" s="242"/>
      <c r="EZ8" s="242"/>
      <c r="FA8" s="242"/>
      <c r="FB8" s="242"/>
      <c r="FC8" s="242"/>
      <c r="FD8" s="242"/>
      <c r="FE8" s="242"/>
      <c r="FF8" s="242"/>
      <c r="FG8" s="242"/>
      <c r="FH8" s="242"/>
      <c r="FI8" s="242"/>
      <c r="FJ8" s="242"/>
      <c r="FK8" s="242"/>
      <c r="FL8" s="242"/>
      <c r="FM8" s="242"/>
      <c r="FN8" s="242"/>
      <c r="FO8" s="242"/>
      <c r="FP8" s="242"/>
      <c r="FQ8" s="242"/>
      <c r="FR8" s="242"/>
      <c r="FS8" s="242"/>
      <c r="FT8" s="242"/>
      <c r="FU8" s="242"/>
      <c r="FV8" s="242"/>
      <c r="FW8" s="242"/>
      <c r="FX8" s="242"/>
      <c r="FY8" s="242"/>
      <c r="FZ8" s="242"/>
      <c r="GA8" s="242"/>
      <c r="GB8" s="242"/>
      <c r="GC8" s="242"/>
      <c r="GD8" s="242"/>
      <c r="GE8" s="242"/>
      <c r="GF8" s="242"/>
      <c r="GG8" s="242"/>
      <c r="GH8" s="242"/>
      <c r="GI8" s="242"/>
      <c r="GJ8" s="242"/>
      <c r="GK8" s="242"/>
      <c r="GL8" s="242"/>
      <c r="GM8" s="242"/>
      <c r="GN8" s="242"/>
      <c r="GO8" s="242"/>
      <c r="GP8" s="242"/>
      <c r="GQ8" s="242"/>
      <c r="GR8" s="242"/>
      <c r="GS8" s="242"/>
      <c r="GT8" s="242"/>
    </row>
    <row r="9" spans="1:202" s="3" customFormat="1" ht="15" customHeight="1">
      <c r="A9" s="186">
        <v>4</v>
      </c>
      <c r="B9" s="173" t="s">
        <v>185</v>
      </c>
      <c r="C9" s="218" t="s">
        <v>186</v>
      </c>
      <c r="D9" s="141"/>
      <c r="E9" s="178"/>
      <c r="F9" s="147"/>
      <c r="G9" s="177">
        <f t="shared" si="12"/>
        <v>0</v>
      </c>
      <c r="H9" s="178"/>
      <c r="I9" s="147"/>
      <c r="J9" s="177">
        <f t="shared" si="13"/>
        <v>0</v>
      </c>
      <c r="K9" s="252"/>
      <c r="L9" s="252"/>
      <c r="M9" s="252"/>
      <c r="N9" s="287">
        <f t="shared" si="14"/>
        <v>0</v>
      </c>
      <c r="O9" s="273"/>
      <c r="P9" s="273"/>
      <c r="Q9" s="290"/>
      <c r="R9" s="287">
        <f t="shared" si="15"/>
        <v>0</v>
      </c>
      <c r="S9" s="290"/>
      <c r="T9" s="273"/>
      <c r="U9" s="273"/>
      <c r="V9" s="273"/>
      <c r="W9" s="290"/>
      <c r="X9" s="264"/>
      <c r="Y9" s="287">
        <f t="shared" si="36"/>
        <v>0</v>
      </c>
      <c r="Z9" s="273"/>
      <c r="AA9" s="273"/>
      <c r="AB9" s="273"/>
      <c r="AC9" s="273"/>
      <c r="AD9" s="273"/>
      <c r="AE9" s="273"/>
      <c r="AF9" s="287">
        <f t="shared" si="37"/>
        <v>0</v>
      </c>
      <c r="AG9" s="283">
        <f t="shared" si="6"/>
        <v>0</v>
      </c>
      <c r="AH9" s="228">
        <f t="shared" si="16"/>
        <v>0</v>
      </c>
      <c r="AI9" s="228">
        <f t="shared" si="17"/>
        <v>0</v>
      </c>
      <c r="AJ9" s="228">
        <f t="shared" si="18"/>
        <v>0</v>
      </c>
      <c r="AK9" s="261">
        <f t="shared" si="19"/>
        <v>0</v>
      </c>
      <c r="AL9" s="228">
        <f t="shared" si="20"/>
        <v>0</v>
      </c>
      <c r="AM9" s="228">
        <f t="shared" si="21"/>
        <v>0</v>
      </c>
      <c r="AN9" s="228">
        <f t="shared" si="22"/>
        <v>0</v>
      </c>
      <c r="AO9" s="261">
        <f t="shared" si="38"/>
        <v>0</v>
      </c>
      <c r="AP9" s="228">
        <f t="shared" si="23"/>
        <v>0</v>
      </c>
      <c r="AQ9" s="228">
        <f t="shared" si="24"/>
        <v>0</v>
      </c>
      <c r="AR9" s="228">
        <f t="shared" si="25"/>
        <v>0</v>
      </c>
      <c r="AS9" s="228">
        <f t="shared" si="26"/>
        <v>0</v>
      </c>
      <c r="AT9" s="228">
        <f t="shared" si="27"/>
        <v>0</v>
      </c>
      <c r="AU9" s="228">
        <f t="shared" si="28"/>
        <v>0</v>
      </c>
      <c r="AV9" s="261">
        <f t="shared" si="29"/>
        <v>0</v>
      </c>
      <c r="AW9" s="228">
        <f t="shared" si="30"/>
        <v>0</v>
      </c>
      <c r="AX9" s="228">
        <f t="shared" si="31"/>
        <v>0</v>
      </c>
      <c r="AY9" s="228">
        <f t="shared" si="32"/>
        <v>0</v>
      </c>
      <c r="AZ9" s="228">
        <f t="shared" si="33"/>
        <v>0</v>
      </c>
      <c r="BA9" s="228">
        <f t="shared" si="34"/>
        <v>0</v>
      </c>
      <c r="BB9" s="228">
        <f t="shared" si="35"/>
        <v>0</v>
      </c>
      <c r="BC9" s="261">
        <f t="shared" si="10"/>
        <v>0</v>
      </c>
      <c r="BD9" s="239">
        <f t="shared" si="11"/>
        <v>0</v>
      </c>
      <c r="BE9" s="243"/>
      <c r="BF9" s="242"/>
      <c r="BG9" s="242"/>
      <c r="BH9" s="242"/>
      <c r="BI9" s="242"/>
      <c r="BJ9" s="242"/>
      <c r="BK9" s="242"/>
      <c r="BL9" s="242"/>
      <c r="BM9" s="242"/>
      <c r="BN9" s="242"/>
      <c r="BO9" s="242"/>
      <c r="BP9" s="242"/>
      <c r="BQ9" s="242"/>
      <c r="BR9" s="242"/>
      <c r="BS9" s="242"/>
      <c r="BT9" s="242"/>
      <c r="BU9" s="242"/>
      <c r="BV9" s="242"/>
      <c r="BW9" s="242"/>
      <c r="BX9" s="242"/>
      <c r="BY9" s="242"/>
      <c r="BZ9" s="242"/>
      <c r="CA9" s="242"/>
      <c r="CB9" s="242"/>
      <c r="CC9" s="242"/>
      <c r="CD9" s="242"/>
      <c r="CE9" s="242"/>
      <c r="CF9" s="242"/>
      <c r="CG9" s="242"/>
      <c r="CH9" s="242"/>
      <c r="CI9" s="242"/>
      <c r="CJ9" s="242"/>
      <c r="CK9" s="242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242"/>
      <c r="DW9" s="242"/>
      <c r="DX9" s="242"/>
      <c r="DY9" s="242"/>
      <c r="DZ9" s="242"/>
      <c r="EA9" s="242"/>
      <c r="EB9" s="242"/>
      <c r="EC9" s="242"/>
      <c r="ED9" s="242"/>
      <c r="EE9" s="242"/>
      <c r="EF9" s="242"/>
      <c r="EG9" s="242"/>
      <c r="EH9" s="242"/>
      <c r="EI9" s="242"/>
      <c r="EJ9" s="242"/>
      <c r="EK9" s="242"/>
      <c r="EL9" s="242"/>
      <c r="EM9" s="242"/>
      <c r="EN9" s="242"/>
      <c r="EO9" s="242"/>
      <c r="EP9" s="242"/>
      <c r="EQ9" s="242"/>
      <c r="ER9" s="242"/>
      <c r="ES9" s="242"/>
      <c r="ET9" s="242"/>
      <c r="EU9" s="242"/>
      <c r="EV9" s="242"/>
      <c r="EW9" s="242"/>
      <c r="EX9" s="242"/>
      <c r="EY9" s="242"/>
      <c r="EZ9" s="242"/>
      <c r="FA9" s="242"/>
      <c r="FB9" s="242"/>
      <c r="FC9" s="242"/>
      <c r="FD9" s="242"/>
      <c r="FE9" s="242"/>
      <c r="FF9" s="242"/>
      <c r="FG9" s="242"/>
      <c r="FH9" s="242"/>
      <c r="FI9" s="242"/>
      <c r="FJ9" s="242"/>
      <c r="FK9" s="242"/>
      <c r="FL9" s="242"/>
      <c r="FM9" s="242"/>
      <c r="FN9" s="242"/>
      <c r="FO9" s="242"/>
      <c r="FP9" s="242"/>
      <c r="FQ9" s="242"/>
      <c r="FR9" s="242"/>
      <c r="FS9" s="242"/>
      <c r="FT9" s="242"/>
      <c r="FU9" s="242"/>
      <c r="FV9" s="242"/>
      <c r="FW9" s="242"/>
      <c r="FX9" s="242"/>
      <c r="FY9" s="242"/>
      <c r="FZ9" s="242"/>
      <c r="GA9" s="242"/>
      <c r="GB9" s="242"/>
      <c r="GC9" s="242"/>
      <c r="GD9" s="242"/>
      <c r="GE9" s="242"/>
      <c r="GF9" s="242"/>
      <c r="GG9" s="242"/>
      <c r="GH9" s="242"/>
      <c r="GI9" s="242"/>
      <c r="GJ9" s="242"/>
      <c r="GK9" s="242"/>
      <c r="GL9" s="242"/>
      <c r="GM9" s="242"/>
      <c r="GN9" s="242"/>
      <c r="GO9" s="242"/>
      <c r="GP9" s="242"/>
      <c r="GQ9" s="242"/>
      <c r="GR9" s="242"/>
      <c r="GS9" s="242"/>
      <c r="GT9" s="242"/>
    </row>
    <row r="10" spans="1:202" s="3" customFormat="1" ht="15" customHeight="1">
      <c r="A10" s="186">
        <v>5</v>
      </c>
      <c r="B10" s="173" t="s">
        <v>34</v>
      </c>
      <c r="C10" s="218"/>
      <c r="D10" s="141"/>
      <c r="E10" s="178"/>
      <c r="F10" s="147"/>
      <c r="G10" s="177">
        <f t="shared" si="12"/>
        <v>0</v>
      </c>
      <c r="H10" s="178"/>
      <c r="I10" s="147"/>
      <c r="J10" s="177">
        <f t="shared" si="13"/>
        <v>0</v>
      </c>
      <c r="K10" s="252"/>
      <c r="L10" s="252"/>
      <c r="M10" s="252"/>
      <c r="N10" s="287">
        <f t="shared" si="14"/>
        <v>0</v>
      </c>
      <c r="O10" s="273"/>
      <c r="P10" s="273"/>
      <c r="Q10" s="290"/>
      <c r="R10" s="287">
        <f t="shared" si="15"/>
        <v>0</v>
      </c>
      <c r="S10" s="290"/>
      <c r="T10" s="273"/>
      <c r="U10" s="273"/>
      <c r="V10" s="273"/>
      <c r="W10" s="290"/>
      <c r="X10" s="264"/>
      <c r="Y10" s="287">
        <f t="shared" si="36"/>
        <v>0</v>
      </c>
      <c r="Z10" s="273"/>
      <c r="AA10" s="273"/>
      <c r="AB10" s="273"/>
      <c r="AC10" s="273"/>
      <c r="AD10" s="273"/>
      <c r="AE10" s="273"/>
      <c r="AF10" s="287">
        <f t="shared" si="37"/>
        <v>0</v>
      </c>
      <c r="AG10" s="283">
        <f t="shared" si="6"/>
        <v>0</v>
      </c>
      <c r="AH10" s="228">
        <f t="shared" si="16"/>
        <v>0</v>
      </c>
      <c r="AI10" s="228">
        <f t="shared" si="17"/>
        <v>0</v>
      </c>
      <c r="AJ10" s="228">
        <f t="shared" si="18"/>
        <v>0</v>
      </c>
      <c r="AK10" s="261">
        <f t="shared" si="19"/>
        <v>0</v>
      </c>
      <c r="AL10" s="228">
        <f t="shared" si="20"/>
        <v>0</v>
      </c>
      <c r="AM10" s="228">
        <f t="shared" si="21"/>
        <v>0</v>
      </c>
      <c r="AN10" s="228">
        <f t="shared" si="22"/>
        <v>0</v>
      </c>
      <c r="AO10" s="261">
        <f t="shared" si="38"/>
        <v>0</v>
      </c>
      <c r="AP10" s="228">
        <f t="shared" si="23"/>
        <v>0</v>
      </c>
      <c r="AQ10" s="228">
        <f t="shared" si="24"/>
        <v>0</v>
      </c>
      <c r="AR10" s="228">
        <f t="shared" si="25"/>
        <v>0</v>
      </c>
      <c r="AS10" s="228">
        <f t="shared" si="26"/>
        <v>0</v>
      </c>
      <c r="AT10" s="228">
        <f t="shared" si="27"/>
        <v>0</v>
      </c>
      <c r="AU10" s="228">
        <f t="shared" si="28"/>
        <v>0</v>
      </c>
      <c r="AV10" s="261">
        <f t="shared" si="29"/>
        <v>0</v>
      </c>
      <c r="AW10" s="228">
        <f t="shared" si="30"/>
        <v>0</v>
      </c>
      <c r="AX10" s="228">
        <f t="shared" si="31"/>
        <v>0</v>
      </c>
      <c r="AY10" s="228">
        <f t="shared" si="32"/>
        <v>0</v>
      </c>
      <c r="AZ10" s="228">
        <f t="shared" si="33"/>
        <v>0</v>
      </c>
      <c r="BA10" s="228">
        <f t="shared" si="34"/>
        <v>0</v>
      </c>
      <c r="BB10" s="228">
        <f t="shared" si="35"/>
        <v>0</v>
      </c>
      <c r="BC10" s="261">
        <f t="shared" si="10"/>
        <v>0</v>
      </c>
      <c r="BD10" s="239">
        <f t="shared" si="11"/>
        <v>0</v>
      </c>
      <c r="BE10" s="243"/>
      <c r="BF10" s="242"/>
      <c r="BG10" s="242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242"/>
      <c r="CA10" s="242"/>
      <c r="CB10" s="242"/>
      <c r="CC10" s="242"/>
      <c r="CD10" s="242"/>
      <c r="CE10" s="242"/>
      <c r="CF10" s="242"/>
      <c r="CG10" s="242"/>
      <c r="CH10" s="242"/>
      <c r="CI10" s="242"/>
      <c r="CJ10" s="242"/>
      <c r="CK10" s="242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242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</row>
    <row r="11" spans="1:202" s="3" customFormat="1" ht="15" customHeight="1">
      <c r="A11" s="186">
        <v>6</v>
      </c>
      <c r="B11" s="173" t="s">
        <v>35</v>
      </c>
      <c r="C11" s="218"/>
      <c r="D11" s="141"/>
      <c r="E11" s="178"/>
      <c r="F11" s="147"/>
      <c r="G11" s="177">
        <f t="shared" si="12"/>
        <v>0</v>
      </c>
      <c r="H11" s="178"/>
      <c r="I11" s="147"/>
      <c r="J11" s="177">
        <f t="shared" si="13"/>
        <v>0</v>
      </c>
      <c r="K11" s="252"/>
      <c r="L11" s="252"/>
      <c r="M11" s="252"/>
      <c r="N11" s="287">
        <f t="shared" si="14"/>
        <v>0</v>
      </c>
      <c r="O11" s="273"/>
      <c r="P11" s="273"/>
      <c r="Q11" s="290"/>
      <c r="R11" s="287">
        <f t="shared" si="15"/>
        <v>0</v>
      </c>
      <c r="S11" s="290"/>
      <c r="T11" s="273"/>
      <c r="U11" s="273"/>
      <c r="V11" s="273"/>
      <c r="W11" s="290"/>
      <c r="X11" s="264"/>
      <c r="Y11" s="287">
        <f t="shared" si="36"/>
        <v>0</v>
      </c>
      <c r="Z11" s="273"/>
      <c r="AA11" s="273"/>
      <c r="AB11" s="273"/>
      <c r="AC11" s="273"/>
      <c r="AD11" s="273"/>
      <c r="AE11" s="273"/>
      <c r="AF11" s="287">
        <f t="shared" si="37"/>
        <v>0</v>
      </c>
      <c r="AG11" s="283">
        <f t="shared" si="6"/>
        <v>0</v>
      </c>
      <c r="AH11" s="228">
        <f t="shared" si="16"/>
        <v>0</v>
      </c>
      <c r="AI11" s="228">
        <f t="shared" si="17"/>
        <v>0</v>
      </c>
      <c r="AJ11" s="228">
        <f t="shared" si="18"/>
        <v>0</v>
      </c>
      <c r="AK11" s="261">
        <f t="shared" si="19"/>
        <v>0</v>
      </c>
      <c r="AL11" s="228">
        <f t="shared" si="20"/>
        <v>0</v>
      </c>
      <c r="AM11" s="228">
        <f t="shared" si="21"/>
        <v>0</v>
      </c>
      <c r="AN11" s="228">
        <f t="shared" si="22"/>
        <v>0</v>
      </c>
      <c r="AO11" s="261">
        <f t="shared" si="38"/>
        <v>0</v>
      </c>
      <c r="AP11" s="228">
        <f t="shared" si="23"/>
        <v>0</v>
      </c>
      <c r="AQ11" s="228">
        <f t="shared" si="24"/>
        <v>0</v>
      </c>
      <c r="AR11" s="228">
        <f t="shared" si="25"/>
        <v>0</v>
      </c>
      <c r="AS11" s="228">
        <f t="shared" si="26"/>
        <v>0</v>
      </c>
      <c r="AT11" s="228">
        <f t="shared" si="27"/>
        <v>0</v>
      </c>
      <c r="AU11" s="228">
        <f t="shared" si="28"/>
        <v>0</v>
      </c>
      <c r="AV11" s="261">
        <f t="shared" si="29"/>
        <v>0</v>
      </c>
      <c r="AW11" s="228">
        <f t="shared" si="30"/>
        <v>0</v>
      </c>
      <c r="AX11" s="228">
        <f t="shared" si="31"/>
        <v>0</v>
      </c>
      <c r="AY11" s="228">
        <f t="shared" si="32"/>
        <v>0</v>
      </c>
      <c r="AZ11" s="228">
        <f t="shared" si="33"/>
        <v>0</v>
      </c>
      <c r="BA11" s="228">
        <f t="shared" si="34"/>
        <v>0</v>
      </c>
      <c r="BB11" s="228">
        <f t="shared" si="35"/>
        <v>0</v>
      </c>
      <c r="BC11" s="261">
        <f t="shared" si="10"/>
        <v>0</v>
      </c>
      <c r="BD11" s="239">
        <f t="shared" si="11"/>
        <v>0</v>
      </c>
      <c r="BE11" s="243"/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2"/>
      <c r="BU11" s="242"/>
      <c r="BV11" s="242"/>
      <c r="BW11" s="242"/>
      <c r="BX11" s="242"/>
      <c r="BY11" s="242"/>
      <c r="BZ11" s="242"/>
      <c r="CA11" s="242"/>
      <c r="CB11" s="242"/>
      <c r="CC11" s="242"/>
      <c r="CD11" s="242"/>
      <c r="CE11" s="242"/>
      <c r="CF11" s="242"/>
      <c r="CG11" s="242"/>
      <c r="CH11" s="242"/>
      <c r="CI11" s="242"/>
      <c r="CJ11" s="242"/>
      <c r="CK11" s="242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242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</row>
    <row r="12" spans="1:202" s="3" customFormat="1" ht="15" customHeight="1">
      <c r="A12" s="186">
        <v>7</v>
      </c>
      <c r="B12" s="173" t="s">
        <v>284</v>
      </c>
      <c r="C12" s="218"/>
      <c r="D12" s="141"/>
      <c r="E12" s="178"/>
      <c r="F12" s="147"/>
      <c r="G12" s="177">
        <f t="shared" si="12"/>
        <v>0</v>
      </c>
      <c r="H12" s="178"/>
      <c r="I12" s="147"/>
      <c r="J12" s="177">
        <f t="shared" si="13"/>
        <v>0</v>
      </c>
      <c r="K12" s="252"/>
      <c r="L12" s="252"/>
      <c r="M12" s="252"/>
      <c r="N12" s="287">
        <f t="shared" si="14"/>
        <v>0</v>
      </c>
      <c r="O12" s="273"/>
      <c r="P12" s="273"/>
      <c r="Q12" s="290"/>
      <c r="R12" s="287">
        <f t="shared" si="15"/>
        <v>0</v>
      </c>
      <c r="S12" s="290"/>
      <c r="T12" s="273"/>
      <c r="U12" s="273"/>
      <c r="V12" s="273"/>
      <c r="W12" s="290"/>
      <c r="X12" s="264"/>
      <c r="Y12" s="287">
        <f t="shared" si="36"/>
        <v>0</v>
      </c>
      <c r="Z12" s="273"/>
      <c r="AA12" s="273"/>
      <c r="AB12" s="273"/>
      <c r="AC12" s="273"/>
      <c r="AD12" s="273"/>
      <c r="AE12" s="273"/>
      <c r="AF12" s="287">
        <f t="shared" si="37"/>
        <v>0</v>
      </c>
      <c r="AG12" s="283">
        <f t="shared" si="6"/>
        <v>0</v>
      </c>
      <c r="AH12" s="228">
        <f t="shared" si="16"/>
        <v>0</v>
      </c>
      <c r="AI12" s="228">
        <f t="shared" si="17"/>
        <v>0</v>
      </c>
      <c r="AJ12" s="228">
        <f t="shared" si="18"/>
        <v>0</v>
      </c>
      <c r="AK12" s="261">
        <f t="shared" si="19"/>
        <v>0</v>
      </c>
      <c r="AL12" s="228">
        <f t="shared" si="20"/>
        <v>0</v>
      </c>
      <c r="AM12" s="228">
        <f t="shared" si="21"/>
        <v>0</v>
      </c>
      <c r="AN12" s="228">
        <f t="shared" si="22"/>
        <v>0</v>
      </c>
      <c r="AO12" s="261">
        <f t="shared" si="38"/>
        <v>0</v>
      </c>
      <c r="AP12" s="228">
        <f t="shared" si="23"/>
        <v>0</v>
      </c>
      <c r="AQ12" s="228">
        <f t="shared" si="24"/>
        <v>0</v>
      </c>
      <c r="AR12" s="228">
        <f t="shared" si="25"/>
        <v>0</v>
      </c>
      <c r="AS12" s="228">
        <f t="shared" si="26"/>
        <v>0</v>
      </c>
      <c r="AT12" s="228">
        <f t="shared" si="27"/>
        <v>0</v>
      </c>
      <c r="AU12" s="228">
        <f t="shared" si="28"/>
        <v>0</v>
      </c>
      <c r="AV12" s="261">
        <f t="shared" si="29"/>
        <v>0</v>
      </c>
      <c r="AW12" s="228">
        <f t="shared" si="30"/>
        <v>0</v>
      </c>
      <c r="AX12" s="228">
        <f t="shared" si="31"/>
        <v>0</v>
      </c>
      <c r="AY12" s="228">
        <f t="shared" si="32"/>
        <v>0</v>
      </c>
      <c r="AZ12" s="228">
        <f t="shared" si="33"/>
        <v>0</v>
      </c>
      <c r="BA12" s="228">
        <f t="shared" si="34"/>
        <v>0</v>
      </c>
      <c r="BB12" s="228">
        <f t="shared" si="35"/>
        <v>0</v>
      </c>
      <c r="BC12" s="261">
        <f t="shared" si="10"/>
        <v>0</v>
      </c>
      <c r="BD12" s="239">
        <f t="shared" si="11"/>
        <v>0</v>
      </c>
      <c r="BE12" s="243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</row>
    <row r="13" spans="1:202" s="3" customFormat="1" ht="15" customHeight="1">
      <c r="A13" s="186">
        <v>8</v>
      </c>
      <c r="B13" s="173" t="s">
        <v>285</v>
      </c>
      <c r="C13" s="218"/>
      <c r="D13" s="141"/>
      <c r="E13" s="178"/>
      <c r="F13" s="147"/>
      <c r="G13" s="177">
        <f t="shared" si="12"/>
        <v>0</v>
      </c>
      <c r="H13" s="178"/>
      <c r="I13" s="147"/>
      <c r="J13" s="177">
        <f t="shared" si="13"/>
        <v>0</v>
      </c>
      <c r="K13" s="252"/>
      <c r="L13" s="252"/>
      <c r="M13" s="252"/>
      <c r="N13" s="287">
        <f t="shared" si="14"/>
        <v>0</v>
      </c>
      <c r="O13" s="273"/>
      <c r="P13" s="273"/>
      <c r="Q13" s="290"/>
      <c r="R13" s="287">
        <f t="shared" si="15"/>
        <v>0</v>
      </c>
      <c r="S13" s="290"/>
      <c r="T13" s="273"/>
      <c r="U13" s="273"/>
      <c r="V13" s="273"/>
      <c r="W13" s="290"/>
      <c r="X13" s="264"/>
      <c r="Y13" s="287">
        <f t="shared" si="36"/>
        <v>0</v>
      </c>
      <c r="Z13" s="273"/>
      <c r="AA13" s="273"/>
      <c r="AB13" s="273"/>
      <c r="AC13" s="273"/>
      <c r="AD13" s="273"/>
      <c r="AE13" s="273"/>
      <c r="AF13" s="287">
        <f t="shared" si="37"/>
        <v>0</v>
      </c>
      <c r="AG13" s="283">
        <f t="shared" si="6"/>
        <v>0</v>
      </c>
      <c r="AH13" s="228">
        <f t="shared" si="16"/>
        <v>0</v>
      </c>
      <c r="AI13" s="228">
        <f t="shared" si="17"/>
        <v>0</v>
      </c>
      <c r="AJ13" s="228">
        <f t="shared" si="18"/>
        <v>0</v>
      </c>
      <c r="AK13" s="261">
        <f t="shared" si="19"/>
        <v>0</v>
      </c>
      <c r="AL13" s="228">
        <f t="shared" si="20"/>
        <v>0</v>
      </c>
      <c r="AM13" s="228">
        <f t="shared" si="21"/>
        <v>0</v>
      </c>
      <c r="AN13" s="228">
        <f t="shared" si="22"/>
        <v>0</v>
      </c>
      <c r="AO13" s="261">
        <f t="shared" si="38"/>
        <v>0</v>
      </c>
      <c r="AP13" s="228">
        <f t="shared" si="23"/>
        <v>0</v>
      </c>
      <c r="AQ13" s="228">
        <f t="shared" si="24"/>
        <v>0</v>
      </c>
      <c r="AR13" s="228">
        <f t="shared" si="25"/>
        <v>0</v>
      </c>
      <c r="AS13" s="228">
        <f t="shared" si="26"/>
        <v>0</v>
      </c>
      <c r="AT13" s="228">
        <f t="shared" si="27"/>
        <v>0</v>
      </c>
      <c r="AU13" s="228">
        <f t="shared" si="28"/>
        <v>0</v>
      </c>
      <c r="AV13" s="261">
        <f t="shared" si="29"/>
        <v>0</v>
      </c>
      <c r="AW13" s="228">
        <f t="shared" si="30"/>
        <v>0</v>
      </c>
      <c r="AX13" s="228">
        <f t="shared" si="31"/>
        <v>0</v>
      </c>
      <c r="AY13" s="228">
        <f t="shared" si="32"/>
        <v>0</v>
      </c>
      <c r="AZ13" s="228">
        <f t="shared" si="33"/>
        <v>0</v>
      </c>
      <c r="BA13" s="228">
        <f t="shared" si="34"/>
        <v>0</v>
      </c>
      <c r="BB13" s="228">
        <f t="shared" si="35"/>
        <v>0</v>
      </c>
      <c r="BC13" s="261">
        <f t="shared" si="10"/>
        <v>0</v>
      </c>
      <c r="BD13" s="239">
        <f t="shared" si="11"/>
        <v>0</v>
      </c>
      <c r="BE13" s="243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242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</row>
    <row r="14" spans="1:202" s="3" customFormat="1" ht="15" customHeight="1">
      <c r="A14" s="186">
        <v>9</v>
      </c>
      <c r="B14" s="174" t="s">
        <v>286</v>
      </c>
      <c r="C14" s="219"/>
      <c r="D14" s="140"/>
      <c r="E14" s="175"/>
      <c r="F14" s="176"/>
      <c r="G14" s="177">
        <f t="shared" si="12"/>
        <v>0</v>
      </c>
      <c r="H14" s="175"/>
      <c r="I14" s="176"/>
      <c r="J14" s="177">
        <f t="shared" si="13"/>
        <v>0</v>
      </c>
      <c r="K14" s="253"/>
      <c r="L14" s="253"/>
      <c r="M14" s="253"/>
      <c r="N14" s="287">
        <f t="shared" si="14"/>
        <v>0</v>
      </c>
      <c r="O14" s="274"/>
      <c r="P14" s="274"/>
      <c r="Q14" s="291"/>
      <c r="R14" s="287">
        <f t="shared" si="15"/>
        <v>0</v>
      </c>
      <c r="S14" s="290"/>
      <c r="T14" s="274"/>
      <c r="U14" s="274"/>
      <c r="V14" s="274"/>
      <c r="W14" s="291"/>
      <c r="X14" s="265"/>
      <c r="Y14" s="287">
        <f t="shared" si="36"/>
        <v>0</v>
      </c>
      <c r="Z14" s="274"/>
      <c r="AA14" s="274"/>
      <c r="AB14" s="274"/>
      <c r="AC14" s="274"/>
      <c r="AD14" s="274"/>
      <c r="AE14" s="274"/>
      <c r="AF14" s="287">
        <f t="shared" si="37"/>
        <v>0</v>
      </c>
      <c r="AG14" s="283">
        <f t="shared" si="6"/>
        <v>0</v>
      </c>
      <c r="AH14" s="228">
        <f t="shared" si="16"/>
        <v>0</v>
      </c>
      <c r="AI14" s="228">
        <f t="shared" si="17"/>
        <v>0</v>
      </c>
      <c r="AJ14" s="228">
        <f t="shared" si="18"/>
        <v>0</v>
      </c>
      <c r="AK14" s="261">
        <f t="shared" si="19"/>
        <v>0</v>
      </c>
      <c r="AL14" s="229">
        <f t="shared" si="20"/>
        <v>0</v>
      </c>
      <c r="AM14" s="229">
        <f t="shared" si="21"/>
        <v>0</v>
      </c>
      <c r="AN14" s="229">
        <f t="shared" si="22"/>
        <v>0</v>
      </c>
      <c r="AO14" s="261">
        <f t="shared" si="38"/>
        <v>0</v>
      </c>
      <c r="AP14" s="228">
        <f t="shared" si="23"/>
        <v>0</v>
      </c>
      <c r="AQ14" s="228">
        <f t="shared" si="24"/>
        <v>0</v>
      </c>
      <c r="AR14" s="228">
        <f t="shared" si="25"/>
        <v>0</v>
      </c>
      <c r="AS14" s="228">
        <f t="shared" si="26"/>
        <v>0</v>
      </c>
      <c r="AT14" s="228">
        <f t="shared" si="27"/>
        <v>0</v>
      </c>
      <c r="AU14" s="228">
        <f t="shared" si="28"/>
        <v>0</v>
      </c>
      <c r="AV14" s="261">
        <f t="shared" si="29"/>
        <v>0</v>
      </c>
      <c r="AW14" s="229">
        <f t="shared" si="30"/>
        <v>0</v>
      </c>
      <c r="AX14" s="229">
        <f t="shared" si="31"/>
        <v>0</v>
      </c>
      <c r="AY14" s="229">
        <f t="shared" si="32"/>
        <v>0</v>
      </c>
      <c r="AZ14" s="229">
        <f t="shared" si="33"/>
        <v>0</v>
      </c>
      <c r="BA14" s="229">
        <f t="shared" si="34"/>
        <v>0</v>
      </c>
      <c r="BB14" s="229">
        <f t="shared" si="35"/>
        <v>0</v>
      </c>
      <c r="BC14" s="261">
        <f t="shared" si="10"/>
        <v>0</v>
      </c>
      <c r="BD14" s="239">
        <f t="shared" si="11"/>
        <v>0</v>
      </c>
      <c r="BE14" s="243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242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</row>
    <row r="15" spans="1:202" ht="12.75">
      <c r="A15" s="186"/>
      <c r="B15" s="173" t="s">
        <v>287</v>
      </c>
      <c r="C15" s="218"/>
      <c r="D15" s="141"/>
      <c r="E15" s="178">
        <v>17043.59</v>
      </c>
      <c r="F15" s="147">
        <v>1492.5</v>
      </c>
      <c r="G15" s="177">
        <f t="shared" si="12"/>
        <v>15551.09</v>
      </c>
      <c r="H15" s="178">
        <v>17043.59</v>
      </c>
      <c r="I15" s="147">
        <v>1492.5</v>
      </c>
      <c r="J15" s="177">
        <f t="shared" si="13"/>
        <v>15551.09</v>
      </c>
      <c r="K15" s="252">
        <v>338.166</v>
      </c>
      <c r="L15" s="252">
        <v>336.78</v>
      </c>
      <c r="M15" s="252"/>
      <c r="N15" s="287">
        <f t="shared" si="14"/>
        <v>674.94599999999991</v>
      </c>
      <c r="O15" s="273"/>
      <c r="P15" s="273"/>
      <c r="Q15" s="290"/>
      <c r="R15" s="287"/>
      <c r="S15" s="290"/>
      <c r="T15" s="273"/>
      <c r="U15" s="273"/>
      <c r="V15" s="273"/>
      <c r="W15" s="290"/>
      <c r="X15" s="264"/>
      <c r="Y15" s="287"/>
      <c r="Z15" s="273"/>
      <c r="AA15" s="273"/>
      <c r="AB15" s="273"/>
      <c r="AC15" s="273"/>
      <c r="AD15" s="273"/>
      <c r="AE15" s="273"/>
      <c r="AF15" s="287">
        <f>SUM(Z15:AE15)</f>
        <v>0</v>
      </c>
      <c r="AG15" s="283">
        <f t="shared" si="6"/>
        <v>674.94599999999991</v>
      </c>
      <c r="AH15" s="228">
        <f t="shared" si="16"/>
        <v>5258849.9009400001</v>
      </c>
      <c r="AI15" s="228">
        <f t="shared" si="17"/>
        <v>5237296.0901999995</v>
      </c>
      <c r="AJ15" s="228">
        <f t="shared" si="18"/>
        <v>0</v>
      </c>
      <c r="AK15" s="261">
        <f>AH15+AI15+AJ15</f>
        <v>10496145.991140001</v>
      </c>
      <c r="AL15" s="229">
        <f t="shared" si="20"/>
        <v>0</v>
      </c>
      <c r="AM15" s="229">
        <f t="shared" si="21"/>
        <v>0</v>
      </c>
      <c r="AN15" s="229">
        <f t="shared" si="22"/>
        <v>0</v>
      </c>
      <c r="AO15" s="261">
        <f>SUM(AL15:AN15)</f>
        <v>0</v>
      </c>
      <c r="AP15" s="228">
        <f t="shared" si="23"/>
        <v>0</v>
      </c>
      <c r="AQ15" s="228">
        <f t="shared" si="24"/>
        <v>0</v>
      </c>
      <c r="AR15" s="228">
        <f t="shared" si="25"/>
        <v>0</v>
      </c>
      <c r="AS15" s="228">
        <f t="shared" si="26"/>
        <v>0</v>
      </c>
      <c r="AT15" s="228">
        <f t="shared" si="27"/>
        <v>0</v>
      </c>
      <c r="AU15" s="228">
        <f t="shared" si="28"/>
        <v>0</v>
      </c>
      <c r="AV15" s="261">
        <f>SUM(AP15:AU15)</f>
        <v>0</v>
      </c>
      <c r="AW15" s="229">
        <f t="shared" si="30"/>
        <v>0</v>
      </c>
      <c r="AX15" s="229">
        <f t="shared" si="31"/>
        <v>0</v>
      </c>
      <c r="AY15" s="229">
        <f t="shared" si="32"/>
        <v>0</v>
      </c>
      <c r="AZ15" s="229">
        <f t="shared" si="33"/>
        <v>0</v>
      </c>
      <c r="BA15" s="229">
        <f t="shared" si="34"/>
        <v>0</v>
      </c>
      <c r="BB15" s="229">
        <f t="shared" si="35"/>
        <v>0</v>
      </c>
      <c r="BC15" s="261">
        <f>SUM(AW15:BB15)</f>
        <v>0</v>
      </c>
      <c r="BD15" s="239">
        <f t="shared" si="11"/>
        <v>10496145.991140001</v>
      </c>
      <c r="BE15" s="243"/>
    </row>
    <row r="16" spans="1:202" ht="12.75">
      <c r="A16" s="186">
        <v>11</v>
      </c>
      <c r="B16" s="173" t="s">
        <v>288</v>
      </c>
      <c r="C16" s="218"/>
      <c r="D16" s="141"/>
      <c r="E16" s="178"/>
      <c r="F16" s="147"/>
      <c r="G16" s="177">
        <f t="shared" si="12"/>
        <v>0</v>
      </c>
      <c r="H16" s="178"/>
      <c r="I16" s="147"/>
      <c r="J16" s="177">
        <f t="shared" si="13"/>
        <v>0</v>
      </c>
      <c r="K16" s="252"/>
      <c r="L16" s="252"/>
      <c r="M16" s="252"/>
      <c r="N16" s="287">
        <f t="shared" si="14"/>
        <v>0</v>
      </c>
      <c r="O16" s="273"/>
      <c r="P16" s="273"/>
      <c r="Q16" s="290"/>
      <c r="R16" s="287">
        <f t="shared" si="15"/>
        <v>0</v>
      </c>
      <c r="S16" s="290"/>
      <c r="T16" s="273"/>
      <c r="U16" s="273"/>
      <c r="V16" s="273"/>
      <c r="W16" s="290"/>
      <c r="X16" s="264"/>
      <c r="Y16" s="287">
        <f t="shared" si="36"/>
        <v>0</v>
      </c>
      <c r="Z16" s="273"/>
      <c r="AA16" s="273"/>
      <c r="AB16" s="273"/>
      <c r="AC16" s="273"/>
      <c r="AD16" s="273"/>
      <c r="AE16" s="273"/>
      <c r="AF16" s="287">
        <f t="shared" si="37"/>
        <v>0</v>
      </c>
      <c r="AG16" s="283">
        <f t="shared" si="6"/>
        <v>0</v>
      </c>
      <c r="AH16" s="228">
        <f t="shared" si="16"/>
        <v>0</v>
      </c>
      <c r="AI16" s="228">
        <f t="shared" si="17"/>
        <v>0</v>
      </c>
      <c r="AJ16" s="228">
        <f t="shared" si="18"/>
        <v>0</v>
      </c>
      <c r="AK16" s="261">
        <f t="shared" si="19"/>
        <v>0</v>
      </c>
      <c r="AL16" s="228">
        <f t="shared" si="20"/>
        <v>0</v>
      </c>
      <c r="AM16" s="228">
        <f t="shared" si="21"/>
        <v>0</v>
      </c>
      <c r="AN16" s="228">
        <f t="shared" si="22"/>
        <v>0</v>
      </c>
      <c r="AO16" s="261">
        <f t="shared" si="38"/>
        <v>0</v>
      </c>
      <c r="AP16" s="228">
        <f t="shared" si="23"/>
        <v>0</v>
      </c>
      <c r="AQ16" s="228">
        <f t="shared" si="24"/>
        <v>0</v>
      </c>
      <c r="AR16" s="228">
        <f t="shared" si="25"/>
        <v>0</v>
      </c>
      <c r="AS16" s="228">
        <f t="shared" si="26"/>
        <v>0</v>
      </c>
      <c r="AT16" s="228">
        <f t="shared" si="27"/>
        <v>0</v>
      </c>
      <c r="AU16" s="228">
        <f t="shared" si="28"/>
        <v>0</v>
      </c>
      <c r="AV16" s="261">
        <f t="shared" si="29"/>
        <v>0</v>
      </c>
      <c r="AW16" s="228">
        <f t="shared" si="30"/>
        <v>0</v>
      </c>
      <c r="AX16" s="228">
        <f t="shared" si="31"/>
        <v>0</v>
      </c>
      <c r="AY16" s="228">
        <f t="shared" si="32"/>
        <v>0</v>
      </c>
      <c r="AZ16" s="228">
        <f t="shared" si="33"/>
        <v>0</v>
      </c>
      <c r="BA16" s="228">
        <f t="shared" si="34"/>
        <v>0</v>
      </c>
      <c r="BB16" s="228">
        <f t="shared" si="35"/>
        <v>0</v>
      </c>
      <c r="BC16" s="261">
        <f t="shared" si="10"/>
        <v>0</v>
      </c>
      <c r="BD16" s="239">
        <f t="shared" si="11"/>
        <v>0</v>
      </c>
      <c r="BE16" s="243"/>
    </row>
    <row r="17" spans="1:202" ht="12.75">
      <c r="A17" s="186">
        <v>12</v>
      </c>
      <c r="B17" s="173" t="s">
        <v>289</v>
      </c>
      <c r="C17" s="218"/>
      <c r="D17" s="141"/>
      <c r="E17" s="178"/>
      <c r="F17" s="147"/>
      <c r="G17" s="177">
        <f t="shared" si="12"/>
        <v>0</v>
      </c>
      <c r="H17" s="178"/>
      <c r="I17" s="147"/>
      <c r="J17" s="177">
        <f t="shared" si="13"/>
        <v>0</v>
      </c>
      <c r="K17" s="252"/>
      <c r="L17" s="252"/>
      <c r="M17" s="252"/>
      <c r="N17" s="287">
        <f t="shared" si="14"/>
        <v>0</v>
      </c>
      <c r="O17" s="273"/>
      <c r="P17" s="273"/>
      <c r="Q17" s="290"/>
      <c r="R17" s="287">
        <f t="shared" si="15"/>
        <v>0</v>
      </c>
      <c r="S17" s="290"/>
      <c r="T17" s="273"/>
      <c r="U17" s="273"/>
      <c r="V17" s="273"/>
      <c r="W17" s="290"/>
      <c r="X17" s="264"/>
      <c r="Y17" s="287">
        <f t="shared" si="36"/>
        <v>0</v>
      </c>
      <c r="Z17" s="273"/>
      <c r="AA17" s="273"/>
      <c r="AB17" s="273"/>
      <c r="AC17" s="273"/>
      <c r="AD17" s="273"/>
      <c r="AE17" s="273"/>
      <c r="AF17" s="287">
        <f t="shared" si="37"/>
        <v>0</v>
      </c>
      <c r="AG17" s="283">
        <f t="shared" si="6"/>
        <v>0</v>
      </c>
      <c r="AH17" s="228">
        <f t="shared" si="16"/>
        <v>0</v>
      </c>
      <c r="AI17" s="228">
        <f t="shared" si="17"/>
        <v>0</v>
      </c>
      <c r="AJ17" s="228">
        <f t="shared" si="18"/>
        <v>0</v>
      </c>
      <c r="AK17" s="261">
        <f t="shared" si="19"/>
        <v>0</v>
      </c>
      <c r="AL17" s="228">
        <f t="shared" si="20"/>
        <v>0</v>
      </c>
      <c r="AM17" s="228">
        <f t="shared" si="21"/>
        <v>0</v>
      </c>
      <c r="AN17" s="228">
        <f t="shared" si="22"/>
        <v>0</v>
      </c>
      <c r="AO17" s="261">
        <f t="shared" si="38"/>
        <v>0</v>
      </c>
      <c r="AP17" s="228">
        <f t="shared" si="23"/>
        <v>0</v>
      </c>
      <c r="AQ17" s="228">
        <f t="shared" si="24"/>
        <v>0</v>
      </c>
      <c r="AR17" s="228">
        <f t="shared" si="25"/>
        <v>0</v>
      </c>
      <c r="AS17" s="228">
        <f t="shared" si="26"/>
        <v>0</v>
      </c>
      <c r="AT17" s="228">
        <f t="shared" si="27"/>
        <v>0</v>
      </c>
      <c r="AU17" s="228">
        <f t="shared" si="28"/>
        <v>0</v>
      </c>
      <c r="AV17" s="261">
        <f t="shared" si="29"/>
        <v>0</v>
      </c>
      <c r="AW17" s="228">
        <f t="shared" si="30"/>
        <v>0</v>
      </c>
      <c r="AX17" s="228">
        <f t="shared" si="31"/>
        <v>0</v>
      </c>
      <c r="AY17" s="228">
        <f t="shared" si="32"/>
        <v>0</v>
      </c>
      <c r="AZ17" s="228">
        <f t="shared" si="33"/>
        <v>0</v>
      </c>
      <c r="BA17" s="228">
        <f t="shared" si="34"/>
        <v>0</v>
      </c>
      <c r="BB17" s="228">
        <f t="shared" si="35"/>
        <v>0</v>
      </c>
      <c r="BC17" s="261">
        <f t="shared" si="10"/>
        <v>0</v>
      </c>
      <c r="BD17" s="239">
        <f t="shared" si="11"/>
        <v>0</v>
      </c>
      <c r="BE17" s="243"/>
    </row>
    <row r="18" spans="1:202" ht="12.75">
      <c r="A18" s="186">
        <v>13</v>
      </c>
      <c r="B18" s="173" t="s">
        <v>290</v>
      </c>
      <c r="C18" s="218"/>
      <c r="D18" s="141"/>
      <c r="E18" s="178"/>
      <c r="F18" s="147"/>
      <c r="G18" s="177">
        <f t="shared" si="12"/>
        <v>0</v>
      </c>
      <c r="H18" s="178"/>
      <c r="I18" s="147"/>
      <c r="J18" s="177">
        <f t="shared" si="13"/>
        <v>0</v>
      </c>
      <c r="K18" s="252"/>
      <c r="L18" s="252"/>
      <c r="M18" s="252"/>
      <c r="N18" s="287">
        <f t="shared" si="14"/>
        <v>0</v>
      </c>
      <c r="O18" s="273"/>
      <c r="P18" s="273"/>
      <c r="Q18" s="290"/>
      <c r="R18" s="287">
        <f t="shared" si="15"/>
        <v>0</v>
      </c>
      <c r="S18" s="290"/>
      <c r="T18" s="273"/>
      <c r="U18" s="273"/>
      <c r="V18" s="273"/>
      <c r="W18" s="290"/>
      <c r="X18" s="264"/>
      <c r="Y18" s="287">
        <f t="shared" si="36"/>
        <v>0</v>
      </c>
      <c r="Z18" s="273"/>
      <c r="AA18" s="273"/>
      <c r="AB18" s="273"/>
      <c r="AC18" s="273"/>
      <c r="AD18" s="273"/>
      <c r="AE18" s="273"/>
      <c r="AF18" s="287">
        <f t="shared" si="37"/>
        <v>0</v>
      </c>
      <c r="AG18" s="283">
        <f t="shared" si="6"/>
        <v>0</v>
      </c>
      <c r="AH18" s="228">
        <f t="shared" si="16"/>
        <v>0</v>
      </c>
      <c r="AI18" s="228">
        <f t="shared" si="17"/>
        <v>0</v>
      </c>
      <c r="AJ18" s="228">
        <f t="shared" si="18"/>
        <v>0</v>
      </c>
      <c r="AK18" s="261">
        <f t="shared" si="19"/>
        <v>0</v>
      </c>
      <c r="AL18" s="228">
        <f t="shared" si="20"/>
        <v>0</v>
      </c>
      <c r="AM18" s="228">
        <f t="shared" si="21"/>
        <v>0</v>
      </c>
      <c r="AN18" s="228">
        <f t="shared" si="22"/>
        <v>0</v>
      </c>
      <c r="AO18" s="261">
        <f t="shared" si="38"/>
        <v>0</v>
      </c>
      <c r="AP18" s="228">
        <f t="shared" si="23"/>
        <v>0</v>
      </c>
      <c r="AQ18" s="228">
        <f t="shared" si="24"/>
        <v>0</v>
      </c>
      <c r="AR18" s="228">
        <f t="shared" si="25"/>
        <v>0</v>
      </c>
      <c r="AS18" s="228">
        <f t="shared" si="26"/>
        <v>0</v>
      </c>
      <c r="AT18" s="228">
        <f t="shared" si="27"/>
        <v>0</v>
      </c>
      <c r="AU18" s="228">
        <f t="shared" si="28"/>
        <v>0</v>
      </c>
      <c r="AV18" s="261">
        <f t="shared" si="29"/>
        <v>0</v>
      </c>
      <c r="AW18" s="228">
        <f t="shared" si="30"/>
        <v>0</v>
      </c>
      <c r="AX18" s="228">
        <f t="shared" si="31"/>
        <v>0</v>
      </c>
      <c r="AY18" s="228">
        <f t="shared" si="32"/>
        <v>0</v>
      </c>
      <c r="AZ18" s="228">
        <f t="shared" si="33"/>
        <v>0</v>
      </c>
      <c r="BA18" s="228">
        <f t="shared" si="34"/>
        <v>0</v>
      </c>
      <c r="BB18" s="228">
        <f t="shared" si="35"/>
        <v>0</v>
      </c>
      <c r="BC18" s="261">
        <f t="shared" si="10"/>
        <v>0</v>
      </c>
      <c r="BD18" s="239">
        <f t="shared" si="11"/>
        <v>0</v>
      </c>
      <c r="BE18" s="243"/>
    </row>
    <row r="19" spans="1:202" ht="12.75">
      <c r="A19" s="186">
        <v>13</v>
      </c>
      <c r="B19" s="173" t="s">
        <v>291</v>
      </c>
      <c r="C19" s="218"/>
      <c r="D19" s="141"/>
      <c r="E19" s="178"/>
      <c r="F19" s="147"/>
      <c r="G19" s="177">
        <f t="shared" si="12"/>
        <v>0</v>
      </c>
      <c r="H19" s="178"/>
      <c r="I19" s="147"/>
      <c r="J19" s="177">
        <f t="shared" si="13"/>
        <v>0</v>
      </c>
      <c r="K19" s="252"/>
      <c r="L19" s="252"/>
      <c r="M19" s="252"/>
      <c r="N19" s="287">
        <f t="shared" si="14"/>
        <v>0</v>
      </c>
      <c r="O19" s="273"/>
      <c r="P19" s="273"/>
      <c r="Q19" s="290"/>
      <c r="R19" s="287">
        <f t="shared" si="15"/>
        <v>0</v>
      </c>
      <c r="S19" s="290"/>
      <c r="T19" s="273"/>
      <c r="U19" s="273"/>
      <c r="V19" s="273"/>
      <c r="W19" s="290"/>
      <c r="X19" s="264"/>
      <c r="Y19" s="287">
        <f t="shared" si="36"/>
        <v>0</v>
      </c>
      <c r="Z19" s="273"/>
      <c r="AA19" s="273"/>
      <c r="AB19" s="273"/>
      <c r="AC19" s="273"/>
      <c r="AD19" s="273"/>
      <c r="AE19" s="273"/>
      <c r="AF19" s="287">
        <f>SUM(Z19:AE19)</f>
        <v>0</v>
      </c>
      <c r="AG19" s="283">
        <f t="shared" si="6"/>
        <v>0</v>
      </c>
      <c r="AH19" s="228">
        <f t="shared" si="16"/>
        <v>0</v>
      </c>
      <c r="AI19" s="228">
        <f t="shared" si="17"/>
        <v>0</v>
      </c>
      <c r="AJ19" s="228">
        <f t="shared" si="18"/>
        <v>0</v>
      </c>
      <c r="AK19" s="261">
        <f t="shared" si="19"/>
        <v>0</v>
      </c>
      <c r="AL19" s="228">
        <f t="shared" si="20"/>
        <v>0</v>
      </c>
      <c r="AM19" s="228">
        <f t="shared" si="21"/>
        <v>0</v>
      </c>
      <c r="AN19" s="228">
        <f t="shared" si="22"/>
        <v>0</v>
      </c>
      <c r="AO19" s="261">
        <f t="shared" si="38"/>
        <v>0</v>
      </c>
      <c r="AP19" s="228">
        <f t="shared" si="23"/>
        <v>0</v>
      </c>
      <c r="AQ19" s="228">
        <f t="shared" si="24"/>
        <v>0</v>
      </c>
      <c r="AR19" s="228">
        <f t="shared" si="25"/>
        <v>0</v>
      </c>
      <c r="AS19" s="228">
        <f t="shared" si="26"/>
        <v>0</v>
      </c>
      <c r="AT19" s="228">
        <f t="shared" si="27"/>
        <v>0</v>
      </c>
      <c r="AU19" s="228">
        <f t="shared" si="28"/>
        <v>0</v>
      </c>
      <c r="AV19" s="261">
        <f t="shared" si="29"/>
        <v>0</v>
      </c>
      <c r="AW19" s="228">
        <f t="shared" si="30"/>
        <v>0</v>
      </c>
      <c r="AX19" s="228">
        <f t="shared" si="31"/>
        <v>0</v>
      </c>
      <c r="AY19" s="228">
        <f t="shared" si="32"/>
        <v>0</v>
      </c>
      <c r="AZ19" s="228">
        <f t="shared" si="33"/>
        <v>0</v>
      </c>
      <c r="BA19" s="228">
        <f t="shared" si="34"/>
        <v>0</v>
      </c>
      <c r="BB19" s="228">
        <f t="shared" si="35"/>
        <v>0</v>
      </c>
      <c r="BC19" s="261">
        <f t="shared" si="10"/>
        <v>0</v>
      </c>
      <c r="BD19" s="239">
        <f t="shared" si="11"/>
        <v>0</v>
      </c>
      <c r="BE19" s="243"/>
    </row>
    <row r="20" spans="1:202" ht="12.75">
      <c r="A20" s="186">
        <v>13</v>
      </c>
      <c r="B20" s="173" t="s">
        <v>292</v>
      </c>
      <c r="C20" s="218"/>
      <c r="D20" s="141"/>
      <c r="E20" s="178"/>
      <c r="F20" s="147"/>
      <c r="G20" s="177">
        <f t="shared" si="12"/>
        <v>0</v>
      </c>
      <c r="H20" s="178"/>
      <c r="I20" s="147"/>
      <c r="J20" s="177">
        <f t="shared" si="13"/>
        <v>0</v>
      </c>
      <c r="K20" s="252"/>
      <c r="L20" s="252"/>
      <c r="M20" s="252"/>
      <c r="N20" s="287">
        <f t="shared" si="14"/>
        <v>0</v>
      </c>
      <c r="O20" s="273"/>
      <c r="P20" s="273"/>
      <c r="Q20" s="290"/>
      <c r="R20" s="287">
        <f t="shared" si="15"/>
        <v>0</v>
      </c>
      <c r="S20" s="290"/>
      <c r="T20" s="290"/>
      <c r="U20" s="273"/>
      <c r="V20" s="273"/>
      <c r="W20" s="290"/>
      <c r="X20" s="264"/>
      <c r="Y20" s="287">
        <f t="shared" si="36"/>
        <v>0</v>
      </c>
      <c r="Z20" s="273"/>
      <c r="AA20" s="273"/>
      <c r="AB20" s="273"/>
      <c r="AC20" s="273"/>
      <c r="AD20" s="273"/>
      <c r="AE20" s="273"/>
      <c r="AF20" s="287">
        <f t="shared" si="37"/>
        <v>0</v>
      </c>
      <c r="AG20" s="283">
        <f t="shared" si="6"/>
        <v>0</v>
      </c>
      <c r="AH20" s="228">
        <f t="shared" si="16"/>
        <v>0</v>
      </c>
      <c r="AI20" s="228">
        <f t="shared" si="17"/>
        <v>0</v>
      </c>
      <c r="AJ20" s="228">
        <f t="shared" si="18"/>
        <v>0</v>
      </c>
      <c r="AK20" s="261">
        <f t="shared" si="19"/>
        <v>0</v>
      </c>
      <c r="AL20" s="228">
        <f t="shared" si="20"/>
        <v>0</v>
      </c>
      <c r="AM20" s="228">
        <f t="shared" si="21"/>
        <v>0</v>
      </c>
      <c r="AN20" s="228">
        <f t="shared" si="22"/>
        <v>0</v>
      </c>
      <c r="AO20" s="261">
        <f t="shared" si="38"/>
        <v>0</v>
      </c>
      <c r="AP20" s="228">
        <f t="shared" si="23"/>
        <v>0</v>
      </c>
      <c r="AQ20" s="228">
        <f t="shared" si="24"/>
        <v>0</v>
      </c>
      <c r="AR20" s="228">
        <f t="shared" si="25"/>
        <v>0</v>
      </c>
      <c r="AS20" s="228">
        <f t="shared" si="26"/>
        <v>0</v>
      </c>
      <c r="AT20" s="228">
        <f t="shared" si="27"/>
        <v>0</v>
      </c>
      <c r="AU20" s="228">
        <f t="shared" si="28"/>
        <v>0</v>
      </c>
      <c r="AV20" s="261">
        <f t="shared" si="29"/>
        <v>0</v>
      </c>
      <c r="AW20" s="228">
        <f t="shared" si="30"/>
        <v>0</v>
      </c>
      <c r="AX20" s="228">
        <f t="shared" si="31"/>
        <v>0</v>
      </c>
      <c r="AY20" s="228">
        <f t="shared" si="32"/>
        <v>0</v>
      </c>
      <c r="AZ20" s="228">
        <f t="shared" si="33"/>
        <v>0</v>
      </c>
      <c r="BA20" s="228">
        <f t="shared" si="34"/>
        <v>0</v>
      </c>
      <c r="BB20" s="228">
        <f t="shared" si="35"/>
        <v>0</v>
      </c>
      <c r="BC20" s="261">
        <f t="shared" si="10"/>
        <v>0</v>
      </c>
      <c r="BD20" s="239">
        <f t="shared" si="11"/>
        <v>0</v>
      </c>
      <c r="BE20" s="243"/>
    </row>
    <row r="21" spans="1:202" ht="12.75">
      <c r="A21" s="186">
        <v>13</v>
      </c>
      <c r="B21" s="173" t="s">
        <v>191</v>
      </c>
      <c r="C21" s="218"/>
      <c r="D21" s="141"/>
      <c r="E21" s="178"/>
      <c r="F21" s="147"/>
      <c r="G21" s="177">
        <f t="shared" si="12"/>
        <v>0</v>
      </c>
      <c r="H21" s="178"/>
      <c r="I21" s="147"/>
      <c r="J21" s="177">
        <f t="shared" si="13"/>
        <v>0</v>
      </c>
      <c r="K21" s="252"/>
      <c r="L21" s="252"/>
      <c r="M21" s="252"/>
      <c r="N21" s="287">
        <f t="shared" si="14"/>
        <v>0</v>
      </c>
      <c r="O21" s="273"/>
      <c r="P21" s="273"/>
      <c r="Q21" s="290"/>
      <c r="R21" s="287">
        <f t="shared" si="15"/>
        <v>0</v>
      </c>
      <c r="S21" s="290"/>
      <c r="T21" s="290"/>
      <c r="U21" s="273"/>
      <c r="V21" s="273"/>
      <c r="W21" s="290"/>
      <c r="X21" s="264"/>
      <c r="Y21" s="287">
        <f t="shared" si="36"/>
        <v>0</v>
      </c>
      <c r="Z21" s="273"/>
      <c r="AA21" s="273"/>
      <c r="AB21" s="273"/>
      <c r="AC21" s="273"/>
      <c r="AD21" s="273"/>
      <c r="AE21" s="273"/>
      <c r="AF21" s="287">
        <f t="shared" si="37"/>
        <v>0</v>
      </c>
      <c r="AG21" s="283">
        <f t="shared" si="6"/>
        <v>0</v>
      </c>
      <c r="AH21" s="228">
        <f t="shared" si="16"/>
        <v>0</v>
      </c>
      <c r="AI21" s="228">
        <f t="shared" si="17"/>
        <v>0</v>
      </c>
      <c r="AJ21" s="228">
        <f t="shared" si="18"/>
        <v>0</v>
      </c>
      <c r="AK21" s="261">
        <f t="shared" si="19"/>
        <v>0</v>
      </c>
      <c r="AL21" s="228">
        <f t="shared" si="20"/>
        <v>0</v>
      </c>
      <c r="AM21" s="228">
        <f t="shared" si="21"/>
        <v>0</v>
      </c>
      <c r="AN21" s="228">
        <f t="shared" si="22"/>
        <v>0</v>
      </c>
      <c r="AO21" s="261">
        <f t="shared" si="38"/>
        <v>0</v>
      </c>
      <c r="AP21" s="228">
        <f t="shared" si="23"/>
        <v>0</v>
      </c>
      <c r="AQ21" s="228">
        <f t="shared" si="24"/>
        <v>0</v>
      </c>
      <c r="AR21" s="228">
        <f t="shared" si="25"/>
        <v>0</v>
      </c>
      <c r="AS21" s="228">
        <f t="shared" si="26"/>
        <v>0</v>
      </c>
      <c r="AT21" s="228">
        <f t="shared" si="27"/>
        <v>0</v>
      </c>
      <c r="AU21" s="228">
        <f t="shared" si="28"/>
        <v>0</v>
      </c>
      <c r="AV21" s="261">
        <f t="shared" si="29"/>
        <v>0</v>
      </c>
      <c r="AW21" s="228">
        <f t="shared" si="30"/>
        <v>0</v>
      </c>
      <c r="AX21" s="228">
        <f t="shared" si="31"/>
        <v>0</v>
      </c>
      <c r="AY21" s="228">
        <f t="shared" si="32"/>
        <v>0</v>
      </c>
      <c r="AZ21" s="228">
        <f t="shared" si="33"/>
        <v>0</v>
      </c>
      <c r="BA21" s="228">
        <f t="shared" si="34"/>
        <v>0</v>
      </c>
      <c r="BB21" s="228">
        <f t="shared" si="35"/>
        <v>0</v>
      </c>
      <c r="BC21" s="261">
        <f t="shared" si="10"/>
        <v>0</v>
      </c>
      <c r="BD21" s="239">
        <f t="shared" si="11"/>
        <v>0</v>
      </c>
      <c r="BE21" s="243"/>
    </row>
    <row r="22" spans="1:202" ht="12.75">
      <c r="A22" s="186">
        <v>13</v>
      </c>
      <c r="B22" s="173" t="s">
        <v>293</v>
      </c>
      <c r="C22" s="218"/>
      <c r="D22" s="141"/>
      <c r="E22" s="178"/>
      <c r="F22" s="147"/>
      <c r="G22" s="177">
        <f t="shared" si="12"/>
        <v>0</v>
      </c>
      <c r="H22" s="178"/>
      <c r="I22" s="147"/>
      <c r="J22" s="177">
        <f t="shared" si="13"/>
        <v>0</v>
      </c>
      <c r="K22" s="252"/>
      <c r="L22" s="252"/>
      <c r="M22" s="252"/>
      <c r="N22" s="287">
        <f t="shared" si="14"/>
        <v>0</v>
      </c>
      <c r="O22" s="273"/>
      <c r="P22" s="273"/>
      <c r="Q22" s="290"/>
      <c r="R22" s="287">
        <f t="shared" si="15"/>
        <v>0</v>
      </c>
      <c r="S22" s="290"/>
      <c r="T22" s="290"/>
      <c r="U22" s="273"/>
      <c r="V22" s="273"/>
      <c r="W22" s="290"/>
      <c r="X22" s="264"/>
      <c r="Y22" s="287">
        <f t="shared" si="36"/>
        <v>0</v>
      </c>
      <c r="Z22" s="273"/>
      <c r="AA22" s="273"/>
      <c r="AB22" s="273"/>
      <c r="AC22" s="273"/>
      <c r="AD22" s="273"/>
      <c r="AE22" s="273"/>
      <c r="AF22" s="287">
        <f t="shared" si="37"/>
        <v>0</v>
      </c>
      <c r="AG22" s="283">
        <f t="shared" si="6"/>
        <v>0</v>
      </c>
      <c r="AH22" s="228">
        <f t="shared" si="16"/>
        <v>0</v>
      </c>
      <c r="AI22" s="228">
        <f t="shared" si="17"/>
        <v>0</v>
      </c>
      <c r="AJ22" s="228">
        <f t="shared" si="18"/>
        <v>0</v>
      </c>
      <c r="AK22" s="261">
        <f t="shared" si="19"/>
        <v>0</v>
      </c>
      <c r="AL22" s="228">
        <f t="shared" si="20"/>
        <v>0</v>
      </c>
      <c r="AM22" s="228">
        <f t="shared" si="21"/>
        <v>0</v>
      </c>
      <c r="AN22" s="228">
        <f t="shared" si="22"/>
        <v>0</v>
      </c>
      <c r="AO22" s="261">
        <f t="shared" si="38"/>
        <v>0</v>
      </c>
      <c r="AP22" s="228">
        <f t="shared" si="23"/>
        <v>0</v>
      </c>
      <c r="AQ22" s="228">
        <f t="shared" si="24"/>
        <v>0</v>
      </c>
      <c r="AR22" s="228">
        <f t="shared" si="25"/>
        <v>0</v>
      </c>
      <c r="AS22" s="228">
        <f t="shared" si="26"/>
        <v>0</v>
      </c>
      <c r="AT22" s="228">
        <f t="shared" si="27"/>
        <v>0</v>
      </c>
      <c r="AU22" s="228">
        <f t="shared" si="28"/>
        <v>0</v>
      </c>
      <c r="AV22" s="261">
        <f t="shared" si="29"/>
        <v>0</v>
      </c>
      <c r="AW22" s="228">
        <f t="shared" si="30"/>
        <v>0</v>
      </c>
      <c r="AX22" s="228">
        <f t="shared" si="31"/>
        <v>0</v>
      </c>
      <c r="AY22" s="228">
        <f t="shared" si="32"/>
        <v>0</v>
      </c>
      <c r="AZ22" s="228">
        <f t="shared" si="33"/>
        <v>0</v>
      </c>
      <c r="BA22" s="228">
        <f t="shared" si="34"/>
        <v>0</v>
      </c>
      <c r="BB22" s="228">
        <f t="shared" si="35"/>
        <v>0</v>
      </c>
      <c r="BC22" s="261">
        <f t="shared" si="10"/>
        <v>0</v>
      </c>
      <c r="BD22" s="239">
        <f t="shared" si="11"/>
        <v>0</v>
      </c>
      <c r="BE22" s="243"/>
    </row>
    <row r="23" spans="1:202" s="83" customFormat="1" ht="25.5" customHeight="1">
      <c r="A23" s="193" t="s">
        <v>235</v>
      </c>
      <c r="B23" s="182" t="s">
        <v>502</v>
      </c>
      <c r="C23" s="221" t="s">
        <v>503</v>
      </c>
      <c r="D23" s="73">
        <v>2901125778</v>
      </c>
      <c r="E23" s="82"/>
      <c r="F23" s="82"/>
      <c r="G23" s="177"/>
      <c r="H23" s="82"/>
      <c r="I23" s="82"/>
      <c r="J23" s="177"/>
      <c r="K23" s="254">
        <f>K24</f>
        <v>21.957000000000001</v>
      </c>
      <c r="L23" s="254">
        <f>L24</f>
        <v>16.260999999999999</v>
      </c>
      <c r="M23" s="254">
        <f>M24</f>
        <v>0</v>
      </c>
      <c r="N23" s="284">
        <f t="shared" si="14"/>
        <v>38.218000000000004</v>
      </c>
      <c r="O23" s="275">
        <f>O24</f>
        <v>0</v>
      </c>
      <c r="P23" s="275">
        <f>P24</f>
        <v>0</v>
      </c>
      <c r="Q23" s="275">
        <f>Q24</f>
        <v>0</v>
      </c>
      <c r="R23" s="284">
        <f>O23+P23+Q23</f>
        <v>0</v>
      </c>
      <c r="S23" s="292">
        <f t="shared" ref="S23:X23" si="39">S24</f>
        <v>0</v>
      </c>
      <c r="T23" s="292">
        <f t="shared" si="39"/>
        <v>0</v>
      </c>
      <c r="U23" s="292">
        <f t="shared" si="39"/>
        <v>0</v>
      </c>
      <c r="V23" s="292">
        <f t="shared" si="39"/>
        <v>0</v>
      </c>
      <c r="W23" s="292">
        <f t="shared" si="39"/>
        <v>0</v>
      </c>
      <c r="X23" s="292">
        <f t="shared" si="39"/>
        <v>0</v>
      </c>
      <c r="Y23" s="262">
        <f>SUM(S23:X23)</f>
        <v>0</v>
      </c>
      <c r="Z23" s="275">
        <f t="shared" ref="Z23:AE23" si="40">Z24</f>
        <v>0</v>
      </c>
      <c r="AA23" s="275">
        <f t="shared" si="40"/>
        <v>0</v>
      </c>
      <c r="AB23" s="275">
        <f t="shared" si="40"/>
        <v>0</v>
      </c>
      <c r="AC23" s="275">
        <f t="shared" si="40"/>
        <v>0</v>
      </c>
      <c r="AD23" s="275">
        <f t="shared" si="40"/>
        <v>0</v>
      </c>
      <c r="AE23" s="275">
        <f t="shared" si="40"/>
        <v>0</v>
      </c>
      <c r="AF23" s="284">
        <f>SUM(Z23:AE23)</f>
        <v>0</v>
      </c>
      <c r="AG23" s="282">
        <f t="shared" si="6"/>
        <v>38.218000000000004</v>
      </c>
      <c r="AH23" s="250">
        <f>AH24</f>
        <v>91893.997260000004</v>
      </c>
      <c r="AI23" s="250">
        <f>AI24</f>
        <v>68055.211980000007</v>
      </c>
      <c r="AJ23" s="250">
        <f>AJ24</f>
        <v>0</v>
      </c>
      <c r="AK23" s="260">
        <f>AH23+AI23+AJ23</f>
        <v>159949.20924</v>
      </c>
      <c r="AL23" s="232">
        <f>AL24</f>
        <v>0</v>
      </c>
      <c r="AM23" s="232">
        <f>AM24</f>
        <v>0</v>
      </c>
      <c r="AN23" s="232">
        <f>AN24</f>
        <v>0</v>
      </c>
      <c r="AO23" s="260">
        <f>SUM(AL23:AN23)</f>
        <v>0</v>
      </c>
      <c r="AP23" s="232">
        <f t="shared" ref="AP23:AU23" si="41">AP24</f>
        <v>0</v>
      </c>
      <c r="AQ23" s="232">
        <f t="shared" si="41"/>
        <v>0</v>
      </c>
      <c r="AR23" s="232">
        <f t="shared" si="41"/>
        <v>0</v>
      </c>
      <c r="AS23" s="232">
        <f t="shared" si="41"/>
        <v>0</v>
      </c>
      <c r="AT23" s="232">
        <f t="shared" si="41"/>
        <v>0</v>
      </c>
      <c r="AU23" s="232">
        <f t="shared" si="41"/>
        <v>0</v>
      </c>
      <c r="AV23" s="260">
        <f>SUM(AP23:AU23)</f>
        <v>0</v>
      </c>
      <c r="AW23" s="232">
        <f t="shared" ref="AW23:BB23" si="42">AW24</f>
        <v>0</v>
      </c>
      <c r="AX23" s="232">
        <f t="shared" si="42"/>
        <v>0</v>
      </c>
      <c r="AY23" s="232">
        <f t="shared" si="42"/>
        <v>0</v>
      </c>
      <c r="AZ23" s="232">
        <f t="shared" si="42"/>
        <v>0</v>
      </c>
      <c r="BA23" s="232">
        <f t="shared" si="42"/>
        <v>0</v>
      </c>
      <c r="BB23" s="232">
        <f t="shared" si="42"/>
        <v>0</v>
      </c>
      <c r="BC23" s="260">
        <f t="shared" ref="BC23:BC44" si="43">SUM(AW23:BB23)</f>
        <v>0</v>
      </c>
      <c r="BD23" s="238">
        <f t="shared" si="11"/>
        <v>159949.20924</v>
      </c>
      <c r="BE23" s="13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  <c r="CO23" s="244"/>
      <c r="CP23" s="244"/>
      <c r="CQ23" s="244"/>
      <c r="CR23" s="244"/>
      <c r="CS23" s="244"/>
      <c r="CT23" s="244"/>
      <c r="CU23" s="244"/>
      <c r="CV23" s="244"/>
      <c r="CW23" s="244"/>
      <c r="CX23" s="244"/>
      <c r="CY23" s="244"/>
      <c r="CZ23" s="244"/>
      <c r="DA23" s="244"/>
      <c r="DB23" s="244"/>
      <c r="DC23" s="244"/>
      <c r="DD23" s="244"/>
      <c r="DE23" s="244"/>
      <c r="DF23" s="244"/>
      <c r="DG23" s="244"/>
      <c r="DH23" s="244"/>
      <c r="DI23" s="244"/>
      <c r="DJ23" s="244"/>
      <c r="DK23" s="244"/>
      <c r="DL23" s="244"/>
      <c r="DM23" s="244"/>
      <c r="DN23" s="244"/>
      <c r="DO23" s="244"/>
      <c r="DP23" s="244"/>
      <c r="DQ23" s="244"/>
      <c r="DR23" s="244"/>
      <c r="DS23" s="244"/>
      <c r="DT23" s="244"/>
      <c r="DU23" s="244"/>
      <c r="DV23" s="244"/>
      <c r="DW23" s="244"/>
      <c r="DX23" s="244"/>
      <c r="DY23" s="244"/>
      <c r="DZ23" s="244"/>
      <c r="EA23" s="244"/>
      <c r="EB23" s="244"/>
      <c r="EC23" s="244"/>
      <c r="ED23" s="244"/>
      <c r="EE23" s="244"/>
      <c r="EF23" s="244"/>
      <c r="EG23" s="244"/>
      <c r="EH23" s="244"/>
      <c r="EI23" s="244"/>
      <c r="EJ23" s="244"/>
      <c r="EK23" s="244"/>
      <c r="EL23" s="244"/>
      <c r="EM23" s="244"/>
      <c r="EN23" s="244"/>
      <c r="EO23" s="244"/>
      <c r="EP23" s="244"/>
      <c r="EQ23" s="244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4"/>
      <c r="FJ23" s="244"/>
      <c r="FK23" s="244"/>
      <c r="FL23" s="244"/>
      <c r="FM23" s="244"/>
      <c r="FN23" s="244"/>
      <c r="FO23" s="244"/>
      <c r="FP23" s="244"/>
      <c r="FQ23" s="244"/>
      <c r="FR23" s="244"/>
      <c r="FS23" s="244"/>
      <c r="FT23" s="244"/>
      <c r="FU23" s="244"/>
      <c r="FV23" s="244"/>
      <c r="FW23" s="244"/>
      <c r="FX23" s="244"/>
      <c r="FY23" s="244"/>
      <c r="FZ23" s="244"/>
      <c r="GA23" s="244"/>
      <c r="GB23" s="244"/>
      <c r="GC23" s="244"/>
      <c r="GD23" s="244"/>
      <c r="GE23" s="244"/>
      <c r="GF23" s="244"/>
      <c r="GG23" s="244"/>
      <c r="GH23" s="244"/>
      <c r="GI23" s="244"/>
      <c r="GJ23" s="244"/>
      <c r="GK23" s="244"/>
      <c r="GL23" s="244"/>
      <c r="GM23" s="244"/>
      <c r="GN23" s="244"/>
      <c r="GO23" s="244"/>
      <c r="GP23" s="244"/>
      <c r="GQ23" s="244"/>
      <c r="GR23" s="244"/>
      <c r="GS23" s="244"/>
      <c r="GT23" s="244"/>
    </row>
    <row r="24" spans="1:202" ht="12.75">
      <c r="A24" s="186"/>
      <c r="B24" s="173"/>
      <c r="C24" s="218"/>
      <c r="D24" s="141"/>
      <c r="E24" s="178">
        <v>6165.18</v>
      </c>
      <c r="F24" s="147">
        <v>1980</v>
      </c>
      <c r="G24" s="177">
        <f t="shared" si="12"/>
        <v>4185.18</v>
      </c>
      <c r="H24" s="178">
        <v>6165.18</v>
      </c>
      <c r="I24" s="147">
        <v>1980</v>
      </c>
      <c r="J24" s="177">
        <f>H24-I24</f>
        <v>4185.18</v>
      </c>
      <c r="K24" s="252">
        <v>21.957000000000001</v>
      </c>
      <c r="L24" s="252">
        <v>16.260999999999999</v>
      </c>
      <c r="M24" s="252"/>
      <c r="N24" s="287">
        <f t="shared" si="14"/>
        <v>38.218000000000004</v>
      </c>
      <c r="O24" s="273"/>
      <c r="P24" s="273"/>
      <c r="Q24" s="290"/>
      <c r="R24" s="287"/>
      <c r="S24" s="290"/>
      <c r="T24" s="290"/>
      <c r="U24" s="273"/>
      <c r="V24" s="273"/>
      <c r="W24" s="290"/>
      <c r="X24" s="264"/>
      <c r="Y24" s="287"/>
      <c r="Z24" s="273"/>
      <c r="AA24" s="273"/>
      <c r="AB24" s="273"/>
      <c r="AC24" s="273"/>
      <c r="AD24" s="273"/>
      <c r="AE24" s="273"/>
      <c r="AF24" s="287">
        <f>SUM(Z24:AE24)</f>
        <v>0</v>
      </c>
      <c r="AG24" s="283">
        <f t="shared" si="6"/>
        <v>38.218000000000004</v>
      </c>
      <c r="AH24" s="249">
        <f>K24*$G24</f>
        <v>91893.997260000004</v>
      </c>
      <c r="AI24" s="249">
        <f>L24*$G24</f>
        <v>68055.211980000007</v>
      </c>
      <c r="AJ24" s="249">
        <f>M24*$G24</f>
        <v>0</v>
      </c>
      <c r="AK24" s="261">
        <f>AH24+AI24+AJ24</f>
        <v>159949.20924</v>
      </c>
      <c r="AL24" s="228">
        <f>O24*$G24</f>
        <v>0</v>
      </c>
      <c r="AM24" s="228">
        <f>P24*$G24</f>
        <v>0</v>
      </c>
      <c r="AN24" s="228">
        <f>Q24*$G24</f>
        <v>0</v>
      </c>
      <c r="AO24" s="261">
        <f>SUM(AL24:AN24)</f>
        <v>0</v>
      </c>
      <c r="AP24" s="228">
        <f t="shared" ref="AP24:AU24" si="44">S24*$J24</f>
        <v>0</v>
      </c>
      <c r="AQ24" s="228">
        <f t="shared" si="44"/>
        <v>0</v>
      </c>
      <c r="AR24" s="228">
        <f t="shared" si="44"/>
        <v>0</v>
      </c>
      <c r="AS24" s="228">
        <f t="shared" si="44"/>
        <v>0</v>
      </c>
      <c r="AT24" s="228">
        <f t="shared" si="44"/>
        <v>0</v>
      </c>
      <c r="AU24" s="228">
        <f t="shared" si="44"/>
        <v>0</v>
      </c>
      <c r="AV24" s="261">
        <f>SUM(AP24:AU24)</f>
        <v>0</v>
      </c>
      <c r="AW24" s="228">
        <f t="shared" ref="AW24:BB24" si="45">Z24*$J24</f>
        <v>0</v>
      </c>
      <c r="AX24" s="228">
        <f t="shared" si="45"/>
        <v>0</v>
      </c>
      <c r="AY24" s="228">
        <f t="shared" si="45"/>
        <v>0</v>
      </c>
      <c r="AZ24" s="228">
        <f t="shared" si="45"/>
        <v>0</v>
      </c>
      <c r="BA24" s="228">
        <f t="shared" si="45"/>
        <v>0</v>
      </c>
      <c r="BB24" s="228">
        <f t="shared" si="45"/>
        <v>0</v>
      </c>
      <c r="BC24" s="261">
        <f t="shared" si="43"/>
        <v>0</v>
      </c>
      <c r="BD24" s="239">
        <f t="shared" si="11"/>
        <v>159949.20924</v>
      </c>
      <c r="BE24" s="243"/>
    </row>
    <row r="25" spans="1:202" s="83" customFormat="1" ht="12.75">
      <c r="A25" s="193" t="s">
        <v>385</v>
      </c>
      <c r="B25" s="182" t="s">
        <v>386</v>
      </c>
      <c r="C25" s="221" t="s">
        <v>216</v>
      </c>
      <c r="D25" s="73">
        <v>7703806647</v>
      </c>
      <c r="E25" s="82"/>
      <c r="F25" s="82"/>
      <c r="G25" s="177"/>
      <c r="H25" s="82"/>
      <c r="I25" s="82"/>
      <c r="J25" s="210">
        <f t="shared" si="13"/>
        <v>0</v>
      </c>
      <c r="K25" s="254">
        <f t="shared" ref="K25:Q25" si="46">SUM(K26:K27)</f>
        <v>10446.842000000001</v>
      </c>
      <c r="L25" s="254">
        <f t="shared" si="46"/>
        <v>9409.5869999999995</v>
      </c>
      <c r="M25" s="254">
        <f t="shared" si="46"/>
        <v>0</v>
      </c>
      <c r="N25" s="284">
        <f t="shared" si="46"/>
        <v>19856.429</v>
      </c>
      <c r="O25" s="275">
        <f t="shared" si="46"/>
        <v>0</v>
      </c>
      <c r="P25" s="275">
        <f t="shared" si="46"/>
        <v>0</v>
      </c>
      <c r="Q25" s="275">
        <f t="shared" si="46"/>
        <v>0</v>
      </c>
      <c r="R25" s="284">
        <f>O25+P25+Q25</f>
        <v>0</v>
      </c>
      <c r="S25" s="293">
        <f t="shared" ref="S25:X25" si="47">S26+S27</f>
        <v>0</v>
      </c>
      <c r="T25" s="293">
        <f t="shared" si="47"/>
        <v>0</v>
      </c>
      <c r="U25" s="293">
        <f t="shared" si="47"/>
        <v>0</v>
      </c>
      <c r="V25" s="293">
        <f t="shared" si="47"/>
        <v>0</v>
      </c>
      <c r="W25" s="293">
        <f t="shared" si="47"/>
        <v>0</v>
      </c>
      <c r="X25" s="293">
        <f t="shared" si="47"/>
        <v>0</v>
      </c>
      <c r="Y25" s="284">
        <f>SUM(S25:X25)</f>
        <v>0</v>
      </c>
      <c r="Z25" s="275">
        <f t="shared" ref="Z25:AE25" si="48">Z26+Z27</f>
        <v>0</v>
      </c>
      <c r="AA25" s="275">
        <f t="shared" si="48"/>
        <v>0</v>
      </c>
      <c r="AB25" s="275">
        <f t="shared" si="48"/>
        <v>0</v>
      </c>
      <c r="AC25" s="275">
        <f t="shared" si="48"/>
        <v>0</v>
      </c>
      <c r="AD25" s="275">
        <f t="shared" si="48"/>
        <v>0</v>
      </c>
      <c r="AE25" s="275">
        <f t="shared" si="48"/>
        <v>0</v>
      </c>
      <c r="AF25" s="284">
        <f>SUM(AF26:AF27)</f>
        <v>0</v>
      </c>
      <c r="AG25" s="282">
        <f t="shared" si="6"/>
        <v>19856.429</v>
      </c>
      <c r="AH25" s="232">
        <f>AH26+AH27</f>
        <v>14610914.275590001</v>
      </c>
      <c r="AI25" s="232">
        <f>AI26+AI27</f>
        <v>13160034.048039999</v>
      </c>
      <c r="AJ25" s="232">
        <f>AJ26+AJ27</f>
        <v>0</v>
      </c>
      <c r="AK25" s="260">
        <f>AH25+AI25+AJ25</f>
        <v>27770948.323629998</v>
      </c>
      <c r="AL25" s="232">
        <f>AL26+AL27</f>
        <v>0</v>
      </c>
      <c r="AM25" s="232">
        <f>AM26+AM27</f>
        <v>0</v>
      </c>
      <c r="AN25" s="232">
        <f>AN26+AN27</f>
        <v>0</v>
      </c>
      <c r="AO25" s="260">
        <f t="shared" si="38"/>
        <v>0</v>
      </c>
      <c r="AP25" s="232">
        <f t="shared" ref="AP25:AU25" si="49">AP26+AP27</f>
        <v>0</v>
      </c>
      <c r="AQ25" s="232">
        <f t="shared" si="49"/>
        <v>0</v>
      </c>
      <c r="AR25" s="232">
        <f t="shared" si="49"/>
        <v>0</v>
      </c>
      <c r="AS25" s="232">
        <f t="shared" si="49"/>
        <v>0</v>
      </c>
      <c r="AT25" s="232">
        <f t="shared" si="49"/>
        <v>0</v>
      </c>
      <c r="AU25" s="232">
        <f t="shared" si="49"/>
        <v>0</v>
      </c>
      <c r="AV25" s="260">
        <f t="shared" si="29"/>
        <v>0</v>
      </c>
      <c r="AW25" s="232">
        <f t="shared" ref="AW25:BB25" si="50">AW26+AW27</f>
        <v>0</v>
      </c>
      <c r="AX25" s="232">
        <f t="shared" si="50"/>
        <v>0</v>
      </c>
      <c r="AY25" s="232">
        <f t="shared" si="50"/>
        <v>0</v>
      </c>
      <c r="AZ25" s="232">
        <f t="shared" si="50"/>
        <v>0</v>
      </c>
      <c r="BA25" s="232">
        <f t="shared" si="50"/>
        <v>0</v>
      </c>
      <c r="BB25" s="232">
        <f t="shared" si="50"/>
        <v>0</v>
      </c>
      <c r="BC25" s="260">
        <f t="shared" si="43"/>
        <v>0</v>
      </c>
      <c r="BD25" s="238">
        <f t="shared" si="11"/>
        <v>27770948.323629998</v>
      </c>
      <c r="BE25" s="13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  <c r="CO25" s="244"/>
      <c r="CP25" s="244"/>
      <c r="CQ25" s="244"/>
      <c r="CR25" s="244"/>
      <c r="CS25" s="244"/>
      <c r="CT25" s="244"/>
      <c r="CU25" s="244"/>
      <c r="CV25" s="244"/>
      <c r="CW25" s="244"/>
      <c r="CX25" s="244"/>
      <c r="CY25" s="244"/>
      <c r="CZ25" s="244"/>
      <c r="DA25" s="244"/>
      <c r="DB25" s="244"/>
      <c r="DC25" s="244"/>
      <c r="DD25" s="244"/>
      <c r="DE25" s="244"/>
      <c r="DF25" s="244"/>
      <c r="DG25" s="244"/>
      <c r="DH25" s="244"/>
      <c r="DI25" s="244"/>
      <c r="DJ25" s="244"/>
      <c r="DK25" s="244"/>
      <c r="DL25" s="244"/>
      <c r="DM25" s="244"/>
      <c r="DN25" s="244"/>
      <c r="DO25" s="244"/>
      <c r="DP25" s="244"/>
      <c r="DQ25" s="244"/>
      <c r="DR25" s="244"/>
      <c r="DS25" s="244"/>
      <c r="DT25" s="244"/>
      <c r="DU25" s="244"/>
      <c r="DV25" s="244"/>
      <c r="DW25" s="244"/>
      <c r="DX25" s="244"/>
      <c r="DY25" s="244"/>
      <c r="DZ25" s="244"/>
      <c r="EA25" s="244"/>
      <c r="EB25" s="244"/>
      <c r="EC25" s="244"/>
      <c r="ED25" s="244"/>
      <c r="EE25" s="244"/>
      <c r="EF25" s="244"/>
      <c r="EG25" s="244"/>
      <c r="EH25" s="244"/>
      <c r="EI25" s="244"/>
      <c r="EJ25" s="244"/>
      <c r="EK25" s="244"/>
      <c r="EL25" s="244"/>
      <c r="EM25" s="244"/>
      <c r="EN25" s="244"/>
      <c r="EO25" s="244"/>
      <c r="EP25" s="244"/>
      <c r="EQ25" s="244"/>
      <c r="ER25" s="244"/>
      <c r="ES25" s="244"/>
      <c r="ET25" s="244"/>
      <c r="EU25" s="244"/>
      <c r="EV25" s="244"/>
      <c r="EW25" s="244"/>
      <c r="EX25" s="244"/>
      <c r="EY25" s="244"/>
      <c r="EZ25" s="244"/>
      <c r="FA25" s="244"/>
      <c r="FB25" s="244"/>
      <c r="FC25" s="244"/>
      <c r="FD25" s="244"/>
      <c r="FE25" s="244"/>
      <c r="FF25" s="244"/>
      <c r="FG25" s="244"/>
      <c r="FH25" s="244"/>
      <c r="FI25" s="244"/>
      <c r="FJ25" s="244"/>
      <c r="FK25" s="244"/>
      <c r="FL25" s="244"/>
      <c r="FM25" s="244"/>
      <c r="FN25" s="244"/>
      <c r="FO25" s="244"/>
      <c r="FP25" s="244"/>
      <c r="FQ25" s="244"/>
      <c r="FR25" s="244"/>
      <c r="FS25" s="244"/>
      <c r="FT25" s="244"/>
      <c r="FU25" s="244"/>
      <c r="FV25" s="244"/>
      <c r="FW25" s="244"/>
      <c r="FX25" s="244"/>
      <c r="FY25" s="244"/>
      <c r="FZ25" s="244"/>
      <c r="GA25" s="244"/>
      <c r="GB25" s="244"/>
      <c r="GC25" s="244"/>
      <c r="GD25" s="244"/>
      <c r="GE25" s="244"/>
      <c r="GF25" s="244"/>
      <c r="GG25" s="244"/>
      <c r="GH25" s="244"/>
      <c r="GI25" s="244"/>
      <c r="GJ25" s="244"/>
      <c r="GK25" s="244"/>
      <c r="GL25" s="244"/>
      <c r="GM25" s="244"/>
      <c r="GN25" s="244"/>
      <c r="GO25" s="244"/>
      <c r="GP25" s="244"/>
      <c r="GQ25" s="244"/>
      <c r="GR25" s="244"/>
      <c r="GS25" s="244"/>
      <c r="GT25" s="244"/>
    </row>
    <row r="26" spans="1:202" s="3" customFormat="1" ht="15" customHeight="1">
      <c r="A26" s="186"/>
      <c r="B26" s="173" t="s">
        <v>445</v>
      </c>
      <c r="C26" s="218"/>
      <c r="D26" s="141"/>
      <c r="E26" s="178">
        <v>3091.98</v>
      </c>
      <c r="F26" s="147">
        <v>1667.5</v>
      </c>
      <c r="G26" s="177">
        <f t="shared" si="12"/>
        <v>1424.48</v>
      </c>
      <c r="H26" s="178">
        <v>3091.98</v>
      </c>
      <c r="I26" s="147">
        <v>1667.5</v>
      </c>
      <c r="J26" s="210">
        <f t="shared" si="13"/>
        <v>1424.48</v>
      </c>
      <c r="K26" s="252">
        <v>9626.4189999999999</v>
      </c>
      <c r="L26" s="252">
        <v>8670.0789999999997</v>
      </c>
      <c r="M26" s="252"/>
      <c r="N26" s="287">
        <f t="shared" ref="N26:N38" si="51">K26+L26+M26</f>
        <v>18296.498</v>
      </c>
      <c r="O26" s="273"/>
      <c r="P26" s="273"/>
      <c r="Q26" s="290"/>
      <c r="R26" s="287"/>
      <c r="S26" s="290"/>
      <c r="T26" s="264"/>
      <c r="U26" s="273"/>
      <c r="V26" s="273"/>
      <c r="W26" s="290"/>
      <c r="X26" s="264"/>
      <c r="Y26" s="142"/>
      <c r="Z26" s="273"/>
      <c r="AA26" s="273"/>
      <c r="AB26" s="273"/>
      <c r="AC26" s="273"/>
      <c r="AD26" s="273"/>
      <c r="AE26" s="273"/>
      <c r="AF26" s="287">
        <f t="shared" ref="AF26:AF38" si="52">SUM(Z26:AE26)</f>
        <v>0</v>
      </c>
      <c r="AG26" s="283">
        <f t="shared" si="6"/>
        <v>18296.498</v>
      </c>
      <c r="AH26" s="228">
        <f t="shared" ref="AH26:AJ27" si="53">K26*$G26</f>
        <v>13712641.33712</v>
      </c>
      <c r="AI26" s="228">
        <f t="shared" si="53"/>
        <v>12350354.133919999</v>
      </c>
      <c r="AJ26" s="228">
        <f t="shared" si="53"/>
        <v>0</v>
      </c>
      <c r="AK26" s="261">
        <f>AH26+AI26+AJ26</f>
        <v>26062995.471039999</v>
      </c>
      <c r="AL26" s="228">
        <f t="shared" ref="AL26:AN27" si="54">O26*$G26</f>
        <v>0</v>
      </c>
      <c r="AM26" s="228">
        <f t="shared" si="54"/>
        <v>0</v>
      </c>
      <c r="AN26" s="228">
        <f t="shared" si="54"/>
        <v>0</v>
      </c>
      <c r="AO26" s="261"/>
      <c r="AP26" s="228">
        <f t="shared" ref="AP26:AU27" si="55">S26*$J26</f>
        <v>0</v>
      </c>
      <c r="AQ26" s="228">
        <f t="shared" si="55"/>
        <v>0</v>
      </c>
      <c r="AR26" s="228">
        <f t="shared" si="55"/>
        <v>0</v>
      </c>
      <c r="AS26" s="228">
        <f t="shared" si="55"/>
        <v>0</v>
      </c>
      <c r="AT26" s="228">
        <f t="shared" si="55"/>
        <v>0</v>
      </c>
      <c r="AU26" s="228">
        <f t="shared" si="55"/>
        <v>0</v>
      </c>
      <c r="AV26" s="261">
        <f t="shared" si="29"/>
        <v>0</v>
      </c>
      <c r="AW26" s="228">
        <f t="shared" ref="AW26:BB27" si="56">Z26*$J26</f>
        <v>0</v>
      </c>
      <c r="AX26" s="228">
        <f t="shared" si="56"/>
        <v>0</v>
      </c>
      <c r="AY26" s="228">
        <f t="shared" si="56"/>
        <v>0</v>
      </c>
      <c r="AZ26" s="228">
        <f t="shared" si="56"/>
        <v>0</v>
      </c>
      <c r="BA26" s="228">
        <f t="shared" si="56"/>
        <v>0</v>
      </c>
      <c r="BB26" s="228">
        <f t="shared" si="56"/>
        <v>0</v>
      </c>
      <c r="BC26" s="261">
        <f t="shared" si="43"/>
        <v>0</v>
      </c>
      <c r="BD26" s="239">
        <f t="shared" si="11"/>
        <v>26062995.471039999</v>
      </c>
      <c r="BE26" s="243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</row>
    <row r="27" spans="1:202" s="3" customFormat="1" ht="15" customHeight="1">
      <c r="A27" s="186"/>
      <c r="B27" s="173" t="s">
        <v>446</v>
      </c>
      <c r="C27" s="218"/>
      <c r="D27" s="141"/>
      <c r="E27" s="178">
        <v>2838.22</v>
      </c>
      <c r="F27" s="147">
        <v>1743.33</v>
      </c>
      <c r="G27" s="177">
        <f t="shared" si="12"/>
        <v>1094.8899999999999</v>
      </c>
      <c r="H27" s="178">
        <v>2838.22</v>
      </c>
      <c r="I27" s="147">
        <v>1743.33</v>
      </c>
      <c r="J27" s="210">
        <f t="shared" si="13"/>
        <v>1094.8899999999999</v>
      </c>
      <c r="K27" s="252">
        <v>820.423</v>
      </c>
      <c r="L27" s="252">
        <v>739.50800000000004</v>
      </c>
      <c r="M27" s="252"/>
      <c r="N27" s="287">
        <f t="shared" si="51"/>
        <v>1559.931</v>
      </c>
      <c r="O27" s="273"/>
      <c r="P27" s="273"/>
      <c r="Q27" s="290"/>
      <c r="R27" s="287"/>
      <c r="S27" s="290"/>
      <c r="T27" s="264"/>
      <c r="U27" s="273"/>
      <c r="V27" s="273"/>
      <c r="W27" s="290"/>
      <c r="X27" s="264"/>
      <c r="Y27" s="142"/>
      <c r="Z27" s="273"/>
      <c r="AA27" s="273"/>
      <c r="AB27" s="273"/>
      <c r="AC27" s="273"/>
      <c r="AD27" s="273"/>
      <c r="AE27" s="273"/>
      <c r="AF27" s="287">
        <f t="shared" si="52"/>
        <v>0</v>
      </c>
      <c r="AG27" s="283">
        <f t="shared" si="6"/>
        <v>1559.931</v>
      </c>
      <c r="AH27" s="228">
        <f t="shared" si="53"/>
        <v>898272.93846999994</v>
      </c>
      <c r="AI27" s="228">
        <f t="shared" si="53"/>
        <v>809679.91411999997</v>
      </c>
      <c r="AJ27" s="228">
        <f t="shared" si="53"/>
        <v>0</v>
      </c>
      <c r="AK27" s="261">
        <f>AH27+AI27+AJ27</f>
        <v>1707952.8525899998</v>
      </c>
      <c r="AL27" s="228">
        <f t="shared" si="54"/>
        <v>0</v>
      </c>
      <c r="AM27" s="228">
        <f t="shared" si="54"/>
        <v>0</v>
      </c>
      <c r="AN27" s="228">
        <f t="shared" si="54"/>
        <v>0</v>
      </c>
      <c r="AO27" s="261"/>
      <c r="AP27" s="228">
        <f t="shared" si="55"/>
        <v>0</v>
      </c>
      <c r="AQ27" s="228">
        <f t="shared" si="55"/>
        <v>0</v>
      </c>
      <c r="AR27" s="228">
        <f t="shared" si="55"/>
        <v>0</v>
      </c>
      <c r="AS27" s="228">
        <f t="shared" si="55"/>
        <v>0</v>
      </c>
      <c r="AT27" s="228">
        <f t="shared" si="55"/>
        <v>0</v>
      </c>
      <c r="AU27" s="228">
        <f t="shared" si="55"/>
        <v>0</v>
      </c>
      <c r="AV27" s="261"/>
      <c r="AW27" s="228">
        <f t="shared" si="56"/>
        <v>0</v>
      </c>
      <c r="AX27" s="228">
        <f t="shared" si="56"/>
        <v>0</v>
      </c>
      <c r="AY27" s="228">
        <f t="shared" si="56"/>
        <v>0</v>
      </c>
      <c r="AZ27" s="228">
        <f t="shared" si="56"/>
        <v>0</v>
      </c>
      <c r="BA27" s="228">
        <f t="shared" si="56"/>
        <v>0</v>
      </c>
      <c r="BB27" s="228">
        <f t="shared" si="56"/>
        <v>0</v>
      </c>
      <c r="BC27" s="261">
        <f t="shared" si="43"/>
        <v>0</v>
      </c>
      <c r="BD27" s="239">
        <f t="shared" si="11"/>
        <v>1707952.8525899998</v>
      </c>
      <c r="BE27" s="243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</row>
    <row r="28" spans="1:202" s="83" customFormat="1" ht="12.75">
      <c r="A28" s="193" t="s">
        <v>235</v>
      </c>
      <c r="B28" s="182" t="s">
        <v>62</v>
      </c>
      <c r="C28" s="221" t="s">
        <v>402</v>
      </c>
      <c r="D28" s="73" t="s">
        <v>63</v>
      </c>
      <c r="E28" s="82"/>
      <c r="F28" s="82"/>
      <c r="G28" s="177"/>
      <c r="H28" s="82"/>
      <c r="I28" s="82"/>
      <c r="J28" s="210"/>
      <c r="K28" s="254">
        <f>K29+K30</f>
        <v>8731.1200000000008</v>
      </c>
      <c r="L28" s="254">
        <f>L29+L30</f>
        <v>8639.8420000000006</v>
      </c>
      <c r="M28" s="254">
        <f>M29+M30</f>
        <v>0</v>
      </c>
      <c r="N28" s="284">
        <f t="shared" si="51"/>
        <v>17370.962</v>
      </c>
      <c r="O28" s="275">
        <f>O29</f>
        <v>0</v>
      </c>
      <c r="P28" s="275">
        <f>P29</f>
        <v>0</v>
      </c>
      <c r="Q28" s="275">
        <f>Q29</f>
        <v>0</v>
      </c>
      <c r="R28" s="284">
        <f>O28+P28+Q28</f>
        <v>0</v>
      </c>
      <c r="S28" s="293">
        <f t="shared" ref="S28:X28" si="57">S29</f>
        <v>0</v>
      </c>
      <c r="T28" s="293">
        <f t="shared" si="57"/>
        <v>0</v>
      </c>
      <c r="U28" s="293">
        <f t="shared" si="57"/>
        <v>0</v>
      </c>
      <c r="V28" s="293">
        <f t="shared" si="57"/>
        <v>0</v>
      </c>
      <c r="W28" s="293">
        <f t="shared" si="57"/>
        <v>0</v>
      </c>
      <c r="X28" s="293">
        <f t="shared" si="57"/>
        <v>0</v>
      </c>
      <c r="Y28" s="262">
        <f>SUM(S28:X28)</f>
        <v>0</v>
      </c>
      <c r="Z28" s="275">
        <f t="shared" ref="Z28:AE28" si="58">Z29</f>
        <v>0</v>
      </c>
      <c r="AA28" s="275">
        <f t="shared" si="58"/>
        <v>0</v>
      </c>
      <c r="AB28" s="275">
        <f t="shared" si="58"/>
        <v>0</v>
      </c>
      <c r="AC28" s="275">
        <f t="shared" si="58"/>
        <v>0</v>
      </c>
      <c r="AD28" s="275">
        <f t="shared" si="58"/>
        <v>0</v>
      </c>
      <c r="AE28" s="275">
        <f t="shared" si="58"/>
        <v>0</v>
      </c>
      <c r="AF28" s="284">
        <f t="shared" si="52"/>
        <v>0</v>
      </c>
      <c r="AG28" s="282">
        <f t="shared" si="6"/>
        <v>17370.962</v>
      </c>
      <c r="AH28" s="250">
        <f>AH29+AH30</f>
        <v>6556023.3856000016</v>
      </c>
      <c r="AI28" s="250">
        <f>AI29+AI30</f>
        <v>6487484.5609600013</v>
      </c>
      <c r="AJ28" s="250">
        <f>AJ29+AJ30</f>
        <v>0</v>
      </c>
      <c r="AK28" s="260">
        <f t="shared" ref="AK28:AK44" si="59">AH28+AI28+AJ28</f>
        <v>13043507.946560003</v>
      </c>
      <c r="AL28" s="232">
        <f>AL29</f>
        <v>0</v>
      </c>
      <c r="AM28" s="232">
        <f>AM29</f>
        <v>0</v>
      </c>
      <c r="AN28" s="232">
        <f>AN29</f>
        <v>0</v>
      </c>
      <c r="AO28" s="260">
        <f>SUM(AL28:AN28)</f>
        <v>0</v>
      </c>
      <c r="AP28" s="232">
        <f t="shared" ref="AP28:AU28" si="60">AP29</f>
        <v>0</v>
      </c>
      <c r="AQ28" s="232">
        <f t="shared" si="60"/>
        <v>0</v>
      </c>
      <c r="AR28" s="232">
        <f t="shared" si="60"/>
        <v>0</v>
      </c>
      <c r="AS28" s="232">
        <f t="shared" si="60"/>
        <v>0</v>
      </c>
      <c r="AT28" s="232">
        <f t="shared" si="60"/>
        <v>0</v>
      </c>
      <c r="AU28" s="232">
        <f t="shared" si="60"/>
        <v>0</v>
      </c>
      <c r="AV28" s="260">
        <f>SUM(AP28:AU28)</f>
        <v>0</v>
      </c>
      <c r="AW28" s="232">
        <f t="shared" ref="AW28:BB28" si="61">AW29</f>
        <v>0</v>
      </c>
      <c r="AX28" s="232">
        <f t="shared" si="61"/>
        <v>0</v>
      </c>
      <c r="AY28" s="232">
        <f t="shared" si="61"/>
        <v>0</v>
      </c>
      <c r="AZ28" s="232">
        <f t="shared" si="61"/>
        <v>0</v>
      </c>
      <c r="BA28" s="232">
        <f t="shared" si="61"/>
        <v>0</v>
      </c>
      <c r="BB28" s="232">
        <f t="shared" si="61"/>
        <v>0</v>
      </c>
      <c r="BC28" s="260">
        <f t="shared" si="43"/>
        <v>0</v>
      </c>
      <c r="BD28" s="238">
        <f t="shared" si="11"/>
        <v>13043507.946560003</v>
      </c>
      <c r="BE28" s="13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4"/>
      <c r="DB28" s="244"/>
      <c r="DC28" s="244"/>
      <c r="DD28" s="244"/>
      <c r="DE28" s="244"/>
      <c r="DF28" s="244"/>
      <c r="DG28" s="244"/>
      <c r="DH28" s="244"/>
      <c r="DI28" s="244"/>
      <c r="DJ28" s="244"/>
      <c r="DK28" s="244"/>
      <c r="DL28" s="244"/>
      <c r="DM28" s="244"/>
      <c r="DN28" s="244"/>
      <c r="DO28" s="244"/>
      <c r="DP28" s="244"/>
      <c r="DQ28" s="244"/>
      <c r="DR28" s="244"/>
      <c r="DS28" s="244"/>
      <c r="DT28" s="244"/>
      <c r="DU28" s="244"/>
      <c r="DV28" s="244"/>
      <c r="DW28" s="244"/>
      <c r="DX28" s="244"/>
      <c r="DY28" s="244"/>
      <c r="DZ28" s="244"/>
      <c r="EA28" s="244"/>
      <c r="EB28" s="244"/>
      <c r="EC28" s="244"/>
      <c r="ED28" s="244"/>
      <c r="EE28" s="244"/>
      <c r="EF28" s="244"/>
      <c r="EG28" s="244"/>
      <c r="EH28" s="244"/>
      <c r="EI28" s="244"/>
      <c r="EJ28" s="244"/>
      <c r="EK28" s="244"/>
      <c r="EL28" s="244"/>
      <c r="EM28" s="244"/>
      <c r="EN28" s="244"/>
      <c r="EO28" s="244"/>
      <c r="EP28" s="244"/>
      <c r="EQ28" s="244"/>
      <c r="ER28" s="244"/>
      <c r="ES28" s="244"/>
      <c r="ET28" s="244"/>
      <c r="EU28" s="244"/>
      <c r="EV28" s="244"/>
      <c r="EW28" s="244"/>
      <c r="EX28" s="244"/>
      <c r="EY28" s="244"/>
      <c r="EZ28" s="244"/>
      <c r="FA28" s="244"/>
      <c r="FB28" s="244"/>
      <c r="FC28" s="244"/>
      <c r="FD28" s="244"/>
      <c r="FE28" s="244"/>
      <c r="FF28" s="244"/>
      <c r="FG28" s="244"/>
      <c r="FH28" s="244"/>
      <c r="FI28" s="244"/>
      <c r="FJ28" s="244"/>
      <c r="FK28" s="244"/>
      <c r="FL28" s="244"/>
      <c r="FM28" s="244"/>
      <c r="FN28" s="244"/>
      <c r="FO28" s="244"/>
      <c r="FP28" s="244"/>
      <c r="FQ28" s="244"/>
      <c r="FR28" s="244"/>
      <c r="FS28" s="244"/>
      <c r="FT28" s="244"/>
      <c r="FU28" s="244"/>
      <c r="FV28" s="244"/>
      <c r="FW28" s="244"/>
      <c r="FX28" s="244"/>
      <c r="FY28" s="244"/>
      <c r="FZ28" s="244"/>
      <c r="GA28" s="244"/>
      <c r="GB28" s="244"/>
      <c r="GC28" s="244"/>
      <c r="GD28" s="244"/>
      <c r="GE28" s="244"/>
      <c r="GF28" s="244"/>
      <c r="GG28" s="244"/>
      <c r="GH28" s="244"/>
      <c r="GI28" s="244"/>
      <c r="GJ28" s="244"/>
      <c r="GK28" s="244"/>
      <c r="GL28" s="244"/>
      <c r="GM28" s="244"/>
      <c r="GN28" s="244"/>
      <c r="GO28" s="244"/>
      <c r="GP28" s="244"/>
      <c r="GQ28" s="244"/>
      <c r="GR28" s="244"/>
      <c r="GS28" s="244"/>
      <c r="GT28" s="244"/>
    </row>
    <row r="29" spans="1:202" s="3" customFormat="1" ht="15" customHeight="1">
      <c r="A29" s="186"/>
      <c r="B29" s="173" t="s">
        <v>703</v>
      </c>
      <c r="C29" s="218"/>
      <c r="D29" s="141"/>
      <c r="E29" s="178">
        <v>2276.71</v>
      </c>
      <c r="F29" s="147">
        <v>1525.83</v>
      </c>
      <c r="G29" s="177">
        <f t="shared" si="12"/>
        <v>750.88000000000011</v>
      </c>
      <c r="H29" s="178">
        <v>2276.71</v>
      </c>
      <c r="I29" s="147">
        <v>1525.83</v>
      </c>
      <c r="J29" s="210">
        <f>H29-I29</f>
        <v>750.88000000000011</v>
      </c>
      <c r="K29" s="252">
        <v>8360.3870000000006</v>
      </c>
      <c r="L29" s="252">
        <v>8265.2690000000002</v>
      </c>
      <c r="M29" s="252"/>
      <c r="N29" s="287">
        <f t="shared" si="51"/>
        <v>16625.656000000003</v>
      </c>
      <c r="O29" s="273"/>
      <c r="P29" s="273"/>
      <c r="Q29" s="290"/>
      <c r="R29" s="287"/>
      <c r="S29" s="290"/>
      <c r="T29" s="264"/>
      <c r="U29" s="273"/>
      <c r="V29" s="273"/>
      <c r="W29" s="290"/>
      <c r="X29" s="264"/>
      <c r="Y29" s="142"/>
      <c r="Z29" s="273"/>
      <c r="AA29" s="273"/>
      <c r="AB29" s="273"/>
      <c r="AC29" s="273"/>
      <c r="AD29" s="273"/>
      <c r="AE29" s="273"/>
      <c r="AF29" s="287">
        <f t="shared" si="52"/>
        <v>0</v>
      </c>
      <c r="AG29" s="283">
        <f t="shared" si="6"/>
        <v>16625.656000000003</v>
      </c>
      <c r="AH29" s="228">
        <f t="shared" ref="AH29:AJ30" si="62">K29*$G29</f>
        <v>6277647.3905600011</v>
      </c>
      <c r="AI29" s="228">
        <f t="shared" si="62"/>
        <v>6206225.1867200015</v>
      </c>
      <c r="AJ29" s="228">
        <f t="shared" si="62"/>
        <v>0</v>
      </c>
      <c r="AK29" s="261">
        <f>AH29+AI29+AJ29</f>
        <v>12483872.577280004</v>
      </c>
      <c r="AL29" s="228">
        <f t="shared" ref="AL29:AN30" si="63">O29*$G29</f>
        <v>0</v>
      </c>
      <c r="AM29" s="228">
        <f t="shared" si="63"/>
        <v>0</v>
      </c>
      <c r="AN29" s="228">
        <f t="shared" si="63"/>
        <v>0</v>
      </c>
      <c r="AO29" s="261"/>
      <c r="AP29" s="228">
        <f t="shared" ref="AP29:AU30" si="64">S29*$J29</f>
        <v>0</v>
      </c>
      <c r="AQ29" s="228">
        <f t="shared" si="64"/>
        <v>0</v>
      </c>
      <c r="AR29" s="228">
        <f t="shared" si="64"/>
        <v>0</v>
      </c>
      <c r="AS29" s="228">
        <f t="shared" si="64"/>
        <v>0</v>
      </c>
      <c r="AT29" s="228">
        <f t="shared" si="64"/>
        <v>0</v>
      </c>
      <c r="AU29" s="228">
        <f t="shared" si="64"/>
        <v>0</v>
      </c>
      <c r="AV29" s="261"/>
      <c r="AW29" s="228">
        <f t="shared" ref="AW29:BB30" si="65">Z29*$J29</f>
        <v>0</v>
      </c>
      <c r="AX29" s="228">
        <f t="shared" si="65"/>
        <v>0</v>
      </c>
      <c r="AY29" s="228">
        <f t="shared" si="65"/>
        <v>0</v>
      </c>
      <c r="AZ29" s="228">
        <f t="shared" si="65"/>
        <v>0</v>
      </c>
      <c r="BA29" s="228">
        <f t="shared" si="65"/>
        <v>0</v>
      </c>
      <c r="BB29" s="228">
        <f t="shared" si="65"/>
        <v>0</v>
      </c>
      <c r="BC29" s="261">
        <f t="shared" si="43"/>
        <v>0</v>
      </c>
      <c r="BD29" s="239">
        <f t="shared" si="11"/>
        <v>12483872.577280004</v>
      </c>
      <c r="BE29" s="243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</row>
    <row r="30" spans="1:202" s="3" customFormat="1" ht="15" customHeight="1">
      <c r="A30" s="186"/>
      <c r="B30" s="173" t="s">
        <v>651</v>
      </c>
      <c r="C30" s="218"/>
      <c r="D30" s="141"/>
      <c r="E30" s="178">
        <v>2276.71</v>
      </c>
      <c r="F30" s="147">
        <v>1525.83</v>
      </c>
      <c r="G30" s="177">
        <f>E30-F30</f>
        <v>750.88000000000011</v>
      </c>
      <c r="H30" s="178">
        <v>2276.71</v>
      </c>
      <c r="I30" s="147">
        <v>1525.83</v>
      </c>
      <c r="J30" s="210">
        <f>H30-I30</f>
        <v>750.88000000000011</v>
      </c>
      <c r="K30" s="252">
        <v>370.733</v>
      </c>
      <c r="L30" s="252">
        <v>374.57299999999998</v>
      </c>
      <c r="M30" s="252"/>
      <c r="N30" s="287">
        <f t="shared" si="51"/>
        <v>745.30600000000004</v>
      </c>
      <c r="O30" s="273"/>
      <c r="P30" s="273"/>
      <c r="Q30" s="290"/>
      <c r="R30" s="287"/>
      <c r="S30" s="290"/>
      <c r="T30" s="264"/>
      <c r="U30" s="273"/>
      <c r="V30" s="273"/>
      <c r="W30" s="290"/>
      <c r="X30" s="264"/>
      <c r="Y30" s="142"/>
      <c r="Z30" s="273"/>
      <c r="AA30" s="273"/>
      <c r="AB30" s="273"/>
      <c r="AC30" s="273"/>
      <c r="AD30" s="273"/>
      <c r="AE30" s="273"/>
      <c r="AF30" s="287">
        <f t="shared" si="52"/>
        <v>0</v>
      </c>
      <c r="AG30" s="283">
        <f t="shared" si="6"/>
        <v>745.30600000000004</v>
      </c>
      <c r="AH30" s="228">
        <f t="shared" si="62"/>
        <v>278375.99504000007</v>
      </c>
      <c r="AI30" s="228">
        <f t="shared" si="62"/>
        <v>281259.37424000003</v>
      </c>
      <c r="AJ30" s="228">
        <f t="shared" si="62"/>
        <v>0</v>
      </c>
      <c r="AK30" s="261">
        <f>AH30+AI30+AJ30</f>
        <v>559635.3692800001</v>
      </c>
      <c r="AL30" s="228">
        <f t="shared" si="63"/>
        <v>0</v>
      </c>
      <c r="AM30" s="228">
        <f t="shared" si="63"/>
        <v>0</v>
      </c>
      <c r="AN30" s="228">
        <f t="shared" si="63"/>
        <v>0</v>
      </c>
      <c r="AO30" s="261"/>
      <c r="AP30" s="228">
        <f t="shared" si="64"/>
        <v>0</v>
      </c>
      <c r="AQ30" s="228">
        <f t="shared" si="64"/>
        <v>0</v>
      </c>
      <c r="AR30" s="228">
        <f t="shared" si="64"/>
        <v>0</v>
      </c>
      <c r="AS30" s="228">
        <f t="shared" si="64"/>
        <v>0</v>
      </c>
      <c r="AT30" s="228">
        <f t="shared" si="64"/>
        <v>0</v>
      </c>
      <c r="AU30" s="228">
        <f t="shared" si="64"/>
        <v>0</v>
      </c>
      <c r="AV30" s="261"/>
      <c r="AW30" s="228">
        <f t="shared" si="65"/>
        <v>0</v>
      </c>
      <c r="AX30" s="228">
        <f t="shared" si="65"/>
        <v>0</v>
      </c>
      <c r="AY30" s="228">
        <f t="shared" si="65"/>
        <v>0</v>
      </c>
      <c r="AZ30" s="228">
        <f t="shared" si="65"/>
        <v>0</v>
      </c>
      <c r="BA30" s="228">
        <f t="shared" si="65"/>
        <v>0</v>
      </c>
      <c r="BB30" s="228">
        <f t="shared" si="65"/>
        <v>0</v>
      </c>
      <c r="BC30" s="261">
        <f t="shared" si="43"/>
        <v>0</v>
      </c>
      <c r="BD30" s="239">
        <f t="shared" si="11"/>
        <v>559635.3692800001</v>
      </c>
      <c r="BE30" s="243"/>
      <c r="BF30" s="242"/>
      <c r="BG30" s="242"/>
      <c r="BH30" s="242"/>
      <c r="BI30" s="242"/>
      <c r="BJ30" s="242"/>
      <c r="BK30" s="242"/>
      <c r="BL30" s="242"/>
      <c r="BM30" s="242"/>
      <c r="BN30" s="242"/>
      <c r="BO30" s="242"/>
      <c r="BP30" s="242"/>
      <c r="BQ30" s="242"/>
      <c r="BR30" s="242"/>
      <c r="BS30" s="242"/>
      <c r="BT30" s="242"/>
      <c r="BU30" s="242"/>
      <c r="BV30" s="242"/>
      <c r="BW30" s="242"/>
      <c r="BX30" s="242"/>
      <c r="BY30" s="242"/>
      <c r="BZ30" s="242"/>
      <c r="CA30" s="242"/>
      <c r="CB30" s="242"/>
      <c r="CC30" s="242"/>
      <c r="CD30" s="242"/>
      <c r="CE30" s="242"/>
      <c r="CF30" s="242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242"/>
      <c r="CZ30" s="242"/>
      <c r="DA30" s="242"/>
      <c r="DB30" s="242"/>
      <c r="DC30" s="242"/>
      <c r="DD30" s="242"/>
      <c r="DE30" s="242"/>
      <c r="DF30" s="242"/>
      <c r="DG30" s="242"/>
      <c r="DH30" s="242"/>
      <c r="DI30" s="242"/>
      <c r="DJ30" s="242"/>
      <c r="DK30" s="242"/>
      <c r="DL30" s="242"/>
      <c r="DM30" s="242"/>
      <c r="DN30" s="242"/>
      <c r="DO30" s="242"/>
      <c r="DP30" s="242"/>
      <c r="DQ30" s="242"/>
      <c r="DR30" s="242"/>
      <c r="DS30" s="242"/>
      <c r="DT30" s="242"/>
      <c r="DU30" s="242"/>
      <c r="DV30" s="242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</row>
    <row r="31" spans="1:202" s="83" customFormat="1" ht="20.25">
      <c r="A31" s="193" t="s">
        <v>385</v>
      </c>
      <c r="B31" s="299" t="s">
        <v>550</v>
      </c>
      <c r="C31" s="223" t="s">
        <v>551</v>
      </c>
      <c r="D31" s="134">
        <v>2903011092</v>
      </c>
      <c r="E31" s="211"/>
      <c r="F31" s="211"/>
      <c r="G31" s="177"/>
      <c r="H31" s="211"/>
      <c r="I31" s="211"/>
      <c r="J31" s="210"/>
      <c r="K31" s="251">
        <f>K32+K33+K34</f>
        <v>90996.82699999999</v>
      </c>
      <c r="L31" s="251">
        <f>L32+L33+L34</f>
        <v>88592.593999999997</v>
      </c>
      <c r="M31" s="251">
        <f>M32+M33+M34</f>
        <v>0</v>
      </c>
      <c r="N31" s="284">
        <f t="shared" si="51"/>
        <v>179589.42099999997</v>
      </c>
      <c r="O31" s="272"/>
      <c r="P31" s="272"/>
      <c r="Q31" s="289"/>
      <c r="R31" s="284"/>
      <c r="S31" s="293">
        <f>S33+S34+S32</f>
        <v>0</v>
      </c>
      <c r="T31" s="293">
        <f t="shared" ref="T31:AE31" si="66">T33+T34+T32</f>
        <v>0</v>
      </c>
      <c r="U31" s="293">
        <f t="shared" si="66"/>
        <v>0</v>
      </c>
      <c r="V31" s="293">
        <f t="shared" si="66"/>
        <v>0</v>
      </c>
      <c r="W31" s="293">
        <f t="shared" si="66"/>
        <v>0</v>
      </c>
      <c r="X31" s="293">
        <f t="shared" si="66"/>
        <v>0</v>
      </c>
      <c r="Y31" s="262">
        <f>SUM(S31:X31)</f>
        <v>0</v>
      </c>
      <c r="Z31" s="293">
        <f t="shared" si="66"/>
        <v>0</v>
      </c>
      <c r="AA31" s="293">
        <f t="shared" si="66"/>
        <v>0</v>
      </c>
      <c r="AB31" s="293">
        <f t="shared" si="66"/>
        <v>0</v>
      </c>
      <c r="AC31" s="293">
        <f t="shared" si="66"/>
        <v>0</v>
      </c>
      <c r="AD31" s="293">
        <f t="shared" si="66"/>
        <v>0</v>
      </c>
      <c r="AE31" s="293">
        <f t="shared" si="66"/>
        <v>0</v>
      </c>
      <c r="AF31" s="284">
        <f t="shared" si="52"/>
        <v>0</v>
      </c>
      <c r="AG31" s="282">
        <f t="shared" si="6"/>
        <v>179589.42099999997</v>
      </c>
      <c r="AH31" s="332">
        <f>SUM(AH32:AH34)</f>
        <v>19311566.575280007</v>
      </c>
      <c r="AI31" s="332">
        <f>SUM(AI32:AI34)</f>
        <v>17676510.960740004</v>
      </c>
      <c r="AJ31" s="332">
        <f>SUM(AJ32:AJ34)</f>
        <v>0</v>
      </c>
      <c r="AK31" s="260">
        <f t="shared" si="59"/>
        <v>36988077.536020011</v>
      </c>
      <c r="AL31" s="227">
        <f>SUM(AL32:AL34)</f>
        <v>0</v>
      </c>
      <c r="AM31" s="227">
        <f>SUM(AM32:AM34)</f>
        <v>0</v>
      </c>
      <c r="AN31" s="227">
        <f>SUM(AN32:AN34)</f>
        <v>0</v>
      </c>
      <c r="AO31" s="260">
        <f>SUM(AL31:AN31)</f>
        <v>0</v>
      </c>
      <c r="AP31" s="232">
        <f t="shared" ref="AP31:AU31" si="67">SUM(AP32:AP34)</f>
        <v>0</v>
      </c>
      <c r="AQ31" s="232">
        <f t="shared" si="67"/>
        <v>0</v>
      </c>
      <c r="AR31" s="232">
        <f t="shared" si="67"/>
        <v>0</v>
      </c>
      <c r="AS31" s="232">
        <f t="shared" si="67"/>
        <v>0</v>
      </c>
      <c r="AT31" s="232">
        <f t="shared" si="67"/>
        <v>0</v>
      </c>
      <c r="AU31" s="232">
        <f t="shared" si="67"/>
        <v>0</v>
      </c>
      <c r="AV31" s="260">
        <f>SUM(AP31:AU31)</f>
        <v>0</v>
      </c>
      <c r="AW31" s="232">
        <f t="shared" ref="AW31:BB31" si="68">SUM(AW32:AW34)</f>
        <v>0</v>
      </c>
      <c r="AX31" s="232">
        <f t="shared" si="68"/>
        <v>0</v>
      </c>
      <c r="AY31" s="232">
        <f t="shared" si="68"/>
        <v>0</v>
      </c>
      <c r="AZ31" s="232">
        <f t="shared" si="68"/>
        <v>0</v>
      </c>
      <c r="BA31" s="232">
        <f t="shared" si="68"/>
        <v>0</v>
      </c>
      <c r="BB31" s="232">
        <f t="shared" si="68"/>
        <v>0</v>
      </c>
      <c r="BC31" s="260">
        <f t="shared" si="43"/>
        <v>0</v>
      </c>
      <c r="BD31" s="238">
        <f t="shared" si="11"/>
        <v>36988077.536020011</v>
      </c>
      <c r="BE31" s="13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  <c r="CO31" s="244"/>
      <c r="CP31" s="244"/>
      <c r="CQ31" s="244"/>
      <c r="CR31" s="244"/>
      <c r="CS31" s="244"/>
      <c r="CT31" s="244"/>
      <c r="CU31" s="244"/>
      <c r="CV31" s="244"/>
      <c r="CW31" s="244"/>
      <c r="CX31" s="244"/>
      <c r="CY31" s="244"/>
      <c r="CZ31" s="244"/>
      <c r="DA31" s="244"/>
      <c r="DB31" s="244"/>
      <c r="DC31" s="244"/>
      <c r="DD31" s="244"/>
      <c r="DE31" s="244"/>
      <c r="DF31" s="244"/>
      <c r="DG31" s="244"/>
      <c r="DH31" s="244"/>
      <c r="DI31" s="244"/>
      <c r="DJ31" s="244"/>
      <c r="DK31" s="244"/>
      <c r="DL31" s="244"/>
      <c r="DM31" s="244"/>
      <c r="DN31" s="244"/>
      <c r="DO31" s="244"/>
      <c r="DP31" s="244"/>
      <c r="DQ31" s="244"/>
      <c r="DR31" s="244"/>
      <c r="DS31" s="244"/>
      <c r="DT31" s="244"/>
      <c r="DU31" s="244"/>
      <c r="DV31" s="244"/>
      <c r="DW31" s="244"/>
      <c r="DX31" s="244"/>
      <c r="DY31" s="244"/>
      <c r="DZ31" s="244"/>
      <c r="EA31" s="244"/>
      <c r="EB31" s="244"/>
      <c r="EC31" s="244"/>
      <c r="ED31" s="244"/>
      <c r="EE31" s="244"/>
      <c r="EF31" s="244"/>
      <c r="EG31" s="244"/>
      <c r="EH31" s="244"/>
      <c r="EI31" s="244"/>
      <c r="EJ31" s="244"/>
      <c r="EK31" s="244"/>
      <c r="EL31" s="244"/>
      <c r="EM31" s="244"/>
      <c r="EN31" s="244"/>
      <c r="EO31" s="244"/>
      <c r="EP31" s="244"/>
      <c r="EQ31" s="244"/>
      <c r="ER31" s="244"/>
      <c r="ES31" s="244"/>
      <c r="ET31" s="244"/>
      <c r="EU31" s="244"/>
      <c r="EV31" s="244"/>
      <c r="EW31" s="244"/>
      <c r="EX31" s="244"/>
      <c r="EY31" s="244"/>
      <c r="EZ31" s="244"/>
      <c r="FA31" s="244"/>
      <c r="FB31" s="244"/>
      <c r="FC31" s="244"/>
      <c r="FD31" s="244"/>
      <c r="FE31" s="244"/>
      <c r="FF31" s="244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4"/>
      <c r="FR31" s="244"/>
      <c r="FS31" s="244"/>
      <c r="FT31" s="244"/>
      <c r="FU31" s="244"/>
      <c r="FV31" s="244"/>
      <c r="FW31" s="244"/>
      <c r="FX31" s="244"/>
      <c r="FY31" s="244"/>
      <c r="FZ31" s="244"/>
      <c r="GA31" s="244"/>
      <c r="GB31" s="244"/>
      <c r="GC31" s="244"/>
      <c r="GD31" s="244"/>
      <c r="GE31" s="244"/>
      <c r="GF31" s="244"/>
      <c r="GG31" s="244"/>
      <c r="GH31" s="244"/>
      <c r="GI31" s="244"/>
      <c r="GJ31" s="244"/>
      <c r="GK31" s="244"/>
      <c r="GL31" s="244"/>
      <c r="GM31" s="244"/>
      <c r="GN31" s="244"/>
      <c r="GO31" s="244"/>
      <c r="GP31" s="244"/>
      <c r="GQ31" s="244"/>
      <c r="GR31" s="244"/>
      <c r="GS31" s="244"/>
      <c r="GT31" s="244"/>
    </row>
    <row r="32" spans="1:202" s="79" customFormat="1" ht="13.5" customHeight="1">
      <c r="A32" s="202"/>
      <c r="B32" s="145" t="s">
        <v>577</v>
      </c>
      <c r="C32" s="150"/>
      <c r="D32" s="73"/>
      <c r="E32" s="215">
        <v>2109.59</v>
      </c>
      <c r="F32" s="82">
        <v>1532.5</v>
      </c>
      <c r="G32" s="177">
        <f t="shared" si="12"/>
        <v>577.09000000000015</v>
      </c>
      <c r="H32" s="215">
        <v>2109.59</v>
      </c>
      <c r="I32" s="82">
        <v>1532.5</v>
      </c>
      <c r="J32" s="210">
        <f>H32-I32</f>
        <v>577.09000000000015</v>
      </c>
      <c r="K32" s="252">
        <v>28953.422999999999</v>
      </c>
      <c r="L32" s="252">
        <v>26076.134999999998</v>
      </c>
      <c r="M32" s="252"/>
      <c r="N32" s="287">
        <f t="shared" si="51"/>
        <v>55029.557999999997</v>
      </c>
      <c r="O32" s="273"/>
      <c r="P32" s="273"/>
      <c r="Q32" s="290"/>
      <c r="R32" s="287"/>
      <c r="S32" s="290"/>
      <c r="T32" s="264"/>
      <c r="U32" s="273"/>
      <c r="V32" s="273"/>
      <c r="W32" s="290"/>
      <c r="X32" s="264"/>
      <c r="Y32" s="142"/>
      <c r="Z32" s="273"/>
      <c r="AA32" s="273"/>
      <c r="AB32" s="273"/>
      <c r="AC32" s="273"/>
      <c r="AD32" s="273"/>
      <c r="AE32" s="273"/>
      <c r="AF32" s="287">
        <f t="shared" si="52"/>
        <v>0</v>
      </c>
      <c r="AG32" s="283">
        <f t="shared" si="6"/>
        <v>55029.557999999997</v>
      </c>
      <c r="AH32" s="228">
        <f t="shared" ref="AH32:AJ35" si="69">K32*$G32</f>
        <v>16708730.879070004</v>
      </c>
      <c r="AI32" s="228">
        <f t="shared" si="69"/>
        <v>15048276.747150002</v>
      </c>
      <c r="AJ32" s="228">
        <f t="shared" si="69"/>
        <v>0</v>
      </c>
      <c r="AK32" s="261">
        <f>AH32+AI32+AJ32</f>
        <v>31757007.626220006</v>
      </c>
      <c r="AL32" s="228">
        <f t="shared" ref="AL32:AN35" si="70">O32*$G32</f>
        <v>0</v>
      </c>
      <c r="AM32" s="228">
        <f t="shared" si="70"/>
        <v>0</v>
      </c>
      <c r="AN32" s="228">
        <f t="shared" si="70"/>
        <v>0</v>
      </c>
      <c r="AO32" s="261"/>
      <c r="AP32" s="228">
        <f t="shared" ref="AP32:AU35" si="71">S32*$J32</f>
        <v>0</v>
      </c>
      <c r="AQ32" s="228">
        <f t="shared" si="71"/>
        <v>0</v>
      </c>
      <c r="AR32" s="228">
        <f t="shared" si="71"/>
        <v>0</v>
      </c>
      <c r="AS32" s="228">
        <f t="shared" si="71"/>
        <v>0</v>
      </c>
      <c r="AT32" s="228">
        <f t="shared" si="71"/>
        <v>0</v>
      </c>
      <c r="AU32" s="228">
        <f t="shared" si="71"/>
        <v>0</v>
      </c>
      <c r="AV32" s="261"/>
      <c r="AW32" s="228">
        <f t="shared" ref="AW32:BB35" si="72">Z32*$J32</f>
        <v>0</v>
      </c>
      <c r="AX32" s="228">
        <f t="shared" si="72"/>
        <v>0</v>
      </c>
      <c r="AY32" s="228">
        <f t="shared" si="72"/>
        <v>0</v>
      </c>
      <c r="AZ32" s="228">
        <f t="shared" si="72"/>
        <v>0</v>
      </c>
      <c r="BA32" s="228">
        <f t="shared" si="72"/>
        <v>0</v>
      </c>
      <c r="BB32" s="228">
        <f t="shared" si="72"/>
        <v>0</v>
      </c>
      <c r="BC32" s="261">
        <f t="shared" si="43"/>
        <v>0</v>
      </c>
      <c r="BD32" s="239">
        <f t="shared" si="11"/>
        <v>31757007.626220006</v>
      </c>
      <c r="BE32" s="244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  <c r="ES32" s="243"/>
      <c r="ET32" s="243"/>
      <c r="EU32" s="243"/>
      <c r="EV32" s="243"/>
      <c r="EW32" s="243"/>
      <c r="EX32" s="243"/>
      <c r="EY32" s="243"/>
      <c r="EZ32" s="243"/>
      <c r="FA32" s="243"/>
      <c r="FB32" s="243"/>
      <c r="FC32" s="243"/>
      <c r="FD32" s="243"/>
      <c r="FE32" s="243"/>
      <c r="FF32" s="243"/>
      <c r="FG32" s="243"/>
      <c r="FH32" s="243"/>
      <c r="FI32" s="243"/>
      <c r="FJ32" s="243"/>
      <c r="FK32" s="243"/>
      <c r="FL32" s="243"/>
      <c r="FM32" s="243"/>
      <c r="FN32" s="243"/>
      <c r="FO32" s="243"/>
      <c r="FP32" s="243"/>
      <c r="FQ32" s="243"/>
      <c r="FR32" s="243"/>
      <c r="FS32" s="243"/>
      <c r="FT32" s="243"/>
      <c r="FU32" s="243"/>
      <c r="FV32" s="243"/>
      <c r="FW32" s="243"/>
      <c r="FX32" s="243"/>
      <c r="FY32" s="243"/>
      <c r="FZ32" s="243"/>
      <c r="GA32" s="243"/>
      <c r="GB32" s="243"/>
      <c r="GC32" s="243"/>
      <c r="GD32" s="243"/>
      <c r="GE32" s="243"/>
      <c r="GF32" s="243"/>
      <c r="GG32" s="243"/>
      <c r="GH32" s="243"/>
      <c r="GI32" s="243"/>
      <c r="GJ32" s="243"/>
      <c r="GK32" s="243"/>
      <c r="GL32" s="243"/>
      <c r="GM32" s="243"/>
      <c r="GN32" s="243"/>
      <c r="GO32" s="243"/>
      <c r="GP32" s="243"/>
      <c r="GQ32" s="243"/>
      <c r="GR32" s="243"/>
      <c r="GS32" s="243"/>
      <c r="GT32" s="243"/>
    </row>
    <row r="33" spans="1:202" s="79" customFormat="1" ht="13.5" customHeight="1">
      <c r="A33" s="189"/>
      <c r="B33" s="145" t="s">
        <v>578</v>
      </c>
      <c r="C33" s="216"/>
      <c r="D33" s="146"/>
      <c r="E33" s="215">
        <v>2109.59</v>
      </c>
      <c r="F33" s="147">
        <v>1532.5</v>
      </c>
      <c r="G33" s="177">
        <f t="shared" si="12"/>
        <v>577.09000000000015</v>
      </c>
      <c r="H33" s="82">
        <v>2109.59</v>
      </c>
      <c r="I33" s="82">
        <v>1532.5</v>
      </c>
      <c r="J33" s="210">
        <f>H33-I33</f>
        <v>577.09000000000015</v>
      </c>
      <c r="K33" s="252">
        <v>3828.3490000000002</v>
      </c>
      <c r="L33" s="252">
        <v>3867.2750000000001</v>
      </c>
      <c r="M33" s="252"/>
      <c r="N33" s="287">
        <f t="shared" si="51"/>
        <v>7695.6239999999998</v>
      </c>
      <c r="O33" s="273"/>
      <c r="P33" s="273"/>
      <c r="Q33" s="290"/>
      <c r="R33" s="287"/>
      <c r="S33" s="290"/>
      <c r="T33" s="264"/>
      <c r="U33" s="273"/>
      <c r="V33" s="273"/>
      <c r="W33" s="290"/>
      <c r="X33" s="264"/>
      <c r="Y33" s="142">
        <f>SUM(S33:X33)</f>
        <v>0</v>
      </c>
      <c r="Z33" s="273"/>
      <c r="AA33" s="273"/>
      <c r="AB33" s="273"/>
      <c r="AC33" s="273"/>
      <c r="AD33" s="273"/>
      <c r="AE33" s="273"/>
      <c r="AF33" s="287">
        <f t="shared" si="52"/>
        <v>0</v>
      </c>
      <c r="AG33" s="283">
        <f t="shared" si="6"/>
        <v>7695.6239999999998</v>
      </c>
      <c r="AH33" s="228">
        <f t="shared" si="69"/>
        <v>2209301.9244100004</v>
      </c>
      <c r="AI33" s="228">
        <f t="shared" si="69"/>
        <v>2231765.7297500004</v>
      </c>
      <c r="AJ33" s="228">
        <f t="shared" si="69"/>
        <v>0</v>
      </c>
      <c r="AK33" s="261">
        <f>AH33+AI33+AJ33</f>
        <v>4441067.6541600004</v>
      </c>
      <c r="AL33" s="228">
        <f t="shared" si="70"/>
        <v>0</v>
      </c>
      <c r="AM33" s="228">
        <f t="shared" si="70"/>
        <v>0</v>
      </c>
      <c r="AN33" s="228">
        <f t="shared" si="70"/>
        <v>0</v>
      </c>
      <c r="AO33" s="261"/>
      <c r="AP33" s="228">
        <f t="shared" si="71"/>
        <v>0</v>
      </c>
      <c r="AQ33" s="228">
        <f t="shared" si="71"/>
        <v>0</v>
      </c>
      <c r="AR33" s="228">
        <f t="shared" si="71"/>
        <v>0</v>
      </c>
      <c r="AS33" s="228">
        <f t="shared" si="71"/>
        <v>0</v>
      </c>
      <c r="AT33" s="228">
        <f t="shared" si="71"/>
        <v>0</v>
      </c>
      <c r="AU33" s="228">
        <f t="shared" si="71"/>
        <v>0</v>
      </c>
      <c r="AV33" s="261">
        <f>SUM(AP33:AU33)</f>
        <v>0</v>
      </c>
      <c r="AW33" s="228">
        <f t="shared" si="72"/>
        <v>0</v>
      </c>
      <c r="AX33" s="228">
        <f t="shared" si="72"/>
        <v>0</v>
      </c>
      <c r="AY33" s="228">
        <f t="shared" si="72"/>
        <v>0</v>
      </c>
      <c r="AZ33" s="228">
        <f t="shared" si="72"/>
        <v>0</v>
      </c>
      <c r="BA33" s="228">
        <f t="shared" si="72"/>
        <v>0</v>
      </c>
      <c r="BB33" s="228">
        <f t="shared" si="72"/>
        <v>0</v>
      </c>
      <c r="BC33" s="261">
        <f t="shared" si="43"/>
        <v>0</v>
      </c>
      <c r="BD33" s="239">
        <f t="shared" si="11"/>
        <v>4441067.6541600004</v>
      </c>
      <c r="BE33" s="244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</row>
    <row r="34" spans="1:202" s="79" customFormat="1" ht="13.5" customHeight="1">
      <c r="A34" s="202"/>
      <c r="B34" s="145" t="s">
        <v>579</v>
      </c>
      <c r="C34" s="150"/>
      <c r="D34" s="73"/>
      <c r="E34" s="215">
        <v>33.43</v>
      </c>
      <c r="F34" s="82">
        <v>26.67</v>
      </c>
      <c r="G34" s="177">
        <f t="shared" si="12"/>
        <v>6.759999999999998</v>
      </c>
      <c r="H34" s="215">
        <v>33.43</v>
      </c>
      <c r="I34" s="82">
        <v>26.67</v>
      </c>
      <c r="J34" s="210">
        <f>H34-I34</f>
        <v>6.759999999999998</v>
      </c>
      <c r="K34" s="252">
        <v>58215.055</v>
      </c>
      <c r="L34" s="252">
        <v>58649.184000000001</v>
      </c>
      <c r="M34" s="252"/>
      <c r="N34" s="287">
        <f t="shared" si="51"/>
        <v>116864.239</v>
      </c>
      <c r="O34" s="273"/>
      <c r="P34" s="273"/>
      <c r="Q34" s="290"/>
      <c r="R34" s="287"/>
      <c r="S34" s="290"/>
      <c r="T34" s="264"/>
      <c r="U34" s="273"/>
      <c r="V34" s="273"/>
      <c r="W34" s="290"/>
      <c r="X34" s="264"/>
      <c r="Y34" s="142">
        <f>SUM(S34:X34)</f>
        <v>0</v>
      </c>
      <c r="Z34" s="273"/>
      <c r="AA34" s="273"/>
      <c r="AB34" s="273"/>
      <c r="AC34" s="273"/>
      <c r="AD34" s="273"/>
      <c r="AE34" s="273"/>
      <c r="AF34" s="287">
        <f t="shared" si="52"/>
        <v>0</v>
      </c>
      <c r="AG34" s="283">
        <f t="shared" si="6"/>
        <v>116864.239</v>
      </c>
      <c r="AH34" s="228">
        <f t="shared" si="69"/>
        <v>393533.77179999987</v>
      </c>
      <c r="AI34" s="228">
        <f t="shared" si="69"/>
        <v>396468.48383999988</v>
      </c>
      <c r="AJ34" s="228">
        <f t="shared" si="69"/>
        <v>0</v>
      </c>
      <c r="AK34" s="261">
        <f>AH34+AI34+AJ34</f>
        <v>790002.25563999976</v>
      </c>
      <c r="AL34" s="228">
        <f t="shared" si="70"/>
        <v>0</v>
      </c>
      <c r="AM34" s="228">
        <f t="shared" si="70"/>
        <v>0</v>
      </c>
      <c r="AN34" s="228">
        <f t="shared" si="70"/>
        <v>0</v>
      </c>
      <c r="AO34" s="261"/>
      <c r="AP34" s="228">
        <f t="shared" si="71"/>
        <v>0</v>
      </c>
      <c r="AQ34" s="228">
        <f t="shared" si="71"/>
        <v>0</v>
      </c>
      <c r="AR34" s="228">
        <f t="shared" si="71"/>
        <v>0</v>
      </c>
      <c r="AS34" s="228">
        <f t="shared" si="71"/>
        <v>0</v>
      </c>
      <c r="AT34" s="228">
        <f t="shared" si="71"/>
        <v>0</v>
      </c>
      <c r="AU34" s="228">
        <f t="shared" si="71"/>
        <v>0</v>
      </c>
      <c r="AV34" s="261">
        <f>SUM(AP34:AU34)</f>
        <v>0</v>
      </c>
      <c r="AW34" s="228">
        <f t="shared" si="72"/>
        <v>0</v>
      </c>
      <c r="AX34" s="228">
        <f t="shared" si="72"/>
        <v>0</v>
      </c>
      <c r="AY34" s="228">
        <f t="shared" si="72"/>
        <v>0</v>
      </c>
      <c r="AZ34" s="228">
        <f t="shared" si="72"/>
        <v>0</v>
      </c>
      <c r="BA34" s="228">
        <f t="shared" si="72"/>
        <v>0</v>
      </c>
      <c r="BB34" s="228">
        <f t="shared" si="72"/>
        <v>0</v>
      </c>
      <c r="BC34" s="261">
        <f t="shared" si="43"/>
        <v>0</v>
      </c>
      <c r="BD34" s="239">
        <f t="shared" si="11"/>
        <v>790002.25563999976</v>
      </c>
      <c r="BE34" s="244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  <c r="ES34" s="243"/>
      <c r="ET34" s="243"/>
      <c r="EU34" s="243"/>
      <c r="EV34" s="243"/>
      <c r="EW34" s="243"/>
      <c r="EX34" s="243"/>
      <c r="EY34" s="243"/>
      <c r="EZ34" s="243"/>
      <c r="FA34" s="243"/>
      <c r="FB34" s="243"/>
      <c r="FC34" s="243"/>
      <c r="FD34" s="243"/>
      <c r="FE34" s="243"/>
      <c r="FF34" s="243"/>
      <c r="FG34" s="243"/>
      <c r="FH34" s="243"/>
      <c r="FI34" s="243"/>
      <c r="FJ34" s="243"/>
      <c r="FK34" s="243"/>
      <c r="FL34" s="243"/>
      <c r="FM34" s="243"/>
      <c r="FN34" s="243"/>
      <c r="FO34" s="243"/>
      <c r="FP34" s="243"/>
      <c r="FQ34" s="243"/>
      <c r="FR34" s="243"/>
      <c r="FS34" s="243"/>
      <c r="FT34" s="243"/>
      <c r="FU34" s="243"/>
      <c r="FV34" s="243"/>
      <c r="FW34" s="243"/>
      <c r="FX34" s="243"/>
      <c r="FY34" s="243"/>
      <c r="FZ34" s="243"/>
      <c r="GA34" s="243"/>
      <c r="GB34" s="243"/>
      <c r="GC34" s="243"/>
      <c r="GD34" s="243"/>
      <c r="GE34" s="243"/>
      <c r="GF34" s="243"/>
      <c r="GG34" s="243"/>
      <c r="GH34" s="243"/>
      <c r="GI34" s="243"/>
      <c r="GJ34" s="243"/>
      <c r="GK34" s="243"/>
      <c r="GL34" s="243"/>
      <c r="GM34" s="243"/>
      <c r="GN34" s="243"/>
      <c r="GO34" s="243"/>
      <c r="GP34" s="243"/>
      <c r="GQ34" s="243"/>
      <c r="GR34" s="243"/>
      <c r="GS34" s="243"/>
      <c r="GT34" s="243"/>
    </row>
    <row r="35" spans="1:202" s="79" customFormat="1" ht="11.25" customHeight="1">
      <c r="A35" s="187"/>
      <c r="B35" s="170" t="s">
        <v>42</v>
      </c>
      <c r="C35" s="216" t="s">
        <v>216</v>
      </c>
      <c r="D35" s="138">
        <v>2907000246</v>
      </c>
      <c r="E35" s="147"/>
      <c r="F35" s="147"/>
      <c r="G35" s="177">
        <f t="shared" ref="G35:G40" si="73">E35-F35</f>
        <v>0</v>
      </c>
      <c r="H35" s="147"/>
      <c r="I35" s="147"/>
      <c r="J35" s="210">
        <f>H35-I35</f>
        <v>0</v>
      </c>
      <c r="K35" s="251"/>
      <c r="L35" s="251"/>
      <c r="M35" s="251"/>
      <c r="N35" s="284">
        <f t="shared" si="51"/>
        <v>0</v>
      </c>
      <c r="O35" s="272"/>
      <c r="P35" s="272"/>
      <c r="Q35" s="289"/>
      <c r="R35" s="284">
        <f>O35+P35+Q35</f>
        <v>0</v>
      </c>
      <c r="S35" s="289"/>
      <c r="T35" s="300"/>
      <c r="U35" s="272"/>
      <c r="V35" s="272"/>
      <c r="W35" s="289"/>
      <c r="X35" s="263"/>
      <c r="Y35" s="262">
        <f t="shared" ref="Y35:Y42" si="74">SUM(S35:X35)</f>
        <v>0</v>
      </c>
      <c r="Z35" s="272"/>
      <c r="AA35" s="272"/>
      <c r="AB35" s="272"/>
      <c r="AC35" s="272"/>
      <c r="AD35" s="272"/>
      <c r="AE35" s="272"/>
      <c r="AF35" s="284">
        <f t="shared" si="52"/>
        <v>0</v>
      </c>
      <c r="AG35" s="282">
        <f t="shared" si="6"/>
        <v>0</v>
      </c>
      <c r="AH35" s="227">
        <f t="shared" si="69"/>
        <v>0</v>
      </c>
      <c r="AI35" s="227">
        <f t="shared" si="69"/>
        <v>0</v>
      </c>
      <c r="AJ35" s="227">
        <f t="shared" si="69"/>
        <v>0</v>
      </c>
      <c r="AK35" s="260">
        <f t="shared" si="59"/>
        <v>0</v>
      </c>
      <c r="AL35" s="227">
        <f t="shared" si="70"/>
        <v>0</v>
      </c>
      <c r="AM35" s="227">
        <f t="shared" si="70"/>
        <v>0</v>
      </c>
      <c r="AN35" s="227">
        <f t="shared" si="70"/>
        <v>0</v>
      </c>
      <c r="AO35" s="260">
        <f>SUM(AL35:AN35)</f>
        <v>0</v>
      </c>
      <c r="AP35" s="227">
        <f t="shared" si="71"/>
        <v>0</v>
      </c>
      <c r="AQ35" s="227">
        <f t="shared" si="71"/>
        <v>0</v>
      </c>
      <c r="AR35" s="227">
        <f t="shared" si="71"/>
        <v>0</v>
      </c>
      <c r="AS35" s="227">
        <f t="shared" si="71"/>
        <v>0</v>
      </c>
      <c r="AT35" s="227">
        <f t="shared" si="71"/>
        <v>0</v>
      </c>
      <c r="AU35" s="227">
        <f t="shared" si="71"/>
        <v>0</v>
      </c>
      <c r="AV35" s="260">
        <f>SUM(AP35:AU35)</f>
        <v>0</v>
      </c>
      <c r="AW35" s="227">
        <f t="shared" si="72"/>
        <v>0</v>
      </c>
      <c r="AX35" s="227">
        <f t="shared" si="72"/>
        <v>0</v>
      </c>
      <c r="AY35" s="227">
        <f t="shared" si="72"/>
        <v>0</v>
      </c>
      <c r="AZ35" s="227">
        <f t="shared" si="72"/>
        <v>0</v>
      </c>
      <c r="BA35" s="227">
        <f t="shared" si="72"/>
        <v>0</v>
      </c>
      <c r="BB35" s="227">
        <f t="shared" si="72"/>
        <v>0</v>
      </c>
      <c r="BC35" s="260">
        <f t="shared" si="43"/>
        <v>0</v>
      </c>
      <c r="BD35" s="238">
        <f t="shared" si="11"/>
        <v>0</v>
      </c>
      <c r="BE35" s="1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  <c r="ES35" s="243"/>
      <c r="ET35" s="243"/>
      <c r="EU35" s="243"/>
      <c r="EV35" s="243"/>
      <c r="EW35" s="243"/>
      <c r="EX35" s="243"/>
      <c r="EY35" s="243"/>
      <c r="EZ35" s="243"/>
      <c r="FA35" s="243"/>
      <c r="FB35" s="243"/>
      <c r="FC35" s="243"/>
      <c r="FD35" s="243"/>
      <c r="FE35" s="243"/>
      <c r="FF35" s="243"/>
      <c r="FG35" s="243"/>
      <c r="FH35" s="243"/>
      <c r="FI35" s="243"/>
      <c r="FJ35" s="243"/>
      <c r="FK35" s="243"/>
      <c r="FL35" s="243"/>
      <c r="FM35" s="243"/>
      <c r="FN35" s="243"/>
      <c r="FO35" s="243"/>
      <c r="FP35" s="243"/>
      <c r="FQ35" s="243"/>
      <c r="FR35" s="243"/>
      <c r="FS35" s="243"/>
      <c r="FT35" s="243"/>
      <c r="FU35" s="243"/>
      <c r="FV35" s="243"/>
      <c r="FW35" s="243"/>
      <c r="FX35" s="243"/>
      <c r="FY35" s="243"/>
      <c r="FZ35" s="243"/>
      <c r="GA35" s="243"/>
      <c r="GB35" s="243"/>
      <c r="GC35" s="243"/>
      <c r="GD35" s="243"/>
      <c r="GE35" s="243"/>
      <c r="GF35" s="243"/>
      <c r="GG35" s="243"/>
      <c r="GH35" s="243"/>
      <c r="GI35" s="243"/>
      <c r="GJ35" s="243"/>
      <c r="GK35" s="243"/>
      <c r="GL35" s="243"/>
      <c r="GM35" s="243"/>
      <c r="GN35" s="243"/>
      <c r="GO35" s="243"/>
      <c r="GP35" s="243"/>
      <c r="GQ35" s="243"/>
      <c r="GR35" s="243"/>
      <c r="GS35" s="243"/>
      <c r="GT35" s="243"/>
    </row>
    <row r="36" spans="1:202" s="79" customFormat="1" ht="11.25" customHeight="1">
      <c r="A36" s="187" t="s">
        <v>52</v>
      </c>
      <c r="B36" s="181" t="s">
        <v>255</v>
      </c>
      <c r="C36" s="216" t="s">
        <v>161</v>
      </c>
      <c r="D36" s="148">
        <v>291000022979</v>
      </c>
      <c r="E36" s="147"/>
      <c r="F36" s="144"/>
      <c r="G36" s="177"/>
      <c r="H36" s="147"/>
      <c r="I36" s="144"/>
      <c r="J36" s="210"/>
      <c r="K36" s="251">
        <f>K37</f>
        <v>16.170000000000002</v>
      </c>
      <c r="L36" s="251">
        <f>L37</f>
        <v>16.170000000000002</v>
      </c>
      <c r="M36" s="251">
        <f>M37</f>
        <v>0</v>
      </c>
      <c r="N36" s="284">
        <f t="shared" si="51"/>
        <v>32.340000000000003</v>
      </c>
      <c r="O36" s="272">
        <f>O37</f>
        <v>0</v>
      </c>
      <c r="P36" s="272">
        <f>P37</f>
        <v>0</v>
      </c>
      <c r="Q36" s="272">
        <f>Q37</f>
        <v>0</v>
      </c>
      <c r="R36" s="284">
        <f>O36+P36+Q36</f>
        <v>0</v>
      </c>
      <c r="S36" s="289">
        <f t="shared" ref="S36:X36" si="75">S37</f>
        <v>0</v>
      </c>
      <c r="T36" s="289">
        <f t="shared" si="75"/>
        <v>0</v>
      </c>
      <c r="U36" s="289">
        <f t="shared" si="75"/>
        <v>0</v>
      </c>
      <c r="V36" s="289">
        <f t="shared" si="75"/>
        <v>0</v>
      </c>
      <c r="W36" s="289">
        <f t="shared" si="75"/>
        <v>0</v>
      </c>
      <c r="X36" s="289">
        <f t="shared" si="75"/>
        <v>0</v>
      </c>
      <c r="Y36" s="262">
        <f t="shared" si="74"/>
        <v>0</v>
      </c>
      <c r="Z36" s="272">
        <f t="shared" ref="Z36:AE36" si="76">Z37</f>
        <v>0</v>
      </c>
      <c r="AA36" s="272">
        <f t="shared" si="76"/>
        <v>0</v>
      </c>
      <c r="AB36" s="272">
        <f t="shared" si="76"/>
        <v>0</v>
      </c>
      <c r="AC36" s="272">
        <f t="shared" si="76"/>
        <v>0</v>
      </c>
      <c r="AD36" s="272">
        <f t="shared" si="76"/>
        <v>0</v>
      </c>
      <c r="AE36" s="272">
        <f t="shared" si="76"/>
        <v>0</v>
      </c>
      <c r="AF36" s="284">
        <f t="shared" si="52"/>
        <v>0</v>
      </c>
      <c r="AG36" s="282">
        <f t="shared" si="6"/>
        <v>32.340000000000003</v>
      </c>
      <c r="AH36" s="227">
        <f>AH37</f>
        <v>71551.118100000007</v>
      </c>
      <c r="AI36" s="227">
        <f>AI37</f>
        <v>71551.118100000007</v>
      </c>
      <c r="AJ36" s="227">
        <f>AJ37</f>
        <v>0</v>
      </c>
      <c r="AK36" s="260">
        <f t="shared" si="59"/>
        <v>143102.23620000001</v>
      </c>
      <c r="AL36" s="227">
        <f>AL37</f>
        <v>0</v>
      </c>
      <c r="AM36" s="227">
        <f>AM37</f>
        <v>0</v>
      </c>
      <c r="AN36" s="227">
        <f>AN37</f>
        <v>0</v>
      </c>
      <c r="AO36" s="260">
        <f>SUM(AL36:AN36)</f>
        <v>0</v>
      </c>
      <c r="AP36" s="227">
        <f t="shared" ref="AP36:AU36" si="77">AP37</f>
        <v>0</v>
      </c>
      <c r="AQ36" s="227">
        <f t="shared" si="77"/>
        <v>0</v>
      </c>
      <c r="AR36" s="227">
        <f t="shared" si="77"/>
        <v>0</v>
      </c>
      <c r="AS36" s="227">
        <f t="shared" si="77"/>
        <v>0</v>
      </c>
      <c r="AT36" s="227">
        <f t="shared" si="77"/>
        <v>0</v>
      </c>
      <c r="AU36" s="227">
        <f t="shared" si="77"/>
        <v>0</v>
      </c>
      <c r="AV36" s="260">
        <f>SUM(AP36:AU36)</f>
        <v>0</v>
      </c>
      <c r="AW36" s="227">
        <f t="shared" ref="AW36:BB36" si="78">AW37</f>
        <v>0</v>
      </c>
      <c r="AX36" s="227">
        <f t="shared" si="78"/>
        <v>0</v>
      </c>
      <c r="AY36" s="227">
        <f t="shared" si="78"/>
        <v>0</v>
      </c>
      <c r="AZ36" s="227">
        <f t="shared" si="78"/>
        <v>0</v>
      </c>
      <c r="BA36" s="227">
        <f t="shared" si="78"/>
        <v>0</v>
      </c>
      <c r="BB36" s="227">
        <f t="shared" si="78"/>
        <v>0</v>
      </c>
      <c r="BC36" s="260">
        <f t="shared" si="43"/>
        <v>0</v>
      </c>
      <c r="BD36" s="238">
        <f t="shared" si="11"/>
        <v>143102.23620000001</v>
      </c>
      <c r="BE36" s="244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  <c r="ES36" s="243"/>
      <c r="ET36" s="243"/>
      <c r="EU36" s="243"/>
      <c r="EV36" s="243"/>
      <c r="EW36" s="243"/>
      <c r="EX36" s="243"/>
      <c r="EY36" s="243"/>
      <c r="EZ36" s="243"/>
      <c r="FA36" s="243"/>
      <c r="FB36" s="243"/>
      <c r="FC36" s="243"/>
      <c r="FD36" s="243"/>
      <c r="FE36" s="243"/>
      <c r="FF36" s="243"/>
      <c r="FG36" s="243"/>
      <c r="FH36" s="243"/>
      <c r="FI36" s="243"/>
      <c r="FJ36" s="243"/>
      <c r="FK36" s="243"/>
      <c r="FL36" s="243"/>
      <c r="FM36" s="243"/>
      <c r="FN36" s="243"/>
      <c r="FO36" s="243"/>
      <c r="FP36" s="243"/>
      <c r="FQ36" s="243"/>
      <c r="FR36" s="243"/>
      <c r="FS36" s="243"/>
      <c r="FT36" s="243"/>
      <c r="FU36" s="243"/>
      <c r="FV36" s="243"/>
      <c r="FW36" s="243"/>
      <c r="FX36" s="243"/>
      <c r="FY36" s="243"/>
      <c r="FZ36" s="243"/>
      <c r="GA36" s="243"/>
      <c r="GB36" s="243"/>
      <c r="GC36" s="243"/>
      <c r="GD36" s="243"/>
      <c r="GE36" s="243"/>
      <c r="GF36" s="243"/>
      <c r="GG36" s="243"/>
      <c r="GH36" s="243"/>
      <c r="GI36" s="243"/>
      <c r="GJ36" s="243"/>
      <c r="GK36" s="243"/>
      <c r="GL36" s="243"/>
      <c r="GM36" s="243"/>
      <c r="GN36" s="243"/>
      <c r="GO36" s="243"/>
      <c r="GP36" s="243"/>
      <c r="GQ36" s="243"/>
      <c r="GR36" s="243"/>
      <c r="GS36" s="243"/>
      <c r="GT36" s="243"/>
    </row>
    <row r="37" spans="1:202" s="79" customFormat="1" ht="13.5" customHeight="1">
      <c r="A37" s="202"/>
      <c r="B37" s="145"/>
      <c r="C37" s="150"/>
      <c r="D37" s="73"/>
      <c r="E37" s="215">
        <v>5986.6</v>
      </c>
      <c r="F37" s="82">
        <v>1561.67</v>
      </c>
      <c r="G37" s="177">
        <f t="shared" si="73"/>
        <v>4424.93</v>
      </c>
      <c r="H37" s="215">
        <v>5986.6</v>
      </c>
      <c r="I37" s="82">
        <v>1561.67</v>
      </c>
      <c r="J37" s="210">
        <f>H37-I37</f>
        <v>4424.93</v>
      </c>
      <c r="K37" s="252">
        <v>16.170000000000002</v>
      </c>
      <c r="L37" s="252">
        <v>16.170000000000002</v>
      </c>
      <c r="M37" s="252"/>
      <c r="N37" s="287">
        <f t="shared" si="51"/>
        <v>32.340000000000003</v>
      </c>
      <c r="O37" s="273"/>
      <c r="P37" s="273"/>
      <c r="Q37" s="290"/>
      <c r="R37" s="287"/>
      <c r="S37" s="290"/>
      <c r="T37" s="264"/>
      <c r="U37" s="273"/>
      <c r="V37" s="273"/>
      <c r="W37" s="290"/>
      <c r="X37" s="264"/>
      <c r="Y37" s="142">
        <f>SUM(S37:X37)</f>
        <v>0</v>
      </c>
      <c r="Z37" s="273"/>
      <c r="AA37" s="273"/>
      <c r="AB37" s="273"/>
      <c r="AC37" s="273"/>
      <c r="AD37" s="273"/>
      <c r="AE37" s="273"/>
      <c r="AF37" s="287">
        <f t="shared" si="52"/>
        <v>0</v>
      </c>
      <c r="AG37" s="283">
        <f t="shared" si="6"/>
        <v>32.340000000000003</v>
      </c>
      <c r="AH37" s="228">
        <f t="shared" ref="AH37:AJ38" si="79">K37*$G37</f>
        <v>71551.118100000007</v>
      </c>
      <c r="AI37" s="228">
        <f t="shared" si="79"/>
        <v>71551.118100000007</v>
      </c>
      <c r="AJ37" s="228">
        <f t="shared" si="79"/>
        <v>0</v>
      </c>
      <c r="AK37" s="261">
        <f t="shared" si="59"/>
        <v>143102.23620000001</v>
      </c>
      <c r="AL37" s="228">
        <f t="shared" ref="AL37:AN38" si="80">O37*$G37</f>
        <v>0</v>
      </c>
      <c r="AM37" s="228">
        <f t="shared" si="80"/>
        <v>0</v>
      </c>
      <c r="AN37" s="228">
        <f t="shared" si="80"/>
        <v>0</v>
      </c>
      <c r="AO37" s="261"/>
      <c r="AP37" s="228">
        <f t="shared" ref="AP37:AU38" si="81">S37*$J37</f>
        <v>0</v>
      </c>
      <c r="AQ37" s="228">
        <f t="shared" si="81"/>
        <v>0</v>
      </c>
      <c r="AR37" s="228">
        <f t="shared" si="81"/>
        <v>0</v>
      </c>
      <c r="AS37" s="228">
        <f t="shared" si="81"/>
        <v>0</v>
      </c>
      <c r="AT37" s="228">
        <f t="shared" si="81"/>
        <v>0</v>
      </c>
      <c r="AU37" s="228">
        <f t="shared" si="81"/>
        <v>0</v>
      </c>
      <c r="AV37" s="261"/>
      <c r="AW37" s="228">
        <f t="shared" ref="AW37:BB38" si="82">Z37*$J37</f>
        <v>0</v>
      </c>
      <c r="AX37" s="228">
        <f t="shared" si="82"/>
        <v>0</v>
      </c>
      <c r="AY37" s="228">
        <f t="shared" si="82"/>
        <v>0</v>
      </c>
      <c r="AZ37" s="228">
        <f t="shared" si="82"/>
        <v>0</v>
      </c>
      <c r="BA37" s="228">
        <f t="shared" si="82"/>
        <v>0</v>
      </c>
      <c r="BB37" s="228">
        <f t="shared" si="82"/>
        <v>0</v>
      </c>
      <c r="BC37" s="261">
        <f t="shared" si="43"/>
        <v>0</v>
      </c>
      <c r="BD37" s="239">
        <f t="shared" si="11"/>
        <v>143102.23620000001</v>
      </c>
      <c r="BE37" s="244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  <c r="ES37" s="243"/>
      <c r="ET37" s="243"/>
      <c r="EU37" s="243"/>
      <c r="EV37" s="243"/>
      <c r="EW37" s="243"/>
      <c r="EX37" s="243"/>
      <c r="EY37" s="243"/>
      <c r="EZ37" s="243"/>
      <c r="FA37" s="243"/>
      <c r="FB37" s="243"/>
      <c r="FC37" s="243"/>
      <c r="FD37" s="243"/>
      <c r="FE37" s="243"/>
      <c r="FF37" s="243"/>
      <c r="FG37" s="243"/>
      <c r="FH37" s="243"/>
      <c r="FI37" s="243"/>
      <c r="FJ37" s="243"/>
      <c r="FK37" s="243"/>
      <c r="FL37" s="243"/>
      <c r="FM37" s="243"/>
      <c r="FN37" s="243"/>
      <c r="FO37" s="243"/>
      <c r="FP37" s="243"/>
      <c r="FQ37" s="243"/>
      <c r="FR37" s="243"/>
      <c r="FS37" s="243"/>
      <c r="FT37" s="243"/>
      <c r="FU37" s="243"/>
      <c r="FV37" s="243"/>
      <c r="FW37" s="243"/>
      <c r="FX37" s="243"/>
      <c r="FY37" s="243"/>
      <c r="FZ37" s="243"/>
      <c r="GA37" s="243"/>
      <c r="GB37" s="243"/>
      <c r="GC37" s="243"/>
      <c r="GD37" s="243"/>
      <c r="GE37" s="243"/>
      <c r="GF37" s="243"/>
      <c r="GG37" s="243"/>
      <c r="GH37" s="243"/>
      <c r="GI37" s="243"/>
      <c r="GJ37" s="243"/>
      <c r="GK37" s="243"/>
      <c r="GL37" s="243"/>
      <c r="GM37" s="243"/>
      <c r="GN37" s="243"/>
      <c r="GO37" s="243"/>
      <c r="GP37" s="243"/>
      <c r="GQ37" s="243"/>
      <c r="GR37" s="243"/>
      <c r="GS37" s="243"/>
      <c r="GT37" s="243"/>
    </row>
    <row r="38" spans="1:202" s="79" customFormat="1" ht="11.25" customHeight="1">
      <c r="A38" s="187" t="s">
        <v>52</v>
      </c>
      <c r="B38" s="170" t="s">
        <v>180</v>
      </c>
      <c r="C38" s="216" t="s">
        <v>257</v>
      </c>
      <c r="D38" s="148">
        <v>290222043671</v>
      </c>
      <c r="E38" s="147"/>
      <c r="F38" s="147"/>
      <c r="G38" s="177">
        <f t="shared" si="73"/>
        <v>0</v>
      </c>
      <c r="H38" s="147"/>
      <c r="I38" s="147"/>
      <c r="J38" s="210">
        <f>H38-I38</f>
        <v>0</v>
      </c>
      <c r="K38" s="251"/>
      <c r="L38" s="251"/>
      <c r="M38" s="251"/>
      <c r="N38" s="284">
        <f t="shared" si="51"/>
        <v>0</v>
      </c>
      <c r="O38" s="272"/>
      <c r="P38" s="272"/>
      <c r="Q38" s="289"/>
      <c r="R38" s="284">
        <f>O38+P38+Q38</f>
        <v>0</v>
      </c>
      <c r="S38" s="289"/>
      <c r="T38" s="263"/>
      <c r="U38" s="272"/>
      <c r="V38" s="272"/>
      <c r="W38" s="289"/>
      <c r="X38" s="263"/>
      <c r="Y38" s="262">
        <f t="shared" si="74"/>
        <v>0</v>
      </c>
      <c r="Z38" s="272"/>
      <c r="AA38" s="272"/>
      <c r="AB38" s="272"/>
      <c r="AC38" s="272"/>
      <c r="AD38" s="272"/>
      <c r="AE38" s="272"/>
      <c r="AF38" s="284">
        <f t="shared" si="52"/>
        <v>0</v>
      </c>
      <c r="AG38" s="282">
        <f t="shared" ref="AG38:AG69" si="83">AF38+Y38+R38+N38</f>
        <v>0</v>
      </c>
      <c r="AH38" s="227">
        <f t="shared" si="79"/>
        <v>0</v>
      </c>
      <c r="AI38" s="227">
        <f t="shared" si="79"/>
        <v>0</v>
      </c>
      <c r="AJ38" s="227">
        <f t="shared" si="79"/>
        <v>0</v>
      </c>
      <c r="AK38" s="260">
        <f t="shared" si="59"/>
        <v>0</v>
      </c>
      <c r="AL38" s="227">
        <f t="shared" si="80"/>
        <v>0</v>
      </c>
      <c r="AM38" s="227">
        <f t="shared" si="80"/>
        <v>0</v>
      </c>
      <c r="AN38" s="227">
        <f t="shared" si="80"/>
        <v>0</v>
      </c>
      <c r="AO38" s="260">
        <f>SUM(AL38:AN38)</f>
        <v>0</v>
      </c>
      <c r="AP38" s="227">
        <f t="shared" si="81"/>
        <v>0</v>
      </c>
      <c r="AQ38" s="227">
        <f t="shared" si="81"/>
        <v>0</v>
      </c>
      <c r="AR38" s="227">
        <f t="shared" si="81"/>
        <v>0</v>
      </c>
      <c r="AS38" s="227">
        <f t="shared" si="81"/>
        <v>0</v>
      </c>
      <c r="AT38" s="227">
        <f t="shared" si="81"/>
        <v>0</v>
      </c>
      <c r="AU38" s="227">
        <f t="shared" si="81"/>
        <v>0</v>
      </c>
      <c r="AV38" s="260">
        <f>SUM(AP38:AU38)</f>
        <v>0</v>
      </c>
      <c r="AW38" s="227">
        <f t="shared" si="82"/>
        <v>0</v>
      </c>
      <c r="AX38" s="227">
        <f t="shared" si="82"/>
        <v>0</v>
      </c>
      <c r="AY38" s="227">
        <f t="shared" si="82"/>
        <v>0</v>
      </c>
      <c r="AZ38" s="227">
        <f t="shared" si="82"/>
        <v>0</v>
      </c>
      <c r="BA38" s="227">
        <f t="shared" si="82"/>
        <v>0</v>
      </c>
      <c r="BB38" s="227">
        <f t="shared" si="82"/>
        <v>0</v>
      </c>
      <c r="BC38" s="260">
        <f t="shared" si="43"/>
        <v>0</v>
      </c>
      <c r="BD38" s="238">
        <f t="shared" ref="BD38:BD69" si="84">BC38+AV38+AO38+AK38</f>
        <v>0</v>
      </c>
      <c r="BE38" s="1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  <c r="ES38" s="243"/>
      <c r="ET38" s="243"/>
      <c r="EU38" s="243"/>
      <c r="EV38" s="243"/>
      <c r="EW38" s="243"/>
      <c r="EX38" s="243"/>
      <c r="EY38" s="243"/>
      <c r="EZ38" s="243"/>
      <c r="FA38" s="243"/>
      <c r="FB38" s="243"/>
      <c r="FC38" s="243"/>
      <c r="FD38" s="243"/>
      <c r="FE38" s="243"/>
      <c r="FF38" s="243"/>
      <c r="FG38" s="243"/>
      <c r="FH38" s="243"/>
      <c r="FI38" s="243"/>
      <c r="FJ38" s="243"/>
      <c r="FK38" s="243"/>
      <c r="FL38" s="243"/>
      <c r="FM38" s="243"/>
      <c r="FN38" s="243"/>
      <c r="FO38" s="243"/>
      <c r="FP38" s="243"/>
      <c r="FQ38" s="243"/>
      <c r="FR38" s="243"/>
      <c r="FS38" s="243"/>
      <c r="FT38" s="243"/>
      <c r="FU38" s="243"/>
      <c r="FV38" s="243"/>
      <c r="FW38" s="243"/>
      <c r="FX38" s="243"/>
      <c r="FY38" s="243"/>
      <c r="FZ38" s="243"/>
      <c r="GA38" s="243"/>
      <c r="GB38" s="243"/>
      <c r="GC38" s="243"/>
      <c r="GD38" s="243"/>
      <c r="GE38" s="243"/>
      <c r="GF38" s="243"/>
      <c r="GG38" s="243"/>
      <c r="GH38" s="243"/>
      <c r="GI38" s="243"/>
      <c r="GJ38" s="243"/>
      <c r="GK38" s="243"/>
      <c r="GL38" s="243"/>
      <c r="GM38" s="243"/>
      <c r="GN38" s="243"/>
      <c r="GO38" s="243"/>
      <c r="GP38" s="243"/>
      <c r="GQ38" s="243"/>
      <c r="GR38" s="243"/>
      <c r="GS38" s="243"/>
      <c r="GT38" s="243"/>
    </row>
    <row r="39" spans="1:202" s="83" customFormat="1" ht="12.75">
      <c r="A39" s="187" t="s">
        <v>52</v>
      </c>
      <c r="B39" s="170" t="s">
        <v>336</v>
      </c>
      <c r="C39" s="216" t="s">
        <v>226</v>
      </c>
      <c r="D39" s="148">
        <v>290604109003</v>
      </c>
      <c r="E39" s="82"/>
      <c r="F39" s="82"/>
      <c r="G39" s="177"/>
      <c r="H39" s="82"/>
      <c r="I39" s="82"/>
      <c r="J39" s="210"/>
      <c r="K39" s="254">
        <f t="shared" ref="K39:Q39" si="85">SUM(K40)</f>
        <v>0</v>
      </c>
      <c r="L39" s="254">
        <f t="shared" si="85"/>
        <v>0</v>
      </c>
      <c r="M39" s="254">
        <f t="shared" si="85"/>
        <v>0</v>
      </c>
      <c r="N39" s="284">
        <f t="shared" si="85"/>
        <v>0</v>
      </c>
      <c r="O39" s="275">
        <f t="shared" si="85"/>
        <v>0</v>
      </c>
      <c r="P39" s="275">
        <f t="shared" si="85"/>
        <v>0</v>
      </c>
      <c r="Q39" s="275">
        <f t="shared" si="85"/>
        <v>0</v>
      </c>
      <c r="R39" s="284">
        <f>O39+P39+Q39</f>
        <v>0</v>
      </c>
      <c r="S39" s="293">
        <f t="shared" ref="S39:X39" si="86">S40</f>
        <v>0</v>
      </c>
      <c r="T39" s="293">
        <f t="shared" si="86"/>
        <v>0</v>
      </c>
      <c r="U39" s="293">
        <f t="shared" si="86"/>
        <v>0</v>
      </c>
      <c r="V39" s="293">
        <f t="shared" si="86"/>
        <v>0</v>
      </c>
      <c r="W39" s="293">
        <f t="shared" si="86"/>
        <v>0</v>
      </c>
      <c r="X39" s="293">
        <f t="shared" si="86"/>
        <v>0</v>
      </c>
      <c r="Y39" s="284">
        <f>SUM(S39:X39)</f>
        <v>0</v>
      </c>
      <c r="Z39" s="275">
        <f t="shared" ref="Z39:AE39" si="87">Z40</f>
        <v>0</v>
      </c>
      <c r="AA39" s="275">
        <f t="shared" si="87"/>
        <v>0</v>
      </c>
      <c r="AB39" s="275">
        <f t="shared" si="87"/>
        <v>0</v>
      </c>
      <c r="AC39" s="275">
        <f t="shared" si="87"/>
        <v>0</v>
      </c>
      <c r="AD39" s="275">
        <f t="shared" si="87"/>
        <v>0</v>
      </c>
      <c r="AE39" s="275">
        <f t="shared" si="87"/>
        <v>0</v>
      </c>
      <c r="AF39" s="284">
        <f>SUM(AF40:AF40)</f>
        <v>0</v>
      </c>
      <c r="AG39" s="282">
        <f t="shared" si="83"/>
        <v>0</v>
      </c>
      <c r="AH39" s="232">
        <f>AH40</f>
        <v>0</v>
      </c>
      <c r="AI39" s="232">
        <f>AI40</f>
        <v>0</v>
      </c>
      <c r="AJ39" s="232">
        <f>AJ40</f>
        <v>0</v>
      </c>
      <c r="AK39" s="260">
        <f>AH39+AI39+AJ39</f>
        <v>0</v>
      </c>
      <c r="AL39" s="232">
        <f>AL40</f>
        <v>0</v>
      </c>
      <c r="AM39" s="232">
        <f>AM40</f>
        <v>0</v>
      </c>
      <c r="AN39" s="232">
        <f>AN40</f>
        <v>0</v>
      </c>
      <c r="AO39" s="260">
        <f>SUM(AL39:AN39)</f>
        <v>0</v>
      </c>
      <c r="AP39" s="232">
        <f t="shared" ref="AP39:AU39" si="88">AP40</f>
        <v>0</v>
      </c>
      <c r="AQ39" s="232">
        <f t="shared" si="88"/>
        <v>0</v>
      </c>
      <c r="AR39" s="232">
        <f t="shared" si="88"/>
        <v>0</v>
      </c>
      <c r="AS39" s="232">
        <f t="shared" si="88"/>
        <v>0</v>
      </c>
      <c r="AT39" s="232">
        <f t="shared" si="88"/>
        <v>0</v>
      </c>
      <c r="AU39" s="232">
        <f t="shared" si="88"/>
        <v>0</v>
      </c>
      <c r="AV39" s="260">
        <f>SUM(AP39:AU39)</f>
        <v>0</v>
      </c>
      <c r="AW39" s="232">
        <f t="shared" ref="AW39:BB39" si="89">AW40</f>
        <v>0</v>
      </c>
      <c r="AX39" s="232">
        <f t="shared" si="89"/>
        <v>0</v>
      </c>
      <c r="AY39" s="232">
        <f t="shared" si="89"/>
        <v>0</v>
      </c>
      <c r="AZ39" s="232">
        <f t="shared" si="89"/>
        <v>0</v>
      </c>
      <c r="BA39" s="232">
        <f t="shared" si="89"/>
        <v>0</v>
      </c>
      <c r="BB39" s="232">
        <f t="shared" si="89"/>
        <v>0</v>
      </c>
      <c r="BC39" s="260">
        <f t="shared" si="43"/>
        <v>0</v>
      </c>
      <c r="BD39" s="238">
        <f t="shared" si="84"/>
        <v>0</v>
      </c>
      <c r="BE39" s="13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4"/>
      <c r="DV39" s="244"/>
      <c r="DW39" s="244"/>
      <c r="DX39" s="244"/>
      <c r="DY39" s="244"/>
      <c r="DZ39" s="244"/>
      <c r="EA39" s="244"/>
      <c r="EB39" s="244"/>
      <c r="EC39" s="244"/>
      <c r="ED39" s="244"/>
      <c r="EE39" s="244"/>
      <c r="EF39" s="244"/>
      <c r="EG39" s="244"/>
      <c r="EH39" s="244"/>
      <c r="EI39" s="244"/>
      <c r="EJ39" s="244"/>
      <c r="EK39" s="244"/>
      <c r="EL39" s="244"/>
      <c r="EM39" s="244"/>
      <c r="EN39" s="244"/>
      <c r="EO39" s="244"/>
      <c r="EP39" s="244"/>
      <c r="EQ39" s="244"/>
      <c r="ER39" s="244"/>
      <c r="ES39" s="244"/>
      <c r="ET39" s="244"/>
      <c r="EU39" s="244"/>
      <c r="EV39" s="244"/>
      <c r="EW39" s="244"/>
      <c r="EX39" s="244"/>
      <c r="EY39" s="244"/>
      <c r="EZ39" s="244"/>
      <c r="FA39" s="244"/>
      <c r="FB39" s="244"/>
      <c r="FC39" s="244"/>
      <c r="FD39" s="244"/>
      <c r="FE39" s="244"/>
      <c r="FF39" s="244"/>
      <c r="FG39" s="244"/>
      <c r="FH39" s="244"/>
      <c r="FI39" s="244"/>
      <c r="FJ39" s="244"/>
      <c r="FK39" s="244"/>
      <c r="FL39" s="244"/>
      <c r="FM39" s="244"/>
      <c r="FN39" s="244"/>
      <c r="FO39" s="244"/>
      <c r="FP39" s="244"/>
      <c r="FQ39" s="244"/>
      <c r="FR39" s="244"/>
      <c r="FS39" s="244"/>
      <c r="FT39" s="244"/>
      <c r="FU39" s="244"/>
      <c r="FV39" s="244"/>
      <c r="FW39" s="244"/>
      <c r="FX39" s="244"/>
      <c r="FY39" s="244"/>
      <c r="FZ39" s="244"/>
      <c r="GA39" s="244"/>
      <c r="GB39" s="244"/>
      <c r="GC39" s="244"/>
      <c r="GD39" s="244"/>
      <c r="GE39" s="244"/>
      <c r="GF39" s="244"/>
      <c r="GG39" s="244"/>
      <c r="GH39" s="244"/>
      <c r="GI39" s="244"/>
      <c r="GJ39" s="244"/>
      <c r="GK39" s="244"/>
      <c r="GL39" s="244"/>
      <c r="GM39" s="244"/>
      <c r="GN39" s="244"/>
      <c r="GO39" s="244"/>
      <c r="GP39" s="244"/>
      <c r="GQ39" s="244"/>
      <c r="GR39" s="244"/>
      <c r="GS39" s="244"/>
      <c r="GT39" s="244"/>
    </row>
    <row r="40" spans="1:202" s="79" customFormat="1" ht="13.5" customHeight="1">
      <c r="A40" s="189"/>
      <c r="B40" s="145"/>
      <c r="C40" s="216"/>
      <c r="D40" s="146"/>
      <c r="E40" s="215">
        <v>3667.19</v>
      </c>
      <c r="F40" s="147">
        <v>1831</v>
      </c>
      <c r="G40" s="177">
        <f t="shared" si="73"/>
        <v>1836.19</v>
      </c>
      <c r="H40" s="82">
        <v>3667.19</v>
      </c>
      <c r="I40" s="82">
        <v>1831</v>
      </c>
      <c r="J40" s="210">
        <f>H40-I40</f>
        <v>1836.19</v>
      </c>
      <c r="K40" s="252"/>
      <c r="L40" s="252"/>
      <c r="M40" s="252"/>
      <c r="N40" s="287"/>
      <c r="O40" s="273"/>
      <c r="P40" s="273"/>
      <c r="Q40" s="290"/>
      <c r="R40" s="287"/>
      <c r="S40" s="290"/>
      <c r="T40" s="264"/>
      <c r="U40" s="273"/>
      <c r="V40" s="273"/>
      <c r="W40" s="290"/>
      <c r="X40" s="264"/>
      <c r="Y40" s="142"/>
      <c r="Z40" s="273"/>
      <c r="AA40" s="273"/>
      <c r="AB40" s="273"/>
      <c r="AC40" s="273"/>
      <c r="AD40" s="273"/>
      <c r="AE40" s="273"/>
      <c r="AF40" s="287">
        <f>SUM(Z40:AE40)</f>
        <v>0</v>
      </c>
      <c r="AG40" s="283">
        <f t="shared" si="83"/>
        <v>0</v>
      </c>
      <c r="AH40" s="228">
        <f t="shared" ref="AH40:AJ42" si="90">K40*$G40</f>
        <v>0</v>
      </c>
      <c r="AI40" s="228">
        <f t="shared" si="90"/>
        <v>0</v>
      </c>
      <c r="AJ40" s="228">
        <f t="shared" si="90"/>
        <v>0</v>
      </c>
      <c r="AK40" s="261"/>
      <c r="AL40" s="228">
        <f t="shared" ref="AL40:AN42" si="91">O40*$G40</f>
        <v>0</v>
      </c>
      <c r="AM40" s="228">
        <f t="shared" si="91"/>
        <v>0</v>
      </c>
      <c r="AN40" s="228">
        <f t="shared" si="91"/>
        <v>0</v>
      </c>
      <c r="AO40" s="261"/>
      <c r="AP40" s="228">
        <f t="shared" ref="AP40:AU42" si="92">S40*$J40</f>
        <v>0</v>
      </c>
      <c r="AQ40" s="228">
        <f t="shared" si="92"/>
        <v>0</v>
      </c>
      <c r="AR40" s="228">
        <f t="shared" si="92"/>
        <v>0</v>
      </c>
      <c r="AS40" s="228">
        <f t="shared" si="92"/>
        <v>0</v>
      </c>
      <c r="AT40" s="228">
        <f t="shared" si="92"/>
        <v>0</v>
      </c>
      <c r="AU40" s="228">
        <f t="shared" si="92"/>
        <v>0</v>
      </c>
      <c r="AV40" s="261"/>
      <c r="AW40" s="228">
        <f t="shared" ref="AW40:BB42" si="93">Z40*$J40</f>
        <v>0</v>
      </c>
      <c r="AX40" s="228">
        <f t="shared" si="93"/>
        <v>0</v>
      </c>
      <c r="AY40" s="228">
        <f t="shared" si="93"/>
        <v>0</v>
      </c>
      <c r="AZ40" s="228">
        <f t="shared" si="93"/>
        <v>0</v>
      </c>
      <c r="BA40" s="228">
        <f t="shared" si="93"/>
        <v>0</v>
      </c>
      <c r="BB40" s="228">
        <f t="shared" si="93"/>
        <v>0</v>
      </c>
      <c r="BC40" s="261">
        <f t="shared" si="43"/>
        <v>0</v>
      </c>
      <c r="BD40" s="239">
        <f t="shared" si="84"/>
        <v>0</v>
      </c>
      <c r="BE40" s="244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  <c r="ES40" s="243"/>
      <c r="ET40" s="243"/>
      <c r="EU40" s="243"/>
      <c r="EV40" s="243"/>
      <c r="EW40" s="243"/>
      <c r="EX40" s="243"/>
      <c r="EY40" s="243"/>
      <c r="EZ40" s="243"/>
      <c r="FA40" s="243"/>
      <c r="FB40" s="243"/>
      <c r="FC40" s="243"/>
      <c r="FD40" s="243"/>
      <c r="FE40" s="243"/>
      <c r="FF40" s="243"/>
      <c r="FG40" s="243"/>
      <c r="FH40" s="243"/>
      <c r="FI40" s="243"/>
      <c r="FJ40" s="243"/>
      <c r="FK40" s="243"/>
      <c r="FL40" s="243"/>
      <c r="FM40" s="243"/>
      <c r="FN40" s="243"/>
      <c r="FO40" s="243"/>
      <c r="FP40" s="243"/>
      <c r="FQ40" s="243"/>
      <c r="FR40" s="243"/>
      <c r="FS40" s="243"/>
      <c r="FT40" s="243"/>
      <c r="FU40" s="243"/>
      <c r="FV40" s="243"/>
      <c r="FW40" s="243"/>
      <c r="FX40" s="243"/>
      <c r="FY40" s="243"/>
      <c r="FZ40" s="243"/>
      <c r="GA40" s="243"/>
      <c r="GB40" s="243"/>
      <c r="GC40" s="243"/>
      <c r="GD40" s="243"/>
      <c r="GE40" s="243"/>
      <c r="GF40" s="243"/>
      <c r="GG40" s="243"/>
      <c r="GH40" s="243"/>
      <c r="GI40" s="243"/>
      <c r="GJ40" s="243"/>
      <c r="GK40" s="243"/>
      <c r="GL40" s="243"/>
      <c r="GM40" s="243"/>
      <c r="GN40" s="243"/>
      <c r="GO40" s="243"/>
      <c r="GP40" s="243"/>
      <c r="GQ40" s="243"/>
      <c r="GR40" s="243"/>
      <c r="GS40" s="243"/>
      <c r="GT40" s="243"/>
    </row>
    <row r="41" spans="1:202" s="79" customFormat="1" ht="11.25" customHeight="1">
      <c r="A41" s="187" t="s">
        <v>52</v>
      </c>
      <c r="B41" s="181" t="s">
        <v>545</v>
      </c>
      <c r="C41" s="216" t="s">
        <v>546</v>
      </c>
      <c r="D41" s="148">
        <v>29046794205</v>
      </c>
      <c r="E41" s="147">
        <v>2034.38</v>
      </c>
      <c r="F41" s="209">
        <v>1940</v>
      </c>
      <c r="G41" s="177">
        <f>E41-F41</f>
        <v>94.380000000000109</v>
      </c>
      <c r="H41" s="147">
        <v>2181.5</v>
      </c>
      <c r="I41" s="144">
        <v>2000</v>
      </c>
      <c r="J41" s="210">
        <f>H41-I41</f>
        <v>181.5</v>
      </c>
      <c r="K41" s="251"/>
      <c r="L41" s="251"/>
      <c r="M41" s="251"/>
      <c r="N41" s="284">
        <f t="shared" ref="N41:N47" si="94">K41+L41+M41</f>
        <v>0</v>
      </c>
      <c r="O41" s="272"/>
      <c r="P41" s="272"/>
      <c r="Q41" s="289"/>
      <c r="R41" s="284">
        <f>O41+P41+Q41</f>
        <v>0</v>
      </c>
      <c r="S41" s="289"/>
      <c r="T41" s="300"/>
      <c r="U41" s="272"/>
      <c r="V41" s="272"/>
      <c r="W41" s="289"/>
      <c r="X41" s="263"/>
      <c r="Y41" s="262">
        <f>SUM(S41:X41)</f>
        <v>0</v>
      </c>
      <c r="Z41" s="272"/>
      <c r="AA41" s="272"/>
      <c r="AB41" s="272"/>
      <c r="AC41" s="272"/>
      <c r="AD41" s="272"/>
      <c r="AE41" s="272"/>
      <c r="AF41" s="284">
        <f>SUM(Z41:AE41)</f>
        <v>0</v>
      </c>
      <c r="AG41" s="282">
        <f t="shared" si="83"/>
        <v>0</v>
      </c>
      <c r="AH41" s="232">
        <f t="shared" si="90"/>
        <v>0</v>
      </c>
      <c r="AI41" s="232">
        <f t="shared" si="90"/>
        <v>0</v>
      </c>
      <c r="AJ41" s="232">
        <f t="shared" si="90"/>
        <v>0</v>
      </c>
      <c r="AK41" s="260">
        <f t="shared" si="59"/>
        <v>0</v>
      </c>
      <c r="AL41" s="227">
        <f t="shared" si="91"/>
        <v>0</v>
      </c>
      <c r="AM41" s="227">
        <f t="shared" si="91"/>
        <v>0</v>
      </c>
      <c r="AN41" s="227">
        <f t="shared" si="91"/>
        <v>0</v>
      </c>
      <c r="AO41" s="260">
        <f>SUM(AL41:AN41)</f>
        <v>0</v>
      </c>
      <c r="AP41" s="232">
        <f t="shared" si="92"/>
        <v>0</v>
      </c>
      <c r="AQ41" s="232">
        <f t="shared" si="92"/>
        <v>0</v>
      </c>
      <c r="AR41" s="232">
        <f t="shared" si="92"/>
        <v>0</v>
      </c>
      <c r="AS41" s="232">
        <f t="shared" si="92"/>
        <v>0</v>
      </c>
      <c r="AT41" s="232">
        <f t="shared" si="92"/>
        <v>0</v>
      </c>
      <c r="AU41" s="232">
        <f t="shared" si="92"/>
        <v>0</v>
      </c>
      <c r="AV41" s="260">
        <f>SUM(AP41:AU41)</f>
        <v>0</v>
      </c>
      <c r="AW41" s="232">
        <f t="shared" si="93"/>
        <v>0</v>
      </c>
      <c r="AX41" s="232">
        <f t="shared" si="93"/>
        <v>0</v>
      </c>
      <c r="AY41" s="232">
        <f t="shared" si="93"/>
        <v>0</v>
      </c>
      <c r="AZ41" s="232">
        <f t="shared" si="93"/>
        <v>0</v>
      </c>
      <c r="BA41" s="232">
        <f t="shared" si="93"/>
        <v>0</v>
      </c>
      <c r="BB41" s="232">
        <f t="shared" si="93"/>
        <v>0</v>
      </c>
      <c r="BC41" s="260">
        <f t="shared" si="43"/>
        <v>0</v>
      </c>
      <c r="BD41" s="238">
        <f t="shared" si="84"/>
        <v>0</v>
      </c>
      <c r="BE41" s="244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  <c r="ES41" s="243"/>
      <c r="ET41" s="243"/>
      <c r="EU41" s="243"/>
      <c r="EV41" s="243"/>
      <c r="EW41" s="243"/>
      <c r="EX41" s="243"/>
      <c r="EY41" s="243"/>
      <c r="EZ41" s="243"/>
      <c r="FA41" s="243"/>
      <c r="FB41" s="243"/>
      <c r="FC41" s="243"/>
      <c r="FD41" s="243"/>
      <c r="FE41" s="243"/>
      <c r="FF41" s="243"/>
      <c r="FG41" s="243"/>
      <c r="FH41" s="243"/>
      <c r="FI41" s="243"/>
      <c r="FJ41" s="243"/>
      <c r="FK41" s="243"/>
      <c r="FL41" s="243"/>
      <c r="FM41" s="243"/>
      <c r="FN41" s="243"/>
      <c r="FO41" s="243"/>
      <c r="FP41" s="243"/>
      <c r="FQ41" s="243"/>
      <c r="FR41" s="243"/>
      <c r="FS41" s="243"/>
      <c r="FT41" s="243"/>
      <c r="FU41" s="243"/>
      <c r="FV41" s="243"/>
      <c r="FW41" s="243"/>
      <c r="FX41" s="243"/>
      <c r="FY41" s="243"/>
      <c r="FZ41" s="243"/>
      <c r="GA41" s="243"/>
      <c r="GB41" s="243"/>
      <c r="GC41" s="243"/>
      <c r="GD41" s="243"/>
      <c r="GE41" s="243"/>
      <c r="GF41" s="243"/>
      <c r="GG41" s="243"/>
      <c r="GH41" s="243"/>
      <c r="GI41" s="243"/>
      <c r="GJ41" s="243"/>
      <c r="GK41" s="243"/>
      <c r="GL41" s="243"/>
      <c r="GM41" s="243"/>
      <c r="GN41" s="243"/>
      <c r="GO41" s="243"/>
      <c r="GP41" s="243"/>
      <c r="GQ41" s="243"/>
      <c r="GR41" s="243"/>
      <c r="GS41" s="243"/>
      <c r="GT41" s="243"/>
    </row>
    <row r="42" spans="1:202" ht="12.75">
      <c r="A42" s="193" t="s">
        <v>101</v>
      </c>
      <c r="B42" s="182" t="s">
        <v>110</v>
      </c>
      <c r="C42" s="221" t="s">
        <v>234</v>
      </c>
      <c r="D42" s="73" t="s">
        <v>111</v>
      </c>
      <c r="E42" s="82"/>
      <c r="F42" s="82"/>
      <c r="G42" s="177">
        <f>E42-F42</f>
        <v>0</v>
      </c>
      <c r="H42" s="82"/>
      <c r="I42" s="82"/>
      <c r="J42" s="210">
        <f>H42-I42</f>
        <v>0</v>
      </c>
      <c r="K42" s="254"/>
      <c r="L42" s="254"/>
      <c r="M42" s="254"/>
      <c r="N42" s="284">
        <f t="shared" si="94"/>
        <v>0</v>
      </c>
      <c r="O42" s="275"/>
      <c r="P42" s="275"/>
      <c r="Q42" s="293"/>
      <c r="R42" s="284">
        <f>O42+P42+Q42</f>
        <v>0</v>
      </c>
      <c r="S42" s="293"/>
      <c r="T42" s="266"/>
      <c r="U42" s="275"/>
      <c r="V42" s="275"/>
      <c r="W42" s="293"/>
      <c r="X42" s="263"/>
      <c r="Y42" s="284">
        <f t="shared" si="74"/>
        <v>0</v>
      </c>
      <c r="Z42" s="275"/>
      <c r="AA42" s="275"/>
      <c r="AB42" s="275"/>
      <c r="AC42" s="275"/>
      <c r="AD42" s="275"/>
      <c r="AE42" s="275"/>
      <c r="AF42" s="284">
        <f>SUM(Z42:AE42)</f>
        <v>0</v>
      </c>
      <c r="AG42" s="282">
        <f t="shared" si="83"/>
        <v>0</v>
      </c>
      <c r="AH42" s="232">
        <f t="shared" si="90"/>
        <v>0</v>
      </c>
      <c r="AI42" s="232">
        <f t="shared" si="90"/>
        <v>0</v>
      </c>
      <c r="AJ42" s="232">
        <f t="shared" si="90"/>
        <v>0</v>
      </c>
      <c r="AK42" s="260">
        <f t="shared" si="59"/>
        <v>0</v>
      </c>
      <c r="AL42" s="232">
        <f t="shared" si="91"/>
        <v>0</v>
      </c>
      <c r="AM42" s="232">
        <f t="shared" si="91"/>
        <v>0</v>
      </c>
      <c r="AN42" s="232">
        <f t="shared" si="91"/>
        <v>0</v>
      </c>
      <c r="AO42" s="260">
        <f>SUM(AL42:AN42)</f>
        <v>0</v>
      </c>
      <c r="AP42" s="232">
        <f t="shared" si="92"/>
        <v>0</v>
      </c>
      <c r="AQ42" s="232">
        <f t="shared" si="92"/>
        <v>0</v>
      </c>
      <c r="AR42" s="232">
        <f t="shared" si="92"/>
        <v>0</v>
      </c>
      <c r="AS42" s="232">
        <f t="shared" si="92"/>
        <v>0</v>
      </c>
      <c r="AT42" s="232">
        <f t="shared" si="92"/>
        <v>0</v>
      </c>
      <c r="AU42" s="232">
        <f t="shared" si="92"/>
        <v>0</v>
      </c>
      <c r="AV42" s="260">
        <f>SUM(AP42:AU42)</f>
        <v>0</v>
      </c>
      <c r="AW42" s="232">
        <f t="shared" si="93"/>
        <v>0</v>
      </c>
      <c r="AX42" s="232">
        <f t="shared" si="93"/>
        <v>0</v>
      </c>
      <c r="AY42" s="232">
        <f t="shared" si="93"/>
        <v>0</v>
      </c>
      <c r="AZ42" s="232">
        <f t="shared" si="93"/>
        <v>0</v>
      </c>
      <c r="BA42" s="232">
        <f t="shared" si="93"/>
        <v>0</v>
      </c>
      <c r="BB42" s="232">
        <f t="shared" si="93"/>
        <v>0</v>
      </c>
      <c r="BC42" s="260">
        <f t="shared" si="43"/>
        <v>0</v>
      </c>
      <c r="BD42" s="238">
        <f t="shared" si="84"/>
        <v>0</v>
      </c>
    </row>
    <row r="43" spans="1:202" ht="12.75">
      <c r="A43" s="193" t="s">
        <v>117</v>
      </c>
      <c r="B43" s="182" t="s">
        <v>120</v>
      </c>
      <c r="C43" s="221" t="s">
        <v>231</v>
      </c>
      <c r="D43" s="73" t="s">
        <v>121</v>
      </c>
      <c r="E43" s="82"/>
      <c r="F43" s="82"/>
      <c r="G43" s="177"/>
      <c r="H43" s="82"/>
      <c r="I43" s="82"/>
      <c r="J43" s="210"/>
      <c r="K43" s="251">
        <f>K44</f>
        <v>80.3</v>
      </c>
      <c r="L43" s="251">
        <f>L44</f>
        <v>79.33</v>
      </c>
      <c r="M43" s="251">
        <f>M44</f>
        <v>0</v>
      </c>
      <c r="N43" s="284">
        <f t="shared" si="94"/>
        <v>159.63</v>
      </c>
      <c r="O43" s="272">
        <f>O44</f>
        <v>0</v>
      </c>
      <c r="P43" s="272">
        <f>P44</f>
        <v>0</v>
      </c>
      <c r="Q43" s="272">
        <f>Q44</f>
        <v>0</v>
      </c>
      <c r="R43" s="284">
        <f>O43+P43+Q43</f>
        <v>0</v>
      </c>
      <c r="S43" s="289">
        <f t="shared" ref="S43:X43" si="95">S44</f>
        <v>0</v>
      </c>
      <c r="T43" s="289">
        <f t="shared" si="95"/>
        <v>0</v>
      </c>
      <c r="U43" s="289">
        <f t="shared" si="95"/>
        <v>0</v>
      </c>
      <c r="V43" s="289">
        <f t="shared" si="95"/>
        <v>0</v>
      </c>
      <c r="W43" s="289">
        <f t="shared" si="95"/>
        <v>0</v>
      </c>
      <c r="X43" s="289">
        <f t="shared" si="95"/>
        <v>0</v>
      </c>
      <c r="Y43" s="284">
        <f>SUM(S43:X43)</f>
        <v>0</v>
      </c>
      <c r="Z43" s="272">
        <f t="shared" ref="Z43:AE43" si="96">Z44</f>
        <v>0</v>
      </c>
      <c r="AA43" s="272">
        <f t="shared" si="96"/>
        <v>0</v>
      </c>
      <c r="AB43" s="272">
        <f t="shared" si="96"/>
        <v>0</v>
      </c>
      <c r="AC43" s="272">
        <f t="shared" si="96"/>
        <v>0</v>
      </c>
      <c r="AD43" s="272">
        <f t="shared" si="96"/>
        <v>0</v>
      </c>
      <c r="AE43" s="272">
        <f t="shared" si="96"/>
        <v>0</v>
      </c>
      <c r="AF43" s="284">
        <f>SUM(Z43:AE43)</f>
        <v>0</v>
      </c>
      <c r="AG43" s="282">
        <f t="shared" si="83"/>
        <v>159.63</v>
      </c>
      <c r="AH43" s="227">
        <f>AH44</f>
        <v>557652.98600000003</v>
      </c>
      <c r="AI43" s="227">
        <f>AI44</f>
        <v>550916.70460000006</v>
      </c>
      <c r="AJ43" s="227">
        <f>AJ44</f>
        <v>0</v>
      </c>
      <c r="AK43" s="260">
        <f t="shared" si="59"/>
        <v>1108569.6906000001</v>
      </c>
      <c r="AL43" s="227">
        <f>AL44</f>
        <v>0</v>
      </c>
      <c r="AM43" s="227">
        <f>AM44</f>
        <v>0</v>
      </c>
      <c r="AN43" s="227">
        <f>AN44</f>
        <v>0</v>
      </c>
      <c r="AO43" s="260">
        <f>SUM(AL43:AN43)</f>
        <v>0</v>
      </c>
      <c r="AP43" s="227">
        <f t="shared" ref="AP43:AU43" si="97">AP44</f>
        <v>0</v>
      </c>
      <c r="AQ43" s="227">
        <f t="shared" si="97"/>
        <v>0</v>
      </c>
      <c r="AR43" s="227">
        <f t="shared" si="97"/>
        <v>0</v>
      </c>
      <c r="AS43" s="227">
        <f t="shared" si="97"/>
        <v>0</v>
      </c>
      <c r="AT43" s="227">
        <f t="shared" si="97"/>
        <v>0</v>
      </c>
      <c r="AU43" s="227">
        <f t="shared" si="97"/>
        <v>0</v>
      </c>
      <c r="AV43" s="260">
        <f>SUM(AP43:AU43)</f>
        <v>0</v>
      </c>
      <c r="AW43" s="227">
        <f t="shared" ref="AW43:BB43" si="98">AW44</f>
        <v>0</v>
      </c>
      <c r="AX43" s="227">
        <f t="shared" si="98"/>
        <v>0</v>
      </c>
      <c r="AY43" s="227">
        <f t="shared" si="98"/>
        <v>0</v>
      </c>
      <c r="AZ43" s="227">
        <f t="shared" si="98"/>
        <v>0</v>
      </c>
      <c r="BA43" s="227">
        <f t="shared" si="98"/>
        <v>0</v>
      </c>
      <c r="BB43" s="227">
        <f t="shared" si="98"/>
        <v>0</v>
      </c>
      <c r="BC43" s="260">
        <f t="shared" si="43"/>
        <v>0</v>
      </c>
      <c r="BD43" s="238">
        <f t="shared" si="84"/>
        <v>1108569.6906000001</v>
      </c>
      <c r="BE43" s="245"/>
    </row>
    <row r="44" spans="1:202" s="79" customFormat="1" ht="13.5" customHeight="1">
      <c r="A44" s="202"/>
      <c r="B44" s="145"/>
      <c r="C44" s="150"/>
      <c r="D44" s="73"/>
      <c r="E44" s="215">
        <v>8993.6200000000008</v>
      </c>
      <c r="F44" s="82">
        <v>2049</v>
      </c>
      <c r="G44" s="177">
        <f>E44-F44</f>
        <v>6944.6200000000008</v>
      </c>
      <c r="H44" s="215">
        <v>8993.6200000000008</v>
      </c>
      <c r="I44" s="82">
        <v>2049</v>
      </c>
      <c r="J44" s="210">
        <f>H44-I44</f>
        <v>6944.6200000000008</v>
      </c>
      <c r="K44" s="252">
        <v>80.3</v>
      </c>
      <c r="L44" s="252">
        <v>79.33</v>
      </c>
      <c r="M44" s="252"/>
      <c r="N44" s="287">
        <f t="shared" si="94"/>
        <v>159.63</v>
      </c>
      <c r="O44" s="273"/>
      <c r="P44" s="273"/>
      <c r="Q44" s="290"/>
      <c r="R44" s="287"/>
      <c r="S44" s="290"/>
      <c r="T44" s="264"/>
      <c r="U44" s="273"/>
      <c r="V44" s="273"/>
      <c r="W44" s="290"/>
      <c r="X44" s="264"/>
      <c r="Y44" s="142">
        <f>SUM(S44:X44)</f>
        <v>0</v>
      </c>
      <c r="Z44" s="273"/>
      <c r="AA44" s="273"/>
      <c r="AB44" s="273"/>
      <c r="AC44" s="273"/>
      <c r="AD44" s="273"/>
      <c r="AE44" s="273"/>
      <c r="AF44" s="287">
        <f>SUM(Z44:AE44)</f>
        <v>0</v>
      </c>
      <c r="AG44" s="283">
        <f t="shared" si="83"/>
        <v>159.63</v>
      </c>
      <c r="AH44" s="228">
        <f>K44*$G44</f>
        <v>557652.98600000003</v>
      </c>
      <c r="AI44" s="228">
        <f>L44*$G44</f>
        <v>550916.70460000006</v>
      </c>
      <c r="AJ44" s="228">
        <f>M44*$G44</f>
        <v>0</v>
      </c>
      <c r="AK44" s="261">
        <f t="shared" si="59"/>
        <v>1108569.6906000001</v>
      </c>
      <c r="AL44" s="228">
        <f>O44*$G44</f>
        <v>0</v>
      </c>
      <c r="AM44" s="228">
        <f>P44*$G44</f>
        <v>0</v>
      </c>
      <c r="AN44" s="228">
        <f>Q44*$G44</f>
        <v>0</v>
      </c>
      <c r="AO44" s="261"/>
      <c r="AP44" s="228">
        <f t="shared" ref="AP44:AU44" si="99">S44*$J44</f>
        <v>0</v>
      </c>
      <c r="AQ44" s="228">
        <f t="shared" si="99"/>
        <v>0</v>
      </c>
      <c r="AR44" s="228">
        <f t="shared" si="99"/>
        <v>0</v>
      </c>
      <c r="AS44" s="228">
        <f t="shared" si="99"/>
        <v>0</v>
      </c>
      <c r="AT44" s="228">
        <f t="shared" si="99"/>
        <v>0</v>
      </c>
      <c r="AU44" s="228">
        <f t="shared" si="99"/>
        <v>0</v>
      </c>
      <c r="AV44" s="261"/>
      <c r="AW44" s="228">
        <f t="shared" ref="AW44:BB44" si="100">Z44*$J44</f>
        <v>0</v>
      </c>
      <c r="AX44" s="228">
        <f t="shared" si="100"/>
        <v>0</v>
      </c>
      <c r="AY44" s="228">
        <f t="shared" si="100"/>
        <v>0</v>
      </c>
      <c r="AZ44" s="228">
        <f t="shared" si="100"/>
        <v>0</v>
      </c>
      <c r="BA44" s="228">
        <f t="shared" si="100"/>
        <v>0</v>
      </c>
      <c r="BB44" s="228">
        <f t="shared" si="100"/>
        <v>0</v>
      </c>
      <c r="BC44" s="261">
        <f t="shared" si="43"/>
        <v>0</v>
      </c>
      <c r="BD44" s="239">
        <f t="shared" si="84"/>
        <v>1108569.6906000001</v>
      </c>
      <c r="BE44" s="244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3"/>
      <c r="FT44" s="243"/>
      <c r="FU44" s="243"/>
      <c r="FV44" s="243"/>
      <c r="FW44" s="243"/>
      <c r="FX44" s="243"/>
      <c r="FY44" s="243"/>
      <c r="FZ44" s="243"/>
      <c r="GA44" s="243"/>
      <c r="GB44" s="243"/>
      <c r="GC44" s="243"/>
      <c r="GD44" s="243"/>
      <c r="GE44" s="243"/>
      <c r="GF44" s="243"/>
      <c r="GG44" s="243"/>
      <c r="GH44" s="243"/>
      <c r="GI44" s="243"/>
      <c r="GJ44" s="243"/>
      <c r="GK44" s="243"/>
      <c r="GL44" s="243"/>
      <c r="GM44" s="243"/>
      <c r="GN44" s="243"/>
      <c r="GO44" s="243"/>
      <c r="GP44" s="243"/>
      <c r="GQ44" s="243"/>
      <c r="GR44" s="243"/>
      <c r="GS44" s="243"/>
      <c r="GT44" s="243"/>
    </row>
    <row r="45" spans="1:202" ht="15" customHeight="1">
      <c r="A45" s="193" t="s">
        <v>117</v>
      </c>
      <c r="B45" s="182" t="s">
        <v>218</v>
      </c>
      <c r="C45" s="221" t="s">
        <v>192</v>
      </c>
      <c r="D45" s="73">
        <v>2902009446</v>
      </c>
      <c r="E45" s="82"/>
      <c r="F45" s="82"/>
      <c r="G45" s="177"/>
      <c r="H45" s="82"/>
      <c r="I45" s="82"/>
      <c r="J45" s="210"/>
      <c r="K45" s="254">
        <f>SUM(K46:K47)</f>
        <v>90.634999999999991</v>
      </c>
      <c r="L45" s="254">
        <f>SUM(L46:L47)</f>
        <v>90.634999999999991</v>
      </c>
      <c r="M45" s="254">
        <f>SUM(M46:M47)</f>
        <v>0</v>
      </c>
      <c r="N45" s="284">
        <f t="shared" si="94"/>
        <v>181.26999999999998</v>
      </c>
      <c r="O45" s="275">
        <f>SUM(O46:O47)</f>
        <v>0</v>
      </c>
      <c r="P45" s="275">
        <f>SUM(P46:P47)</f>
        <v>0</v>
      </c>
      <c r="Q45" s="275">
        <f>SUM(Q46:Q47)</f>
        <v>0</v>
      </c>
      <c r="R45" s="284">
        <f>O45+P45+Q45</f>
        <v>0</v>
      </c>
      <c r="S45" s="293">
        <f t="shared" ref="S45:X45" si="101">S46+S47</f>
        <v>0</v>
      </c>
      <c r="T45" s="293">
        <f t="shared" si="101"/>
        <v>0</v>
      </c>
      <c r="U45" s="293">
        <f t="shared" si="101"/>
        <v>0</v>
      </c>
      <c r="V45" s="293">
        <f t="shared" si="101"/>
        <v>0</v>
      </c>
      <c r="W45" s="293">
        <f t="shared" si="101"/>
        <v>0</v>
      </c>
      <c r="X45" s="293">
        <f t="shared" si="101"/>
        <v>0</v>
      </c>
      <c r="Y45" s="284">
        <f>SUM(S45:X45)</f>
        <v>0</v>
      </c>
      <c r="Z45" s="275">
        <f t="shared" ref="Z45:AE45" si="102">Z46+Z47</f>
        <v>0</v>
      </c>
      <c r="AA45" s="275">
        <f t="shared" si="102"/>
        <v>0</v>
      </c>
      <c r="AB45" s="275">
        <f t="shared" si="102"/>
        <v>0</v>
      </c>
      <c r="AC45" s="275">
        <f t="shared" si="102"/>
        <v>0</v>
      </c>
      <c r="AD45" s="275">
        <f t="shared" si="102"/>
        <v>0</v>
      </c>
      <c r="AE45" s="275">
        <f t="shared" si="102"/>
        <v>0</v>
      </c>
      <c r="AF45" s="284">
        <f>SUM(AF46:AF47)</f>
        <v>0</v>
      </c>
      <c r="AG45" s="282">
        <f t="shared" si="83"/>
        <v>181.26999999999998</v>
      </c>
      <c r="AH45" s="232">
        <f>AH46+AH47</f>
        <v>858735.65520999988</v>
      </c>
      <c r="AI45" s="232">
        <f>AI46+AI47</f>
        <v>858735.65520999988</v>
      </c>
      <c r="AJ45" s="232">
        <f>AJ46+AJ47</f>
        <v>0</v>
      </c>
      <c r="AK45" s="260">
        <f>AH45+AI45+AJ45</f>
        <v>1717471.3104199998</v>
      </c>
      <c r="AL45" s="232">
        <f>AL46+AL47</f>
        <v>0</v>
      </c>
      <c r="AM45" s="232">
        <f>AM46+AM47</f>
        <v>0</v>
      </c>
      <c r="AN45" s="232">
        <f>AN46+AN47</f>
        <v>0</v>
      </c>
      <c r="AO45" s="260">
        <f>SUM(AL45:AN45)</f>
        <v>0</v>
      </c>
      <c r="AP45" s="232">
        <f t="shared" ref="AP45:AU45" si="103">AP46+AP47</f>
        <v>0</v>
      </c>
      <c r="AQ45" s="232">
        <f t="shared" si="103"/>
        <v>0</v>
      </c>
      <c r="AR45" s="232">
        <f t="shared" si="103"/>
        <v>0</v>
      </c>
      <c r="AS45" s="232">
        <f t="shared" si="103"/>
        <v>0</v>
      </c>
      <c r="AT45" s="232">
        <f t="shared" si="103"/>
        <v>0</v>
      </c>
      <c r="AU45" s="232">
        <f t="shared" si="103"/>
        <v>0</v>
      </c>
      <c r="AV45" s="260">
        <f t="shared" ref="AV45:AV50" si="104">SUM(AP45:AU45)</f>
        <v>0</v>
      </c>
      <c r="AW45" s="232">
        <f t="shared" ref="AW45:BB45" si="105">AW46+AW47</f>
        <v>0</v>
      </c>
      <c r="AX45" s="232">
        <f t="shared" si="105"/>
        <v>0</v>
      </c>
      <c r="AY45" s="232">
        <f t="shared" si="105"/>
        <v>0</v>
      </c>
      <c r="AZ45" s="232">
        <f t="shared" si="105"/>
        <v>0</v>
      </c>
      <c r="BA45" s="232">
        <f t="shared" si="105"/>
        <v>0</v>
      </c>
      <c r="BB45" s="232">
        <f t="shared" si="105"/>
        <v>0</v>
      </c>
      <c r="BC45" s="260">
        <f t="shared" ref="BC45:BC50" si="106">SUM(AW45:BB45)</f>
        <v>0</v>
      </c>
      <c r="BD45" s="238">
        <f t="shared" si="84"/>
        <v>1717471.3104199998</v>
      </c>
    </row>
    <row r="46" spans="1:202" s="79" customFormat="1" ht="13.5" customHeight="1">
      <c r="A46" s="202"/>
      <c r="B46" s="145" t="s">
        <v>177</v>
      </c>
      <c r="C46" s="150"/>
      <c r="D46" s="73"/>
      <c r="E46" s="215">
        <v>14504.16</v>
      </c>
      <c r="F46" s="82">
        <v>1155.83</v>
      </c>
      <c r="G46" s="177">
        <f>E46-F46</f>
        <v>13348.33</v>
      </c>
      <c r="H46" s="215">
        <v>14504.16</v>
      </c>
      <c r="I46" s="82">
        <v>1155.83</v>
      </c>
      <c r="J46" s="210">
        <f>H46-I46</f>
        <v>13348.33</v>
      </c>
      <c r="K46" s="252">
        <v>33.848999999999997</v>
      </c>
      <c r="L46" s="252">
        <v>33.848999999999997</v>
      </c>
      <c r="M46" s="252"/>
      <c r="N46" s="287">
        <f t="shared" si="94"/>
        <v>67.697999999999993</v>
      </c>
      <c r="O46" s="273"/>
      <c r="P46" s="273"/>
      <c r="Q46" s="290"/>
      <c r="R46" s="287"/>
      <c r="S46" s="290"/>
      <c r="T46" s="264"/>
      <c r="U46" s="273"/>
      <c r="V46" s="273"/>
      <c r="W46" s="290"/>
      <c r="X46" s="264"/>
      <c r="Y46" s="142"/>
      <c r="Z46" s="273"/>
      <c r="AA46" s="273"/>
      <c r="AB46" s="273"/>
      <c r="AC46" s="273"/>
      <c r="AD46" s="273"/>
      <c r="AE46" s="273"/>
      <c r="AF46" s="287">
        <f>SUM(Z46:AE46)</f>
        <v>0</v>
      </c>
      <c r="AG46" s="283">
        <f t="shared" si="83"/>
        <v>67.697999999999993</v>
      </c>
      <c r="AH46" s="228">
        <f t="shared" ref="AH46:AJ47" si="107">K46*$G46</f>
        <v>451827.62216999993</v>
      </c>
      <c r="AI46" s="228">
        <f t="shared" si="107"/>
        <v>451827.62216999993</v>
      </c>
      <c r="AJ46" s="228">
        <f t="shared" si="107"/>
        <v>0</v>
      </c>
      <c r="AK46" s="261">
        <f>AH46+AI46+AJ46</f>
        <v>903655.24433999986</v>
      </c>
      <c r="AL46" s="228">
        <f t="shared" ref="AL46:AN47" si="108">O46*$G46</f>
        <v>0</v>
      </c>
      <c r="AM46" s="228">
        <f t="shared" si="108"/>
        <v>0</v>
      </c>
      <c r="AN46" s="228">
        <f t="shared" si="108"/>
        <v>0</v>
      </c>
      <c r="AO46" s="261"/>
      <c r="AP46" s="228">
        <f t="shared" ref="AP46:AU47" si="109">S46*$J46</f>
        <v>0</v>
      </c>
      <c r="AQ46" s="228">
        <f t="shared" si="109"/>
        <v>0</v>
      </c>
      <c r="AR46" s="228">
        <f t="shared" si="109"/>
        <v>0</v>
      </c>
      <c r="AS46" s="228">
        <f t="shared" si="109"/>
        <v>0</v>
      </c>
      <c r="AT46" s="228">
        <f t="shared" si="109"/>
        <v>0</v>
      </c>
      <c r="AU46" s="228">
        <f t="shared" si="109"/>
        <v>0</v>
      </c>
      <c r="AV46" s="261"/>
      <c r="AW46" s="228">
        <f t="shared" ref="AW46:BB47" si="110">Z46*$J46</f>
        <v>0</v>
      </c>
      <c r="AX46" s="228">
        <f t="shared" si="110"/>
        <v>0</v>
      </c>
      <c r="AY46" s="228">
        <f t="shared" si="110"/>
        <v>0</v>
      </c>
      <c r="AZ46" s="228">
        <f t="shared" si="110"/>
        <v>0</v>
      </c>
      <c r="BA46" s="228">
        <f t="shared" si="110"/>
        <v>0</v>
      </c>
      <c r="BB46" s="228">
        <f t="shared" si="110"/>
        <v>0</v>
      </c>
      <c r="BC46" s="261">
        <f>SUM(AW46:BB46)</f>
        <v>0</v>
      </c>
      <c r="BD46" s="239">
        <f t="shared" si="84"/>
        <v>903655.24433999986</v>
      </c>
      <c r="BE46" s="244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  <c r="ES46" s="243"/>
      <c r="ET46" s="243"/>
      <c r="EU46" s="243"/>
      <c r="EV46" s="243"/>
      <c r="EW46" s="243"/>
      <c r="EX46" s="243"/>
      <c r="EY46" s="243"/>
      <c r="EZ46" s="243"/>
      <c r="FA46" s="243"/>
      <c r="FB46" s="243"/>
      <c r="FC46" s="243"/>
      <c r="FD46" s="243"/>
      <c r="FE46" s="243"/>
      <c r="FF46" s="243"/>
      <c r="FG46" s="243"/>
      <c r="FH46" s="243"/>
      <c r="FI46" s="243"/>
      <c r="FJ46" s="243"/>
      <c r="FK46" s="243"/>
      <c r="FL46" s="243"/>
      <c r="FM46" s="243"/>
      <c r="FN46" s="243"/>
      <c r="FO46" s="243"/>
      <c r="FP46" s="243"/>
      <c r="FQ46" s="243"/>
      <c r="FR46" s="243"/>
      <c r="FS46" s="243"/>
      <c r="FT46" s="243"/>
      <c r="FU46" s="243"/>
      <c r="FV46" s="243"/>
      <c r="FW46" s="243"/>
      <c r="FX46" s="243"/>
      <c r="FY46" s="243"/>
      <c r="FZ46" s="243"/>
      <c r="GA46" s="243"/>
      <c r="GB46" s="243"/>
      <c r="GC46" s="243"/>
      <c r="GD46" s="243"/>
      <c r="GE46" s="243"/>
      <c r="GF46" s="243"/>
      <c r="GG46" s="243"/>
      <c r="GH46" s="243"/>
      <c r="GI46" s="243"/>
      <c r="GJ46" s="243"/>
      <c r="GK46" s="243"/>
      <c r="GL46" s="243"/>
      <c r="GM46" s="243"/>
      <c r="GN46" s="243"/>
      <c r="GO46" s="243"/>
      <c r="GP46" s="243"/>
      <c r="GQ46" s="243"/>
      <c r="GR46" s="243"/>
      <c r="GS46" s="243"/>
      <c r="GT46" s="243"/>
    </row>
    <row r="47" spans="1:202" s="79" customFormat="1" ht="13.5" customHeight="1">
      <c r="A47" s="202"/>
      <c r="B47" s="145" t="s">
        <v>193</v>
      </c>
      <c r="C47" s="150"/>
      <c r="D47" s="73"/>
      <c r="E47" s="215">
        <v>8321.4699999999993</v>
      </c>
      <c r="F47" s="82">
        <v>1155.83</v>
      </c>
      <c r="G47" s="177">
        <f>E47-F47</f>
        <v>7165.6399999999994</v>
      </c>
      <c r="H47" s="215">
        <v>8321.4699999999993</v>
      </c>
      <c r="I47" s="82">
        <v>1155.83</v>
      </c>
      <c r="J47" s="210">
        <f>H47-I47</f>
        <v>7165.6399999999994</v>
      </c>
      <c r="K47" s="252">
        <v>56.786000000000001</v>
      </c>
      <c r="L47" s="252">
        <v>56.786000000000001</v>
      </c>
      <c r="M47" s="252"/>
      <c r="N47" s="287">
        <f t="shared" si="94"/>
        <v>113.572</v>
      </c>
      <c r="O47" s="273"/>
      <c r="P47" s="273"/>
      <c r="Q47" s="290"/>
      <c r="R47" s="287"/>
      <c r="S47" s="290"/>
      <c r="T47" s="264"/>
      <c r="U47" s="273"/>
      <c r="V47" s="273"/>
      <c r="W47" s="290"/>
      <c r="X47" s="264"/>
      <c r="Y47" s="142"/>
      <c r="Z47" s="273"/>
      <c r="AA47" s="273"/>
      <c r="AB47" s="273"/>
      <c r="AC47" s="273"/>
      <c r="AD47" s="273"/>
      <c r="AE47" s="273"/>
      <c r="AF47" s="287">
        <f>SUM(Z47:AE47)</f>
        <v>0</v>
      </c>
      <c r="AG47" s="283">
        <f t="shared" si="83"/>
        <v>113.572</v>
      </c>
      <c r="AH47" s="228">
        <f t="shared" si="107"/>
        <v>406908.03303999995</v>
      </c>
      <c r="AI47" s="228">
        <f t="shared" si="107"/>
        <v>406908.03303999995</v>
      </c>
      <c r="AJ47" s="228">
        <f t="shared" si="107"/>
        <v>0</v>
      </c>
      <c r="AK47" s="261">
        <f>AH47+AI47+AJ47</f>
        <v>813816.0660799999</v>
      </c>
      <c r="AL47" s="228">
        <f t="shared" si="108"/>
        <v>0</v>
      </c>
      <c r="AM47" s="228">
        <f t="shared" si="108"/>
        <v>0</v>
      </c>
      <c r="AN47" s="228">
        <f t="shared" si="108"/>
        <v>0</v>
      </c>
      <c r="AO47" s="261"/>
      <c r="AP47" s="228">
        <f t="shared" si="109"/>
        <v>0</v>
      </c>
      <c r="AQ47" s="228">
        <f t="shared" si="109"/>
        <v>0</v>
      </c>
      <c r="AR47" s="228">
        <f t="shared" si="109"/>
        <v>0</v>
      </c>
      <c r="AS47" s="228">
        <f t="shared" si="109"/>
        <v>0</v>
      </c>
      <c r="AT47" s="228">
        <f t="shared" si="109"/>
        <v>0</v>
      </c>
      <c r="AU47" s="228">
        <f t="shared" si="109"/>
        <v>0</v>
      </c>
      <c r="AV47" s="261"/>
      <c r="AW47" s="228">
        <f t="shared" si="110"/>
        <v>0</v>
      </c>
      <c r="AX47" s="228">
        <f t="shared" si="110"/>
        <v>0</v>
      </c>
      <c r="AY47" s="228">
        <f t="shared" si="110"/>
        <v>0</v>
      </c>
      <c r="AZ47" s="228">
        <f t="shared" si="110"/>
        <v>0</v>
      </c>
      <c r="BA47" s="228">
        <f t="shared" si="110"/>
        <v>0</v>
      </c>
      <c r="BB47" s="228">
        <f t="shared" si="110"/>
        <v>0</v>
      </c>
      <c r="BC47" s="261">
        <f>SUM(AW47:BB47)</f>
        <v>0</v>
      </c>
      <c r="BD47" s="239">
        <f t="shared" si="84"/>
        <v>813816.0660799999</v>
      </c>
      <c r="BE47" s="244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  <c r="ES47" s="243"/>
      <c r="ET47" s="243"/>
      <c r="EU47" s="243"/>
      <c r="EV47" s="243"/>
      <c r="EW47" s="243"/>
      <c r="EX47" s="243"/>
      <c r="EY47" s="243"/>
      <c r="EZ47" s="243"/>
      <c r="FA47" s="243"/>
      <c r="FB47" s="243"/>
      <c r="FC47" s="243"/>
      <c r="FD47" s="243"/>
      <c r="FE47" s="243"/>
      <c r="FF47" s="243"/>
      <c r="FG47" s="243"/>
      <c r="FH47" s="243"/>
      <c r="FI47" s="243"/>
      <c r="FJ47" s="243"/>
      <c r="FK47" s="243"/>
      <c r="FL47" s="243"/>
      <c r="FM47" s="243"/>
      <c r="FN47" s="243"/>
      <c r="FO47" s="243"/>
      <c r="FP47" s="243"/>
      <c r="FQ47" s="243"/>
      <c r="FR47" s="243"/>
      <c r="FS47" s="243"/>
      <c r="FT47" s="243"/>
      <c r="FU47" s="243"/>
      <c r="FV47" s="243"/>
      <c r="FW47" s="243"/>
      <c r="FX47" s="243"/>
      <c r="FY47" s="243"/>
      <c r="FZ47" s="243"/>
      <c r="GA47" s="243"/>
      <c r="GB47" s="243"/>
      <c r="GC47" s="243"/>
      <c r="GD47" s="243"/>
      <c r="GE47" s="243"/>
      <c r="GF47" s="243"/>
      <c r="GG47" s="243"/>
      <c r="GH47" s="243"/>
      <c r="GI47" s="243"/>
      <c r="GJ47" s="243"/>
      <c r="GK47" s="243"/>
      <c r="GL47" s="243"/>
      <c r="GM47" s="243"/>
      <c r="GN47" s="243"/>
      <c r="GO47" s="243"/>
      <c r="GP47" s="243"/>
      <c r="GQ47" s="243"/>
      <c r="GR47" s="243"/>
      <c r="GS47" s="243"/>
      <c r="GT47" s="243"/>
    </row>
    <row r="48" spans="1:202" ht="12.75">
      <c r="A48" s="193" t="s">
        <v>101</v>
      </c>
      <c r="B48" s="182" t="s">
        <v>102</v>
      </c>
      <c r="C48" s="221" t="s">
        <v>240</v>
      </c>
      <c r="D48" s="73" t="s">
        <v>103</v>
      </c>
      <c r="E48" s="215"/>
      <c r="F48" s="82"/>
      <c r="G48" s="177"/>
      <c r="H48" s="215"/>
      <c r="I48" s="82"/>
      <c r="J48" s="210"/>
      <c r="K48" s="251">
        <f>SUM(K49:K50)</f>
        <v>0</v>
      </c>
      <c r="L48" s="251">
        <f t="shared" ref="L48:Q48" si="111">SUM(L49:L51)</f>
        <v>0</v>
      </c>
      <c r="M48" s="251">
        <f t="shared" si="111"/>
        <v>0</v>
      </c>
      <c r="N48" s="284">
        <f t="shared" si="111"/>
        <v>0</v>
      </c>
      <c r="O48" s="272">
        <f t="shared" si="111"/>
        <v>0</v>
      </c>
      <c r="P48" s="272">
        <f t="shared" si="111"/>
        <v>0</v>
      </c>
      <c r="Q48" s="289">
        <f t="shared" si="111"/>
        <v>0</v>
      </c>
      <c r="R48" s="284">
        <f>SUM(R49:X51)</f>
        <v>0</v>
      </c>
      <c r="S48" s="289">
        <f t="shared" ref="S48:X48" si="112">SUM(S49:S51)</f>
        <v>0</v>
      </c>
      <c r="T48" s="289">
        <f t="shared" si="112"/>
        <v>0</v>
      </c>
      <c r="U48" s="289">
        <f t="shared" si="112"/>
        <v>0</v>
      </c>
      <c r="V48" s="289">
        <f t="shared" si="112"/>
        <v>0</v>
      </c>
      <c r="W48" s="289">
        <f t="shared" si="112"/>
        <v>0</v>
      </c>
      <c r="X48" s="289">
        <f t="shared" si="112"/>
        <v>0</v>
      </c>
      <c r="Y48" s="262">
        <f>SUM(Y49:Y50)</f>
        <v>0</v>
      </c>
      <c r="Z48" s="272">
        <f t="shared" ref="Z48:AE48" si="113">SUM(Z49:Z51)</f>
        <v>0</v>
      </c>
      <c r="AA48" s="272">
        <f t="shared" si="113"/>
        <v>0</v>
      </c>
      <c r="AB48" s="272">
        <f t="shared" si="113"/>
        <v>0</v>
      </c>
      <c r="AC48" s="272">
        <f t="shared" si="113"/>
        <v>0</v>
      </c>
      <c r="AD48" s="272">
        <f t="shared" si="113"/>
        <v>0</v>
      </c>
      <c r="AE48" s="272">
        <f t="shared" si="113"/>
        <v>0</v>
      </c>
      <c r="AF48" s="284">
        <f>SUM(AF49:AF50)</f>
        <v>0</v>
      </c>
      <c r="AG48" s="282">
        <f t="shared" si="83"/>
        <v>0</v>
      </c>
      <c r="AH48" s="227">
        <f t="shared" ref="AH48:AN48" si="114">SUM(AH49:AH51)</f>
        <v>0</v>
      </c>
      <c r="AI48" s="227">
        <f t="shared" si="114"/>
        <v>0</v>
      </c>
      <c r="AJ48" s="227">
        <f t="shared" si="114"/>
        <v>0</v>
      </c>
      <c r="AK48" s="260">
        <f t="shared" si="114"/>
        <v>0</v>
      </c>
      <c r="AL48" s="227">
        <f t="shared" si="114"/>
        <v>0</v>
      </c>
      <c r="AM48" s="227">
        <f t="shared" si="114"/>
        <v>0</v>
      </c>
      <c r="AN48" s="227">
        <f t="shared" si="114"/>
        <v>0</v>
      </c>
      <c r="AO48" s="260">
        <f t="shared" ref="AO48:AO54" si="115">SUM(AL48:AN48)</f>
        <v>0</v>
      </c>
      <c r="AP48" s="227">
        <f t="shared" ref="AP48:AU48" si="116">SUM(AP49:AP51)</f>
        <v>0</v>
      </c>
      <c r="AQ48" s="227">
        <f t="shared" si="116"/>
        <v>0</v>
      </c>
      <c r="AR48" s="227">
        <f t="shared" si="116"/>
        <v>0</v>
      </c>
      <c r="AS48" s="227">
        <f t="shared" si="116"/>
        <v>0</v>
      </c>
      <c r="AT48" s="227">
        <f t="shared" si="116"/>
        <v>0</v>
      </c>
      <c r="AU48" s="227">
        <f t="shared" si="116"/>
        <v>0</v>
      </c>
      <c r="AV48" s="260">
        <f t="shared" si="104"/>
        <v>0</v>
      </c>
      <c r="AW48" s="227">
        <f t="shared" ref="AW48:BB48" si="117">SUM(AW49:AW51)</f>
        <v>0</v>
      </c>
      <c r="AX48" s="227">
        <f t="shared" si="117"/>
        <v>0</v>
      </c>
      <c r="AY48" s="227">
        <f t="shared" si="117"/>
        <v>0</v>
      </c>
      <c r="AZ48" s="227">
        <f t="shared" si="117"/>
        <v>0</v>
      </c>
      <c r="BA48" s="227">
        <f t="shared" si="117"/>
        <v>0</v>
      </c>
      <c r="BB48" s="227">
        <f t="shared" si="117"/>
        <v>0</v>
      </c>
      <c r="BC48" s="260">
        <f t="shared" si="106"/>
        <v>0</v>
      </c>
      <c r="BD48" s="238">
        <f t="shared" si="84"/>
        <v>0</v>
      </c>
    </row>
    <row r="49" spans="1:202" s="79" customFormat="1" ht="13.5" customHeight="1">
      <c r="A49" s="189"/>
      <c r="B49" s="145" t="s">
        <v>444</v>
      </c>
      <c r="C49" s="216"/>
      <c r="D49" s="146"/>
      <c r="E49" s="215"/>
      <c r="F49" s="82"/>
      <c r="G49" s="177">
        <f>E49-F49</f>
        <v>0</v>
      </c>
      <c r="H49" s="215"/>
      <c r="I49" s="82"/>
      <c r="J49" s="210">
        <f>H49-I49</f>
        <v>0</v>
      </c>
      <c r="K49" s="253"/>
      <c r="L49" s="253"/>
      <c r="M49" s="253"/>
      <c r="N49" s="287">
        <f>K49+L49+M49</f>
        <v>0</v>
      </c>
      <c r="O49" s="274"/>
      <c r="P49" s="274"/>
      <c r="Q49" s="291"/>
      <c r="R49" s="287">
        <f>O49+P49+Q49</f>
        <v>0</v>
      </c>
      <c r="S49" s="291"/>
      <c r="T49" s="265"/>
      <c r="U49" s="274"/>
      <c r="V49" s="274"/>
      <c r="W49" s="291"/>
      <c r="X49" s="265"/>
      <c r="Y49" s="142">
        <f>SUM(S49:X49)</f>
        <v>0</v>
      </c>
      <c r="Z49" s="274"/>
      <c r="AA49" s="274"/>
      <c r="AB49" s="274"/>
      <c r="AC49" s="274"/>
      <c r="AD49" s="274"/>
      <c r="AE49" s="274"/>
      <c r="AF49" s="287">
        <f>SUM(Z49:AE49)</f>
        <v>0</v>
      </c>
      <c r="AG49" s="283">
        <f t="shared" si="83"/>
        <v>0</v>
      </c>
      <c r="AH49" s="229">
        <f t="shared" ref="AH49:AJ51" si="118">K49*$G49</f>
        <v>0</v>
      </c>
      <c r="AI49" s="229">
        <f t="shared" si="118"/>
        <v>0</v>
      </c>
      <c r="AJ49" s="229">
        <f t="shared" si="118"/>
        <v>0</v>
      </c>
      <c r="AK49" s="261">
        <f>AH49+AI49+AJ49</f>
        <v>0</v>
      </c>
      <c r="AL49" s="229">
        <f t="shared" ref="AL49:AN51" si="119">O49*$G49</f>
        <v>0</v>
      </c>
      <c r="AM49" s="229">
        <f t="shared" si="119"/>
        <v>0</v>
      </c>
      <c r="AN49" s="229">
        <f t="shared" si="119"/>
        <v>0</v>
      </c>
      <c r="AO49" s="261">
        <f t="shared" si="115"/>
        <v>0</v>
      </c>
      <c r="AP49" s="229">
        <f t="shared" ref="AP49:AU51" si="120">S49*$J49</f>
        <v>0</v>
      </c>
      <c r="AQ49" s="229">
        <f t="shared" si="120"/>
        <v>0</v>
      </c>
      <c r="AR49" s="229">
        <f t="shared" si="120"/>
        <v>0</v>
      </c>
      <c r="AS49" s="229">
        <f t="shared" si="120"/>
        <v>0</v>
      </c>
      <c r="AT49" s="229">
        <f t="shared" si="120"/>
        <v>0</v>
      </c>
      <c r="AU49" s="229">
        <f t="shared" si="120"/>
        <v>0</v>
      </c>
      <c r="AV49" s="261">
        <f t="shared" si="104"/>
        <v>0</v>
      </c>
      <c r="AW49" s="229">
        <f t="shared" ref="AW49:BB51" si="121">Z49*$J49</f>
        <v>0</v>
      </c>
      <c r="AX49" s="229">
        <f t="shared" si="121"/>
        <v>0</v>
      </c>
      <c r="AY49" s="229">
        <f t="shared" si="121"/>
        <v>0</v>
      </c>
      <c r="AZ49" s="229">
        <f t="shared" si="121"/>
        <v>0</v>
      </c>
      <c r="BA49" s="229">
        <f t="shared" si="121"/>
        <v>0</v>
      </c>
      <c r="BB49" s="229">
        <f t="shared" si="121"/>
        <v>0</v>
      </c>
      <c r="BC49" s="261">
        <f t="shared" si="106"/>
        <v>0</v>
      </c>
      <c r="BD49" s="239">
        <f t="shared" si="84"/>
        <v>0</v>
      </c>
      <c r="BE49" s="244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  <c r="ES49" s="243"/>
      <c r="ET49" s="243"/>
      <c r="EU49" s="243"/>
      <c r="EV49" s="243"/>
      <c r="EW49" s="243"/>
      <c r="EX49" s="243"/>
      <c r="EY49" s="243"/>
      <c r="EZ49" s="243"/>
      <c r="FA49" s="243"/>
      <c r="FB49" s="243"/>
      <c r="FC49" s="243"/>
      <c r="FD49" s="243"/>
      <c r="FE49" s="243"/>
      <c r="FF49" s="243"/>
      <c r="FG49" s="243"/>
      <c r="FH49" s="243"/>
      <c r="FI49" s="243"/>
      <c r="FJ49" s="243"/>
      <c r="FK49" s="243"/>
      <c r="FL49" s="243"/>
      <c r="FM49" s="243"/>
      <c r="FN49" s="243"/>
      <c r="FO49" s="243"/>
      <c r="FP49" s="243"/>
      <c r="FQ49" s="243"/>
      <c r="FR49" s="243"/>
      <c r="FS49" s="243"/>
      <c r="FT49" s="243"/>
      <c r="FU49" s="243"/>
      <c r="FV49" s="243"/>
      <c r="FW49" s="243"/>
      <c r="FX49" s="243"/>
      <c r="FY49" s="243"/>
      <c r="FZ49" s="243"/>
      <c r="GA49" s="243"/>
      <c r="GB49" s="243"/>
      <c r="GC49" s="243"/>
      <c r="GD49" s="243"/>
      <c r="GE49" s="243"/>
      <c r="GF49" s="243"/>
      <c r="GG49" s="243"/>
      <c r="GH49" s="243"/>
      <c r="GI49" s="243"/>
      <c r="GJ49" s="243"/>
      <c r="GK49" s="243"/>
      <c r="GL49" s="243"/>
      <c r="GM49" s="243"/>
      <c r="GN49" s="243"/>
      <c r="GO49" s="243"/>
      <c r="GP49" s="243"/>
      <c r="GQ49" s="243"/>
      <c r="GR49" s="243"/>
      <c r="GS49" s="243"/>
      <c r="GT49" s="243"/>
    </row>
    <row r="50" spans="1:202" s="79" customFormat="1" ht="13.5" customHeight="1">
      <c r="A50" s="202"/>
      <c r="B50" s="145" t="s">
        <v>452</v>
      </c>
      <c r="C50" s="150"/>
      <c r="D50" s="73"/>
      <c r="E50" s="308"/>
      <c r="F50" s="309"/>
      <c r="G50" s="177">
        <f>E50-F50</f>
        <v>0</v>
      </c>
      <c r="H50" s="215"/>
      <c r="I50" s="82"/>
      <c r="J50" s="210">
        <f>H50-I50</f>
        <v>0</v>
      </c>
      <c r="K50" s="253"/>
      <c r="L50" s="253"/>
      <c r="M50" s="253"/>
      <c r="N50" s="287">
        <f>K50+L50+M50</f>
        <v>0</v>
      </c>
      <c r="O50" s="274"/>
      <c r="P50" s="274"/>
      <c r="Q50" s="291"/>
      <c r="R50" s="287">
        <f>O50+P50+Q50</f>
        <v>0</v>
      </c>
      <c r="S50" s="291"/>
      <c r="T50" s="265"/>
      <c r="U50" s="274"/>
      <c r="V50" s="274"/>
      <c r="W50" s="291"/>
      <c r="X50" s="265"/>
      <c r="Y50" s="142">
        <f>SUM(S50:X50)</f>
        <v>0</v>
      </c>
      <c r="Z50" s="274"/>
      <c r="AA50" s="274"/>
      <c r="AB50" s="274"/>
      <c r="AC50" s="274"/>
      <c r="AD50" s="274"/>
      <c r="AE50" s="274"/>
      <c r="AF50" s="287">
        <f>SUM(Z50:AE50)</f>
        <v>0</v>
      </c>
      <c r="AG50" s="283">
        <f t="shared" si="83"/>
        <v>0</v>
      </c>
      <c r="AH50" s="229">
        <f t="shared" si="118"/>
        <v>0</v>
      </c>
      <c r="AI50" s="229">
        <f t="shared" si="118"/>
        <v>0</v>
      </c>
      <c r="AJ50" s="229">
        <f t="shared" si="118"/>
        <v>0</v>
      </c>
      <c r="AK50" s="261">
        <f>AH50+AI50+AJ50</f>
        <v>0</v>
      </c>
      <c r="AL50" s="229">
        <f t="shared" si="119"/>
        <v>0</v>
      </c>
      <c r="AM50" s="229">
        <f t="shared" si="119"/>
        <v>0</v>
      </c>
      <c r="AN50" s="229">
        <f t="shared" si="119"/>
        <v>0</v>
      </c>
      <c r="AO50" s="261">
        <f t="shared" si="115"/>
        <v>0</v>
      </c>
      <c r="AP50" s="229">
        <f t="shared" si="120"/>
        <v>0</v>
      </c>
      <c r="AQ50" s="229">
        <f t="shared" si="120"/>
        <v>0</v>
      </c>
      <c r="AR50" s="229">
        <f t="shared" si="120"/>
        <v>0</v>
      </c>
      <c r="AS50" s="229">
        <f t="shared" si="120"/>
        <v>0</v>
      </c>
      <c r="AT50" s="229">
        <f t="shared" si="120"/>
        <v>0</v>
      </c>
      <c r="AU50" s="229">
        <f t="shared" si="120"/>
        <v>0</v>
      </c>
      <c r="AV50" s="261">
        <f t="shared" si="104"/>
        <v>0</v>
      </c>
      <c r="AW50" s="229">
        <f t="shared" si="121"/>
        <v>0</v>
      </c>
      <c r="AX50" s="229">
        <f t="shared" si="121"/>
        <v>0</v>
      </c>
      <c r="AY50" s="229">
        <f t="shared" si="121"/>
        <v>0</v>
      </c>
      <c r="AZ50" s="229">
        <f t="shared" si="121"/>
        <v>0</v>
      </c>
      <c r="BA50" s="229">
        <f t="shared" si="121"/>
        <v>0</v>
      </c>
      <c r="BB50" s="229">
        <f t="shared" si="121"/>
        <v>0</v>
      </c>
      <c r="BC50" s="261">
        <f t="shared" si="106"/>
        <v>0</v>
      </c>
      <c r="BD50" s="239">
        <f t="shared" si="84"/>
        <v>0</v>
      </c>
      <c r="BE50" s="244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  <c r="ES50" s="243"/>
      <c r="ET50" s="243"/>
      <c r="EU50" s="243"/>
      <c r="EV50" s="243"/>
      <c r="EW50" s="243"/>
      <c r="EX50" s="243"/>
      <c r="EY50" s="243"/>
      <c r="EZ50" s="243"/>
      <c r="FA50" s="243"/>
      <c r="FB50" s="243"/>
      <c r="FC50" s="243"/>
      <c r="FD50" s="243"/>
      <c r="FE50" s="243"/>
      <c r="FF50" s="243"/>
      <c r="FG50" s="243"/>
      <c r="FH50" s="243"/>
      <c r="FI50" s="243"/>
      <c r="FJ50" s="243"/>
      <c r="FK50" s="243"/>
      <c r="FL50" s="243"/>
      <c r="FM50" s="243"/>
      <c r="FN50" s="243"/>
      <c r="FO50" s="243"/>
      <c r="FP50" s="243"/>
      <c r="FQ50" s="243"/>
      <c r="FR50" s="243"/>
      <c r="FS50" s="243"/>
      <c r="FT50" s="243"/>
      <c r="FU50" s="243"/>
      <c r="FV50" s="243"/>
      <c r="FW50" s="243"/>
      <c r="FX50" s="243"/>
      <c r="FY50" s="243"/>
      <c r="FZ50" s="243"/>
      <c r="GA50" s="243"/>
      <c r="GB50" s="243"/>
      <c r="GC50" s="243"/>
      <c r="GD50" s="243"/>
      <c r="GE50" s="243"/>
      <c r="GF50" s="243"/>
      <c r="GG50" s="243"/>
      <c r="GH50" s="243"/>
      <c r="GI50" s="243"/>
      <c r="GJ50" s="243"/>
      <c r="GK50" s="243"/>
      <c r="GL50" s="243"/>
      <c r="GM50" s="243"/>
      <c r="GN50" s="243"/>
      <c r="GO50" s="243"/>
      <c r="GP50" s="243"/>
      <c r="GQ50" s="243"/>
      <c r="GR50" s="243"/>
      <c r="GS50" s="243"/>
      <c r="GT50" s="243"/>
    </row>
    <row r="51" spans="1:202" s="79" customFormat="1" ht="13.5" customHeight="1">
      <c r="A51" s="202"/>
      <c r="B51" s="145" t="s">
        <v>343</v>
      </c>
      <c r="C51" s="150"/>
      <c r="D51" s="73"/>
      <c r="E51" s="215"/>
      <c r="F51" s="82"/>
      <c r="G51" s="177">
        <f>E51-F51</f>
        <v>0</v>
      </c>
      <c r="H51" s="215"/>
      <c r="I51" s="82"/>
      <c r="J51" s="210">
        <f>H51-I51</f>
        <v>0</v>
      </c>
      <c r="K51" s="253"/>
      <c r="L51" s="253"/>
      <c r="M51" s="253"/>
      <c r="N51" s="287">
        <f>K51+L51+M51</f>
        <v>0</v>
      </c>
      <c r="O51" s="274"/>
      <c r="P51" s="274"/>
      <c r="Q51" s="291"/>
      <c r="R51" s="287">
        <f>O51+P51+Q51</f>
        <v>0</v>
      </c>
      <c r="S51" s="291"/>
      <c r="T51" s="265"/>
      <c r="U51" s="274"/>
      <c r="V51" s="274"/>
      <c r="W51" s="291"/>
      <c r="X51" s="265"/>
      <c r="Y51" s="142"/>
      <c r="Z51" s="274"/>
      <c r="AA51" s="274"/>
      <c r="AB51" s="274"/>
      <c r="AC51" s="274"/>
      <c r="AD51" s="274"/>
      <c r="AE51" s="274"/>
      <c r="AF51" s="287"/>
      <c r="AG51" s="283">
        <f t="shared" si="83"/>
        <v>0</v>
      </c>
      <c r="AH51" s="229">
        <f t="shared" si="118"/>
        <v>0</v>
      </c>
      <c r="AI51" s="229">
        <f t="shared" si="118"/>
        <v>0</v>
      </c>
      <c r="AJ51" s="229">
        <f t="shared" si="118"/>
        <v>0</v>
      </c>
      <c r="AK51" s="261">
        <f>AH51+AI51+AJ51</f>
        <v>0</v>
      </c>
      <c r="AL51" s="229">
        <f t="shared" si="119"/>
        <v>0</v>
      </c>
      <c r="AM51" s="229">
        <f t="shared" si="119"/>
        <v>0</v>
      </c>
      <c r="AN51" s="229">
        <f t="shared" si="119"/>
        <v>0</v>
      </c>
      <c r="AO51" s="261">
        <f t="shared" si="115"/>
        <v>0</v>
      </c>
      <c r="AP51" s="229">
        <f t="shared" si="120"/>
        <v>0</v>
      </c>
      <c r="AQ51" s="229">
        <f t="shared" si="120"/>
        <v>0</v>
      </c>
      <c r="AR51" s="229">
        <f t="shared" si="120"/>
        <v>0</v>
      </c>
      <c r="AS51" s="229">
        <f t="shared" si="120"/>
        <v>0</v>
      </c>
      <c r="AT51" s="229">
        <f t="shared" si="120"/>
        <v>0</v>
      </c>
      <c r="AU51" s="229">
        <f t="shared" si="120"/>
        <v>0</v>
      </c>
      <c r="AV51" s="261"/>
      <c r="AW51" s="229">
        <f t="shared" si="121"/>
        <v>0</v>
      </c>
      <c r="AX51" s="229">
        <f t="shared" si="121"/>
        <v>0</v>
      </c>
      <c r="AY51" s="229">
        <f t="shared" si="121"/>
        <v>0</v>
      </c>
      <c r="AZ51" s="229">
        <f t="shared" si="121"/>
        <v>0</v>
      </c>
      <c r="BA51" s="229">
        <f t="shared" si="121"/>
        <v>0</v>
      </c>
      <c r="BB51" s="229">
        <f t="shared" si="121"/>
        <v>0</v>
      </c>
      <c r="BC51" s="261"/>
      <c r="BD51" s="239">
        <f t="shared" si="84"/>
        <v>0</v>
      </c>
      <c r="BE51" s="244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  <c r="ES51" s="243"/>
      <c r="ET51" s="243"/>
      <c r="EU51" s="243"/>
      <c r="EV51" s="243"/>
      <c r="EW51" s="243"/>
      <c r="EX51" s="243"/>
      <c r="EY51" s="243"/>
      <c r="EZ51" s="243"/>
      <c r="FA51" s="243"/>
      <c r="FB51" s="243"/>
      <c r="FC51" s="243"/>
      <c r="FD51" s="243"/>
      <c r="FE51" s="243"/>
      <c r="FF51" s="243"/>
      <c r="FG51" s="243"/>
      <c r="FH51" s="243"/>
      <c r="FI51" s="243"/>
      <c r="FJ51" s="243"/>
      <c r="FK51" s="243"/>
      <c r="FL51" s="243"/>
      <c r="FM51" s="243"/>
      <c r="FN51" s="243"/>
      <c r="FO51" s="243"/>
      <c r="FP51" s="243"/>
      <c r="FQ51" s="243"/>
      <c r="FR51" s="243"/>
      <c r="FS51" s="243"/>
      <c r="FT51" s="243"/>
      <c r="FU51" s="243"/>
      <c r="FV51" s="243"/>
      <c r="FW51" s="243"/>
      <c r="FX51" s="243"/>
      <c r="FY51" s="243"/>
      <c r="FZ51" s="243"/>
      <c r="GA51" s="243"/>
      <c r="GB51" s="243"/>
      <c r="GC51" s="243"/>
      <c r="GD51" s="243"/>
      <c r="GE51" s="243"/>
      <c r="GF51" s="243"/>
      <c r="GG51" s="243"/>
      <c r="GH51" s="243"/>
      <c r="GI51" s="243"/>
      <c r="GJ51" s="243"/>
      <c r="GK51" s="243"/>
      <c r="GL51" s="243"/>
      <c r="GM51" s="243"/>
      <c r="GN51" s="243"/>
      <c r="GO51" s="243"/>
      <c r="GP51" s="243"/>
      <c r="GQ51" s="243"/>
      <c r="GR51" s="243"/>
      <c r="GS51" s="243"/>
      <c r="GT51" s="243"/>
    </row>
    <row r="52" spans="1:202" ht="12.75">
      <c r="A52" s="193" t="s">
        <v>101</v>
      </c>
      <c r="B52" s="182" t="s">
        <v>104</v>
      </c>
      <c r="C52" s="221"/>
      <c r="D52" s="73" t="s">
        <v>105</v>
      </c>
      <c r="E52" s="215"/>
      <c r="F52" s="82"/>
      <c r="G52" s="177"/>
      <c r="H52" s="215"/>
      <c r="I52" s="82"/>
      <c r="J52" s="210"/>
      <c r="K52" s="254">
        <f t="shared" ref="K52:Q52" si="122">SUM(K53:K55)</f>
        <v>1077.556</v>
      </c>
      <c r="L52" s="254">
        <f t="shared" si="122"/>
        <v>0</v>
      </c>
      <c r="M52" s="254">
        <f t="shared" si="122"/>
        <v>0</v>
      </c>
      <c r="N52" s="284">
        <f t="shared" si="122"/>
        <v>1077.556</v>
      </c>
      <c r="O52" s="275">
        <f t="shared" si="122"/>
        <v>0</v>
      </c>
      <c r="P52" s="275">
        <f t="shared" si="122"/>
        <v>0</v>
      </c>
      <c r="Q52" s="275">
        <f t="shared" si="122"/>
        <v>0</v>
      </c>
      <c r="R52" s="284">
        <f>SUM(R53:R54)</f>
        <v>0</v>
      </c>
      <c r="S52" s="293">
        <f t="shared" ref="S52:X52" si="123">SUM(S53:S55)</f>
        <v>0</v>
      </c>
      <c r="T52" s="293">
        <f t="shared" si="123"/>
        <v>0</v>
      </c>
      <c r="U52" s="293">
        <f t="shared" si="123"/>
        <v>0</v>
      </c>
      <c r="V52" s="293">
        <f t="shared" si="123"/>
        <v>0</v>
      </c>
      <c r="W52" s="293">
        <f t="shared" si="123"/>
        <v>0</v>
      </c>
      <c r="X52" s="293">
        <f t="shared" si="123"/>
        <v>0</v>
      </c>
      <c r="Y52" s="262">
        <f>SUM(Y53:Y54)</f>
        <v>0</v>
      </c>
      <c r="Z52" s="275">
        <f t="shared" ref="Z52:AF52" si="124">SUM(Z53:Z55)</f>
        <v>0</v>
      </c>
      <c r="AA52" s="275">
        <f t="shared" si="124"/>
        <v>0</v>
      </c>
      <c r="AB52" s="275">
        <f t="shared" si="124"/>
        <v>0</v>
      </c>
      <c r="AC52" s="275">
        <f t="shared" si="124"/>
        <v>0</v>
      </c>
      <c r="AD52" s="275">
        <f t="shared" si="124"/>
        <v>0</v>
      </c>
      <c r="AE52" s="275">
        <f t="shared" si="124"/>
        <v>0</v>
      </c>
      <c r="AF52" s="284">
        <f t="shared" si="124"/>
        <v>0</v>
      </c>
      <c r="AG52" s="282">
        <f t="shared" si="83"/>
        <v>1077.556</v>
      </c>
      <c r="AH52" s="232">
        <f>SUM(AH53:AH55)</f>
        <v>2247706.3870799998</v>
      </c>
      <c r="AI52" s="232">
        <f>SUM(AI53:AI55)</f>
        <v>0</v>
      </c>
      <c r="AJ52" s="232">
        <f>SUM(AJ53:AJ55)</f>
        <v>0</v>
      </c>
      <c r="AK52" s="260">
        <f t="shared" ref="AK52:AK61" si="125">AH52+AI52+AJ52</f>
        <v>2247706.3870799998</v>
      </c>
      <c r="AL52" s="232">
        <f>SUM(AL53:AL55)</f>
        <v>0</v>
      </c>
      <c r="AM52" s="232">
        <f>SUM(AM53:AM55)</f>
        <v>0</v>
      </c>
      <c r="AN52" s="232">
        <f>SUM(AN53:AN55)</f>
        <v>0</v>
      </c>
      <c r="AO52" s="260">
        <f t="shared" si="115"/>
        <v>0</v>
      </c>
      <c r="AP52" s="232">
        <f t="shared" ref="AP52:AU52" si="126">SUM(AP53:AP55)</f>
        <v>0</v>
      </c>
      <c r="AQ52" s="232">
        <f t="shared" si="126"/>
        <v>0</v>
      </c>
      <c r="AR52" s="232">
        <f t="shared" si="126"/>
        <v>0</v>
      </c>
      <c r="AS52" s="232">
        <f t="shared" si="126"/>
        <v>0</v>
      </c>
      <c r="AT52" s="232">
        <f t="shared" si="126"/>
        <v>0</v>
      </c>
      <c r="AU52" s="232">
        <f t="shared" si="126"/>
        <v>0</v>
      </c>
      <c r="AV52" s="260">
        <f>SUM(AP52:AU52)</f>
        <v>0</v>
      </c>
      <c r="AW52" s="232">
        <f t="shared" ref="AW52:BB52" si="127">SUM(AW53:AW55)</f>
        <v>0</v>
      </c>
      <c r="AX52" s="232">
        <f t="shared" si="127"/>
        <v>0</v>
      </c>
      <c r="AY52" s="232">
        <f t="shared" si="127"/>
        <v>0</v>
      </c>
      <c r="AZ52" s="232">
        <f t="shared" si="127"/>
        <v>0</v>
      </c>
      <c r="BA52" s="232">
        <f t="shared" si="127"/>
        <v>0</v>
      </c>
      <c r="BB52" s="232">
        <f t="shared" si="127"/>
        <v>0</v>
      </c>
      <c r="BC52" s="260">
        <f t="shared" ref="BC52:BC95" si="128">SUM(AW52:BB52)</f>
        <v>0</v>
      </c>
      <c r="BD52" s="238">
        <f t="shared" si="84"/>
        <v>2247706.3870799998</v>
      </c>
    </row>
    <row r="53" spans="1:202" s="79" customFormat="1" ht="13.5" customHeight="1">
      <c r="A53" s="189"/>
      <c r="B53" s="145" t="s">
        <v>400</v>
      </c>
      <c r="C53" s="216" t="s">
        <v>71</v>
      </c>
      <c r="D53" s="146"/>
      <c r="E53" s="215"/>
      <c r="F53" s="147"/>
      <c r="G53" s="177">
        <f t="shared" ref="G53:G61" si="129">E53-F53</f>
        <v>0</v>
      </c>
      <c r="H53" s="215"/>
      <c r="I53" s="147"/>
      <c r="J53" s="210">
        <f t="shared" ref="J53:J61" si="130">H53-I53</f>
        <v>0</v>
      </c>
      <c r="K53" s="252"/>
      <c r="L53" s="252"/>
      <c r="M53" s="252"/>
      <c r="N53" s="287">
        <f>K53+L53+M53</f>
        <v>0</v>
      </c>
      <c r="O53" s="273"/>
      <c r="P53" s="273"/>
      <c r="Q53" s="290"/>
      <c r="R53" s="287">
        <f t="shared" ref="R53:R61" si="131">O53+P53+Q53</f>
        <v>0</v>
      </c>
      <c r="S53" s="290"/>
      <c r="T53" s="264"/>
      <c r="U53" s="273"/>
      <c r="V53" s="273"/>
      <c r="W53" s="290"/>
      <c r="X53" s="264"/>
      <c r="Y53" s="142">
        <f t="shared" ref="Y53:Y61" si="132">SUM(S53:X53)</f>
        <v>0</v>
      </c>
      <c r="Z53" s="273"/>
      <c r="AA53" s="273"/>
      <c r="AB53" s="273"/>
      <c r="AC53" s="273"/>
      <c r="AD53" s="273"/>
      <c r="AE53" s="273"/>
      <c r="AF53" s="287">
        <f t="shared" ref="AF53:AF61" si="133">SUM(Z53:AE53)</f>
        <v>0</v>
      </c>
      <c r="AG53" s="283">
        <f t="shared" si="83"/>
        <v>0</v>
      </c>
      <c r="AH53" s="228">
        <f t="shared" ref="AH53:AJ56" si="134">K53*$G53</f>
        <v>0</v>
      </c>
      <c r="AI53" s="228">
        <f t="shared" si="134"/>
        <v>0</v>
      </c>
      <c r="AJ53" s="228">
        <f t="shared" si="134"/>
        <v>0</v>
      </c>
      <c r="AK53" s="261">
        <f t="shared" si="125"/>
        <v>0</v>
      </c>
      <c r="AL53" s="228">
        <f t="shared" ref="AL53:AN56" si="135">O53*$G53</f>
        <v>0</v>
      </c>
      <c r="AM53" s="228">
        <f t="shared" si="135"/>
        <v>0</v>
      </c>
      <c r="AN53" s="228">
        <f t="shared" si="135"/>
        <v>0</v>
      </c>
      <c r="AO53" s="261">
        <f t="shared" si="115"/>
        <v>0</v>
      </c>
      <c r="AP53" s="228">
        <f t="shared" ref="AP53:AU56" si="136">S53*$J53</f>
        <v>0</v>
      </c>
      <c r="AQ53" s="228">
        <f t="shared" si="136"/>
        <v>0</v>
      </c>
      <c r="AR53" s="228">
        <f t="shared" si="136"/>
        <v>0</v>
      </c>
      <c r="AS53" s="228">
        <f t="shared" si="136"/>
        <v>0</v>
      </c>
      <c r="AT53" s="228">
        <f t="shared" si="136"/>
        <v>0</v>
      </c>
      <c r="AU53" s="228">
        <f t="shared" si="136"/>
        <v>0</v>
      </c>
      <c r="AV53" s="261">
        <f>SUM(AP53:AU53)</f>
        <v>0</v>
      </c>
      <c r="AW53" s="228">
        <f t="shared" ref="AW53:BB56" si="137">Z53*$J53</f>
        <v>0</v>
      </c>
      <c r="AX53" s="228">
        <f t="shared" si="137"/>
        <v>0</v>
      </c>
      <c r="AY53" s="228">
        <f t="shared" si="137"/>
        <v>0</v>
      </c>
      <c r="AZ53" s="228">
        <f t="shared" si="137"/>
        <v>0</v>
      </c>
      <c r="BA53" s="228">
        <f t="shared" si="137"/>
        <v>0</v>
      </c>
      <c r="BB53" s="228">
        <f t="shared" si="137"/>
        <v>0</v>
      </c>
      <c r="BC53" s="261">
        <f t="shared" si="128"/>
        <v>0</v>
      </c>
      <c r="BD53" s="239">
        <f t="shared" si="84"/>
        <v>0</v>
      </c>
      <c r="BE53" s="244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  <c r="DC53" s="243"/>
      <c r="DD53" s="243"/>
      <c r="DE53" s="243"/>
      <c r="DF53" s="243"/>
      <c r="DG53" s="243"/>
      <c r="DH53" s="243"/>
      <c r="DI53" s="243"/>
      <c r="DJ53" s="243"/>
      <c r="DK53" s="243"/>
      <c r="DL53" s="243"/>
      <c r="DM53" s="243"/>
      <c r="DN53" s="243"/>
      <c r="DO53" s="243"/>
      <c r="DP53" s="243"/>
      <c r="DQ53" s="243"/>
      <c r="DR53" s="243"/>
      <c r="DS53" s="243"/>
      <c r="DT53" s="243"/>
      <c r="DU53" s="243"/>
      <c r="DV53" s="243"/>
      <c r="DW53" s="243"/>
      <c r="DX53" s="243"/>
      <c r="DY53" s="243"/>
      <c r="DZ53" s="243"/>
      <c r="EA53" s="243"/>
      <c r="EB53" s="243"/>
      <c r="EC53" s="243"/>
      <c r="ED53" s="243"/>
      <c r="EE53" s="243"/>
      <c r="EF53" s="243"/>
      <c r="EG53" s="243"/>
      <c r="EH53" s="243"/>
      <c r="EI53" s="243"/>
      <c r="EJ53" s="243"/>
      <c r="EK53" s="243"/>
      <c r="EL53" s="243"/>
      <c r="EM53" s="243"/>
      <c r="EN53" s="243"/>
      <c r="EO53" s="243"/>
      <c r="EP53" s="243"/>
      <c r="EQ53" s="243"/>
      <c r="ER53" s="243"/>
      <c r="ES53" s="243"/>
      <c r="ET53" s="243"/>
      <c r="EU53" s="243"/>
      <c r="EV53" s="243"/>
      <c r="EW53" s="243"/>
      <c r="EX53" s="243"/>
      <c r="EY53" s="243"/>
      <c r="EZ53" s="243"/>
      <c r="FA53" s="243"/>
      <c r="FB53" s="243"/>
      <c r="FC53" s="243"/>
      <c r="FD53" s="243"/>
      <c r="FE53" s="243"/>
      <c r="FF53" s="243"/>
      <c r="FG53" s="243"/>
      <c r="FH53" s="243"/>
      <c r="FI53" s="243"/>
      <c r="FJ53" s="243"/>
      <c r="FK53" s="243"/>
      <c r="FL53" s="243"/>
      <c r="FM53" s="243"/>
      <c r="FN53" s="243"/>
      <c r="FO53" s="243"/>
      <c r="FP53" s="243"/>
      <c r="FQ53" s="243"/>
      <c r="FR53" s="243"/>
      <c r="FS53" s="243"/>
      <c r="FT53" s="243"/>
      <c r="FU53" s="243"/>
      <c r="FV53" s="243"/>
      <c r="FW53" s="243"/>
      <c r="FX53" s="243"/>
      <c r="FY53" s="243"/>
      <c r="FZ53" s="243"/>
      <c r="GA53" s="243"/>
      <c r="GB53" s="243"/>
      <c r="GC53" s="243"/>
      <c r="GD53" s="243"/>
      <c r="GE53" s="243"/>
      <c r="GF53" s="243"/>
      <c r="GG53" s="243"/>
      <c r="GH53" s="243"/>
      <c r="GI53" s="243"/>
      <c r="GJ53" s="243"/>
      <c r="GK53" s="243"/>
      <c r="GL53" s="243"/>
      <c r="GM53" s="243"/>
      <c r="GN53" s="243"/>
      <c r="GO53" s="243"/>
      <c r="GP53" s="243"/>
      <c r="GQ53" s="243"/>
      <c r="GR53" s="243"/>
      <c r="GS53" s="243"/>
      <c r="GT53" s="243"/>
    </row>
    <row r="54" spans="1:202" s="79" customFormat="1" ht="13.5" customHeight="1">
      <c r="A54" s="202"/>
      <c r="B54" s="145" t="s">
        <v>208</v>
      </c>
      <c r="C54" s="150" t="s">
        <v>71</v>
      </c>
      <c r="D54" s="73"/>
      <c r="E54" s="215"/>
      <c r="F54" s="82"/>
      <c r="G54" s="177">
        <f>E54-F54</f>
        <v>0</v>
      </c>
      <c r="H54" s="215"/>
      <c r="I54" s="82"/>
      <c r="J54" s="210">
        <f t="shared" si="130"/>
        <v>0</v>
      </c>
      <c r="K54" s="255"/>
      <c r="L54" s="252"/>
      <c r="M54" s="252"/>
      <c r="N54" s="287">
        <f>K54+L54+M54</f>
        <v>0</v>
      </c>
      <c r="O54" s="276"/>
      <c r="P54" s="273"/>
      <c r="Q54" s="290"/>
      <c r="R54" s="287">
        <f t="shared" si="131"/>
        <v>0</v>
      </c>
      <c r="S54" s="294"/>
      <c r="T54" s="264"/>
      <c r="U54" s="273"/>
      <c r="V54" s="273"/>
      <c r="W54" s="290"/>
      <c r="X54" s="264"/>
      <c r="Y54" s="142">
        <f t="shared" si="132"/>
        <v>0</v>
      </c>
      <c r="Z54" s="276"/>
      <c r="AA54" s="276"/>
      <c r="AB54" s="276"/>
      <c r="AC54" s="276"/>
      <c r="AD54" s="276"/>
      <c r="AE54" s="276"/>
      <c r="AF54" s="287">
        <f t="shared" si="133"/>
        <v>0</v>
      </c>
      <c r="AG54" s="283">
        <f t="shared" si="83"/>
        <v>0</v>
      </c>
      <c r="AH54" s="228">
        <f t="shared" si="134"/>
        <v>0</v>
      </c>
      <c r="AI54" s="228">
        <f t="shared" si="134"/>
        <v>0</v>
      </c>
      <c r="AJ54" s="228">
        <f t="shared" si="134"/>
        <v>0</v>
      </c>
      <c r="AK54" s="261">
        <f t="shared" si="125"/>
        <v>0</v>
      </c>
      <c r="AL54" s="230">
        <f t="shared" si="135"/>
        <v>0</v>
      </c>
      <c r="AM54" s="228">
        <f t="shared" si="135"/>
        <v>0</v>
      </c>
      <c r="AN54" s="228">
        <f t="shared" si="135"/>
        <v>0</v>
      </c>
      <c r="AO54" s="261">
        <f t="shared" si="115"/>
        <v>0</v>
      </c>
      <c r="AP54" s="228">
        <f t="shared" si="136"/>
        <v>0</v>
      </c>
      <c r="AQ54" s="228">
        <f t="shared" si="136"/>
        <v>0</v>
      </c>
      <c r="AR54" s="228">
        <f t="shared" si="136"/>
        <v>0</v>
      </c>
      <c r="AS54" s="228">
        <f t="shared" si="136"/>
        <v>0</v>
      </c>
      <c r="AT54" s="228">
        <f t="shared" si="136"/>
        <v>0</v>
      </c>
      <c r="AU54" s="228">
        <f t="shared" si="136"/>
        <v>0</v>
      </c>
      <c r="AV54" s="261">
        <f>SUM(AP54:AU54)</f>
        <v>0</v>
      </c>
      <c r="AW54" s="230">
        <f t="shared" si="137"/>
        <v>0</v>
      </c>
      <c r="AX54" s="230">
        <f t="shared" si="137"/>
        <v>0</v>
      </c>
      <c r="AY54" s="230">
        <f t="shared" si="137"/>
        <v>0</v>
      </c>
      <c r="AZ54" s="230">
        <f t="shared" si="137"/>
        <v>0</v>
      </c>
      <c r="BA54" s="230">
        <f t="shared" si="137"/>
        <v>0</v>
      </c>
      <c r="BB54" s="230">
        <f t="shared" si="137"/>
        <v>0</v>
      </c>
      <c r="BC54" s="261">
        <f t="shared" si="128"/>
        <v>0</v>
      </c>
      <c r="BD54" s="239">
        <f t="shared" si="84"/>
        <v>0</v>
      </c>
      <c r="BE54" s="244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  <c r="CU54" s="243"/>
      <c r="CV54" s="243"/>
      <c r="CW54" s="243"/>
      <c r="CX54" s="243"/>
      <c r="CY54" s="243"/>
      <c r="CZ54" s="243"/>
      <c r="DA54" s="243"/>
      <c r="DB54" s="243"/>
      <c r="DC54" s="243"/>
      <c r="DD54" s="243"/>
      <c r="DE54" s="243"/>
      <c r="DF54" s="243"/>
      <c r="DG54" s="243"/>
      <c r="DH54" s="243"/>
      <c r="DI54" s="243"/>
      <c r="DJ54" s="243"/>
      <c r="DK54" s="243"/>
      <c r="DL54" s="243"/>
      <c r="DM54" s="243"/>
      <c r="DN54" s="243"/>
      <c r="DO54" s="243"/>
      <c r="DP54" s="243"/>
      <c r="DQ54" s="243"/>
      <c r="DR54" s="243"/>
      <c r="DS54" s="243"/>
      <c r="DT54" s="243"/>
      <c r="DU54" s="243"/>
      <c r="DV54" s="243"/>
      <c r="DW54" s="243"/>
      <c r="DX54" s="243"/>
      <c r="DY54" s="243"/>
      <c r="DZ54" s="243"/>
      <c r="EA54" s="243"/>
      <c r="EB54" s="243"/>
      <c r="EC54" s="243"/>
      <c r="ED54" s="243"/>
      <c r="EE54" s="243"/>
      <c r="EF54" s="243"/>
      <c r="EG54" s="243"/>
      <c r="EH54" s="243"/>
      <c r="EI54" s="243"/>
      <c r="EJ54" s="243"/>
      <c r="EK54" s="243"/>
      <c r="EL54" s="243"/>
      <c r="EM54" s="243"/>
      <c r="EN54" s="243"/>
      <c r="EO54" s="243"/>
      <c r="EP54" s="243"/>
      <c r="EQ54" s="243"/>
      <c r="ER54" s="243"/>
      <c r="ES54" s="243"/>
      <c r="ET54" s="243"/>
      <c r="EU54" s="243"/>
      <c r="EV54" s="243"/>
      <c r="EW54" s="243"/>
      <c r="EX54" s="243"/>
      <c r="EY54" s="243"/>
      <c r="EZ54" s="243"/>
      <c r="FA54" s="243"/>
      <c r="FB54" s="243"/>
      <c r="FC54" s="243"/>
      <c r="FD54" s="243"/>
      <c r="FE54" s="243"/>
      <c r="FF54" s="243"/>
      <c r="FG54" s="243"/>
      <c r="FH54" s="243"/>
      <c r="FI54" s="243"/>
      <c r="FJ54" s="243"/>
      <c r="FK54" s="243"/>
      <c r="FL54" s="243"/>
      <c r="FM54" s="243"/>
      <c r="FN54" s="243"/>
      <c r="FO54" s="243"/>
      <c r="FP54" s="243"/>
      <c r="FQ54" s="243"/>
      <c r="FR54" s="243"/>
      <c r="FS54" s="243"/>
      <c r="FT54" s="243"/>
      <c r="FU54" s="243"/>
      <c r="FV54" s="243"/>
      <c r="FW54" s="243"/>
      <c r="FX54" s="243"/>
      <c r="FY54" s="243"/>
      <c r="FZ54" s="243"/>
      <c r="GA54" s="243"/>
      <c r="GB54" s="243"/>
      <c r="GC54" s="243"/>
      <c r="GD54" s="243"/>
      <c r="GE54" s="243"/>
      <c r="GF54" s="243"/>
      <c r="GG54" s="243"/>
      <c r="GH54" s="243"/>
      <c r="GI54" s="243"/>
      <c r="GJ54" s="243"/>
      <c r="GK54" s="243"/>
      <c r="GL54" s="243"/>
      <c r="GM54" s="243"/>
      <c r="GN54" s="243"/>
      <c r="GO54" s="243"/>
      <c r="GP54" s="243"/>
      <c r="GQ54" s="243"/>
      <c r="GR54" s="243"/>
      <c r="GS54" s="243"/>
      <c r="GT54" s="243"/>
    </row>
    <row r="55" spans="1:202" s="79" customFormat="1" ht="13.5" customHeight="1">
      <c r="A55" s="203"/>
      <c r="B55" s="153" t="s">
        <v>190</v>
      </c>
      <c r="C55" s="150" t="s">
        <v>210</v>
      </c>
      <c r="D55" s="73"/>
      <c r="E55" s="215">
        <v>3807.93</v>
      </c>
      <c r="F55" s="82">
        <v>1722</v>
      </c>
      <c r="G55" s="177">
        <f>E55-F55</f>
        <v>2085.9299999999998</v>
      </c>
      <c r="H55" s="215">
        <v>3807.93</v>
      </c>
      <c r="I55" s="82">
        <v>1722</v>
      </c>
      <c r="J55" s="210">
        <f t="shared" si="130"/>
        <v>2085.9299999999998</v>
      </c>
      <c r="K55" s="252">
        <v>1077.556</v>
      </c>
      <c r="L55" s="252"/>
      <c r="M55" s="252"/>
      <c r="N55" s="287">
        <f>K55+L55+M55</f>
        <v>1077.556</v>
      </c>
      <c r="O55" s="273"/>
      <c r="P55" s="273"/>
      <c r="Q55" s="290"/>
      <c r="R55" s="287"/>
      <c r="S55" s="290"/>
      <c r="T55" s="264"/>
      <c r="U55" s="273"/>
      <c r="V55" s="273"/>
      <c r="W55" s="290"/>
      <c r="X55" s="264"/>
      <c r="Y55" s="142"/>
      <c r="Z55" s="273"/>
      <c r="AA55" s="273"/>
      <c r="AB55" s="273"/>
      <c r="AC55" s="273"/>
      <c r="AD55" s="273"/>
      <c r="AE55" s="273"/>
      <c r="AF55" s="287">
        <f>SUM(Z55:AE55)</f>
        <v>0</v>
      </c>
      <c r="AG55" s="283">
        <f t="shared" si="83"/>
        <v>1077.556</v>
      </c>
      <c r="AH55" s="228">
        <f t="shared" si="134"/>
        <v>2247706.3870799998</v>
      </c>
      <c r="AI55" s="228">
        <f t="shared" si="134"/>
        <v>0</v>
      </c>
      <c r="AJ55" s="228">
        <f t="shared" si="134"/>
        <v>0</v>
      </c>
      <c r="AK55" s="261">
        <f t="shared" si="125"/>
        <v>2247706.3870799998</v>
      </c>
      <c r="AL55" s="228">
        <f t="shared" si="135"/>
        <v>0</v>
      </c>
      <c r="AM55" s="228">
        <f t="shared" si="135"/>
        <v>0</v>
      </c>
      <c r="AN55" s="228">
        <f t="shared" si="135"/>
        <v>0</v>
      </c>
      <c r="AO55" s="261"/>
      <c r="AP55" s="228">
        <f t="shared" si="136"/>
        <v>0</v>
      </c>
      <c r="AQ55" s="228">
        <f t="shared" si="136"/>
        <v>0</v>
      </c>
      <c r="AR55" s="228">
        <f t="shared" si="136"/>
        <v>0</v>
      </c>
      <c r="AS55" s="228">
        <f t="shared" si="136"/>
        <v>0</v>
      </c>
      <c r="AT55" s="228">
        <f t="shared" si="136"/>
        <v>0</v>
      </c>
      <c r="AU55" s="228">
        <f t="shared" si="136"/>
        <v>0</v>
      </c>
      <c r="AV55" s="261"/>
      <c r="AW55" s="228">
        <f t="shared" si="137"/>
        <v>0</v>
      </c>
      <c r="AX55" s="228">
        <f t="shared" si="137"/>
        <v>0</v>
      </c>
      <c r="AY55" s="228">
        <f t="shared" si="137"/>
        <v>0</v>
      </c>
      <c r="AZ55" s="228">
        <f t="shared" si="137"/>
        <v>0</v>
      </c>
      <c r="BA55" s="228">
        <f t="shared" si="137"/>
        <v>0</v>
      </c>
      <c r="BB55" s="228">
        <f t="shared" si="137"/>
        <v>0</v>
      </c>
      <c r="BC55" s="261">
        <f t="shared" si="128"/>
        <v>0</v>
      </c>
      <c r="BD55" s="239">
        <f t="shared" si="84"/>
        <v>2247706.3870799998</v>
      </c>
      <c r="BE55" s="244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  <c r="CU55" s="243"/>
      <c r="CV55" s="243"/>
      <c r="CW55" s="243"/>
      <c r="CX55" s="243"/>
      <c r="CY55" s="243"/>
      <c r="CZ55" s="243"/>
      <c r="DA55" s="243"/>
      <c r="DB55" s="243"/>
      <c r="DC55" s="243"/>
      <c r="DD55" s="243"/>
      <c r="DE55" s="243"/>
      <c r="DF55" s="243"/>
      <c r="DG55" s="243"/>
      <c r="DH55" s="243"/>
      <c r="DI55" s="243"/>
      <c r="DJ55" s="243"/>
      <c r="DK55" s="243"/>
      <c r="DL55" s="243"/>
      <c r="DM55" s="243"/>
      <c r="DN55" s="243"/>
      <c r="DO55" s="243"/>
      <c r="DP55" s="243"/>
      <c r="DQ55" s="243"/>
      <c r="DR55" s="243"/>
      <c r="DS55" s="243"/>
      <c r="DT55" s="243"/>
      <c r="DU55" s="243"/>
      <c r="DV55" s="243"/>
      <c r="DW55" s="243"/>
      <c r="DX55" s="243"/>
      <c r="DY55" s="243"/>
      <c r="DZ55" s="243"/>
      <c r="EA55" s="243"/>
      <c r="EB55" s="243"/>
      <c r="EC55" s="243"/>
      <c r="ED55" s="243"/>
      <c r="EE55" s="243"/>
      <c r="EF55" s="243"/>
      <c r="EG55" s="243"/>
      <c r="EH55" s="243"/>
      <c r="EI55" s="243"/>
      <c r="EJ55" s="243"/>
      <c r="EK55" s="243"/>
      <c r="EL55" s="243"/>
      <c r="EM55" s="243"/>
      <c r="EN55" s="243"/>
      <c r="EO55" s="243"/>
      <c r="EP55" s="243"/>
      <c r="EQ55" s="243"/>
      <c r="ER55" s="243"/>
      <c r="ES55" s="243"/>
      <c r="ET55" s="243"/>
      <c r="EU55" s="243"/>
      <c r="EV55" s="243"/>
      <c r="EW55" s="243"/>
      <c r="EX55" s="243"/>
      <c r="EY55" s="243"/>
      <c r="EZ55" s="243"/>
      <c r="FA55" s="243"/>
      <c r="FB55" s="243"/>
      <c r="FC55" s="243"/>
      <c r="FD55" s="243"/>
      <c r="FE55" s="243"/>
      <c r="FF55" s="243"/>
      <c r="FG55" s="243"/>
      <c r="FH55" s="243"/>
      <c r="FI55" s="243"/>
      <c r="FJ55" s="243"/>
      <c r="FK55" s="243"/>
      <c r="FL55" s="243"/>
      <c r="FM55" s="243"/>
      <c r="FN55" s="243"/>
      <c r="FO55" s="243"/>
      <c r="FP55" s="243"/>
      <c r="FQ55" s="243"/>
      <c r="FR55" s="243"/>
      <c r="FS55" s="243"/>
      <c r="FT55" s="243"/>
      <c r="FU55" s="243"/>
      <c r="FV55" s="243"/>
      <c r="FW55" s="243"/>
      <c r="FX55" s="243"/>
      <c r="FY55" s="243"/>
      <c r="FZ55" s="243"/>
      <c r="GA55" s="243"/>
      <c r="GB55" s="243"/>
      <c r="GC55" s="243"/>
      <c r="GD55" s="243"/>
      <c r="GE55" s="243"/>
      <c r="GF55" s="243"/>
      <c r="GG55" s="243"/>
      <c r="GH55" s="243"/>
      <c r="GI55" s="243"/>
      <c r="GJ55" s="243"/>
      <c r="GK55" s="243"/>
      <c r="GL55" s="243"/>
      <c r="GM55" s="243"/>
      <c r="GN55" s="243"/>
      <c r="GO55" s="243"/>
      <c r="GP55" s="243"/>
      <c r="GQ55" s="243"/>
      <c r="GR55" s="243"/>
      <c r="GS55" s="243"/>
      <c r="GT55" s="243"/>
    </row>
    <row r="56" spans="1:202" ht="25.5">
      <c r="A56" s="193" t="s">
        <v>101</v>
      </c>
      <c r="B56" s="182" t="s">
        <v>200</v>
      </c>
      <c r="C56" s="221" t="s">
        <v>201</v>
      </c>
      <c r="D56" s="73">
        <v>2912004912</v>
      </c>
      <c r="E56" s="82"/>
      <c r="F56" s="86"/>
      <c r="G56" s="177"/>
      <c r="H56" s="82"/>
      <c r="I56" s="86"/>
      <c r="J56" s="210">
        <f t="shared" si="130"/>
        <v>0</v>
      </c>
      <c r="K56" s="254"/>
      <c r="L56" s="254"/>
      <c r="M56" s="254"/>
      <c r="N56" s="284">
        <f>K56+L56+M56</f>
        <v>0</v>
      </c>
      <c r="O56" s="275"/>
      <c r="P56" s="275"/>
      <c r="Q56" s="293"/>
      <c r="R56" s="284">
        <f t="shared" si="131"/>
        <v>0</v>
      </c>
      <c r="S56" s="293"/>
      <c r="T56" s="266"/>
      <c r="U56" s="275"/>
      <c r="V56" s="275"/>
      <c r="W56" s="293"/>
      <c r="X56" s="263"/>
      <c r="Y56" s="262">
        <f t="shared" si="132"/>
        <v>0</v>
      </c>
      <c r="Z56" s="275"/>
      <c r="AA56" s="275"/>
      <c r="AB56" s="275"/>
      <c r="AC56" s="275"/>
      <c r="AD56" s="275"/>
      <c r="AE56" s="275"/>
      <c r="AF56" s="284">
        <f t="shared" si="133"/>
        <v>0</v>
      </c>
      <c r="AG56" s="282">
        <f t="shared" si="83"/>
        <v>0</v>
      </c>
      <c r="AH56" s="232">
        <f t="shared" si="134"/>
        <v>0</v>
      </c>
      <c r="AI56" s="232">
        <f t="shared" si="134"/>
        <v>0</v>
      </c>
      <c r="AJ56" s="232">
        <f t="shared" si="134"/>
        <v>0</v>
      </c>
      <c r="AK56" s="260">
        <f t="shared" si="125"/>
        <v>0</v>
      </c>
      <c r="AL56" s="232">
        <f t="shared" si="135"/>
        <v>0</v>
      </c>
      <c r="AM56" s="232">
        <f t="shared" si="135"/>
        <v>0</v>
      </c>
      <c r="AN56" s="232">
        <f t="shared" si="135"/>
        <v>0</v>
      </c>
      <c r="AO56" s="260">
        <f>SUM(AL56:AN56)</f>
        <v>0</v>
      </c>
      <c r="AP56" s="232">
        <f t="shared" si="136"/>
        <v>0</v>
      </c>
      <c r="AQ56" s="232">
        <f t="shared" si="136"/>
        <v>0</v>
      </c>
      <c r="AR56" s="232">
        <f t="shared" si="136"/>
        <v>0</v>
      </c>
      <c r="AS56" s="232">
        <f t="shared" si="136"/>
        <v>0</v>
      </c>
      <c r="AT56" s="232">
        <f t="shared" si="136"/>
        <v>0</v>
      </c>
      <c r="AU56" s="232">
        <f t="shared" si="136"/>
        <v>0</v>
      </c>
      <c r="AV56" s="260">
        <f>SUM(AP56:AU56)</f>
        <v>0</v>
      </c>
      <c r="AW56" s="232">
        <f t="shared" si="137"/>
        <v>0</v>
      </c>
      <c r="AX56" s="232">
        <f t="shared" si="137"/>
        <v>0</v>
      </c>
      <c r="AY56" s="232">
        <f t="shared" si="137"/>
        <v>0</v>
      </c>
      <c r="AZ56" s="232">
        <f t="shared" si="137"/>
        <v>0</v>
      </c>
      <c r="BA56" s="232">
        <f t="shared" si="137"/>
        <v>0</v>
      </c>
      <c r="BB56" s="232">
        <f t="shared" si="137"/>
        <v>0</v>
      </c>
      <c r="BC56" s="260">
        <f t="shared" si="128"/>
        <v>0</v>
      </c>
      <c r="BD56" s="238">
        <f t="shared" si="84"/>
        <v>0</v>
      </c>
    </row>
    <row r="57" spans="1:202" ht="12.75">
      <c r="A57" s="193" t="s">
        <v>101</v>
      </c>
      <c r="B57" s="182" t="s">
        <v>106</v>
      </c>
      <c r="C57" s="221" t="s">
        <v>266</v>
      </c>
      <c r="D57" s="73" t="s">
        <v>107</v>
      </c>
      <c r="E57" s="82"/>
      <c r="F57" s="82"/>
      <c r="G57" s="177"/>
      <c r="H57" s="82"/>
      <c r="I57" s="82"/>
      <c r="J57" s="210"/>
      <c r="K57" s="254">
        <f>SUM(K58:K60)</f>
        <v>66085.171999999991</v>
      </c>
      <c r="L57" s="254">
        <f>SUM(L58:L60)</f>
        <v>61625.949000000001</v>
      </c>
      <c r="M57" s="254">
        <f>SUM(M58:M60)</f>
        <v>0</v>
      </c>
      <c r="N57" s="284">
        <f>SUM(K57:M57)</f>
        <v>127711.12099999998</v>
      </c>
      <c r="O57" s="275">
        <f>SUM(O58:O60)</f>
        <v>0</v>
      </c>
      <c r="P57" s="275">
        <f>SUM(P58:P60)</f>
        <v>0</v>
      </c>
      <c r="Q57" s="275">
        <f>SUM(Q58:Q60)</f>
        <v>0</v>
      </c>
      <c r="R57" s="284">
        <f>O57+P57+Q57</f>
        <v>0</v>
      </c>
      <c r="S57" s="293">
        <f t="shared" ref="S57:X57" si="138">SUM(S58:S60)</f>
        <v>0</v>
      </c>
      <c r="T57" s="293">
        <f t="shared" si="138"/>
        <v>0</v>
      </c>
      <c r="U57" s="293">
        <f t="shared" si="138"/>
        <v>0</v>
      </c>
      <c r="V57" s="293">
        <f t="shared" si="138"/>
        <v>0</v>
      </c>
      <c r="W57" s="293">
        <f t="shared" si="138"/>
        <v>0</v>
      </c>
      <c r="X57" s="293">
        <f t="shared" si="138"/>
        <v>0</v>
      </c>
      <c r="Y57" s="284">
        <f t="shared" si="132"/>
        <v>0</v>
      </c>
      <c r="Z57" s="275">
        <f t="shared" ref="Z57:AE57" si="139">SUM(Z58:Z60)</f>
        <v>0</v>
      </c>
      <c r="AA57" s="275">
        <f t="shared" si="139"/>
        <v>0</v>
      </c>
      <c r="AB57" s="275">
        <f t="shared" si="139"/>
        <v>0</v>
      </c>
      <c r="AC57" s="275">
        <f t="shared" si="139"/>
        <v>0</v>
      </c>
      <c r="AD57" s="275">
        <f t="shared" si="139"/>
        <v>0</v>
      </c>
      <c r="AE57" s="275">
        <f t="shared" si="139"/>
        <v>0</v>
      </c>
      <c r="AF57" s="284">
        <f>SUM(Z57:AE57)</f>
        <v>0</v>
      </c>
      <c r="AG57" s="282">
        <f t="shared" si="83"/>
        <v>127711.12099999998</v>
      </c>
      <c r="AH57" s="232">
        <f>SUM(AH58:AH60)</f>
        <v>8998047.1101300009</v>
      </c>
      <c r="AI57" s="232">
        <f>SUM(AI58:AI60)</f>
        <v>7368426.9726999998</v>
      </c>
      <c r="AJ57" s="232">
        <f>SUM(AJ58:AJ60)</f>
        <v>0</v>
      </c>
      <c r="AK57" s="260">
        <f t="shared" si="125"/>
        <v>16366474.082830001</v>
      </c>
      <c r="AL57" s="232">
        <f>SUM(AL58:AL60)</f>
        <v>0</v>
      </c>
      <c r="AM57" s="232">
        <f>SUM(AM58:AM60)</f>
        <v>0</v>
      </c>
      <c r="AN57" s="232">
        <f>SUM(AN58:AN60)</f>
        <v>0</v>
      </c>
      <c r="AO57" s="260">
        <f>SUM(AL57:AN57)</f>
        <v>0</v>
      </c>
      <c r="AP57" s="232">
        <f t="shared" ref="AP57:AU57" si="140">SUM(AP58:AP60)</f>
        <v>0</v>
      </c>
      <c r="AQ57" s="232">
        <f t="shared" si="140"/>
        <v>0</v>
      </c>
      <c r="AR57" s="232">
        <f t="shared" si="140"/>
        <v>0</v>
      </c>
      <c r="AS57" s="232">
        <f t="shared" si="140"/>
        <v>0</v>
      </c>
      <c r="AT57" s="232">
        <f t="shared" si="140"/>
        <v>0</v>
      </c>
      <c r="AU57" s="232">
        <f t="shared" si="140"/>
        <v>0</v>
      </c>
      <c r="AV57" s="260">
        <f>SUM(AP57:AU57)</f>
        <v>0</v>
      </c>
      <c r="AW57" s="232">
        <f t="shared" ref="AW57:BB57" si="141">SUM(AW58:AW60)</f>
        <v>0</v>
      </c>
      <c r="AX57" s="232">
        <f t="shared" si="141"/>
        <v>0</v>
      </c>
      <c r="AY57" s="232">
        <f t="shared" si="141"/>
        <v>0</v>
      </c>
      <c r="AZ57" s="232">
        <f t="shared" si="141"/>
        <v>0</v>
      </c>
      <c r="BA57" s="232">
        <f t="shared" si="141"/>
        <v>0</v>
      </c>
      <c r="BB57" s="232">
        <f t="shared" si="141"/>
        <v>0</v>
      </c>
      <c r="BC57" s="260">
        <f t="shared" si="128"/>
        <v>0</v>
      </c>
      <c r="BD57" s="238">
        <f t="shared" si="84"/>
        <v>16366474.082830001</v>
      </c>
    </row>
    <row r="58" spans="1:202" s="79" customFormat="1" ht="13.5" customHeight="1">
      <c r="A58" s="203"/>
      <c r="B58" s="153" t="s">
        <v>577</v>
      </c>
      <c r="C58" s="150"/>
      <c r="D58" s="73"/>
      <c r="E58" s="215">
        <v>2194.06</v>
      </c>
      <c r="F58" s="82">
        <v>1670.83</v>
      </c>
      <c r="G58" s="177">
        <f t="shared" si="129"/>
        <v>523.23</v>
      </c>
      <c r="H58" s="215">
        <v>2194.06</v>
      </c>
      <c r="I58" s="82">
        <v>1670.83</v>
      </c>
      <c r="J58" s="210">
        <f>H58-I58</f>
        <v>523.23</v>
      </c>
      <c r="K58" s="252">
        <v>14049.901</v>
      </c>
      <c r="L58" s="252">
        <v>11017.005999999999</v>
      </c>
      <c r="M58" s="252"/>
      <c r="N58" s="287">
        <f>SUM(K58:M58)</f>
        <v>25066.906999999999</v>
      </c>
      <c r="O58" s="273"/>
      <c r="P58" s="273"/>
      <c r="Q58" s="290"/>
      <c r="R58" s="287"/>
      <c r="S58" s="290"/>
      <c r="T58" s="264"/>
      <c r="U58" s="273"/>
      <c r="V58" s="273"/>
      <c r="W58" s="290"/>
      <c r="X58" s="264"/>
      <c r="Y58" s="142"/>
      <c r="Z58" s="273"/>
      <c r="AA58" s="273"/>
      <c r="AB58" s="273"/>
      <c r="AC58" s="273"/>
      <c r="AD58" s="273"/>
      <c r="AE58" s="273"/>
      <c r="AF58" s="287">
        <f>SUM(Z58:AE58)</f>
        <v>0</v>
      </c>
      <c r="AG58" s="283">
        <f t="shared" si="83"/>
        <v>25066.906999999999</v>
      </c>
      <c r="AH58" s="228">
        <f t="shared" ref="AH58:AJ61" si="142">K58*$G58</f>
        <v>7351329.7002300005</v>
      </c>
      <c r="AI58" s="228">
        <f t="shared" si="142"/>
        <v>5764428.0493799997</v>
      </c>
      <c r="AJ58" s="228">
        <f t="shared" si="142"/>
        <v>0</v>
      </c>
      <c r="AK58" s="261">
        <f t="shared" si="125"/>
        <v>13115757.749609999</v>
      </c>
      <c r="AL58" s="228">
        <f t="shared" ref="AL58:AN61" si="143">O58*$G58</f>
        <v>0</v>
      </c>
      <c r="AM58" s="228">
        <f t="shared" si="143"/>
        <v>0</v>
      </c>
      <c r="AN58" s="228">
        <f t="shared" si="143"/>
        <v>0</v>
      </c>
      <c r="AO58" s="261"/>
      <c r="AP58" s="228">
        <f t="shared" ref="AP58:AU61" si="144">S58*$J58</f>
        <v>0</v>
      </c>
      <c r="AQ58" s="228">
        <f t="shared" si="144"/>
        <v>0</v>
      </c>
      <c r="AR58" s="228">
        <f t="shared" si="144"/>
        <v>0</v>
      </c>
      <c r="AS58" s="228">
        <f t="shared" si="144"/>
        <v>0</v>
      </c>
      <c r="AT58" s="228">
        <f t="shared" si="144"/>
        <v>0</v>
      </c>
      <c r="AU58" s="228">
        <f t="shared" si="144"/>
        <v>0</v>
      </c>
      <c r="AV58" s="261"/>
      <c r="AW58" s="228">
        <f t="shared" ref="AW58:BB61" si="145">Z58*$J58</f>
        <v>0</v>
      </c>
      <c r="AX58" s="228">
        <f t="shared" si="145"/>
        <v>0</v>
      </c>
      <c r="AY58" s="228">
        <f t="shared" si="145"/>
        <v>0</v>
      </c>
      <c r="AZ58" s="228">
        <f t="shared" si="145"/>
        <v>0</v>
      </c>
      <c r="BA58" s="228">
        <f t="shared" si="145"/>
        <v>0</v>
      </c>
      <c r="BB58" s="228">
        <f t="shared" si="145"/>
        <v>0</v>
      </c>
      <c r="BC58" s="261">
        <f t="shared" si="128"/>
        <v>0</v>
      </c>
      <c r="BD58" s="239">
        <f t="shared" si="84"/>
        <v>13115757.749609999</v>
      </c>
      <c r="BE58" s="244"/>
      <c r="BF58" s="243"/>
      <c r="BG58" s="243"/>
      <c r="BH58" s="243"/>
      <c r="BI58" s="243"/>
      <c r="BJ58" s="243"/>
      <c r="BK58" s="243"/>
      <c r="BL58" s="243"/>
      <c r="BM58" s="243"/>
      <c r="BN58" s="243"/>
      <c r="BO58" s="243"/>
      <c r="BP58" s="243"/>
      <c r="BQ58" s="243"/>
      <c r="BR58" s="243"/>
      <c r="BS58" s="243"/>
      <c r="BT58" s="243"/>
      <c r="BU58" s="243"/>
      <c r="BV58" s="243"/>
      <c r="BW58" s="243"/>
      <c r="BX58" s="243"/>
      <c r="BY58" s="243"/>
      <c r="BZ58" s="243"/>
      <c r="CA58" s="243"/>
      <c r="CB58" s="243"/>
      <c r="CC58" s="243"/>
      <c r="CD58" s="243"/>
      <c r="CE58" s="243"/>
      <c r="CF58" s="243"/>
      <c r="CG58" s="243"/>
      <c r="CH58" s="243"/>
      <c r="CI58" s="243"/>
      <c r="CJ58" s="243"/>
      <c r="CK58" s="243"/>
      <c r="CL58" s="243"/>
      <c r="CM58" s="243"/>
      <c r="CN58" s="243"/>
      <c r="CO58" s="243"/>
      <c r="CP58" s="243"/>
      <c r="CQ58" s="243"/>
      <c r="CR58" s="243"/>
      <c r="CS58" s="243"/>
      <c r="CT58" s="243"/>
      <c r="CU58" s="243"/>
      <c r="CV58" s="243"/>
      <c r="CW58" s="243"/>
      <c r="CX58" s="243"/>
      <c r="CY58" s="243"/>
      <c r="CZ58" s="243"/>
      <c r="DA58" s="243"/>
      <c r="DB58" s="243"/>
      <c r="DC58" s="243"/>
      <c r="DD58" s="243"/>
      <c r="DE58" s="243"/>
      <c r="DF58" s="243"/>
      <c r="DG58" s="243"/>
      <c r="DH58" s="243"/>
      <c r="DI58" s="243"/>
      <c r="DJ58" s="243"/>
      <c r="DK58" s="243"/>
      <c r="DL58" s="243"/>
      <c r="DM58" s="243"/>
      <c r="DN58" s="243"/>
      <c r="DO58" s="243"/>
      <c r="DP58" s="243"/>
      <c r="DQ58" s="243"/>
      <c r="DR58" s="243"/>
      <c r="DS58" s="243"/>
      <c r="DT58" s="243"/>
      <c r="DU58" s="243"/>
      <c r="DV58" s="243"/>
      <c r="DW58" s="243"/>
      <c r="DX58" s="243"/>
      <c r="DY58" s="243"/>
      <c r="DZ58" s="243"/>
      <c r="EA58" s="243"/>
      <c r="EB58" s="243"/>
      <c r="EC58" s="243"/>
      <c r="ED58" s="243"/>
      <c r="EE58" s="243"/>
      <c r="EF58" s="243"/>
      <c r="EG58" s="243"/>
      <c r="EH58" s="243"/>
      <c r="EI58" s="243"/>
      <c r="EJ58" s="243"/>
      <c r="EK58" s="243"/>
      <c r="EL58" s="243"/>
      <c r="EM58" s="243"/>
      <c r="EN58" s="243"/>
      <c r="EO58" s="243"/>
      <c r="EP58" s="243"/>
      <c r="EQ58" s="243"/>
      <c r="ER58" s="243"/>
      <c r="ES58" s="243"/>
      <c r="ET58" s="243"/>
      <c r="EU58" s="243"/>
      <c r="EV58" s="243"/>
      <c r="EW58" s="243"/>
      <c r="EX58" s="243"/>
      <c r="EY58" s="243"/>
      <c r="EZ58" s="243"/>
      <c r="FA58" s="243"/>
      <c r="FB58" s="243"/>
      <c r="FC58" s="243"/>
      <c r="FD58" s="243"/>
      <c r="FE58" s="243"/>
      <c r="FF58" s="243"/>
      <c r="FG58" s="243"/>
      <c r="FH58" s="243"/>
      <c r="FI58" s="243"/>
      <c r="FJ58" s="243"/>
      <c r="FK58" s="243"/>
      <c r="FL58" s="243"/>
      <c r="FM58" s="243"/>
      <c r="FN58" s="243"/>
      <c r="FO58" s="243"/>
      <c r="FP58" s="243"/>
      <c r="FQ58" s="243"/>
      <c r="FR58" s="243"/>
      <c r="FS58" s="243"/>
      <c r="FT58" s="243"/>
      <c r="FU58" s="243"/>
      <c r="FV58" s="243"/>
      <c r="FW58" s="243"/>
      <c r="FX58" s="243"/>
      <c r="FY58" s="243"/>
      <c r="FZ58" s="243"/>
      <c r="GA58" s="243"/>
      <c r="GB58" s="243"/>
      <c r="GC58" s="243"/>
      <c r="GD58" s="243"/>
      <c r="GE58" s="243"/>
      <c r="GF58" s="243"/>
      <c r="GG58" s="243"/>
      <c r="GH58" s="243"/>
      <c r="GI58" s="243"/>
      <c r="GJ58" s="243"/>
      <c r="GK58" s="243"/>
      <c r="GL58" s="243"/>
      <c r="GM58" s="243"/>
      <c r="GN58" s="243"/>
      <c r="GO58" s="243"/>
      <c r="GP58" s="243"/>
      <c r="GQ58" s="243"/>
      <c r="GR58" s="243"/>
      <c r="GS58" s="243"/>
      <c r="GT58" s="243"/>
    </row>
    <row r="59" spans="1:202" s="79" customFormat="1" ht="13.5" customHeight="1">
      <c r="A59" s="203"/>
      <c r="B59" s="153" t="s">
        <v>578</v>
      </c>
      <c r="C59" s="150"/>
      <c r="D59" s="73"/>
      <c r="E59" s="215">
        <v>2194.06</v>
      </c>
      <c r="F59" s="82">
        <v>1670.83</v>
      </c>
      <c r="G59" s="177">
        <f t="shared" si="129"/>
        <v>523.23</v>
      </c>
      <c r="H59" s="215">
        <v>2194.06</v>
      </c>
      <c r="I59" s="82">
        <v>1670.83</v>
      </c>
      <c r="J59" s="210">
        <f>H59-I59</f>
        <v>523.23</v>
      </c>
      <c r="K59" s="252">
        <v>2940.79</v>
      </c>
      <c r="L59" s="252">
        <v>2864.8240000000001</v>
      </c>
      <c r="M59" s="252"/>
      <c r="N59" s="287">
        <f>SUM(K59:M59)</f>
        <v>5805.6139999999996</v>
      </c>
      <c r="O59" s="273"/>
      <c r="P59" s="273"/>
      <c r="Q59" s="290"/>
      <c r="R59" s="287"/>
      <c r="S59" s="290"/>
      <c r="T59" s="264"/>
      <c r="U59" s="273"/>
      <c r="V59" s="273"/>
      <c r="W59" s="290"/>
      <c r="X59" s="264"/>
      <c r="Y59" s="142"/>
      <c r="Z59" s="273"/>
      <c r="AA59" s="273"/>
      <c r="AB59" s="273"/>
      <c r="AC59" s="273"/>
      <c r="AD59" s="273"/>
      <c r="AE59" s="273"/>
      <c r="AF59" s="287">
        <f>SUM(Z59:AE59)</f>
        <v>0</v>
      </c>
      <c r="AG59" s="283">
        <f t="shared" si="83"/>
        <v>5805.6139999999996</v>
      </c>
      <c r="AH59" s="228">
        <f t="shared" si="142"/>
        <v>1538709.5517</v>
      </c>
      <c r="AI59" s="228">
        <f t="shared" si="142"/>
        <v>1498961.86152</v>
      </c>
      <c r="AJ59" s="228">
        <f t="shared" si="142"/>
        <v>0</v>
      </c>
      <c r="AK59" s="261">
        <f t="shared" si="125"/>
        <v>3037671.41322</v>
      </c>
      <c r="AL59" s="228">
        <f t="shared" si="143"/>
        <v>0</v>
      </c>
      <c r="AM59" s="228">
        <f t="shared" si="143"/>
        <v>0</v>
      </c>
      <c r="AN59" s="228">
        <f t="shared" si="143"/>
        <v>0</v>
      </c>
      <c r="AO59" s="261"/>
      <c r="AP59" s="228">
        <f t="shared" si="144"/>
        <v>0</v>
      </c>
      <c r="AQ59" s="228">
        <f t="shared" si="144"/>
        <v>0</v>
      </c>
      <c r="AR59" s="228">
        <f t="shared" si="144"/>
        <v>0</v>
      </c>
      <c r="AS59" s="228">
        <f t="shared" si="144"/>
        <v>0</v>
      </c>
      <c r="AT59" s="228">
        <f t="shared" si="144"/>
        <v>0</v>
      </c>
      <c r="AU59" s="228">
        <f t="shared" si="144"/>
        <v>0</v>
      </c>
      <c r="AV59" s="261"/>
      <c r="AW59" s="228">
        <f t="shared" si="145"/>
        <v>0</v>
      </c>
      <c r="AX59" s="228">
        <f t="shared" si="145"/>
        <v>0</v>
      </c>
      <c r="AY59" s="228">
        <f t="shared" si="145"/>
        <v>0</v>
      </c>
      <c r="AZ59" s="228">
        <f t="shared" si="145"/>
        <v>0</v>
      </c>
      <c r="BA59" s="228">
        <f t="shared" si="145"/>
        <v>0</v>
      </c>
      <c r="BB59" s="228">
        <f t="shared" si="145"/>
        <v>0</v>
      </c>
      <c r="BC59" s="261">
        <f t="shared" si="128"/>
        <v>0</v>
      </c>
      <c r="BD59" s="239">
        <f t="shared" si="84"/>
        <v>3037671.41322</v>
      </c>
      <c r="BE59" s="244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243"/>
      <c r="BW59" s="243"/>
      <c r="BX59" s="243"/>
      <c r="BY59" s="243"/>
      <c r="BZ59" s="243"/>
      <c r="CA59" s="243"/>
      <c r="CB59" s="243"/>
      <c r="CC59" s="243"/>
      <c r="CD59" s="243"/>
      <c r="CE59" s="243"/>
      <c r="CF59" s="243"/>
      <c r="CG59" s="243"/>
      <c r="CH59" s="243"/>
      <c r="CI59" s="243"/>
      <c r="CJ59" s="243"/>
      <c r="CK59" s="243"/>
      <c r="CL59" s="243"/>
      <c r="CM59" s="243"/>
      <c r="CN59" s="243"/>
      <c r="CO59" s="243"/>
      <c r="CP59" s="243"/>
      <c r="CQ59" s="243"/>
      <c r="CR59" s="243"/>
      <c r="CS59" s="243"/>
      <c r="CT59" s="243"/>
      <c r="CU59" s="243"/>
      <c r="CV59" s="243"/>
      <c r="CW59" s="243"/>
      <c r="CX59" s="243"/>
      <c r="CY59" s="243"/>
      <c r="CZ59" s="243"/>
      <c r="DA59" s="243"/>
      <c r="DB59" s="243"/>
      <c r="DC59" s="243"/>
      <c r="DD59" s="243"/>
      <c r="DE59" s="243"/>
      <c r="DF59" s="243"/>
      <c r="DG59" s="243"/>
      <c r="DH59" s="243"/>
      <c r="DI59" s="243"/>
      <c r="DJ59" s="243"/>
      <c r="DK59" s="243"/>
      <c r="DL59" s="243"/>
      <c r="DM59" s="243"/>
      <c r="DN59" s="243"/>
      <c r="DO59" s="243"/>
      <c r="DP59" s="243"/>
      <c r="DQ59" s="243"/>
      <c r="DR59" s="243"/>
      <c r="DS59" s="243"/>
      <c r="DT59" s="243"/>
      <c r="DU59" s="243"/>
      <c r="DV59" s="243"/>
      <c r="DW59" s="243"/>
      <c r="DX59" s="243"/>
      <c r="DY59" s="243"/>
      <c r="DZ59" s="243"/>
      <c r="EA59" s="243"/>
      <c r="EB59" s="243"/>
      <c r="EC59" s="243"/>
      <c r="ED59" s="243"/>
      <c r="EE59" s="243"/>
      <c r="EF59" s="243"/>
      <c r="EG59" s="243"/>
      <c r="EH59" s="243"/>
      <c r="EI59" s="243"/>
      <c r="EJ59" s="243"/>
      <c r="EK59" s="243"/>
      <c r="EL59" s="243"/>
      <c r="EM59" s="243"/>
      <c r="EN59" s="243"/>
      <c r="EO59" s="243"/>
      <c r="EP59" s="243"/>
      <c r="EQ59" s="243"/>
      <c r="ER59" s="243"/>
      <c r="ES59" s="243"/>
      <c r="ET59" s="243"/>
      <c r="EU59" s="243"/>
      <c r="EV59" s="243"/>
      <c r="EW59" s="243"/>
      <c r="EX59" s="243"/>
      <c r="EY59" s="243"/>
      <c r="EZ59" s="243"/>
      <c r="FA59" s="243"/>
      <c r="FB59" s="243"/>
      <c r="FC59" s="243"/>
      <c r="FD59" s="243"/>
      <c r="FE59" s="243"/>
      <c r="FF59" s="243"/>
      <c r="FG59" s="243"/>
      <c r="FH59" s="243"/>
      <c r="FI59" s="243"/>
      <c r="FJ59" s="243"/>
      <c r="FK59" s="243"/>
      <c r="FL59" s="243"/>
      <c r="FM59" s="243"/>
      <c r="FN59" s="243"/>
      <c r="FO59" s="243"/>
      <c r="FP59" s="243"/>
      <c r="FQ59" s="243"/>
      <c r="FR59" s="243"/>
      <c r="FS59" s="243"/>
      <c r="FT59" s="243"/>
      <c r="FU59" s="243"/>
      <c r="FV59" s="243"/>
      <c r="FW59" s="243"/>
      <c r="FX59" s="243"/>
      <c r="FY59" s="243"/>
      <c r="FZ59" s="243"/>
      <c r="GA59" s="243"/>
      <c r="GB59" s="243"/>
      <c r="GC59" s="243"/>
      <c r="GD59" s="243"/>
      <c r="GE59" s="243"/>
      <c r="GF59" s="243"/>
      <c r="GG59" s="243"/>
      <c r="GH59" s="243"/>
      <c r="GI59" s="243"/>
      <c r="GJ59" s="243"/>
      <c r="GK59" s="243"/>
      <c r="GL59" s="243"/>
      <c r="GM59" s="243"/>
      <c r="GN59" s="243"/>
      <c r="GO59" s="243"/>
      <c r="GP59" s="243"/>
      <c r="GQ59" s="243"/>
      <c r="GR59" s="243"/>
      <c r="GS59" s="243"/>
      <c r="GT59" s="243"/>
    </row>
    <row r="60" spans="1:202" s="79" customFormat="1" ht="13.5" customHeight="1">
      <c r="A60" s="203"/>
      <c r="B60" s="153" t="s">
        <v>579</v>
      </c>
      <c r="C60" s="150"/>
      <c r="D60" s="73"/>
      <c r="E60" s="215">
        <v>35</v>
      </c>
      <c r="F60" s="82">
        <v>32.799999999999997</v>
      </c>
      <c r="G60" s="177">
        <f t="shared" si="129"/>
        <v>2.2000000000000028</v>
      </c>
      <c r="H60" s="215">
        <v>35</v>
      </c>
      <c r="I60" s="82">
        <v>32.799999999999997</v>
      </c>
      <c r="J60" s="210">
        <f>H60-I60</f>
        <v>2.2000000000000028</v>
      </c>
      <c r="K60" s="252">
        <v>49094.481</v>
      </c>
      <c r="L60" s="252">
        <v>47744.118999999999</v>
      </c>
      <c r="M60" s="252"/>
      <c r="N60" s="287">
        <f>SUM(K60:M60)</f>
        <v>96838.6</v>
      </c>
      <c r="O60" s="273"/>
      <c r="P60" s="273"/>
      <c r="Q60" s="290"/>
      <c r="R60" s="287"/>
      <c r="S60" s="290"/>
      <c r="T60" s="264"/>
      <c r="U60" s="273"/>
      <c r="V60" s="273"/>
      <c r="W60" s="290"/>
      <c r="X60" s="264"/>
      <c r="Y60" s="142"/>
      <c r="Z60" s="273"/>
      <c r="AA60" s="273"/>
      <c r="AB60" s="273"/>
      <c r="AC60" s="273"/>
      <c r="AD60" s="273"/>
      <c r="AE60" s="273"/>
      <c r="AF60" s="287">
        <f>SUM(Z60:AE60)</f>
        <v>0</v>
      </c>
      <c r="AG60" s="283">
        <f t="shared" si="83"/>
        <v>96838.6</v>
      </c>
      <c r="AH60" s="228">
        <f t="shared" si="142"/>
        <v>108007.85820000013</v>
      </c>
      <c r="AI60" s="228">
        <f t="shared" si="142"/>
        <v>105037.06180000013</v>
      </c>
      <c r="AJ60" s="228">
        <f t="shared" si="142"/>
        <v>0</v>
      </c>
      <c r="AK60" s="261">
        <f t="shared" si="125"/>
        <v>213044.92000000027</v>
      </c>
      <c r="AL60" s="228">
        <f t="shared" si="143"/>
        <v>0</v>
      </c>
      <c r="AM60" s="228">
        <f t="shared" si="143"/>
        <v>0</v>
      </c>
      <c r="AN60" s="228">
        <f t="shared" si="143"/>
        <v>0</v>
      </c>
      <c r="AO60" s="261"/>
      <c r="AP60" s="228">
        <f t="shared" si="144"/>
        <v>0</v>
      </c>
      <c r="AQ60" s="228">
        <f t="shared" si="144"/>
        <v>0</v>
      </c>
      <c r="AR60" s="228">
        <f t="shared" si="144"/>
        <v>0</v>
      </c>
      <c r="AS60" s="228">
        <f t="shared" si="144"/>
        <v>0</v>
      </c>
      <c r="AT60" s="228">
        <f t="shared" si="144"/>
        <v>0</v>
      </c>
      <c r="AU60" s="228">
        <f t="shared" si="144"/>
        <v>0</v>
      </c>
      <c r="AV60" s="261"/>
      <c r="AW60" s="228">
        <f t="shared" si="145"/>
        <v>0</v>
      </c>
      <c r="AX60" s="228">
        <f t="shared" si="145"/>
        <v>0</v>
      </c>
      <c r="AY60" s="228">
        <f t="shared" si="145"/>
        <v>0</v>
      </c>
      <c r="AZ60" s="228">
        <f t="shared" si="145"/>
        <v>0</v>
      </c>
      <c r="BA60" s="228">
        <f t="shared" si="145"/>
        <v>0</v>
      </c>
      <c r="BB60" s="228">
        <f t="shared" si="145"/>
        <v>0</v>
      </c>
      <c r="BC60" s="261">
        <f t="shared" si="128"/>
        <v>0</v>
      </c>
      <c r="BD60" s="239">
        <f t="shared" si="84"/>
        <v>213044.92000000027</v>
      </c>
      <c r="BE60" s="244"/>
      <c r="BF60" s="243"/>
      <c r="BG60" s="243"/>
      <c r="BH60" s="243"/>
      <c r="BI60" s="243"/>
      <c r="BJ60" s="243"/>
      <c r="BK60" s="243"/>
      <c r="BL60" s="243"/>
      <c r="BM60" s="243"/>
      <c r="BN60" s="243"/>
      <c r="BO60" s="243"/>
      <c r="BP60" s="243"/>
      <c r="BQ60" s="243"/>
      <c r="BR60" s="243"/>
      <c r="BS60" s="243"/>
      <c r="BT60" s="243"/>
      <c r="BU60" s="243"/>
      <c r="BV60" s="243"/>
      <c r="BW60" s="243"/>
      <c r="BX60" s="243"/>
      <c r="BY60" s="243"/>
      <c r="BZ60" s="243"/>
      <c r="CA60" s="243"/>
      <c r="CB60" s="243"/>
      <c r="CC60" s="243"/>
      <c r="CD60" s="243"/>
      <c r="CE60" s="243"/>
      <c r="CF60" s="243"/>
      <c r="CG60" s="243"/>
      <c r="CH60" s="243"/>
      <c r="CI60" s="243"/>
      <c r="CJ60" s="243"/>
      <c r="CK60" s="243"/>
      <c r="CL60" s="243"/>
      <c r="CM60" s="243"/>
      <c r="CN60" s="243"/>
      <c r="CO60" s="243"/>
      <c r="CP60" s="243"/>
      <c r="CQ60" s="243"/>
      <c r="CR60" s="243"/>
      <c r="CS60" s="243"/>
      <c r="CT60" s="243"/>
      <c r="CU60" s="243"/>
      <c r="CV60" s="243"/>
      <c r="CW60" s="243"/>
      <c r="CX60" s="243"/>
      <c r="CY60" s="243"/>
      <c r="CZ60" s="243"/>
      <c r="DA60" s="243"/>
      <c r="DB60" s="243"/>
      <c r="DC60" s="243"/>
      <c r="DD60" s="243"/>
      <c r="DE60" s="243"/>
      <c r="DF60" s="243"/>
      <c r="DG60" s="243"/>
      <c r="DH60" s="243"/>
      <c r="DI60" s="243"/>
      <c r="DJ60" s="243"/>
      <c r="DK60" s="243"/>
      <c r="DL60" s="243"/>
      <c r="DM60" s="243"/>
      <c r="DN60" s="243"/>
      <c r="DO60" s="243"/>
      <c r="DP60" s="243"/>
      <c r="DQ60" s="243"/>
      <c r="DR60" s="243"/>
      <c r="DS60" s="243"/>
      <c r="DT60" s="243"/>
      <c r="DU60" s="243"/>
      <c r="DV60" s="243"/>
      <c r="DW60" s="243"/>
      <c r="DX60" s="243"/>
      <c r="DY60" s="243"/>
      <c r="DZ60" s="243"/>
      <c r="EA60" s="243"/>
      <c r="EB60" s="243"/>
      <c r="EC60" s="243"/>
      <c r="ED60" s="243"/>
      <c r="EE60" s="243"/>
      <c r="EF60" s="243"/>
      <c r="EG60" s="243"/>
      <c r="EH60" s="243"/>
      <c r="EI60" s="243"/>
      <c r="EJ60" s="243"/>
      <c r="EK60" s="243"/>
      <c r="EL60" s="243"/>
      <c r="EM60" s="243"/>
      <c r="EN60" s="243"/>
      <c r="EO60" s="243"/>
      <c r="EP60" s="243"/>
      <c r="EQ60" s="243"/>
      <c r="ER60" s="243"/>
      <c r="ES60" s="243"/>
      <c r="ET60" s="243"/>
      <c r="EU60" s="243"/>
      <c r="EV60" s="243"/>
      <c r="EW60" s="243"/>
      <c r="EX60" s="243"/>
      <c r="EY60" s="243"/>
      <c r="EZ60" s="243"/>
      <c r="FA60" s="243"/>
      <c r="FB60" s="243"/>
      <c r="FC60" s="243"/>
      <c r="FD60" s="243"/>
      <c r="FE60" s="243"/>
      <c r="FF60" s="243"/>
      <c r="FG60" s="243"/>
      <c r="FH60" s="243"/>
      <c r="FI60" s="243"/>
      <c r="FJ60" s="243"/>
      <c r="FK60" s="243"/>
      <c r="FL60" s="243"/>
      <c r="FM60" s="243"/>
      <c r="FN60" s="243"/>
      <c r="FO60" s="243"/>
      <c r="FP60" s="243"/>
      <c r="FQ60" s="243"/>
      <c r="FR60" s="243"/>
      <c r="FS60" s="243"/>
      <c r="FT60" s="243"/>
      <c r="FU60" s="243"/>
      <c r="FV60" s="243"/>
      <c r="FW60" s="243"/>
      <c r="FX60" s="243"/>
      <c r="FY60" s="243"/>
      <c r="FZ60" s="243"/>
      <c r="GA60" s="243"/>
      <c r="GB60" s="243"/>
      <c r="GC60" s="243"/>
      <c r="GD60" s="243"/>
      <c r="GE60" s="243"/>
      <c r="GF60" s="243"/>
      <c r="GG60" s="243"/>
      <c r="GH60" s="243"/>
      <c r="GI60" s="243"/>
      <c r="GJ60" s="243"/>
      <c r="GK60" s="243"/>
      <c r="GL60" s="243"/>
      <c r="GM60" s="243"/>
      <c r="GN60" s="243"/>
      <c r="GO60" s="243"/>
      <c r="GP60" s="243"/>
      <c r="GQ60" s="243"/>
      <c r="GR60" s="243"/>
      <c r="GS60" s="243"/>
      <c r="GT60" s="243"/>
    </row>
    <row r="61" spans="1:202" s="79" customFormat="1" ht="12.75" customHeight="1">
      <c r="A61" s="193" t="s">
        <v>101</v>
      </c>
      <c r="B61" s="182" t="s">
        <v>108</v>
      </c>
      <c r="C61" s="221" t="s">
        <v>240</v>
      </c>
      <c r="D61" s="73" t="s">
        <v>109</v>
      </c>
      <c r="E61" s="82"/>
      <c r="F61" s="82"/>
      <c r="G61" s="177">
        <f t="shared" si="129"/>
        <v>0</v>
      </c>
      <c r="H61" s="82"/>
      <c r="I61" s="82"/>
      <c r="J61" s="210">
        <f t="shared" si="130"/>
        <v>0</v>
      </c>
      <c r="K61" s="254"/>
      <c r="L61" s="254"/>
      <c r="M61" s="254"/>
      <c r="N61" s="284">
        <f>K61+L61+M61</f>
        <v>0</v>
      </c>
      <c r="O61" s="275"/>
      <c r="P61" s="275"/>
      <c r="Q61" s="293"/>
      <c r="R61" s="284">
        <f t="shared" si="131"/>
        <v>0</v>
      </c>
      <c r="S61" s="293"/>
      <c r="T61" s="266"/>
      <c r="U61" s="275"/>
      <c r="V61" s="275"/>
      <c r="W61" s="293"/>
      <c r="X61" s="263"/>
      <c r="Y61" s="262">
        <f t="shared" si="132"/>
        <v>0</v>
      </c>
      <c r="Z61" s="275"/>
      <c r="AA61" s="275"/>
      <c r="AB61" s="275"/>
      <c r="AC61" s="275"/>
      <c r="AD61" s="275"/>
      <c r="AE61" s="275"/>
      <c r="AF61" s="284">
        <f t="shared" si="133"/>
        <v>0</v>
      </c>
      <c r="AG61" s="282">
        <f t="shared" si="83"/>
        <v>0</v>
      </c>
      <c r="AH61" s="232">
        <f t="shared" si="142"/>
        <v>0</v>
      </c>
      <c r="AI61" s="232">
        <f t="shared" si="142"/>
        <v>0</v>
      </c>
      <c r="AJ61" s="232">
        <f t="shared" si="142"/>
        <v>0</v>
      </c>
      <c r="AK61" s="260">
        <f t="shared" si="125"/>
        <v>0</v>
      </c>
      <c r="AL61" s="232">
        <f t="shared" si="143"/>
        <v>0</v>
      </c>
      <c r="AM61" s="232">
        <f t="shared" si="143"/>
        <v>0</v>
      </c>
      <c r="AN61" s="232">
        <f t="shared" si="143"/>
        <v>0</v>
      </c>
      <c r="AO61" s="260">
        <f t="shared" ref="AO61:AO70" si="146">SUM(AL61:AN61)</f>
        <v>0</v>
      </c>
      <c r="AP61" s="232">
        <f t="shared" si="144"/>
        <v>0</v>
      </c>
      <c r="AQ61" s="232">
        <f t="shared" si="144"/>
        <v>0</v>
      </c>
      <c r="AR61" s="232">
        <f t="shared" si="144"/>
        <v>0</v>
      </c>
      <c r="AS61" s="232">
        <f t="shared" si="144"/>
        <v>0</v>
      </c>
      <c r="AT61" s="232">
        <f t="shared" si="144"/>
        <v>0</v>
      </c>
      <c r="AU61" s="232">
        <f t="shared" si="144"/>
        <v>0</v>
      </c>
      <c r="AV61" s="260">
        <f t="shared" ref="AV61:AV70" si="147">SUM(AP61:AU61)</f>
        <v>0</v>
      </c>
      <c r="AW61" s="232">
        <f t="shared" si="145"/>
        <v>0</v>
      </c>
      <c r="AX61" s="232">
        <f t="shared" si="145"/>
        <v>0</v>
      </c>
      <c r="AY61" s="232">
        <f t="shared" si="145"/>
        <v>0</v>
      </c>
      <c r="AZ61" s="232">
        <f t="shared" si="145"/>
        <v>0</v>
      </c>
      <c r="BA61" s="232">
        <f t="shared" si="145"/>
        <v>0</v>
      </c>
      <c r="BB61" s="232">
        <f t="shared" si="145"/>
        <v>0</v>
      </c>
      <c r="BC61" s="260">
        <f t="shared" si="128"/>
        <v>0</v>
      </c>
      <c r="BD61" s="238">
        <f t="shared" si="84"/>
        <v>0</v>
      </c>
      <c r="BE61" s="1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  <c r="BX61" s="243"/>
      <c r="BY61" s="243"/>
      <c r="BZ61" s="243"/>
      <c r="CA61" s="243"/>
      <c r="CB61" s="243"/>
      <c r="CC61" s="243"/>
      <c r="CD61" s="243"/>
      <c r="CE61" s="243"/>
      <c r="CF61" s="243"/>
      <c r="CG61" s="243"/>
      <c r="CH61" s="243"/>
      <c r="CI61" s="243"/>
      <c r="CJ61" s="243"/>
      <c r="CK61" s="243"/>
      <c r="CL61" s="243"/>
      <c r="CM61" s="243"/>
      <c r="CN61" s="243"/>
      <c r="CO61" s="243"/>
      <c r="CP61" s="243"/>
      <c r="CQ61" s="243"/>
      <c r="CR61" s="243"/>
      <c r="CS61" s="243"/>
      <c r="CT61" s="243"/>
      <c r="CU61" s="243"/>
      <c r="CV61" s="243"/>
      <c r="CW61" s="243"/>
      <c r="CX61" s="243"/>
      <c r="CY61" s="243"/>
      <c r="CZ61" s="243"/>
      <c r="DA61" s="243"/>
      <c r="DB61" s="243"/>
      <c r="DC61" s="243"/>
      <c r="DD61" s="243"/>
      <c r="DE61" s="243"/>
      <c r="DF61" s="243"/>
      <c r="DG61" s="243"/>
      <c r="DH61" s="243"/>
      <c r="DI61" s="243"/>
      <c r="DJ61" s="243"/>
      <c r="DK61" s="243"/>
      <c r="DL61" s="243"/>
      <c r="DM61" s="243"/>
      <c r="DN61" s="243"/>
      <c r="DO61" s="243"/>
      <c r="DP61" s="243"/>
      <c r="DQ61" s="243"/>
      <c r="DR61" s="243"/>
      <c r="DS61" s="243"/>
      <c r="DT61" s="243"/>
      <c r="DU61" s="243"/>
      <c r="DV61" s="243"/>
      <c r="DW61" s="243"/>
      <c r="DX61" s="243"/>
      <c r="DY61" s="243"/>
      <c r="DZ61" s="243"/>
      <c r="EA61" s="243"/>
      <c r="EB61" s="243"/>
      <c r="EC61" s="243"/>
      <c r="ED61" s="243"/>
      <c r="EE61" s="243"/>
      <c r="EF61" s="243"/>
      <c r="EG61" s="243"/>
      <c r="EH61" s="243"/>
      <c r="EI61" s="243"/>
      <c r="EJ61" s="243"/>
      <c r="EK61" s="243"/>
      <c r="EL61" s="243"/>
      <c r="EM61" s="243"/>
      <c r="EN61" s="243"/>
      <c r="EO61" s="243"/>
      <c r="EP61" s="243"/>
      <c r="EQ61" s="243"/>
      <c r="ER61" s="243"/>
      <c r="ES61" s="243"/>
      <c r="ET61" s="243"/>
      <c r="EU61" s="243"/>
      <c r="EV61" s="243"/>
      <c r="EW61" s="243"/>
      <c r="EX61" s="243"/>
      <c r="EY61" s="243"/>
      <c r="EZ61" s="243"/>
      <c r="FA61" s="243"/>
      <c r="FB61" s="243"/>
      <c r="FC61" s="243"/>
      <c r="FD61" s="243"/>
      <c r="FE61" s="243"/>
      <c r="FF61" s="243"/>
      <c r="FG61" s="243"/>
      <c r="FH61" s="243"/>
      <c r="FI61" s="243"/>
      <c r="FJ61" s="243"/>
      <c r="FK61" s="243"/>
      <c r="FL61" s="243"/>
      <c r="FM61" s="243"/>
      <c r="FN61" s="243"/>
      <c r="FO61" s="243"/>
      <c r="FP61" s="243"/>
      <c r="FQ61" s="243"/>
      <c r="FR61" s="243"/>
      <c r="FS61" s="243"/>
      <c r="FT61" s="243"/>
      <c r="FU61" s="243"/>
      <c r="FV61" s="243"/>
      <c r="FW61" s="243"/>
      <c r="FX61" s="243"/>
      <c r="FY61" s="243"/>
      <c r="FZ61" s="243"/>
      <c r="GA61" s="243"/>
      <c r="GB61" s="243"/>
      <c r="GC61" s="243"/>
      <c r="GD61" s="243"/>
      <c r="GE61" s="243"/>
      <c r="GF61" s="243"/>
      <c r="GG61" s="243"/>
      <c r="GH61" s="243"/>
      <c r="GI61" s="243"/>
      <c r="GJ61" s="243"/>
      <c r="GK61" s="243"/>
      <c r="GL61" s="243"/>
      <c r="GM61" s="243"/>
      <c r="GN61" s="243"/>
      <c r="GO61" s="243"/>
      <c r="GP61" s="243"/>
      <c r="GQ61" s="243"/>
      <c r="GR61" s="243"/>
      <c r="GS61" s="243"/>
      <c r="GT61" s="243"/>
    </row>
    <row r="62" spans="1:202" s="79" customFormat="1" ht="11.25" customHeight="1">
      <c r="A62" s="193" t="s">
        <v>101</v>
      </c>
      <c r="B62" s="182" t="s">
        <v>228</v>
      </c>
      <c r="C62" s="221" t="s">
        <v>240</v>
      </c>
      <c r="D62" s="73">
        <v>2922006980</v>
      </c>
      <c r="E62" s="82"/>
      <c r="F62" s="86"/>
      <c r="G62" s="177"/>
      <c r="H62" s="82"/>
      <c r="I62" s="86"/>
      <c r="J62" s="210"/>
      <c r="K62" s="254">
        <f t="shared" ref="K62:Y62" si="148">SUM(K63:K66)</f>
        <v>0</v>
      </c>
      <c r="L62" s="254">
        <f t="shared" si="148"/>
        <v>0</v>
      </c>
      <c r="M62" s="254">
        <f t="shared" si="148"/>
        <v>0</v>
      </c>
      <c r="N62" s="284">
        <f t="shared" si="148"/>
        <v>0</v>
      </c>
      <c r="O62" s="275">
        <f t="shared" si="148"/>
        <v>0</v>
      </c>
      <c r="P62" s="275">
        <f t="shared" si="148"/>
        <v>0</v>
      </c>
      <c r="Q62" s="293">
        <f t="shared" si="148"/>
        <v>0</v>
      </c>
      <c r="R62" s="284">
        <f t="shared" si="148"/>
        <v>0</v>
      </c>
      <c r="S62" s="293">
        <f t="shared" ref="S62:X62" si="149">SUM(S63:S66)</f>
        <v>0</v>
      </c>
      <c r="T62" s="293">
        <f t="shared" si="149"/>
        <v>0</v>
      </c>
      <c r="U62" s="293">
        <f t="shared" si="149"/>
        <v>0</v>
      </c>
      <c r="V62" s="293">
        <f t="shared" si="149"/>
        <v>0</v>
      </c>
      <c r="W62" s="293">
        <f t="shared" si="149"/>
        <v>0</v>
      </c>
      <c r="X62" s="293">
        <f t="shared" si="149"/>
        <v>0</v>
      </c>
      <c r="Y62" s="262">
        <f t="shared" si="148"/>
        <v>0</v>
      </c>
      <c r="Z62" s="275">
        <f t="shared" ref="Z62:AF62" si="150">SUM(Z63:Z66)</f>
        <v>0</v>
      </c>
      <c r="AA62" s="275">
        <f t="shared" si="150"/>
        <v>0</v>
      </c>
      <c r="AB62" s="275">
        <f t="shared" si="150"/>
        <v>0</v>
      </c>
      <c r="AC62" s="275">
        <f t="shared" si="150"/>
        <v>0</v>
      </c>
      <c r="AD62" s="275">
        <f t="shared" si="150"/>
        <v>0</v>
      </c>
      <c r="AE62" s="275">
        <f t="shared" si="150"/>
        <v>0</v>
      </c>
      <c r="AF62" s="284">
        <f t="shared" si="150"/>
        <v>0</v>
      </c>
      <c r="AG62" s="282">
        <f t="shared" si="83"/>
        <v>0</v>
      </c>
      <c r="AH62" s="232">
        <f t="shared" ref="AH62:AN62" si="151">SUM(AH63:AH66)</f>
        <v>0</v>
      </c>
      <c r="AI62" s="232">
        <f t="shared" si="151"/>
        <v>0</v>
      </c>
      <c r="AJ62" s="232">
        <f t="shared" si="151"/>
        <v>0</v>
      </c>
      <c r="AK62" s="260">
        <f t="shared" si="151"/>
        <v>0</v>
      </c>
      <c r="AL62" s="232">
        <f t="shared" si="151"/>
        <v>0</v>
      </c>
      <c r="AM62" s="232">
        <f t="shared" si="151"/>
        <v>0</v>
      </c>
      <c r="AN62" s="232">
        <f t="shared" si="151"/>
        <v>0</v>
      </c>
      <c r="AO62" s="260">
        <f t="shared" si="146"/>
        <v>0</v>
      </c>
      <c r="AP62" s="232">
        <f t="shared" ref="AP62:AU62" si="152">SUM(AP63:AP66)</f>
        <v>0</v>
      </c>
      <c r="AQ62" s="232">
        <f t="shared" si="152"/>
        <v>0</v>
      </c>
      <c r="AR62" s="232">
        <f t="shared" si="152"/>
        <v>0</v>
      </c>
      <c r="AS62" s="232">
        <f t="shared" si="152"/>
        <v>0</v>
      </c>
      <c r="AT62" s="232">
        <f t="shared" si="152"/>
        <v>0</v>
      </c>
      <c r="AU62" s="232">
        <f t="shared" si="152"/>
        <v>0</v>
      </c>
      <c r="AV62" s="260">
        <f t="shared" si="147"/>
        <v>0</v>
      </c>
      <c r="AW62" s="232">
        <f t="shared" ref="AW62:BB62" si="153">SUM(AW63:AW66)</f>
        <v>0</v>
      </c>
      <c r="AX62" s="232">
        <f t="shared" si="153"/>
        <v>0</v>
      </c>
      <c r="AY62" s="232">
        <f t="shared" si="153"/>
        <v>0</v>
      </c>
      <c r="AZ62" s="232">
        <f t="shared" si="153"/>
        <v>0</v>
      </c>
      <c r="BA62" s="232">
        <f t="shared" si="153"/>
        <v>0</v>
      </c>
      <c r="BB62" s="232">
        <f t="shared" si="153"/>
        <v>0</v>
      </c>
      <c r="BC62" s="260">
        <f t="shared" si="128"/>
        <v>0</v>
      </c>
      <c r="BD62" s="238">
        <f t="shared" si="84"/>
        <v>0</v>
      </c>
      <c r="BE62" s="13"/>
      <c r="BF62" s="243"/>
      <c r="BG62" s="243"/>
      <c r="BH62" s="243"/>
      <c r="BI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  <c r="BX62" s="243"/>
      <c r="BY62" s="243"/>
      <c r="BZ62" s="243"/>
      <c r="CA62" s="243"/>
      <c r="CB62" s="243"/>
      <c r="CC62" s="243"/>
      <c r="CD62" s="243"/>
      <c r="CE62" s="243"/>
      <c r="CF62" s="243"/>
      <c r="CG62" s="243"/>
      <c r="CH62" s="243"/>
      <c r="CI62" s="243"/>
      <c r="CJ62" s="243"/>
      <c r="CK62" s="243"/>
      <c r="CL62" s="243"/>
      <c r="CM62" s="243"/>
      <c r="CN62" s="243"/>
      <c r="CO62" s="243"/>
      <c r="CP62" s="243"/>
      <c r="CQ62" s="243"/>
      <c r="CR62" s="243"/>
      <c r="CS62" s="243"/>
      <c r="CT62" s="243"/>
      <c r="CU62" s="243"/>
      <c r="CV62" s="243"/>
      <c r="CW62" s="243"/>
      <c r="CX62" s="243"/>
      <c r="CY62" s="243"/>
      <c r="CZ62" s="243"/>
      <c r="DA62" s="243"/>
      <c r="DB62" s="243"/>
      <c r="DC62" s="243"/>
      <c r="DD62" s="243"/>
      <c r="DE62" s="243"/>
      <c r="DF62" s="243"/>
      <c r="DG62" s="243"/>
      <c r="DH62" s="243"/>
      <c r="DI62" s="243"/>
      <c r="DJ62" s="243"/>
      <c r="DK62" s="243"/>
      <c r="DL62" s="243"/>
      <c r="DM62" s="243"/>
      <c r="DN62" s="243"/>
      <c r="DO62" s="243"/>
      <c r="DP62" s="243"/>
      <c r="DQ62" s="243"/>
      <c r="DR62" s="243"/>
      <c r="DS62" s="243"/>
      <c r="DT62" s="243"/>
      <c r="DU62" s="243"/>
      <c r="DV62" s="243"/>
      <c r="DW62" s="243"/>
      <c r="DX62" s="243"/>
      <c r="DY62" s="243"/>
      <c r="DZ62" s="243"/>
      <c r="EA62" s="243"/>
      <c r="EB62" s="243"/>
      <c r="EC62" s="243"/>
      <c r="ED62" s="243"/>
      <c r="EE62" s="243"/>
      <c r="EF62" s="243"/>
      <c r="EG62" s="243"/>
      <c r="EH62" s="243"/>
      <c r="EI62" s="243"/>
      <c r="EJ62" s="243"/>
      <c r="EK62" s="243"/>
      <c r="EL62" s="243"/>
      <c r="EM62" s="243"/>
      <c r="EN62" s="243"/>
      <c r="EO62" s="243"/>
      <c r="EP62" s="243"/>
      <c r="EQ62" s="243"/>
      <c r="ER62" s="243"/>
      <c r="ES62" s="243"/>
      <c r="ET62" s="243"/>
      <c r="EU62" s="243"/>
      <c r="EV62" s="243"/>
      <c r="EW62" s="243"/>
      <c r="EX62" s="243"/>
      <c r="EY62" s="243"/>
      <c r="EZ62" s="243"/>
      <c r="FA62" s="243"/>
      <c r="FB62" s="243"/>
      <c r="FC62" s="243"/>
      <c r="FD62" s="243"/>
      <c r="FE62" s="243"/>
      <c r="FF62" s="243"/>
      <c r="FG62" s="243"/>
      <c r="FH62" s="243"/>
      <c r="FI62" s="243"/>
      <c r="FJ62" s="243"/>
      <c r="FK62" s="243"/>
      <c r="FL62" s="243"/>
      <c r="FM62" s="243"/>
      <c r="FN62" s="243"/>
      <c r="FO62" s="243"/>
      <c r="FP62" s="243"/>
      <c r="FQ62" s="243"/>
      <c r="FR62" s="243"/>
      <c r="FS62" s="243"/>
      <c r="FT62" s="243"/>
      <c r="FU62" s="243"/>
      <c r="FV62" s="243"/>
      <c r="FW62" s="243"/>
      <c r="FX62" s="243"/>
      <c r="FY62" s="243"/>
      <c r="FZ62" s="243"/>
      <c r="GA62" s="243"/>
      <c r="GB62" s="243"/>
      <c r="GC62" s="243"/>
      <c r="GD62" s="243"/>
      <c r="GE62" s="243"/>
      <c r="GF62" s="243"/>
      <c r="GG62" s="243"/>
      <c r="GH62" s="243"/>
      <c r="GI62" s="243"/>
      <c r="GJ62" s="243"/>
      <c r="GK62" s="243"/>
      <c r="GL62" s="243"/>
      <c r="GM62" s="243"/>
      <c r="GN62" s="243"/>
      <c r="GO62" s="243"/>
      <c r="GP62" s="243"/>
      <c r="GQ62" s="243"/>
      <c r="GR62" s="243"/>
      <c r="GS62" s="243"/>
      <c r="GT62" s="243"/>
    </row>
    <row r="63" spans="1:202" s="79" customFormat="1" ht="11.25" customHeight="1">
      <c r="A63" s="194"/>
      <c r="B63" s="84" t="s">
        <v>267</v>
      </c>
      <c r="C63" s="221"/>
      <c r="D63" s="133"/>
      <c r="E63" s="82"/>
      <c r="F63" s="86"/>
      <c r="G63" s="177">
        <f>E63-F63</f>
        <v>0</v>
      </c>
      <c r="H63" s="82"/>
      <c r="I63" s="86"/>
      <c r="J63" s="210">
        <f t="shared" ref="J63:J74" si="154">H63-I63</f>
        <v>0</v>
      </c>
      <c r="K63" s="255"/>
      <c r="L63" s="255"/>
      <c r="M63" s="255"/>
      <c r="N63" s="287">
        <f t="shared" ref="N63:N75" si="155">K63+L63+M63</f>
        <v>0</v>
      </c>
      <c r="O63" s="276"/>
      <c r="P63" s="276"/>
      <c r="Q63" s="333"/>
      <c r="R63" s="287">
        <f t="shared" ref="R63:R75" si="156">O63+P63+Q63</f>
        <v>0</v>
      </c>
      <c r="S63" s="294"/>
      <c r="T63" s="267"/>
      <c r="U63" s="276"/>
      <c r="V63" s="277"/>
      <c r="W63" s="293"/>
      <c r="X63" s="263"/>
      <c r="Y63" s="142">
        <f t="shared" ref="Y63:Y70" si="157">SUM(S63:X63)</f>
        <v>0</v>
      </c>
      <c r="Z63" s="276"/>
      <c r="AA63" s="276"/>
      <c r="AB63" s="276"/>
      <c r="AC63" s="276"/>
      <c r="AD63" s="276"/>
      <c r="AE63" s="276"/>
      <c r="AF63" s="287">
        <f>SUM(Z63:AE63)</f>
        <v>0</v>
      </c>
      <c r="AG63" s="283">
        <f t="shared" si="83"/>
        <v>0</v>
      </c>
      <c r="AH63" s="230">
        <f t="shared" ref="AH63:AJ66" si="158">K63*$G63</f>
        <v>0</v>
      </c>
      <c r="AI63" s="230">
        <f t="shared" si="158"/>
        <v>0</v>
      </c>
      <c r="AJ63" s="230">
        <f t="shared" si="158"/>
        <v>0</v>
      </c>
      <c r="AK63" s="261">
        <f t="shared" ref="AK63:AK75" si="159">AH63+AI63+AJ63</f>
        <v>0</v>
      </c>
      <c r="AL63" s="230">
        <f t="shared" ref="AL63:AN66" si="160">O63*$G63</f>
        <v>0</v>
      </c>
      <c r="AM63" s="230">
        <f t="shared" si="160"/>
        <v>0</v>
      </c>
      <c r="AN63" s="231">
        <f t="shared" si="160"/>
        <v>0</v>
      </c>
      <c r="AO63" s="261">
        <f t="shared" si="146"/>
        <v>0</v>
      </c>
      <c r="AP63" s="230">
        <f t="shared" ref="AP63:AU66" si="161">S63*$J63</f>
        <v>0</v>
      </c>
      <c r="AQ63" s="230">
        <f t="shared" si="161"/>
        <v>0</v>
      </c>
      <c r="AR63" s="230">
        <f t="shared" si="161"/>
        <v>0</v>
      </c>
      <c r="AS63" s="230">
        <f t="shared" si="161"/>
        <v>0</v>
      </c>
      <c r="AT63" s="230">
        <f t="shared" si="161"/>
        <v>0</v>
      </c>
      <c r="AU63" s="230">
        <f t="shared" si="161"/>
        <v>0</v>
      </c>
      <c r="AV63" s="261">
        <f t="shared" si="147"/>
        <v>0</v>
      </c>
      <c r="AW63" s="230">
        <f t="shared" ref="AW63:BB66" si="162">Z63*$J63</f>
        <v>0</v>
      </c>
      <c r="AX63" s="230">
        <f t="shared" si="162"/>
        <v>0</v>
      </c>
      <c r="AY63" s="230">
        <f t="shared" si="162"/>
        <v>0</v>
      </c>
      <c r="AZ63" s="230">
        <f t="shared" si="162"/>
        <v>0</v>
      </c>
      <c r="BA63" s="230">
        <f t="shared" si="162"/>
        <v>0</v>
      </c>
      <c r="BB63" s="230">
        <f t="shared" si="162"/>
        <v>0</v>
      </c>
      <c r="BC63" s="261">
        <f t="shared" si="128"/>
        <v>0</v>
      </c>
      <c r="BD63" s="239">
        <f t="shared" si="84"/>
        <v>0</v>
      </c>
      <c r="BE63" s="244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  <c r="BX63" s="243"/>
      <c r="BY63" s="243"/>
      <c r="BZ63" s="243"/>
      <c r="CA63" s="243"/>
      <c r="CB63" s="243"/>
      <c r="CC63" s="243"/>
      <c r="CD63" s="243"/>
      <c r="CE63" s="243"/>
      <c r="CF63" s="243"/>
      <c r="CG63" s="243"/>
      <c r="CH63" s="243"/>
      <c r="CI63" s="243"/>
      <c r="CJ63" s="243"/>
      <c r="CK63" s="243"/>
      <c r="CL63" s="243"/>
      <c r="CM63" s="243"/>
      <c r="CN63" s="243"/>
      <c r="CO63" s="243"/>
      <c r="CP63" s="243"/>
      <c r="CQ63" s="243"/>
      <c r="CR63" s="243"/>
      <c r="CS63" s="243"/>
      <c r="CT63" s="243"/>
      <c r="CU63" s="243"/>
      <c r="CV63" s="243"/>
      <c r="CW63" s="243"/>
      <c r="CX63" s="243"/>
      <c r="CY63" s="243"/>
      <c r="CZ63" s="243"/>
      <c r="DA63" s="243"/>
      <c r="DB63" s="243"/>
      <c r="DC63" s="243"/>
      <c r="DD63" s="243"/>
      <c r="DE63" s="243"/>
      <c r="DF63" s="243"/>
      <c r="DG63" s="243"/>
      <c r="DH63" s="243"/>
      <c r="DI63" s="243"/>
      <c r="DJ63" s="243"/>
      <c r="DK63" s="243"/>
      <c r="DL63" s="243"/>
      <c r="DM63" s="243"/>
      <c r="DN63" s="243"/>
      <c r="DO63" s="243"/>
      <c r="DP63" s="243"/>
      <c r="DQ63" s="243"/>
      <c r="DR63" s="243"/>
      <c r="DS63" s="243"/>
      <c r="DT63" s="243"/>
      <c r="DU63" s="243"/>
      <c r="DV63" s="243"/>
      <c r="DW63" s="243"/>
      <c r="DX63" s="243"/>
      <c r="DY63" s="243"/>
      <c r="DZ63" s="243"/>
      <c r="EA63" s="243"/>
      <c r="EB63" s="243"/>
      <c r="EC63" s="243"/>
      <c r="ED63" s="243"/>
      <c r="EE63" s="243"/>
      <c r="EF63" s="243"/>
      <c r="EG63" s="243"/>
      <c r="EH63" s="243"/>
      <c r="EI63" s="243"/>
      <c r="EJ63" s="243"/>
      <c r="EK63" s="243"/>
      <c r="EL63" s="243"/>
      <c r="EM63" s="243"/>
      <c r="EN63" s="243"/>
      <c r="EO63" s="243"/>
      <c r="EP63" s="243"/>
      <c r="EQ63" s="243"/>
      <c r="ER63" s="243"/>
      <c r="ES63" s="243"/>
      <c r="ET63" s="243"/>
      <c r="EU63" s="243"/>
      <c r="EV63" s="243"/>
      <c r="EW63" s="243"/>
      <c r="EX63" s="243"/>
      <c r="EY63" s="243"/>
      <c r="EZ63" s="243"/>
      <c r="FA63" s="243"/>
      <c r="FB63" s="243"/>
      <c r="FC63" s="243"/>
      <c r="FD63" s="243"/>
      <c r="FE63" s="243"/>
      <c r="FF63" s="243"/>
      <c r="FG63" s="243"/>
      <c r="FH63" s="243"/>
      <c r="FI63" s="243"/>
      <c r="FJ63" s="243"/>
      <c r="FK63" s="243"/>
      <c r="FL63" s="243"/>
      <c r="FM63" s="243"/>
      <c r="FN63" s="243"/>
      <c r="FO63" s="243"/>
      <c r="FP63" s="243"/>
      <c r="FQ63" s="243"/>
      <c r="FR63" s="243"/>
      <c r="FS63" s="243"/>
      <c r="FT63" s="243"/>
      <c r="FU63" s="243"/>
      <c r="FV63" s="243"/>
      <c r="FW63" s="243"/>
      <c r="FX63" s="243"/>
      <c r="FY63" s="243"/>
      <c r="FZ63" s="243"/>
      <c r="GA63" s="243"/>
      <c r="GB63" s="243"/>
      <c r="GC63" s="243"/>
      <c r="GD63" s="243"/>
      <c r="GE63" s="243"/>
      <c r="GF63" s="243"/>
      <c r="GG63" s="243"/>
      <c r="GH63" s="243"/>
      <c r="GI63" s="243"/>
      <c r="GJ63" s="243"/>
      <c r="GK63" s="243"/>
      <c r="GL63" s="243"/>
      <c r="GM63" s="243"/>
      <c r="GN63" s="243"/>
      <c r="GO63" s="243"/>
      <c r="GP63" s="243"/>
      <c r="GQ63" s="243"/>
      <c r="GR63" s="243"/>
      <c r="GS63" s="243"/>
      <c r="GT63" s="243"/>
    </row>
    <row r="64" spans="1:202" s="79" customFormat="1" ht="11.25" customHeight="1">
      <c r="A64" s="194"/>
      <c r="B64" s="84" t="s">
        <v>268</v>
      </c>
      <c r="C64" s="221"/>
      <c r="D64" s="133"/>
      <c r="E64" s="136"/>
      <c r="F64" s="136"/>
      <c r="G64" s="177">
        <f>E64-F64</f>
        <v>0</v>
      </c>
      <c r="H64" s="136"/>
      <c r="I64" s="137"/>
      <c r="J64" s="210">
        <f t="shared" si="154"/>
        <v>0</v>
      </c>
      <c r="K64" s="256"/>
      <c r="L64" s="255"/>
      <c r="M64" s="256"/>
      <c r="N64" s="287">
        <f t="shared" si="155"/>
        <v>0</v>
      </c>
      <c r="O64" s="278"/>
      <c r="P64" s="278"/>
      <c r="Q64" s="333"/>
      <c r="R64" s="287">
        <f t="shared" si="156"/>
        <v>0</v>
      </c>
      <c r="S64" s="295"/>
      <c r="T64" s="268"/>
      <c r="U64" s="278"/>
      <c r="V64" s="277"/>
      <c r="W64" s="293"/>
      <c r="X64" s="263"/>
      <c r="Y64" s="142">
        <f t="shared" si="157"/>
        <v>0</v>
      </c>
      <c r="Z64" s="278"/>
      <c r="AA64" s="278"/>
      <c r="AB64" s="278"/>
      <c r="AC64" s="278"/>
      <c r="AD64" s="278"/>
      <c r="AE64" s="278"/>
      <c r="AF64" s="287">
        <f>SUM(Z64:AE64)</f>
        <v>0</v>
      </c>
      <c r="AG64" s="283">
        <f t="shared" si="83"/>
        <v>0</v>
      </c>
      <c r="AH64" s="230">
        <f t="shared" si="158"/>
        <v>0</v>
      </c>
      <c r="AI64" s="230">
        <f t="shared" si="158"/>
        <v>0</v>
      </c>
      <c r="AJ64" s="230">
        <f t="shared" si="158"/>
        <v>0</v>
      </c>
      <c r="AK64" s="261">
        <f t="shared" si="159"/>
        <v>0</v>
      </c>
      <c r="AL64" s="233">
        <f t="shared" si="160"/>
        <v>0</v>
      </c>
      <c r="AM64" s="233">
        <f t="shared" si="160"/>
        <v>0</v>
      </c>
      <c r="AN64" s="231">
        <f t="shared" si="160"/>
        <v>0</v>
      </c>
      <c r="AO64" s="261">
        <f t="shared" si="146"/>
        <v>0</v>
      </c>
      <c r="AP64" s="230">
        <f t="shared" si="161"/>
        <v>0</v>
      </c>
      <c r="AQ64" s="230">
        <f t="shared" si="161"/>
        <v>0</v>
      </c>
      <c r="AR64" s="230">
        <f t="shared" si="161"/>
        <v>0</v>
      </c>
      <c r="AS64" s="230">
        <f t="shared" si="161"/>
        <v>0</v>
      </c>
      <c r="AT64" s="230">
        <f t="shared" si="161"/>
        <v>0</v>
      </c>
      <c r="AU64" s="230">
        <f t="shared" si="161"/>
        <v>0</v>
      </c>
      <c r="AV64" s="261">
        <f t="shared" si="147"/>
        <v>0</v>
      </c>
      <c r="AW64" s="233">
        <f t="shared" si="162"/>
        <v>0</v>
      </c>
      <c r="AX64" s="233">
        <f t="shared" si="162"/>
        <v>0</v>
      </c>
      <c r="AY64" s="233">
        <f t="shared" si="162"/>
        <v>0</v>
      </c>
      <c r="AZ64" s="233">
        <f t="shared" si="162"/>
        <v>0</v>
      </c>
      <c r="BA64" s="233">
        <f t="shared" si="162"/>
        <v>0</v>
      </c>
      <c r="BB64" s="233">
        <f t="shared" si="162"/>
        <v>0</v>
      </c>
      <c r="BC64" s="261">
        <f t="shared" si="128"/>
        <v>0</v>
      </c>
      <c r="BD64" s="239">
        <f t="shared" si="84"/>
        <v>0</v>
      </c>
      <c r="BE64" s="244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  <c r="CU64" s="243"/>
      <c r="CV64" s="243"/>
      <c r="CW64" s="243"/>
      <c r="CX64" s="243"/>
      <c r="CY64" s="243"/>
      <c r="CZ64" s="243"/>
      <c r="DA64" s="243"/>
      <c r="DB64" s="243"/>
      <c r="DC64" s="243"/>
      <c r="DD64" s="243"/>
      <c r="DE64" s="243"/>
      <c r="DF64" s="243"/>
      <c r="DG64" s="243"/>
      <c r="DH64" s="243"/>
      <c r="DI64" s="243"/>
      <c r="DJ64" s="243"/>
      <c r="DK64" s="243"/>
      <c r="DL64" s="243"/>
      <c r="DM64" s="243"/>
      <c r="DN64" s="243"/>
      <c r="DO64" s="243"/>
      <c r="DP64" s="243"/>
      <c r="DQ64" s="243"/>
      <c r="DR64" s="243"/>
      <c r="DS64" s="243"/>
      <c r="DT64" s="243"/>
      <c r="DU64" s="243"/>
      <c r="DV64" s="243"/>
      <c r="DW64" s="243"/>
      <c r="DX64" s="243"/>
      <c r="DY64" s="243"/>
      <c r="DZ64" s="243"/>
      <c r="EA64" s="243"/>
      <c r="EB64" s="243"/>
      <c r="EC64" s="243"/>
      <c r="ED64" s="243"/>
      <c r="EE64" s="243"/>
      <c r="EF64" s="243"/>
      <c r="EG64" s="243"/>
      <c r="EH64" s="243"/>
      <c r="EI64" s="243"/>
      <c r="EJ64" s="243"/>
      <c r="EK64" s="243"/>
      <c r="EL64" s="243"/>
      <c r="EM64" s="243"/>
      <c r="EN64" s="243"/>
      <c r="EO64" s="243"/>
      <c r="EP64" s="243"/>
      <c r="EQ64" s="243"/>
      <c r="ER64" s="243"/>
      <c r="ES64" s="243"/>
      <c r="ET64" s="243"/>
      <c r="EU64" s="243"/>
      <c r="EV64" s="243"/>
      <c r="EW64" s="243"/>
      <c r="EX64" s="243"/>
      <c r="EY64" s="243"/>
      <c r="EZ64" s="243"/>
      <c r="FA64" s="243"/>
      <c r="FB64" s="243"/>
      <c r="FC64" s="243"/>
      <c r="FD64" s="243"/>
      <c r="FE64" s="243"/>
      <c r="FF64" s="243"/>
      <c r="FG64" s="243"/>
      <c r="FH64" s="243"/>
      <c r="FI64" s="243"/>
      <c r="FJ64" s="243"/>
      <c r="FK64" s="243"/>
      <c r="FL64" s="243"/>
      <c r="FM64" s="243"/>
      <c r="FN64" s="243"/>
      <c r="FO64" s="243"/>
      <c r="FP64" s="243"/>
      <c r="FQ64" s="243"/>
      <c r="FR64" s="243"/>
      <c r="FS64" s="243"/>
      <c r="FT64" s="243"/>
      <c r="FU64" s="243"/>
      <c r="FV64" s="243"/>
      <c r="FW64" s="243"/>
      <c r="FX64" s="243"/>
      <c r="FY64" s="243"/>
      <c r="FZ64" s="243"/>
      <c r="GA64" s="243"/>
      <c r="GB64" s="243"/>
      <c r="GC64" s="243"/>
      <c r="GD64" s="243"/>
      <c r="GE64" s="243"/>
      <c r="GF64" s="243"/>
      <c r="GG64" s="243"/>
      <c r="GH64" s="243"/>
      <c r="GI64" s="243"/>
      <c r="GJ64" s="243"/>
      <c r="GK64" s="243"/>
      <c r="GL64" s="243"/>
      <c r="GM64" s="243"/>
      <c r="GN64" s="243"/>
      <c r="GO64" s="243"/>
      <c r="GP64" s="243"/>
      <c r="GQ64" s="243"/>
      <c r="GR64" s="243"/>
      <c r="GS64" s="243"/>
      <c r="GT64" s="243"/>
    </row>
    <row r="65" spans="1:202" s="79" customFormat="1" ht="12.75" customHeight="1">
      <c r="A65" s="194"/>
      <c r="B65" s="84" t="s">
        <v>269</v>
      </c>
      <c r="C65" s="221"/>
      <c r="D65" s="85"/>
      <c r="E65" s="82"/>
      <c r="F65" s="304"/>
      <c r="G65" s="177">
        <f>E65-F65</f>
        <v>0</v>
      </c>
      <c r="H65" s="82"/>
      <c r="I65" s="86"/>
      <c r="J65" s="210">
        <f t="shared" si="154"/>
        <v>0</v>
      </c>
      <c r="K65" s="255"/>
      <c r="L65" s="255"/>
      <c r="M65" s="255"/>
      <c r="N65" s="287">
        <f t="shared" si="155"/>
        <v>0</v>
      </c>
      <c r="O65" s="276"/>
      <c r="P65" s="276"/>
      <c r="Q65" s="294"/>
      <c r="R65" s="287">
        <f t="shared" si="156"/>
        <v>0</v>
      </c>
      <c r="S65" s="294"/>
      <c r="T65" s="267"/>
      <c r="U65" s="276"/>
      <c r="V65" s="276"/>
      <c r="W65" s="294"/>
      <c r="X65" s="264"/>
      <c r="Y65" s="142">
        <f t="shared" si="157"/>
        <v>0</v>
      </c>
      <c r="Z65" s="276"/>
      <c r="AA65" s="276"/>
      <c r="AB65" s="276"/>
      <c r="AC65" s="276"/>
      <c r="AD65" s="276"/>
      <c r="AE65" s="276"/>
      <c r="AF65" s="287">
        <f>SUM(Z65:AE65)</f>
        <v>0</v>
      </c>
      <c r="AG65" s="283">
        <f t="shared" si="83"/>
        <v>0</v>
      </c>
      <c r="AH65" s="230">
        <f t="shared" si="158"/>
        <v>0</v>
      </c>
      <c r="AI65" s="230">
        <f t="shared" si="158"/>
        <v>0</v>
      </c>
      <c r="AJ65" s="230">
        <f t="shared" si="158"/>
        <v>0</v>
      </c>
      <c r="AK65" s="261">
        <f t="shared" si="159"/>
        <v>0</v>
      </c>
      <c r="AL65" s="230">
        <f t="shared" si="160"/>
        <v>0</v>
      </c>
      <c r="AM65" s="230">
        <f t="shared" si="160"/>
        <v>0</v>
      </c>
      <c r="AN65" s="230">
        <f t="shared" si="160"/>
        <v>0</v>
      </c>
      <c r="AO65" s="261">
        <f t="shared" si="146"/>
        <v>0</v>
      </c>
      <c r="AP65" s="230">
        <f t="shared" si="161"/>
        <v>0</v>
      </c>
      <c r="AQ65" s="230">
        <f t="shared" si="161"/>
        <v>0</v>
      </c>
      <c r="AR65" s="230">
        <f t="shared" si="161"/>
        <v>0</v>
      </c>
      <c r="AS65" s="230">
        <f t="shared" si="161"/>
        <v>0</v>
      </c>
      <c r="AT65" s="230">
        <f t="shared" si="161"/>
        <v>0</v>
      </c>
      <c r="AU65" s="230">
        <f t="shared" si="161"/>
        <v>0</v>
      </c>
      <c r="AV65" s="261">
        <f t="shared" si="147"/>
        <v>0</v>
      </c>
      <c r="AW65" s="230">
        <f t="shared" si="162"/>
        <v>0</v>
      </c>
      <c r="AX65" s="230">
        <f t="shared" si="162"/>
        <v>0</v>
      </c>
      <c r="AY65" s="230">
        <f t="shared" si="162"/>
        <v>0</v>
      </c>
      <c r="AZ65" s="230">
        <f t="shared" si="162"/>
        <v>0</v>
      </c>
      <c r="BA65" s="230">
        <f t="shared" si="162"/>
        <v>0</v>
      </c>
      <c r="BB65" s="230">
        <f t="shared" si="162"/>
        <v>0</v>
      </c>
      <c r="BC65" s="261">
        <f t="shared" si="128"/>
        <v>0</v>
      </c>
      <c r="BD65" s="239">
        <f t="shared" si="84"/>
        <v>0</v>
      </c>
      <c r="BE65" s="244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243"/>
      <c r="ES65" s="243"/>
      <c r="ET65" s="243"/>
      <c r="EU65" s="243"/>
      <c r="EV65" s="243"/>
      <c r="EW65" s="243"/>
      <c r="EX65" s="243"/>
      <c r="EY65" s="243"/>
      <c r="EZ65" s="243"/>
      <c r="FA65" s="243"/>
      <c r="FB65" s="243"/>
      <c r="FC65" s="243"/>
      <c r="FD65" s="243"/>
      <c r="FE65" s="243"/>
      <c r="FF65" s="243"/>
      <c r="FG65" s="243"/>
      <c r="FH65" s="243"/>
      <c r="FI65" s="243"/>
      <c r="FJ65" s="243"/>
      <c r="FK65" s="243"/>
      <c r="FL65" s="243"/>
      <c r="FM65" s="243"/>
      <c r="FN65" s="243"/>
      <c r="FO65" s="243"/>
      <c r="FP65" s="243"/>
      <c r="FQ65" s="243"/>
      <c r="FR65" s="243"/>
      <c r="FS65" s="243"/>
      <c r="FT65" s="243"/>
      <c r="FU65" s="243"/>
      <c r="FV65" s="243"/>
      <c r="FW65" s="243"/>
      <c r="FX65" s="243"/>
      <c r="FY65" s="243"/>
      <c r="FZ65" s="243"/>
      <c r="GA65" s="243"/>
      <c r="GB65" s="243"/>
      <c r="GC65" s="243"/>
      <c r="GD65" s="243"/>
      <c r="GE65" s="243"/>
      <c r="GF65" s="243"/>
      <c r="GG65" s="243"/>
      <c r="GH65" s="243"/>
      <c r="GI65" s="243"/>
      <c r="GJ65" s="243"/>
      <c r="GK65" s="243"/>
      <c r="GL65" s="243"/>
      <c r="GM65" s="243"/>
      <c r="GN65" s="243"/>
      <c r="GO65" s="243"/>
      <c r="GP65" s="243"/>
      <c r="GQ65" s="243"/>
      <c r="GR65" s="243"/>
      <c r="GS65" s="243"/>
      <c r="GT65" s="243"/>
    </row>
    <row r="66" spans="1:202" ht="15" customHeight="1">
      <c r="A66" s="194"/>
      <c r="B66" s="84" t="s">
        <v>270</v>
      </c>
      <c r="C66" s="221"/>
      <c r="D66" s="85"/>
      <c r="E66" s="82"/>
      <c r="F66" s="86"/>
      <c r="G66" s="177">
        <f>E66-F66</f>
        <v>0</v>
      </c>
      <c r="H66" s="82"/>
      <c r="I66" s="86"/>
      <c r="J66" s="210">
        <f t="shared" si="154"/>
        <v>0</v>
      </c>
      <c r="K66" s="255"/>
      <c r="L66" s="255"/>
      <c r="M66" s="255"/>
      <c r="N66" s="287">
        <f t="shared" si="155"/>
        <v>0</v>
      </c>
      <c r="O66" s="276"/>
      <c r="P66" s="276"/>
      <c r="Q66" s="294"/>
      <c r="R66" s="287">
        <f t="shared" si="156"/>
        <v>0</v>
      </c>
      <c r="S66" s="294"/>
      <c r="T66" s="267"/>
      <c r="U66" s="276"/>
      <c r="V66" s="276"/>
      <c r="W66" s="294"/>
      <c r="X66" s="264"/>
      <c r="Y66" s="142">
        <f t="shared" si="157"/>
        <v>0</v>
      </c>
      <c r="Z66" s="276"/>
      <c r="AA66" s="276"/>
      <c r="AB66" s="276"/>
      <c r="AC66" s="276"/>
      <c r="AD66" s="276"/>
      <c r="AE66" s="276"/>
      <c r="AF66" s="287">
        <f>SUM(Z66:AE66)</f>
        <v>0</v>
      </c>
      <c r="AG66" s="283">
        <f t="shared" si="83"/>
        <v>0</v>
      </c>
      <c r="AH66" s="230">
        <f t="shared" si="158"/>
        <v>0</v>
      </c>
      <c r="AI66" s="230">
        <f t="shared" si="158"/>
        <v>0</v>
      </c>
      <c r="AJ66" s="230">
        <f t="shared" si="158"/>
        <v>0</v>
      </c>
      <c r="AK66" s="261">
        <f t="shared" si="159"/>
        <v>0</v>
      </c>
      <c r="AL66" s="230">
        <f t="shared" si="160"/>
        <v>0</v>
      </c>
      <c r="AM66" s="230">
        <f t="shared" si="160"/>
        <v>0</v>
      </c>
      <c r="AN66" s="230">
        <f t="shared" si="160"/>
        <v>0</v>
      </c>
      <c r="AO66" s="261">
        <f t="shared" si="146"/>
        <v>0</v>
      </c>
      <c r="AP66" s="230">
        <f t="shared" si="161"/>
        <v>0</v>
      </c>
      <c r="AQ66" s="230">
        <f t="shared" si="161"/>
        <v>0</v>
      </c>
      <c r="AR66" s="230">
        <f t="shared" si="161"/>
        <v>0</v>
      </c>
      <c r="AS66" s="230">
        <f t="shared" si="161"/>
        <v>0</v>
      </c>
      <c r="AT66" s="230">
        <f t="shared" si="161"/>
        <v>0</v>
      </c>
      <c r="AU66" s="230">
        <f t="shared" si="161"/>
        <v>0</v>
      </c>
      <c r="AV66" s="261">
        <f t="shared" si="147"/>
        <v>0</v>
      </c>
      <c r="AW66" s="230">
        <f t="shared" si="162"/>
        <v>0</v>
      </c>
      <c r="AX66" s="230">
        <f t="shared" si="162"/>
        <v>0</v>
      </c>
      <c r="AY66" s="230">
        <f t="shared" si="162"/>
        <v>0</v>
      </c>
      <c r="AZ66" s="230">
        <f t="shared" si="162"/>
        <v>0</v>
      </c>
      <c r="BA66" s="230">
        <f t="shared" si="162"/>
        <v>0</v>
      </c>
      <c r="BB66" s="230">
        <f t="shared" si="162"/>
        <v>0</v>
      </c>
      <c r="BC66" s="261">
        <f t="shared" si="128"/>
        <v>0</v>
      </c>
      <c r="BD66" s="239">
        <f t="shared" si="84"/>
        <v>0</v>
      </c>
      <c r="BE66" s="244"/>
    </row>
    <row r="67" spans="1:202" s="79" customFormat="1" ht="21" customHeight="1">
      <c r="A67" s="193" t="s">
        <v>101</v>
      </c>
      <c r="B67" s="182" t="s">
        <v>361</v>
      </c>
      <c r="C67" s="221" t="s">
        <v>236</v>
      </c>
      <c r="D67" s="73">
        <v>2920015308</v>
      </c>
      <c r="E67" s="82"/>
      <c r="F67" s="86"/>
      <c r="G67" s="177"/>
      <c r="H67" s="82"/>
      <c r="I67" s="86"/>
      <c r="J67" s="210"/>
      <c r="K67" s="254">
        <f>SUM(K68:K74)</f>
        <v>8598.7570000000014</v>
      </c>
      <c r="L67" s="254">
        <f>SUM(L68:L74)</f>
        <v>8504.9809999999998</v>
      </c>
      <c r="M67" s="254">
        <f>SUM(M68:M74)</f>
        <v>0</v>
      </c>
      <c r="N67" s="284">
        <f t="shared" si="155"/>
        <v>17103.738000000001</v>
      </c>
      <c r="O67" s="254">
        <f>SUM(O68:O74)</f>
        <v>0</v>
      </c>
      <c r="P67" s="254">
        <f>SUM(P68:P74)</f>
        <v>0</v>
      </c>
      <c r="Q67" s="254">
        <f>SUM(Q68:Q74)</f>
        <v>0</v>
      </c>
      <c r="R67" s="284">
        <f>SUM(R68:R70)</f>
        <v>0</v>
      </c>
      <c r="S67" s="293">
        <f t="shared" ref="S67:X67" si="163">SUM(S68:S74)</f>
        <v>0</v>
      </c>
      <c r="T67" s="293">
        <f t="shared" si="163"/>
        <v>0</v>
      </c>
      <c r="U67" s="293">
        <f t="shared" si="163"/>
        <v>0</v>
      </c>
      <c r="V67" s="293">
        <f t="shared" si="163"/>
        <v>0</v>
      </c>
      <c r="W67" s="293">
        <f t="shared" si="163"/>
        <v>0</v>
      </c>
      <c r="X67" s="293">
        <f t="shared" si="163"/>
        <v>0</v>
      </c>
      <c r="Y67" s="262">
        <f t="shared" si="157"/>
        <v>0</v>
      </c>
      <c r="Z67" s="275">
        <f t="shared" ref="Z67:AE67" si="164">SUM(Z68:Z74)</f>
        <v>0</v>
      </c>
      <c r="AA67" s="275">
        <f t="shared" si="164"/>
        <v>0</v>
      </c>
      <c r="AB67" s="275">
        <f t="shared" si="164"/>
        <v>0</v>
      </c>
      <c r="AC67" s="275">
        <f t="shared" si="164"/>
        <v>0</v>
      </c>
      <c r="AD67" s="275">
        <f t="shared" si="164"/>
        <v>0</v>
      </c>
      <c r="AE67" s="275">
        <f t="shared" si="164"/>
        <v>0</v>
      </c>
      <c r="AF67" s="262">
        <f>SUM(Z67:AE67)</f>
        <v>0</v>
      </c>
      <c r="AG67" s="282">
        <f t="shared" si="83"/>
        <v>17103.738000000001</v>
      </c>
      <c r="AH67" s="232">
        <f>SUM(AH68:AH74)</f>
        <v>2973806.3701200006</v>
      </c>
      <c r="AI67" s="232">
        <f>SUM(AI68:AI74)</f>
        <v>2865136.7222200003</v>
      </c>
      <c r="AJ67" s="232">
        <f>SUM(AJ68:AJ74)</f>
        <v>0</v>
      </c>
      <c r="AK67" s="260">
        <f>AH67+AI67+AJ67</f>
        <v>5838943.0923400009</v>
      </c>
      <c r="AL67" s="232">
        <f>SUM(AL68:AL74)</f>
        <v>0</v>
      </c>
      <c r="AM67" s="232">
        <f>SUM(AM68:AM74)</f>
        <v>0</v>
      </c>
      <c r="AN67" s="232">
        <f>SUM(AN68:AN74)</f>
        <v>0</v>
      </c>
      <c r="AO67" s="260">
        <f t="shared" si="146"/>
        <v>0</v>
      </c>
      <c r="AP67" s="232">
        <f t="shared" ref="AP67:AU67" si="165">SUM(AP68:AP74)</f>
        <v>0</v>
      </c>
      <c r="AQ67" s="232">
        <f t="shared" si="165"/>
        <v>0</v>
      </c>
      <c r="AR67" s="232">
        <f t="shared" si="165"/>
        <v>0</v>
      </c>
      <c r="AS67" s="232">
        <f t="shared" si="165"/>
        <v>0</v>
      </c>
      <c r="AT67" s="232">
        <f t="shared" si="165"/>
        <v>0</v>
      </c>
      <c r="AU67" s="232">
        <f t="shared" si="165"/>
        <v>0</v>
      </c>
      <c r="AV67" s="260">
        <f t="shared" si="147"/>
        <v>0</v>
      </c>
      <c r="AW67" s="232">
        <f t="shared" ref="AW67:BB67" si="166">SUM(AW68:AW74)</f>
        <v>0</v>
      </c>
      <c r="AX67" s="232">
        <f t="shared" si="166"/>
        <v>0</v>
      </c>
      <c r="AY67" s="232">
        <f t="shared" si="166"/>
        <v>0</v>
      </c>
      <c r="AZ67" s="232">
        <f t="shared" si="166"/>
        <v>0</v>
      </c>
      <c r="BA67" s="232">
        <f t="shared" si="166"/>
        <v>0</v>
      </c>
      <c r="BB67" s="232">
        <f t="shared" si="166"/>
        <v>0</v>
      </c>
      <c r="BC67" s="260">
        <f t="shared" si="128"/>
        <v>0</v>
      </c>
      <c r="BD67" s="238">
        <f t="shared" si="84"/>
        <v>5838943.0923400009</v>
      </c>
      <c r="BE67" s="1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243"/>
      <c r="ES67" s="243"/>
      <c r="ET67" s="243"/>
      <c r="EU67" s="243"/>
      <c r="EV67" s="243"/>
      <c r="EW67" s="243"/>
      <c r="EX67" s="243"/>
      <c r="EY67" s="243"/>
      <c r="EZ67" s="243"/>
      <c r="FA67" s="243"/>
      <c r="FB67" s="243"/>
      <c r="FC67" s="243"/>
      <c r="FD67" s="243"/>
      <c r="FE67" s="243"/>
      <c r="FF67" s="243"/>
      <c r="FG67" s="243"/>
      <c r="FH67" s="243"/>
      <c r="FI67" s="243"/>
      <c r="FJ67" s="243"/>
      <c r="FK67" s="243"/>
      <c r="FL67" s="243"/>
      <c r="FM67" s="243"/>
      <c r="FN67" s="243"/>
      <c r="FO67" s="243"/>
      <c r="FP67" s="243"/>
      <c r="FQ67" s="243"/>
      <c r="FR67" s="243"/>
      <c r="FS67" s="243"/>
      <c r="FT67" s="243"/>
      <c r="FU67" s="243"/>
      <c r="FV67" s="243"/>
      <c r="FW67" s="243"/>
      <c r="FX67" s="243"/>
      <c r="FY67" s="243"/>
      <c r="FZ67" s="243"/>
      <c r="GA67" s="243"/>
      <c r="GB67" s="243"/>
      <c r="GC67" s="243"/>
      <c r="GD67" s="243"/>
      <c r="GE67" s="243"/>
      <c r="GF67" s="243"/>
      <c r="GG67" s="243"/>
      <c r="GH67" s="243"/>
      <c r="GI67" s="243"/>
      <c r="GJ67" s="243"/>
      <c r="GK67" s="243"/>
      <c r="GL67" s="243"/>
      <c r="GM67" s="243"/>
      <c r="GN67" s="243"/>
      <c r="GO67" s="243"/>
      <c r="GP67" s="243"/>
      <c r="GQ67" s="243"/>
      <c r="GR67" s="243"/>
      <c r="GS67" s="243"/>
      <c r="GT67" s="243"/>
    </row>
    <row r="68" spans="1:202" s="79" customFormat="1" ht="16.5" customHeight="1">
      <c r="A68" s="193"/>
      <c r="B68" s="145" t="s">
        <v>422</v>
      </c>
      <c r="C68" s="221"/>
      <c r="D68" s="73"/>
      <c r="E68" s="82"/>
      <c r="F68" s="304"/>
      <c r="G68" s="177"/>
      <c r="H68" s="82"/>
      <c r="I68" s="304"/>
      <c r="J68" s="210"/>
      <c r="K68" s="255"/>
      <c r="L68" s="255"/>
      <c r="M68" s="255"/>
      <c r="N68" s="287">
        <f t="shared" si="155"/>
        <v>0</v>
      </c>
      <c r="O68" s="255"/>
      <c r="P68" s="255"/>
      <c r="Q68" s="293"/>
      <c r="R68" s="287">
        <f t="shared" si="156"/>
        <v>0</v>
      </c>
      <c r="S68" s="289"/>
      <c r="T68" s="263"/>
      <c r="U68" s="275"/>
      <c r="V68" s="275"/>
      <c r="W68" s="293"/>
      <c r="X68" s="263"/>
      <c r="Y68" s="142">
        <f t="shared" si="157"/>
        <v>0</v>
      </c>
      <c r="Z68" s="272"/>
      <c r="AA68" s="272"/>
      <c r="AB68" s="272"/>
      <c r="AC68" s="272"/>
      <c r="AD68" s="272"/>
      <c r="AE68" s="272"/>
      <c r="AF68" s="287">
        <f t="shared" ref="AF68:AF74" si="167">SUM(Z68:AE68)</f>
        <v>0</v>
      </c>
      <c r="AG68" s="283">
        <f t="shared" si="83"/>
        <v>0</v>
      </c>
      <c r="AH68" s="230">
        <f t="shared" ref="AH68:AJ75" si="168">K68*$G68</f>
        <v>0</v>
      </c>
      <c r="AI68" s="230">
        <f t="shared" si="168"/>
        <v>0</v>
      </c>
      <c r="AJ68" s="230">
        <f t="shared" si="168"/>
        <v>0</v>
      </c>
      <c r="AK68" s="261">
        <f t="shared" si="159"/>
        <v>0</v>
      </c>
      <c r="AL68" s="230">
        <f t="shared" ref="AL68:AN75" si="169">O68*$G68</f>
        <v>0</v>
      </c>
      <c r="AM68" s="228">
        <f t="shared" si="169"/>
        <v>0</v>
      </c>
      <c r="AN68" s="228">
        <f t="shared" si="169"/>
        <v>0</v>
      </c>
      <c r="AO68" s="261">
        <f t="shared" si="146"/>
        <v>0</v>
      </c>
      <c r="AP68" s="230">
        <f t="shared" ref="AP68:AU75" si="170">S68*$J68</f>
        <v>0</v>
      </c>
      <c r="AQ68" s="230">
        <f t="shared" si="170"/>
        <v>0</v>
      </c>
      <c r="AR68" s="230">
        <f t="shared" si="170"/>
        <v>0</v>
      </c>
      <c r="AS68" s="230">
        <f t="shared" si="170"/>
        <v>0</v>
      </c>
      <c r="AT68" s="230">
        <f t="shared" si="170"/>
        <v>0</v>
      </c>
      <c r="AU68" s="230">
        <f t="shared" si="170"/>
        <v>0</v>
      </c>
      <c r="AV68" s="261">
        <f t="shared" si="147"/>
        <v>0</v>
      </c>
      <c r="AW68" s="230">
        <f t="shared" ref="AW68:BB75" si="171">Z68*$J68</f>
        <v>0</v>
      </c>
      <c r="AX68" s="230">
        <f t="shared" si="171"/>
        <v>0</v>
      </c>
      <c r="AY68" s="230">
        <f t="shared" si="171"/>
        <v>0</v>
      </c>
      <c r="AZ68" s="230">
        <f t="shared" si="171"/>
        <v>0</v>
      </c>
      <c r="BA68" s="230">
        <f t="shared" si="171"/>
        <v>0</v>
      </c>
      <c r="BB68" s="230">
        <f t="shared" si="171"/>
        <v>0</v>
      </c>
      <c r="BC68" s="261">
        <f t="shared" si="128"/>
        <v>0</v>
      </c>
      <c r="BD68" s="239">
        <f t="shared" si="84"/>
        <v>0</v>
      </c>
      <c r="BE68" s="1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243"/>
      <c r="ES68" s="243"/>
      <c r="ET68" s="243"/>
      <c r="EU68" s="243"/>
      <c r="EV68" s="243"/>
      <c r="EW68" s="243"/>
      <c r="EX68" s="243"/>
      <c r="EY68" s="243"/>
      <c r="EZ68" s="243"/>
      <c r="FA68" s="243"/>
      <c r="FB68" s="243"/>
      <c r="FC68" s="243"/>
      <c r="FD68" s="243"/>
      <c r="FE68" s="243"/>
      <c r="FF68" s="243"/>
      <c r="FG68" s="243"/>
      <c r="FH68" s="243"/>
      <c r="FI68" s="243"/>
      <c r="FJ68" s="243"/>
      <c r="FK68" s="243"/>
      <c r="FL68" s="243"/>
      <c r="FM68" s="243"/>
      <c r="FN68" s="243"/>
      <c r="FO68" s="243"/>
      <c r="FP68" s="243"/>
      <c r="FQ68" s="243"/>
      <c r="FR68" s="243"/>
      <c r="FS68" s="243"/>
      <c r="FT68" s="243"/>
      <c r="FU68" s="243"/>
      <c r="FV68" s="243"/>
      <c r="FW68" s="243"/>
      <c r="FX68" s="243"/>
      <c r="FY68" s="243"/>
      <c r="FZ68" s="243"/>
      <c r="GA68" s="243"/>
      <c r="GB68" s="243"/>
      <c r="GC68" s="243"/>
      <c r="GD68" s="243"/>
      <c r="GE68" s="243"/>
      <c r="GF68" s="243"/>
      <c r="GG68" s="243"/>
      <c r="GH68" s="243"/>
      <c r="GI68" s="243"/>
      <c r="GJ68" s="243"/>
      <c r="GK68" s="243"/>
      <c r="GL68" s="243"/>
      <c r="GM68" s="243"/>
      <c r="GN68" s="243"/>
      <c r="GO68" s="243"/>
      <c r="GP68" s="243"/>
      <c r="GQ68" s="243"/>
      <c r="GR68" s="243"/>
      <c r="GS68" s="243"/>
      <c r="GT68" s="243"/>
    </row>
    <row r="69" spans="1:202" s="79" customFormat="1" ht="16.5" customHeight="1">
      <c r="A69" s="193"/>
      <c r="B69" s="145" t="s">
        <v>423</v>
      </c>
      <c r="C69" s="221"/>
      <c r="D69" s="73"/>
      <c r="E69" s="82"/>
      <c r="F69" s="304"/>
      <c r="G69" s="177"/>
      <c r="H69" s="82"/>
      <c r="I69" s="304"/>
      <c r="J69" s="210"/>
      <c r="K69" s="255"/>
      <c r="L69" s="255"/>
      <c r="M69" s="255"/>
      <c r="N69" s="287">
        <f t="shared" si="155"/>
        <v>0</v>
      </c>
      <c r="O69" s="255"/>
      <c r="P69" s="255"/>
      <c r="Q69" s="293"/>
      <c r="R69" s="287">
        <f t="shared" si="156"/>
        <v>0</v>
      </c>
      <c r="S69" s="289"/>
      <c r="T69" s="263"/>
      <c r="U69" s="275"/>
      <c r="V69" s="275"/>
      <c r="W69" s="293"/>
      <c r="X69" s="263"/>
      <c r="Y69" s="142">
        <f t="shared" si="157"/>
        <v>0</v>
      </c>
      <c r="Z69" s="272"/>
      <c r="AA69" s="272"/>
      <c r="AB69" s="272"/>
      <c r="AC69" s="272"/>
      <c r="AD69" s="272"/>
      <c r="AE69" s="272"/>
      <c r="AF69" s="287">
        <f t="shared" si="167"/>
        <v>0</v>
      </c>
      <c r="AG69" s="283">
        <f t="shared" si="83"/>
        <v>0</v>
      </c>
      <c r="AH69" s="230">
        <f t="shared" si="168"/>
        <v>0</v>
      </c>
      <c r="AI69" s="230">
        <f t="shared" si="168"/>
        <v>0</v>
      </c>
      <c r="AJ69" s="230">
        <f t="shared" si="168"/>
        <v>0</v>
      </c>
      <c r="AK69" s="261">
        <f t="shared" si="159"/>
        <v>0</v>
      </c>
      <c r="AL69" s="227">
        <f t="shared" si="169"/>
        <v>0</v>
      </c>
      <c r="AM69" s="232">
        <f t="shared" si="169"/>
        <v>0</v>
      </c>
      <c r="AN69" s="232">
        <f t="shared" si="169"/>
        <v>0</v>
      </c>
      <c r="AO69" s="261">
        <f t="shared" si="146"/>
        <v>0</v>
      </c>
      <c r="AP69" s="230">
        <f t="shared" si="170"/>
        <v>0</v>
      </c>
      <c r="AQ69" s="230">
        <f t="shared" si="170"/>
        <v>0</v>
      </c>
      <c r="AR69" s="230">
        <f t="shared" si="170"/>
        <v>0</v>
      </c>
      <c r="AS69" s="230">
        <f t="shared" si="170"/>
        <v>0</v>
      </c>
      <c r="AT69" s="230">
        <f t="shared" si="170"/>
        <v>0</v>
      </c>
      <c r="AU69" s="230">
        <f t="shared" si="170"/>
        <v>0</v>
      </c>
      <c r="AV69" s="261">
        <f t="shared" si="147"/>
        <v>0</v>
      </c>
      <c r="AW69" s="230">
        <f t="shared" si="171"/>
        <v>0</v>
      </c>
      <c r="AX69" s="230">
        <f t="shared" si="171"/>
        <v>0</v>
      </c>
      <c r="AY69" s="230">
        <f t="shared" si="171"/>
        <v>0</v>
      </c>
      <c r="AZ69" s="230">
        <f t="shared" si="171"/>
        <v>0</v>
      </c>
      <c r="BA69" s="230">
        <f t="shared" si="171"/>
        <v>0</v>
      </c>
      <c r="BB69" s="230">
        <f t="shared" si="171"/>
        <v>0</v>
      </c>
      <c r="BC69" s="261">
        <f t="shared" si="128"/>
        <v>0</v>
      </c>
      <c r="BD69" s="239">
        <f t="shared" si="84"/>
        <v>0</v>
      </c>
      <c r="BE69" s="1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243"/>
      <c r="ES69" s="243"/>
      <c r="ET69" s="243"/>
      <c r="EU69" s="243"/>
      <c r="EV69" s="243"/>
      <c r="EW69" s="243"/>
      <c r="EX69" s="243"/>
      <c r="EY69" s="243"/>
      <c r="EZ69" s="243"/>
      <c r="FA69" s="243"/>
      <c r="FB69" s="243"/>
      <c r="FC69" s="243"/>
      <c r="FD69" s="243"/>
      <c r="FE69" s="243"/>
      <c r="FF69" s="243"/>
      <c r="FG69" s="243"/>
      <c r="FH69" s="243"/>
      <c r="FI69" s="243"/>
      <c r="FJ69" s="243"/>
      <c r="FK69" s="243"/>
      <c r="FL69" s="243"/>
      <c r="FM69" s="243"/>
      <c r="FN69" s="243"/>
      <c r="FO69" s="243"/>
      <c r="FP69" s="243"/>
      <c r="FQ69" s="243"/>
      <c r="FR69" s="243"/>
      <c r="FS69" s="243"/>
      <c r="FT69" s="243"/>
      <c r="FU69" s="243"/>
      <c r="FV69" s="243"/>
      <c r="FW69" s="243"/>
      <c r="FX69" s="243"/>
      <c r="FY69" s="243"/>
      <c r="FZ69" s="243"/>
      <c r="GA69" s="243"/>
      <c r="GB69" s="243"/>
      <c r="GC69" s="243"/>
      <c r="GD69" s="243"/>
      <c r="GE69" s="243"/>
      <c r="GF69" s="243"/>
      <c r="GG69" s="243"/>
      <c r="GH69" s="243"/>
      <c r="GI69" s="243"/>
      <c r="GJ69" s="243"/>
      <c r="GK69" s="243"/>
      <c r="GL69" s="243"/>
      <c r="GM69" s="243"/>
      <c r="GN69" s="243"/>
      <c r="GO69" s="243"/>
      <c r="GP69" s="243"/>
      <c r="GQ69" s="243"/>
      <c r="GR69" s="243"/>
      <c r="GS69" s="243"/>
      <c r="GT69" s="243"/>
    </row>
    <row r="70" spans="1:202" s="79" customFormat="1" ht="16.5" customHeight="1">
      <c r="A70" s="193"/>
      <c r="B70" s="145" t="s">
        <v>424</v>
      </c>
      <c r="C70" s="221"/>
      <c r="D70" s="73"/>
      <c r="E70" s="82"/>
      <c r="F70" s="304"/>
      <c r="G70" s="177"/>
      <c r="H70" s="82"/>
      <c r="I70" s="304"/>
      <c r="J70" s="210"/>
      <c r="K70" s="255"/>
      <c r="L70" s="255"/>
      <c r="M70" s="255"/>
      <c r="N70" s="287">
        <f t="shared" si="155"/>
        <v>0</v>
      </c>
      <c r="O70" s="255"/>
      <c r="P70" s="255"/>
      <c r="Q70" s="293"/>
      <c r="R70" s="287">
        <f t="shared" si="156"/>
        <v>0</v>
      </c>
      <c r="S70" s="289"/>
      <c r="T70" s="263"/>
      <c r="U70" s="275"/>
      <c r="V70" s="275"/>
      <c r="W70" s="293"/>
      <c r="X70" s="263"/>
      <c r="Y70" s="142">
        <f t="shared" si="157"/>
        <v>0</v>
      </c>
      <c r="Z70" s="272"/>
      <c r="AA70" s="272"/>
      <c r="AB70" s="272"/>
      <c r="AC70" s="272"/>
      <c r="AD70" s="272"/>
      <c r="AE70" s="272"/>
      <c r="AF70" s="287">
        <f t="shared" si="167"/>
        <v>0</v>
      </c>
      <c r="AG70" s="283">
        <f t="shared" ref="AG70:AG101" si="172">AF70+Y70+R70+N70</f>
        <v>0</v>
      </c>
      <c r="AH70" s="230">
        <f t="shared" si="168"/>
        <v>0</v>
      </c>
      <c r="AI70" s="230">
        <f t="shared" si="168"/>
        <v>0</v>
      </c>
      <c r="AJ70" s="230">
        <f t="shared" si="168"/>
        <v>0</v>
      </c>
      <c r="AK70" s="261">
        <f t="shared" si="159"/>
        <v>0</v>
      </c>
      <c r="AL70" s="227">
        <f t="shared" si="169"/>
        <v>0</v>
      </c>
      <c r="AM70" s="232">
        <f t="shared" si="169"/>
        <v>0</v>
      </c>
      <c r="AN70" s="232">
        <f t="shared" si="169"/>
        <v>0</v>
      </c>
      <c r="AO70" s="261">
        <f t="shared" si="146"/>
        <v>0</v>
      </c>
      <c r="AP70" s="230">
        <f t="shared" si="170"/>
        <v>0</v>
      </c>
      <c r="AQ70" s="230">
        <f t="shared" si="170"/>
        <v>0</v>
      </c>
      <c r="AR70" s="230">
        <f t="shared" si="170"/>
        <v>0</v>
      </c>
      <c r="AS70" s="230">
        <f t="shared" si="170"/>
        <v>0</v>
      </c>
      <c r="AT70" s="230">
        <f t="shared" si="170"/>
        <v>0</v>
      </c>
      <c r="AU70" s="230">
        <f t="shared" si="170"/>
        <v>0</v>
      </c>
      <c r="AV70" s="261">
        <f t="shared" si="147"/>
        <v>0</v>
      </c>
      <c r="AW70" s="230">
        <f t="shared" si="171"/>
        <v>0</v>
      </c>
      <c r="AX70" s="230">
        <f t="shared" si="171"/>
        <v>0</v>
      </c>
      <c r="AY70" s="230">
        <f t="shared" si="171"/>
        <v>0</v>
      </c>
      <c r="AZ70" s="230">
        <f t="shared" si="171"/>
        <v>0</v>
      </c>
      <c r="BA70" s="230">
        <f t="shared" si="171"/>
        <v>0</v>
      </c>
      <c r="BB70" s="230">
        <f t="shared" si="171"/>
        <v>0</v>
      </c>
      <c r="BC70" s="261">
        <f t="shared" si="128"/>
        <v>0</v>
      </c>
      <c r="BD70" s="239">
        <f t="shared" ref="BD70:BD101" si="173">BC70+AV70+AO70+AK70</f>
        <v>0</v>
      </c>
      <c r="BE70" s="1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  <c r="FS70" s="243"/>
      <c r="FT70" s="243"/>
      <c r="FU70" s="243"/>
      <c r="FV70" s="243"/>
      <c r="FW70" s="243"/>
      <c r="FX70" s="243"/>
      <c r="FY70" s="243"/>
      <c r="FZ70" s="243"/>
      <c r="GA70" s="243"/>
      <c r="GB70" s="243"/>
      <c r="GC70" s="243"/>
      <c r="GD70" s="243"/>
      <c r="GE70" s="243"/>
      <c r="GF70" s="243"/>
      <c r="GG70" s="243"/>
      <c r="GH70" s="243"/>
      <c r="GI70" s="243"/>
      <c r="GJ70" s="243"/>
      <c r="GK70" s="243"/>
      <c r="GL70" s="243"/>
      <c r="GM70" s="243"/>
      <c r="GN70" s="243"/>
      <c r="GO70" s="243"/>
      <c r="GP70" s="243"/>
      <c r="GQ70" s="243"/>
      <c r="GR70" s="243"/>
      <c r="GS70" s="243"/>
      <c r="GT70" s="243"/>
    </row>
    <row r="71" spans="1:202" s="79" customFormat="1" ht="16.5" customHeight="1">
      <c r="A71" s="193"/>
      <c r="B71" s="145" t="s">
        <v>421</v>
      </c>
      <c r="C71" s="221" t="s">
        <v>577</v>
      </c>
      <c r="D71" s="73"/>
      <c r="E71" s="82">
        <v>7015.56</v>
      </c>
      <c r="F71" s="304">
        <v>2580</v>
      </c>
      <c r="G71" s="177">
        <f>E71-F71</f>
        <v>4435.5600000000004</v>
      </c>
      <c r="H71" s="82">
        <v>7015.56</v>
      </c>
      <c r="I71" s="304">
        <v>2580</v>
      </c>
      <c r="J71" s="210">
        <f t="shared" si="154"/>
        <v>4435.5600000000004</v>
      </c>
      <c r="K71" s="252">
        <v>46.421999999999997</v>
      </c>
      <c r="L71" s="255">
        <v>46.421999999999997</v>
      </c>
      <c r="M71" s="255"/>
      <c r="N71" s="287">
        <f t="shared" si="155"/>
        <v>92.843999999999994</v>
      </c>
      <c r="O71" s="255"/>
      <c r="P71" s="255"/>
      <c r="Q71" s="293"/>
      <c r="R71" s="287"/>
      <c r="S71" s="289"/>
      <c r="T71" s="263"/>
      <c r="U71" s="275"/>
      <c r="V71" s="275"/>
      <c r="W71" s="293"/>
      <c r="X71" s="263"/>
      <c r="Y71" s="142"/>
      <c r="Z71" s="272"/>
      <c r="AA71" s="272"/>
      <c r="AB71" s="272"/>
      <c r="AC71" s="272"/>
      <c r="AD71" s="272"/>
      <c r="AE71" s="272"/>
      <c r="AF71" s="287">
        <f t="shared" si="167"/>
        <v>0</v>
      </c>
      <c r="AG71" s="283">
        <f t="shared" si="172"/>
        <v>92.843999999999994</v>
      </c>
      <c r="AH71" s="230">
        <f t="shared" si="168"/>
        <v>205907.56632000001</v>
      </c>
      <c r="AI71" s="230">
        <f t="shared" si="168"/>
        <v>205907.56632000001</v>
      </c>
      <c r="AJ71" s="230">
        <f t="shared" si="168"/>
        <v>0</v>
      </c>
      <c r="AK71" s="261">
        <f t="shared" si="159"/>
        <v>411815.13264000003</v>
      </c>
      <c r="AL71" s="227">
        <f t="shared" si="169"/>
        <v>0</v>
      </c>
      <c r="AM71" s="232">
        <f t="shared" si="169"/>
        <v>0</v>
      </c>
      <c r="AN71" s="232">
        <f t="shared" si="169"/>
        <v>0</v>
      </c>
      <c r="AO71" s="261"/>
      <c r="AP71" s="230">
        <f t="shared" si="170"/>
        <v>0</v>
      </c>
      <c r="AQ71" s="230">
        <f t="shared" si="170"/>
        <v>0</v>
      </c>
      <c r="AR71" s="230">
        <f t="shared" si="170"/>
        <v>0</v>
      </c>
      <c r="AS71" s="230">
        <f t="shared" si="170"/>
        <v>0</v>
      </c>
      <c r="AT71" s="230">
        <f t="shared" si="170"/>
        <v>0</v>
      </c>
      <c r="AU71" s="230">
        <f t="shared" si="170"/>
        <v>0</v>
      </c>
      <c r="AV71" s="261"/>
      <c r="AW71" s="228">
        <f t="shared" si="171"/>
        <v>0</v>
      </c>
      <c r="AX71" s="228">
        <f t="shared" si="171"/>
        <v>0</v>
      </c>
      <c r="AY71" s="228">
        <f t="shared" si="171"/>
        <v>0</v>
      </c>
      <c r="AZ71" s="228">
        <f t="shared" si="171"/>
        <v>0</v>
      </c>
      <c r="BA71" s="228">
        <f t="shared" si="171"/>
        <v>0</v>
      </c>
      <c r="BB71" s="228">
        <f t="shared" si="171"/>
        <v>0</v>
      </c>
      <c r="BC71" s="261">
        <f t="shared" si="128"/>
        <v>0</v>
      </c>
      <c r="BD71" s="239">
        <f t="shared" si="173"/>
        <v>411815.13264000003</v>
      </c>
      <c r="BE71" s="1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  <c r="FS71" s="243"/>
      <c r="FT71" s="243"/>
      <c r="FU71" s="243"/>
      <c r="FV71" s="243"/>
      <c r="FW71" s="243"/>
      <c r="FX71" s="243"/>
      <c r="FY71" s="243"/>
      <c r="FZ71" s="243"/>
      <c r="GA71" s="243"/>
      <c r="GB71" s="243"/>
      <c r="GC71" s="243"/>
      <c r="GD71" s="243"/>
      <c r="GE71" s="243"/>
      <c r="GF71" s="243"/>
      <c r="GG71" s="243"/>
      <c r="GH71" s="243"/>
      <c r="GI71" s="243"/>
      <c r="GJ71" s="243"/>
      <c r="GK71" s="243"/>
      <c r="GL71" s="243"/>
      <c r="GM71" s="243"/>
      <c r="GN71" s="243"/>
      <c r="GO71" s="243"/>
      <c r="GP71" s="243"/>
      <c r="GQ71" s="243"/>
      <c r="GR71" s="243"/>
      <c r="GS71" s="243"/>
      <c r="GT71" s="243"/>
    </row>
    <row r="72" spans="1:202" s="79" customFormat="1" ht="22.5" customHeight="1">
      <c r="A72" s="193"/>
      <c r="B72" s="145" t="s">
        <v>420</v>
      </c>
      <c r="C72" s="221" t="s">
        <v>577</v>
      </c>
      <c r="D72" s="73"/>
      <c r="E72" s="82">
        <v>3219.46</v>
      </c>
      <c r="F72" s="304">
        <v>2580</v>
      </c>
      <c r="G72" s="177">
        <f>E72-F72</f>
        <v>639.46</v>
      </c>
      <c r="H72" s="82">
        <v>3219.46</v>
      </c>
      <c r="I72" s="304">
        <v>2580</v>
      </c>
      <c r="J72" s="210">
        <f t="shared" si="154"/>
        <v>639.46</v>
      </c>
      <c r="K72" s="252">
        <v>3816.7049999999999</v>
      </c>
      <c r="L72" s="255">
        <v>3637.538</v>
      </c>
      <c r="M72" s="255"/>
      <c r="N72" s="287">
        <f t="shared" si="155"/>
        <v>7454.2430000000004</v>
      </c>
      <c r="O72" s="255"/>
      <c r="P72" s="255"/>
      <c r="Q72" s="293"/>
      <c r="R72" s="287"/>
      <c r="S72" s="289"/>
      <c r="T72" s="263"/>
      <c r="U72" s="275"/>
      <c r="V72" s="275"/>
      <c r="W72" s="293"/>
      <c r="X72" s="263"/>
      <c r="Y72" s="142"/>
      <c r="Z72" s="272"/>
      <c r="AA72" s="272"/>
      <c r="AB72" s="272"/>
      <c r="AC72" s="272"/>
      <c r="AD72" s="272"/>
      <c r="AE72" s="272"/>
      <c r="AF72" s="287">
        <f t="shared" si="167"/>
        <v>0</v>
      </c>
      <c r="AG72" s="283">
        <f t="shared" si="172"/>
        <v>7454.2430000000004</v>
      </c>
      <c r="AH72" s="230">
        <f t="shared" si="168"/>
        <v>2440630.1793</v>
      </c>
      <c r="AI72" s="230">
        <f t="shared" si="168"/>
        <v>2326060.04948</v>
      </c>
      <c r="AJ72" s="230">
        <f t="shared" si="168"/>
        <v>0</v>
      </c>
      <c r="AK72" s="261">
        <f t="shared" si="159"/>
        <v>4766690.2287799995</v>
      </c>
      <c r="AL72" s="227">
        <f t="shared" si="169"/>
        <v>0</v>
      </c>
      <c r="AM72" s="232">
        <f t="shared" si="169"/>
        <v>0</v>
      </c>
      <c r="AN72" s="232">
        <f t="shared" si="169"/>
        <v>0</v>
      </c>
      <c r="AO72" s="261"/>
      <c r="AP72" s="230">
        <f t="shared" si="170"/>
        <v>0</v>
      </c>
      <c r="AQ72" s="230">
        <f t="shared" si="170"/>
        <v>0</v>
      </c>
      <c r="AR72" s="230">
        <f t="shared" si="170"/>
        <v>0</v>
      </c>
      <c r="AS72" s="230">
        <f t="shared" si="170"/>
        <v>0</v>
      </c>
      <c r="AT72" s="230">
        <f t="shared" si="170"/>
        <v>0</v>
      </c>
      <c r="AU72" s="230">
        <f t="shared" si="170"/>
        <v>0</v>
      </c>
      <c r="AV72" s="261"/>
      <c r="AW72" s="228">
        <f t="shared" si="171"/>
        <v>0</v>
      </c>
      <c r="AX72" s="228">
        <f t="shared" si="171"/>
        <v>0</v>
      </c>
      <c r="AY72" s="228">
        <f t="shared" si="171"/>
        <v>0</v>
      </c>
      <c r="AZ72" s="228">
        <f t="shared" si="171"/>
        <v>0</v>
      </c>
      <c r="BA72" s="228">
        <f t="shared" si="171"/>
        <v>0</v>
      </c>
      <c r="BB72" s="228">
        <f t="shared" si="171"/>
        <v>0</v>
      </c>
      <c r="BC72" s="261">
        <f t="shared" si="128"/>
        <v>0</v>
      </c>
      <c r="BD72" s="239">
        <f t="shared" si="173"/>
        <v>4766690.2287799995</v>
      </c>
      <c r="BE72" s="1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  <c r="FS72" s="243"/>
      <c r="FT72" s="243"/>
      <c r="FU72" s="243"/>
      <c r="FV72" s="243"/>
      <c r="FW72" s="243"/>
      <c r="FX72" s="243"/>
      <c r="FY72" s="243"/>
      <c r="FZ72" s="243"/>
      <c r="GA72" s="243"/>
      <c r="GB72" s="243"/>
      <c r="GC72" s="243"/>
      <c r="GD72" s="243"/>
      <c r="GE72" s="243"/>
      <c r="GF72" s="243"/>
      <c r="GG72" s="243"/>
      <c r="GH72" s="243"/>
      <c r="GI72" s="243"/>
      <c r="GJ72" s="243"/>
      <c r="GK72" s="243"/>
      <c r="GL72" s="243"/>
      <c r="GM72" s="243"/>
      <c r="GN72" s="243"/>
      <c r="GO72" s="243"/>
      <c r="GP72" s="243"/>
      <c r="GQ72" s="243"/>
      <c r="GR72" s="243"/>
      <c r="GS72" s="243"/>
      <c r="GT72" s="243"/>
    </row>
    <row r="73" spans="1:202" s="79" customFormat="1" ht="24.75" customHeight="1">
      <c r="A73" s="193"/>
      <c r="B73" s="145" t="s">
        <v>668</v>
      </c>
      <c r="C73" s="221" t="s">
        <v>578</v>
      </c>
      <c r="D73" s="73"/>
      <c r="E73" s="82">
        <v>3219.46</v>
      </c>
      <c r="F73" s="304">
        <v>2580</v>
      </c>
      <c r="G73" s="177">
        <f>E73-F73</f>
        <v>639.46</v>
      </c>
      <c r="H73" s="82">
        <v>3219.46</v>
      </c>
      <c r="I73" s="304">
        <v>2580</v>
      </c>
      <c r="J73" s="210">
        <f t="shared" si="154"/>
        <v>639.46</v>
      </c>
      <c r="K73" s="252">
        <v>293.16000000000003</v>
      </c>
      <c r="L73" s="255">
        <v>298.44499999999999</v>
      </c>
      <c r="M73" s="255"/>
      <c r="N73" s="287">
        <f t="shared" si="155"/>
        <v>591.60500000000002</v>
      </c>
      <c r="O73" s="255"/>
      <c r="P73" s="255"/>
      <c r="Q73" s="293"/>
      <c r="R73" s="287"/>
      <c r="S73" s="289"/>
      <c r="T73" s="263"/>
      <c r="U73" s="275"/>
      <c r="V73" s="275"/>
      <c r="W73" s="293"/>
      <c r="X73" s="263"/>
      <c r="Y73" s="142"/>
      <c r="Z73" s="272"/>
      <c r="AA73" s="272"/>
      <c r="AB73" s="272"/>
      <c r="AC73" s="272"/>
      <c r="AD73" s="272"/>
      <c r="AE73" s="272"/>
      <c r="AF73" s="287">
        <f t="shared" si="167"/>
        <v>0</v>
      </c>
      <c r="AG73" s="283">
        <f t="shared" si="172"/>
        <v>591.60500000000002</v>
      </c>
      <c r="AH73" s="230">
        <f t="shared" si="168"/>
        <v>187464.09360000002</v>
      </c>
      <c r="AI73" s="230">
        <f t="shared" si="168"/>
        <v>190843.6397</v>
      </c>
      <c r="AJ73" s="230">
        <f t="shared" si="168"/>
        <v>0</v>
      </c>
      <c r="AK73" s="261">
        <f t="shared" si="159"/>
        <v>378307.73330000002</v>
      </c>
      <c r="AL73" s="227">
        <f t="shared" si="169"/>
        <v>0</v>
      </c>
      <c r="AM73" s="232">
        <f t="shared" si="169"/>
        <v>0</v>
      </c>
      <c r="AN73" s="232">
        <f t="shared" si="169"/>
        <v>0</v>
      </c>
      <c r="AO73" s="261"/>
      <c r="AP73" s="230">
        <f t="shared" si="170"/>
        <v>0</v>
      </c>
      <c r="AQ73" s="230">
        <f t="shared" si="170"/>
        <v>0</v>
      </c>
      <c r="AR73" s="230">
        <f t="shared" si="170"/>
        <v>0</v>
      </c>
      <c r="AS73" s="230">
        <f t="shared" si="170"/>
        <v>0</v>
      </c>
      <c r="AT73" s="230">
        <f t="shared" si="170"/>
        <v>0</v>
      </c>
      <c r="AU73" s="230">
        <f t="shared" si="170"/>
        <v>0</v>
      </c>
      <c r="AV73" s="261"/>
      <c r="AW73" s="228">
        <f t="shared" si="171"/>
        <v>0</v>
      </c>
      <c r="AX73" s="228">
        <f t="shared" si="171"/>
        <v>0</v>
      </c>
      <c r="AY73" s="228">
        <f t="shared" si="171"/>
        <v>0</v>
      </c>
      <c r="AZ73" s="228">
        <f t="shared" si="171"/>
        <v>0</v>
      </c>
      <c r="BA73" s="228">
        <f t="shared" si="171"/>
        <v>0</v>
      </c>
      <c r="BB73" s="228">
        <f t="shared" si="171"/>
        <v>0</v>
      </c>
      <c r="BC73" s="261">
        <f t="shared" si="128"/>
        <v>0</v>
      </c>
      <c r="BD73" s="239">
        <f t="shared" si="173"/>
        <v>378307.73330000002</v>
      </c>
      <c r="BE73" s="1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3"/>
      <c r="DE73" s="243"/>
      <c r="DF73" s="243"/>
      <c r="DG73" s="243"/>
      <c r="DH73" s="243"/>
      <c r="DI73" s="243"/>
      <c r="DJ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243"/>
      <c r="ES73" s="243"/>
      <c r="ET73" s="243"/>
      <c r="EU73" s="243"/>
      <c r="EV73" s="243"/>
      <c r="EW73" s="243"/>
      <c r="EX73" s="243"/>
      <c r="EY73" s="243"/>
      <c r="EZ73" s="243"/>
      <c r="FA73" s="243"/>
      <c r="FB73" s="243"/>
      <c r="FC73" s="243"/>
      <c r="FD73" s="243"/>
      <c r="FE73" s="243"/>
      <c r="FF73" s="243"/>
      <c r="FG73" s="243"/>
      <c r="FH73" s="243"/>
      <c r="FI73" s="243"/>
      <c r="FJ73" s="243"/>
      <c r="FK73" s="243"/>
      <c r="FL73" s="243"/>
      <c r="FM73" s="243"/>
      <c r="FN73" s="243"/>
      <c r="FO73" s="243"/>
      <c r="FP73" s="243"/>
      <c r="FQ73" s="243"/>
      <c r="FR73" s="243"/>
      <c r="FS73" s="243"/>
      <c r="FT73" s="243"/>
      <c r="FU73" s="243"/>
      <c r="FV73" s="243"/>
      <c r="FW73" s="243"/>
      <c r="FX73" s="243"/>
      <c r="FY73" s="243"/>
      <c r="FZ73" s="243"/>
      <c r="GA73" s="243"/>
      <c r="GB73" s="243"/>
      <c r="GC73" s="243"/>
      <c r="GD73" s="243"/>
      <c r="GE73" s="243"/>
      <c r="GF73" s="243"/>
      <c r="GG73" s="243"/>
      <c r="GH73" s="243"/>
      <c r="GI73" s="243"/>
      <c r="GJ73" s="243"/>
      <c r="GK73" s="243"/>
      <c r="GL73" s="243"/>
      <c r="GM73" s="243"/>
      <c r="GN73" s="243"/>
      <c r="GO73" s="243"/>
      <c r="GP73" s="243"/>
      <c r="GQ73" s="243"/>
      <c r="GR73" s="243"/>
      <c r="GS73" s="243"/>
      <c r="GT73" s="243"/>
    </row>
    <row r="74" spans="1:202" s="79" customFormat="1" ht="26.25" customHeight="1">
      <c r="A74" s="193"/>
      <c r="B74" s="145" t="s">
        <v>668</v>
      </c>
      <c r="C74" s="221" t="s">
        <v>579</v>
      </c>
      <c r="D74" s="73"/>
      <c r="E74" s="82">
        <v>85.69</v>
      </c>
      <c r="F74" s="304">
        <v>54.22</v>
      </c>
      <c r="G74" s="177">
        <f>E74-F74</f>
        <v>31.47</v>
      </c>
      <c r="H74" s="82">
        <v>85.69</v>
      </c>
      <c r="I74" s="304">
        <v>54.22</v>
      </c>
      <c r="J74" s="210">
        <f t="shared" si="154"/>
        <v>31.47</v>
      </c>
      <c r="K74" s="252">
        <v>4442.47</v>
      </c>
      <c r="L74" s="255">
        <v>4522.576</v>
      </c>
      <c r="M74" s="255"/>
      <c r="N74" s="287">
        <f t="shared" si="155"/>
        <v>8965.0460000000003</v>
      </c>
      <c r="O74" s="255"/>
      <c r="P74" s="255"/>
      <c r="Q74" s="293"/>
      <c r="R74" s="287"/>
      <c r="S74" s="289"/>
      <c r="T74" s="263"/>
      <c r="U74" s="275"/>
      <c r="V74" s="275"/>
      <c r="W74" s="293"/>
      <c r="X74" s="263"/>
      <c r="Y74" s="142"/>
      <c r="Z74" s="272"/>
      <c r="AA74" s="272"/>
      <c r="AB74" s="272"/>
      <c r="AC74" s="272"/>
      <c r="AD74" s="272"/>
      <c r="AE74" s="272"/>
      <c r="AF74" s="287">
        <f t="shared" si="167"/>
        <v>0</v>
      </c>
      <c r="AG74" s="283">
        <f t="shared" si="172"/>
        <v>8965.0460000000003</v>
      </c>
      <c r="AH74" s="230">
        <f t="shared" si="168"/>
        <v>139804.53090000001</v>
      </c>
      <c r="AI74" s="230">
        <f t="shared" si="168"/>
        <v>142325.46672</v>
      </c>
      <c r="AJ74" s="230">
        <f t="shared" si="168"/>
        <v>0</v>
      </c>
      <c r="AK74" s="261">
        <f t="shared" si="159"/>
        <v>282129.99762000004</v>
      </c>
      <c r="AL74" s="227">
        <f t="shared" si="169"/>
        <v>0</v>
      </c>
      <c r="AM74" s="232">
        <f t="shared" si="169"/>
        <v>0</v>
      </c>
      <c r="AN74" s="232">
        <f t="shared" si="169"/>
        <v>0</v>
      </c>
      <c r="AO74" s="261"/>
      <c r="AP74" s="230">
        <f t="shared" si="170"/>
        <v>0</v>
      </c>
      <c r="AQ74" s="230">
        <f t="shared" si="170"/>
        <v>0</v>
      </c>
      <c r="AR74" s="230">
        <f t="shared" si="170"/>
        <v>0</v>
      </c>
      <c r="AS74" s="230">
        <f t="shared" si="170"/>
        <v>0</v>
      </c>
      <c r="AT74" s="230">
        <f t="shared" si="170"/>
        <v>0</v>
      </c>
      <c r="AU74" s="230">
        <f t="shared" si="170"/>
        <v>0</v>
      </c>
      <c r="AV74" s="261"/>
      <c r="AW74" s="228">
        <f t="shared" si="171"/>
        <v>0</v>
      </c>
      <c r="AX74" s="228">
        <f t="shared" si="171"/>
        <v>0</v>
      </c>
      <c r="AY74" s="228">
        <f t="shared" si="171"/>
        <v>0</v>
      </c>
      <c r="AZ74" s="228">
        <f t="shared" si="171"/>
        <v>0</v>
      </c>
      <c r="BA74" s="228">
        <f t="shared" si="171"/>
        <v>0</v>
      </c>
      <c r="BB74" s="228">
        <f t="shared" si="171"/>
        <v>0</v>
      </c>
      <c r="BC74" s="261">
        <f t="shared" si="128"/>
        <v>0</v>
      </c>
      <c r="BD74" s="239">
        <f t="shared" si="173"/>
        <v>282129.99762000004</v>
      </c>
      <c r="BE74" s="1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243"/>
      <c r="ES74" s="243"/>
      <c r="ET74" s="243"/>
      <c r="EU74" s="243"/>
      <c r="EV74" s="243"/>
      <c r="EW74" s="243"/>
      <c r="EX74" s="243"/>
      <c r="EY74" s="243"/>
      <c r="EZ74" s="243"/>
      <c r="FA74" s="243"/>
      <c r="FB74" s="243"/>
      <c r="FC74" s="243"/>
      <c r="FD74" s="243"/>
      <c r="FE74" s="243"/>
      <c r="FF74" s="243"/>
      <c r="FG74" s="243"/>
      <c r="FH74" s="243"/>
      <c r="FI74" s="243"/>
      <c r="FJ74" s="243"/>
      <c r="FK74" s="243"/>
      <c r="FL74" s="243"/>
      <c r="FM74" s="243"/>
      <c r="FN74" s="243"/>
      <c r="FO74" s="243"/>
      <c r="FP74" s="243"/>
      <c r="FQ74" s="243"/>
      <c r="FR74" s="243"/>
      <c r="FS74" s="243"/>
      <c r="FT74" s="243"/>
      <c r="FU74" s="243"/>
      <c r="FV74" s="243"/>
      <c r="FW74" s="243"/>
      <c r="FX74" s="243"/>
      <c r="FY74" s="243"/>
      <c r="FZ74" s="243"/>
      <c r="GA74" s="243"/>
      <c r="GB74" s="243"/>
      <c r="GC74" s="243"/>
      <c r="GD74" s="243"/>
      <c r="GE74" s="243"/>
      <c r="GF74" s="243"/>
      <c r="GG74" s="243"/>
      <c r="GH74" s="243"/>
      <c r="GI74" s="243"/>
      <c r="GJ74" s="243"/>
      <c r="GK74" s="243"/>
      <c r="GL74" s="243"/>
      <c r="GM74" s="243"/>
      <c r="GN74" s="243"/>
      <c r="GO74" s="243"/>
      <c r="GP74" s="243"/>
      <c r="GQ74" s="243"/>
      <c r="GR74" s="243"/>
      <c r="GS74" s="243"/>
      <c r="GT74" s="243"/>
    </row>
    <row r="75" spans="1:202" s="79" customFormat="1" ht="11.25" customHeight="1">
      <c r="A75" s="193" t="s">
        <v>101</v>
      </c>
      <c r="B75" s="182" t="s">
        <v>138</v>
      </c>
      <c r="C75" s="221" t="s">
        <v>240</v>
      </c>
      <c r="D75" s="74">
        <f>[1]финасир!$D$141</f>
        <v>2922007060</v>
      </c>
      <c r="E75" s="82"/>
      <c r="F75" s="82"/>
      <c r="G75" s="177"/>
      <c r="H75" s="82"/>
      <c r="I75" s="82"/>
      <c r="J75" s="210"/>
      <c r="K75" s="251"/>
      <c r="L75" s="254"/>
      <c r="M75" s="254"/>
      <c r="N75" s="284">
        <f t="shared" si="155"/>
        <v>0</v>
      </c>
      <c r="O75" s="255">
        <f>SUM(O76:O78)</f>
        <v>0</v>
      </c>
      <c r="P75" s="255">
        <f>SUM(P76:P78)</f>
        <v>0</v>
      </c>
      <c r="Q75" s="255">
        <f>SUM(Q76:Q78)</f>
        <v>0</v>
      </c>
      <c r="R75" s="284">
        <f t="shared" si="156"/>
        <v>0</v>
      </c>
      <c r="S75" s="289"/>
      <c r="T75" s="263"/>
      <c r="U75" s="275"/>
      <c r="V75" s="275"/>
      <c r="W75" s="293"/>
      <c r="X75" s="263"/>
      <c r="Y75" s="262">
        <f>SUM(S75:X75)</f>
        <v>0</v>
      </c>
      <c r="Z75" s="272"/>
      <c r="AA75" s="272"/>
      <c r="AB75" s="272"/>
      <c r="AC75" s="272"/>
      <c r="AD75" s="272"/>
      <c r="AE75" s="272"/>
      <c r="AF75" s="284">
        <f>SUM(Z75:AE75)</f>
        <v>0</v>
      </c>
      <c r="AG75" s="282">
        <f t="shared" si="172"/>
        <v>0</v>
      </c>
      <c r="AH75" s="227">
        <f t="shared" si="168"/>
        <v>0</v>
      </c>
      <c r="AI75" s="227">
        <f t="shared" si="168"/>
        <v>0</v>
      </c>
      <c r="AJ75" s="227">
        <f t="shared" si="168"/>
        <v>0</v>
      </c>
      <c r="AK75" s="260">
        <f t="shared" si="159"/>
        <v>0</v>
      </c>
      <c r="AL75" s="227">
        <f t="shared" si="169"/>
        <v>0</v>
      </c>
      <c r="AM75" s="232">
        <f t="shared" si="169"/>
        <v>0</v>
      </c>
      <c r="AN75" s="232">
        <f t="shared" si="169"/>
        <v>0</v>
      </c>
      <c r="AO75" s="260">
        <f>SUM(AL75:AN75)</f>
        <v>0</v>
      </c>
      <c r="AP75" s="227">
        <f t="shared" si="170"/>
        <v>0</v>
      </c>
      <c r="AQ75" s="227">
        <f t="shared" si="170"/>
        <v>0</v>
      </c>
      <c r="AR75" s="227">
        <f t="shared" si="170"/>
        <v>0</v>
      </c>
      <c r="AS75" s="227">
        <f t="shared" si="170"/>
        <v>0</v>
      </c>
      <c r="AT75" s="227">
        <f t="shared" si="170"/>
        <v>0</v>
      </c>
      <c r="AU75" s="227">
        <f t="shared" si="170"/>
        <v>0</v>
      </c>
      <c r="AV75" s="260">
        <f>SUM(AP75:AU75)</f>
        <v>0</v>
      </c>
      <c r="AW75" s="227">
        <f t="shared" si="171"/>
        <v>0</v>
      </c>
      <c r="AX75" s="227">
        <f t="shared" si="171"/>
        <v>0</v>
      </c>
      <c r="AY75" s="227">
        <f t="shared" si="171"/>
        <v>0</v>
      </c>
      <c r="AZ75" s="227">
        <f t="shared" si="171"/>
        <v>0</v>
      </c>
      <c r="BA75" s="227">
        <f t="shared" si="171"/>
        <v>0</v>
      </c>
      <c r="BB75" s="227">
        <f t="shared" si="171"/>
        <v>0</v>
      </c>
      <c r="BC75" s="260">
        <f t="shared" si="128"/>
        <v>0</v>
      </c>
      <c r="BD75" s="238">
        <f t="shared" si="173"/>
        <v>0</v>
      </c>
      <c r="BE75" s="1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243"/>
      <c r="ES75" s="243"/>
      <c r="ET75" s="243"/>
      <c r="EU75" s="243"/>
      <c r="EV75" s="243"/>
      <c r="EW75" s="243"/>
      <c r="EX75" s="243"/>
      <c r="EY75" s="243"/>
      <c r="EZ75" s="243"/>
      <c r="FA75" s="243"/>
      <c r="FB75" s="243"/>
      <c r="FC75" s="243"/>
      <c r="FD75" s="243"/>
      <c r="FE75" s="243"/>
      <c r="FF75" s="243"/>
      <c r="FG75" s="243"/>
      <c r="FH75" s="243"/>
      <c r="FI75" s="243"/>
      <c r="FJ75" s="243"/>
      <c r="FK75" s="243"/>
      <c r="FL75" s="243"/>
      <c r="FM75" s="243"/>
      <c r="FN75" s="243"/>
      <c r="FO75" s="243"/>
      <c r="FP75" s="243"/>
      <c r="FQ75" s="243"/>
      <c r="FR75" s="243"/>
      <c r="FS75" s="243"/>
      <c r="FT75" s="243"/>
      <c r="FU75" s="243"/>
      <c r="FV75" s="243"/>
      <c r="FW75" s="243"/>
      <c r="FX75" s="243"/>
      <c r="FY75" s="243"/>
      <c r="FZ75" s="243"/>
      <c r="GA75" s="243"/>
      <c r="GB75" s="243"/>
      <c r="GC75" s="243"/>
      <c r="GD75" s="243"/>
      <c r="GE75" s="243"/>
      <c r="GF75" s="243"/>
      <c r="GG75" s="243"/>
      <c r="GH75" s="243"/>
      <c r="GI75" s="243"/>
      <c r="GJ75" s="243"/>
      <c r="GK75" s="243"/>
      <c r="GL75" s="243"/>
      <c r="GM75" s="243"/>
      <c r="GN75" s="243"/>
      <c r="GO75" s="243"/>
      <c r="GP75" s="243"/>
      <c r="GQ75" s="243"/>
      <c r="GR75" s="243"/>
      <c r="GS75" s="243"/>
      <c r="GT75" s="243"/>
    </row>
    <row r="76" spans="1:202" s="79" customFormat="1" ht="11.25" customHeight="1">
      <c r="A76" s="193" t="s">
        <v>101</v>
      </c>
      <c r="B76" s="182" t="s">
        <v>552</v>
      </c>
      <c r="C76" s="221" t="s">
        <v>553</v>
      </c>
      <c r="D76" s="74">
        <v>2905001195</v>
      </c>
      <c r="E76" s="82"/>
      <c r="F76" s="82"/>
      <c r="G76" s="177"/>
      <c r="H76" s="82"/>
      <c r="I76" s="82"/>
      <c r="J76" s="210"/>
      <c r="K76" s="251">
        <f>SUM(K77:K79)</f>
        <v>93212</v>
      </c>
      <c r="L76" s="251">
        <f>SUM(L77:L79)</f>
        <v>89220</v>
      </c>
      <c r="M76" s="251">
        <f>SUM(M77:M79)</f>
        <v>0</v>
      </c>
      <c r="N76" s="284">
        <f t="shared" ref="N76:N85" si="174">SUM(K76:M76)</f>
        <v>182432</v>
      </c>
      <c r="O76" s="255"/>
      <c r="P76" s="275"/>
      <c r="Q76" s="293"/>
      <c r="R76" s="284"/>
      <c r="S76" s="289">
        <f t="shared" ref="S76:X76" si="175">SUM(S77:S79)</f>
        <v>0</v>
      </c>
      <c r="T76" s="289">
        <f t="shared" si="175"/>
        <v>0</v>
      </c>
      <c r="U76" s="289">
        <f t="shared" si="175"/>
        <v>0</v>
      </c>
      <c r="V76" s="289">
        <f t="shared" si="175"/>
        <v>0</v>
      </c>
      <c r="W76" s="289">
        <f t="shared" si="175"/>
        <v>0</v>
      </c>
      <c r="X76" s="289">
        <f t="shared" si="175"/>
        <v>0</v>
      </c>
      <c r="Y76" s="262">
        <f>SUM(S76:X76)</f>
        <v>0</v>
      </c>
      <c r="Z76" s="272">
        <f t="shared" ref="Z76:AE76" si="176">SUM(Z77:Z79)</f>
        <v>0</v>
      </c>
      <c r="AA76" s="272">
        <f t="shared" si="176"/>
        <v>0</v>
      </c>
      <c r="AB76" s="272">
        <f t="shared" si="176"/>
        <v>0</v>
      </c>
      <c r="AC76" s="272">
        <f t="shared" si="176"/>
        <v>0</v>
      </c>
      <c r="AD76" s="272">
        <f t="shared" si="176"/>
        <v>0</v>
      </c>
      <c r="AE76" s="272">
        <f t="shared" si="176"/>
        <v>0</v>
      </c>
      <c r="AF76" s="284">
        <f>SUM(Z76:AE76)</f>
        <v>0</v>
      </c>
      <c r="AG76" s="282">
        <f t="shared" si="172"/>
        <v>182432</v>
      </c>
      <c r="AH76" s="227">
        <f>SUM(AH77:AH79)</f>
        <v>2397026.0899999947</v>
      </c>
      <c r="AI76" s="227">
        <f>SUM(AI77:AI79)</f>
        <v>2125418.2799999951</v>
      </c>
      <c r="AJ76" s="227">
        <f>SUM(AJ77:AJ79)</f>
        <v>0</v>
      </c>
      <c r="AK76" s="260">
        <f t="shared" ref="AK76:AK104" si="177">AH76+AI76+AJ76</f>
        <v>4522444.3699999899</v>
      </c>
      <c r="AL76" s="227">
        <f>SUM(AL77:AL79)</f>
        <v>0</v>
      </c>
      <c r="AM76" s="232">
        <f>SUM(AM77:AM79)</f>
        <v>0</v>
      </c>
      <c r="AN76" s="232">
        <f>SUM(AN77:AN79)</f>
        <v>0</v>
      </c>
      <c r="AO76" s="260"/>
      <c r="AP76" s="227">
        <f t="shared" ref="AP76:AU76" si="178">SUM(AP77:AP79)</f>
        <v>0</v>
      </c>
      <c r="AQ76" s="227">
        <f t="shared" si="178"/>
        <v>0</v>
      </c>
      <c r="AR76" s="227">
        <f t="shared" si="178"/>
        <v>0</v>
      </c>
      <c r="AS76" s="227">
        <f t="shared" si="178"/>
        <v>0</v>
      </c>
      <c r="AT76" s="227">
        <f t="shared" si="178"/>
        <v>0</v>
      </c>
      <c r="AU76" s="227">
        <f t="shared" si="178"/>
        <v>0</v>
      </c>
      <c r="AV76" s="260">
        <f>SUM(AP76:AU76)</f>
        <v>0</v>
      </c>
      <c r="AW76" s="227">
        <f t="shared" ref="AW76:BB76" si="179">SUM(AW77:AW79)</f>
        <v>0</v>
      </c>
      <c r="AX76" s="227">
        <f t="shared" si="179"/>
        <v>0</v>
      </c>
      <c r="AY76" s="227">
        <f t="shared" si="179"/>
        <v>0</v>
      </c>
      <c r="AZ76" s="227">
        <f t="shared" si="179"/>
        <v>0</v>
      </c>
      <c r="BA76" s="227">
        <f t="shared" si="179"/>
        <v>0</v>
      </c>
      <c r="BB76" s="227">
        <f t="shared" si="179"/>
        <v>0</v>
      </c>
      <c r="BC76" s="260">
        <f t="shared" si="128"/>
        <v>0</v>
      </c>
      <c r="BD76" s="238">
        <f t="shared" si="173"/>
        <v>4522444.3699999899</v>
      </c>
      <c r="BE76" s="1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  <c r="CU76" s="243"/>
      <c r="CV76" s="243"/>
      <c r="CW76" s="243"/>
      <c r="CX76" s="243"/>
      <c r="CY76" s="243"/>
      <c r="CZ76" s="243"/>
      <c r="DA76" s="243"/>
      <c r="DB76" s="243"/>
      <c r="DC76" s="243"/>
      <c r="DD76" s="243"/>
      <c r="DE76" s="243"/>
      <c r="DF76" s="243"/>
      <c r="DG76" s="243"/>
      <c r="DH76" s="243"/>
      <c r="DI76" s="243"/>
      <c r="DJ76" s="243"/>
      <c r="DK76" s="243"/>
      <c r="DL76" s="243"/>
      <c r="DM76" s="243"/>
      <c r="DN76" s="243"/>
      <c r="DO76" s="243"/>
      <c r="DP76" s="243"/>
      <c r="DQ76" s="243"/>
      <c r="DR76" s="243"/>
      <c r="DS76" s="243"/>
      <c r="DT76" s="243"/>
      <c r="DU76" s="243"/>
      <c r="DV76" s="243"/>
      <c r="DW76" s="243"/>
      <c r="DX76" s="243"/>
      <c r="DY76" s="243"/>
      <c r="DZ76" s="243"/>
      <c r="EA76" s="243"/>
      <c r="EB76" s="243"/>
      <c r="EC76" s="243"/>
      <c r="ED76" s="243"/>
      <c r="EE76" s="243"/>
      <c r="EF76" s="243"/>
      <c r="EG76" s="243"/>
      <c r="EH76" s="243"/>
      <c r="EI76" s="243"/>
      <c r="EJ76" s="243"/>
      <c r="EK76" s="243"/>
      <c r="EL76" s="243"/>
      <c r="EM76" s="243"/>
      <c r="EN76" s="243"/>
      <c r="EO76" s="243"/>
      <c r="EP76" s="243"/>
      <c r="EQ76" s="243"/>
      <c r="ER76" s="243"/>
      <c r="ES76" s="243"/>
      <c r="ET76" s="243"/>
      <c r="EU76" s="243"/>
      <c r="EV76" s="243"/>
      <c r="EW76" s="243"/>
      <c r="EX76" s="243"/>
      <c r="EY76" s="243"/>
      <c r="EZ76" s="243"/>
      <c r="FA76" s="243"/>
      <c r="FB76" s="243"/>
      <c r="FC76" s="243"/>
      <c r="FD76" s="243"/>
      <c r="FE76" s="243"/>
      <c r="FF76" s="243"/>
      <c r="FG76" s="243"/>
      <c r="FH76" s="243"/>
      <c r="FI76" s="243"/>
      <c r="FJ76" s="243"/>
      <c r="FK76" s="243"/>
      <c r="FL76" s="243"/>
      <c r="FM76" s="243"/>
      <c r="FN76" s="243"/>
      <c r="FO76" s="243"/>
      <c r="FP76" s="243"/>
      <c r="FQ76" s="243"/>
      <c r="FR76" s="243"/>
      <c r="FS76" s="243"/>
      <c r="FT76" s="243"/>
      <c r="FU76" s="243"/>
      <c r="FV76" s="243"/>
      <c r="FW76" s="243"/>
      <c r="FX76" s="243"/>
      <c r="FY76" s="243"/>
      <c r="FZ76" s="243"/>
      <c r="GA76" s="243"/>
      <c r="GB76" s="243"/>
      <c r="GC76" s="243"/>
      <c r="GD76" s="243"/>
      <c r="GE76" s="243"/>
      <c r="GF76" s="243"/>
      <c r="GG76" s="243"/>
      <c r="GH76" s="243"/>
      <c r="GI76" s="243"/>
      <c r="GJ76" s="243"/>
      <c r="GK76" s="243"/>
      <c r="GL76" s="243"/>
      <c r="GM76" s="243"/>
      <c r="GN76" s="243"/>
      <c r="GO76" s="243"/>
      <c r="GP76" s="243"/>
      <c r="GQ76" s="243"/>
      <c r="GR76" s="243"/>
      <c r="GS76" s="243"/>
      <c r="GT76" s="243"/>
    </row>
    <row r="77" spans="1:202" ht="12.75">
      <c r="A77" s="189"/>
      <c r="B77" s="145"/>
      <c r="C77" s="216" t="s">
        <v>586</v>
      </c>
      <c r="D77" s="146"/>
      <c r="E77" s="147">
        <v>1132.0899999999999</v>
      </c>
      <c r="F77" s="82">
        <v>1064.17</v>
      </c>
      <c r="G77" s="177">
        <f t="shared" ref="G77:G85" si="180">E77-F77</f>
        <v>67.919999999999845</v>
      </c>
      <c r="H77" s="147">
        <v>1132.0899999999999</v>
      </c>
      <c r="I77" s="82">
        <v>1064.17</v>
      </c>
      <c r="J77" s="210">
        <f>H77-I77</f>
        <v>67.919999999999845</v>
      </c>
      <c r="K77" s="252">
        <v>31111</v>
      </c>
      <c r="L77" s="252">
        <v>27112</v>
      </c>
      <c r="M77" s="252"/>
      <c r="N77" s="287">
        <f t="shared" si="174"/>
        <v>58223</v>
      </c>
      <c r="O77" s="273"/>
      <c r="P77" s="273"/>
      <c r="Q77" s="290"/>
      <c r="R77" s="287"/>
      <c r="S77" s="290"/>
      <c r="T77" s="264"/>
      <c r="U77" s="273"/>
      <c r="V77" s="273"/>
      <c r="W77" s="290"/>
      <c r="X77" s="264"/>
      <c r="Y77" s="142"/>
      <c r="Z77" s="273"/>
      <c r="AA77" s="273"/>
      <c r="AB77" s="273"/>
      <c r="AC77" s="273"/>
      <c r="AD77" s="273"/>
      <c r="AE77" s="273"/>
      <c r="AF77" s="287">
        <f>SUM(Z77:AE77)</f>
        <v>0</v>
      </c>
      <c r="AG77" s="283">
        <f t="shared" si="172"/>
        <v>58223</v>
      </c>
      <c r="AH77" s="228">
        <f t="shared" ref="AH77:AJ79" si="181">K77*$G77</f>
        <v>2113059.119999995</v>
      </c>
      <c r="AI77" s="228">
        <f t="shared" si="181"/>
        <v>1841447.0399999958</v>
      </c>
      <c r="AJ77" s="228">
        <f t="shared" si="181"/>
        <v>0</v>
      </c>
      <c r="AK77" s="261">
        <f t="shared" si="177"/>
        <v>3954506.1599999908</v>
      </c>
      <c r="AL77" s="228">
        <f t="shared" ref="AL77:AN79" si="182">O77*$G77</f>
        <v>0</v>
      </c>
      <c r="AM77" s="228">
        <f t="shared" si="182"/>
        <v>0</v>
      </c>
      <c r="AN77" s="228">
        <f t="shared" si="182"/>
        <v>0</v>
      </c>
      <c r="AO77" s="261"/>
      <c r="AP77" s="228">
        <f t="shared" ref="AP77:AU79" si="183">S77*$J77</f>
        <v>0</v>
      </c>
      <c r="AQ77" s="228">
        <f t="shared" si="183"/>
        <v>0</v>
      </c>
      <c r="AR77" s="228">
        <f t="shared" si="183"/>
        <v>0</v>
      </c>
      <c r="AS77" s="228">
        <f t="shared" si="183"/>
        <v>0</v>
      </c>
      <c r="AT77" s="228">
        <f t="shared" si="183"/>
        <v>0</v>
      </c>
      <c r="AU77" s="228">
        <f t="shared" si="183"/>
        <v>0</v>
      </c>
      <c r="AV77" s="261"/>
      <c r="AW77" s="228">
        <f t="shared" ref="AW77:BB79" si="184">Z77*$J77</f>
        <v>0</v>
      </c>
      <c r="AX77" s="228">
        <f t="shared" si="184"/>
        <v>0</v>
      </c>
      <c r="AY77" s="228">
        <f t="shared" si="184"/>
        <v>0</v>
      </c>
      <c r="AZ77" s="228">
        <f t="shared" si="184"/>
        <v>0</v>
      </c>
      <c r="BA77" s="228">
        <f t="shared" si="184"/>
        <v>0</v>
      </c>
      <c r="BB77" s="228">
        <f t="shared" si="184"/>
        <v>0</v>
      </c>
      <c r="BC77" s="261">
        <f t="shared" si="128"/>
        <v>0</v>
      </c>
      <c r="BD77" s="239">
        <f t="shared" si="173"/>
        <v>3954506.1599999908</v>
      </c>
      <c r="BE77" s="244"/>
    </row>
    <row r="78" spans="1:202" ht="12.75">
      <c r="A78" s="189"/>
      <c r="B78" s="145"/>
      <c r="C78" s="216" t="s">
        <v>578</v>
      </c>
      <c r="D78" s="73"/>
      <c r="E78" s="82">
        <v>1132.0899999999999</v>
      </c>
      <c r="F78" s="82">
        <v>1064.17</v>
      </c>
      <c r="G78" s="177">
        <f t="shared" si="180"/>
        <v>67.919999999999845</v>
      </c>
      <c r="H78" s="82">
        <v>1132.0899999999999</v>
      </c>
      <c r="I78" s="82">
        <v>1064.17</v>
      </c>
      <c r="J78" s="210">
        <f>H78-I78</f>
        <v>67.919999999999845</v>
      </c>
      <c r="K78" s="255">
        <v>3656</v>
      </c>
      <c r="L78" s="252">
        <v>3656</v>
      </c>
      <c r="M78" s="252"/>
      <c r="N78" s="287">
        <f t="shared" si="174"/>
        <v>7312</v>
      </c>
      <c r="O78" s="276"/>
      <c r="P78" s="273"/>
      <c r="Q78" s="290"/>
      <c r="R78" s="287"/>
      <c r="S78" s="294"/>
      <c r="T78" s="264"/>
      <c r="U78" s="273"/>
      <c r="V78" s="273"/>
      <c r="W78" s="290"/>
      <c r="X78" s="264"/>
      <c r="Y78" s="142"/>
      <c r="Z78" s="276"/>
      <c r="AA78" s="276"/>
      <c r="AB78" s="276"/>
      <c r="AC78" s="276"/>
      <c r="AD78" s="276"/>
      <c r="AE78" s="276"/>
      <c r="AF78" s="287">
        <f>SUM(Z78:AE78)</f>
        <v>0</v>
      </c>
      <c r="AG78" s="283">
        <f t="shared" si="172"/>
        <v>7312</v>
      </c>
      <c r="AH78" s="228">
        <f t="shared" si="181"/>
        <v>248315.51999999944</v>
      </c>
      <c r="AI78" s="228">
        <f t="shared" si="181"/>
        <v>248315.51999999944</v>
      </c>
      <c r="AJ78" s="228">
        <f t="shared" si="181"/>
        <v>0</v>
      </c>
      <c r="AK78" s="261">
        <f t="shared" si="177"/>
        <v>496631.03999999887</v>
      </c>
      <c r="AL78" s="228">
        <f t="shared" si="182"/>
        <v>0</v>
      </c>
      <c r="AM78" s="228">
        <f t="shared" si="182"/>
        <v>0</v>
      </c>
      <c r="AN78" s="228">
        <f t="shared" si="182"/>
        <v>0</v>
      </c>
      <c r="AO78" s="261"/>
      <c r="AP78" s="228">
        <f t="shared" si="183"/>
        <v>0</v>
      </c>
      <c r="AQ78" s="228">
        <f t="shared" si="183"/>
        <v>0</v>
      </c>
      <c r="AR78" s="228">
        <f t="shared" si="183"/>
        <v>0</v>
      </c>
      <c r="AS78" s="228">
        <f t="shared" si="183"/>
        <v>0</v>
      </c>
      <c r="AT78" s="228">
        <f t="shared" si="183"/>
        <v>0</v>
      </c>
      <c r="AU78" s="228">
        <f t="shared" si="183"/>
        <v>0</v>
      </c>
      <c r="AV78" s="261"/>
      <c r="AW78" s="230">
        <f t="shared" si="184"/>
        <v>0</v>
      </c>
      <c r="AX78" s="230">
        <f t="shared" si="184"/>
        <v>0</v>
      </c>
      <c r="AY78" s="230">
        <f t="shared" si="184"/>
        <v>0</v>
      </c>
      <c r="AZ78" s="230">
        <f t="shared" si="184"/>
        <v>0</v>
      </c>
      <c r="BA78" s="230">
        <f t="shared" si="184"/>
        <v>0</v>
      </c>
      <c r="BB78" s="230">
        <f t="shared" si="184"/>
        <v>0</v>
      </c>
      <c r="BC78" s="261">
        <f t="shared" si="128"/>
        <v>0</v>
      </c>
      <c r="BD78" s="239">
        <f t="shared" si="173"/>
        <v>496631.03999999887</v>
      </c>
      <c r="BE78" s="244"/>
    </row>
    <row r="79" spans="1:202" ht="12.75">
      <c r="A79" s="189"/>
      <c r="B79" s="145"/>
      <c r="C79" s="216" t="s">
        <v>579</v>
      </c>
      <c r="D79" s="146"/>
      <c r="E79" s="147">
        <v>10.44</v>
      </c>
      <c r="F79" s="209">
        <v>9.83</v>
      </c>
      <c r="G79" s="177">
        <f t="shared" si="180"/>
        <v>0.60999999999999943</v>
      </c>
      <c r="H79" s="147">
        <v>10.44</v>
      </c>
      <c r="I79" s="82">
        <v>9.83</v>
      </c>
      <c r="J79" s="210">
        <f>H79-I79</f>
        <v>0.60999999999999943</v>
      </c>
      <c r="K79" s="252">
        <v>58445</v>
      </c>
      <c r="L79" s="252">
        <v>58452</v>
      </c>
      <c r="M79" s="252"/>
      <c r="N79" s="287">
        <f t="shared" si="174"/>
        <v>116897</v>
      </c>
      <c r="O79" s="273"/>
      <c r="P79" s="273"/>
      <c r="Q79" s="290"/>
      <c r="R79" s="287"/>
      <c r="S79" s="290"/>
      <c r="T79" s="264"/>
      <c r="U79" s="273"/>
      <c r="V79" s="273"/>
      <c r="W79" s="290"/>
      <c r="X79" s="264"/>
      <c r="Y79" s="142"/>
      <c r="Z79" s="273"/>
      <c r="AA79" s="273"/>
      <c r="AB79" s="273"/>
      <c r="AC79" s="273"/>
      <c r="AD79" s="273"/>
      <c r="AE79" s="273"/>
      <c r="AF79" s="287">
        <f>SUM(Z79:AE79)</f>
        <v>0</v>
      </c>
      <c r="AG79" s="283">
        <f t="shared" si="172"/>
        <v>116897</v>
      </c>
      <c r="AH79" s="228">
        <f t="shared" si="181"/>
        <v>35651.449999999968</v>
      </c>
      <c r="AI79" s="228">
        <f t="shared" si="181"/>
        <v>35655.719999999965</v>
      </c>
      <c r="AJ79" s="228">
        <f t="shared" si="181"/>
        <v>0</v>
      </c>
      <c r="AK79" s="261">
        <f t="shared" si="177"/>
        <v>71307.169999999925</v>
      </c>
      <c r="AL79" s="228">
        <f t="shared" si="182"/>
        <v>0</v>
      </c>
      <c r="AM79" s="228">
        <f t="shared" si="182"/>
        <v>0</v>
      </c>
      <c r="AN79" s="228">
        <f t="shared" si="182"/>
        <v>0</v>
      </c>
      <c r="AO79" s="261"/>
      <c r="AP79" s="228">
        <f t="shared" si="183"/>
        <v>0</v>
      </c>
      <c r="AQ79" s="228">
        <f t="shared" si="183"/>
        <v>0</v>
      </c>
      <c r="AR79" s="228">
        <f t="shared" si="183"/>
        <v>0</v>
      </c>
      <c r="AS79" s="228">
        <f t="shared" si="183"/>
        <v>0</v>
      </c>
      <c r="AT79" s="228">
        <f t="shared" si="183"/>
        <v>0</v>
      </c>
      <c r="AU79" s="228">
        <f t="shared" si="183"/>
        <v>0</v>
      </c>
      <c r="AV79" s="261"/>
      <c r="AW79" s="228">
        <f t="shared" si="184"/>
        <v>0</v>
      </c>
      <c r="AX79" s="228">
        <f t="shared" si="184"/>
        <v>0</v>
      </c>
      <c r="AY79" s="228">
        <f t="shared" si="184"/>
        <v>0</v>
      </c>
      <c r="AZ79" s="228">
        <f t="shared" si="184"/>
        <v>0</v>
      </c>
      <c r="BA79" s="228">
        <f t="shared" si="184"/>
        <v>0</v>
      </c>
      <c r="BB79" s="228">
        <f t="shared" si="184"/>
        <v>0</v>
      </c>
      <c r="BC79" s="261">
        <f t="shared" si="128"/>
        <v>0</v>
      </c>
      <c r="BD79" s="239">
        <f t="shared" si="173"/>
        <v>71307.169999999925</v>
      </c>
      <c r="BE79" s="244"/>
    </row>
    <row r="80" spans="1:202" ht="12.75">
      <c r="A80" s="193" t="s">
        <v>101</v>
      </c>
      <c r="B80" s="182" t="s">
        <v>209</v>
      </c>
      <c r="C80" s="221" t="s">
        <v>71</v>
      </c>
      <c r="D80" s="73">
        <v>2912005994</v>
      </c>
      <c r="E80" s="82"/>
      <c r="F80" s="86"/>
      <c r="G80" s="177"/>
      <c r="H80" s="82"/>
      <c r="I80" s="86"/>
      <c r="J80" s="210"/>
      <c r="K80" s="254">
        <f>SUM(K81:K83)</f>
        <v>104.01</v>
      </c>
      <c r="L80" s="254">
        <f>SUM(L81:L83)</f>
        <v>104.01</v>
      </c>
      <c r="M80" s="254">
        <f>SUM(M81:M82)</f>
        <v>0</v>
      </c>
      <c r="N80" s="284">
        <f t="shared" si="174"/>
        <v>208.02</v>
      </c>
      <c r="O80" s="275">
        <f>SUM(O81:O82)</f>
        <v>0</v>
      </c>
      <c r="P80" s="275">
        <f>SUM(P81:P82)</f>
        <v>0</v>
      </c>
      <c r="Q80" s="275">
        <f>SUM(Q81:Q82)</f>
        <v>0</v>
      </c>
      <c r="R80" s="284">
        <f>O80+P80+Q80</f>
        <v>0</v>
      </c>
      <c r="S80" s="293">
        <f t="shared" ref="S80:X80" si="185">SUM(S81:S82)</f>
        <v>0</v>
      </c>
      <c r="T80" s="293">
        <f t="shared" si="185"/>
        <v>0</v>
      </c>
      <c r="U80" s="293">
        <f t="shared" si="185"/>
        <v>0</v>
      </c>
      <c r="V80" s="293">
        <f t="shared" si="185"/>
        <v>0</v>
      </c>
      <c r="W80" s="293">
        <f t="shared" si="185"/>
        <v>0</v>
      </c>
      <c r="X80" s="293">
        <f t="shared" si="185"/>
        <v>0</v>
      </c>
      <c r="Y80" s="262">
        <f>SUM(S80:X80)</f>
        <v>0</v>
      </c>
      <c r="Z80" s="275">
        <f t="shared" ref="Z80:AF80" si="186">SUM(Z81:Z82)</f>
        <v>0</v>
      </c>
      <c r="AA80" s="275">
        <f t="shared" si="186"/>
        <v>0</v>
      </c>
      <c r="AB80" s="275">
        <f t="shared" si="186"/>
        <v>0</v>
      </c>
      <c r="AC80" s="275">
        <f t="shared" si="186"/>
        <v>0</v>
      </c>
      <c r="AD80" s="275">
        <f t="shared" si="186"/>
        <v>0</v>
      </c>
      <c r="AE80" s="275">
        <f t="shared" si="186"/>
        <v>0</v>
      </c>
      <c r="AF80" s="284">
        <f t="shared" si="186"/>
        <v>0</v>
      </c>
      <c r="AG80" s="282">
        <f t="shared" si="172"/>
        <v>208.02</v>
      </c>
      <c r="AH80" s="232">
        <f>SUM(AH81:AH83)</f>
        <v>510744.44480000006</v>
      </c>
      <c r="AI80" s="232">
        <f>SUM(AI81:AI83)</f>
        <v>510744.44480000006</v>
      </c>
      <c r="AJ80" s="232">
        <f>SUM(AJ81:AJ82)</f>
        <v>0</v>
      </c>
      <c r="AK80" s="260">
        <f t="shared" si="177"/>
        <v>1021488.8896000001</v>
      </c>
      <c r="AL80" s="232">
        <f>SUM(AL81:AL82)</f>
        <v>0</v>
      </c>
      <c r="AM80" s="232">
        <f>SUM(AM81:AM82)</f>
        <v>0</v>
      </c>
      <c r="AN80" s="232">
        <f>SUM(AN81:AN82)</f>
        <v>0</v>
      </c>
      <c r="AO80" s="260">
        <f>SUM(AL80:AN80)</f>
        <v>0</v>
      </c>
      <c r="AP80" s="232">
        <f t="shared" ref="AP80:AU80" si="187">SUM(AP81:AP82)</f>
        <v>0</v>
      </c>
      <c r="AQ80" s="232">
        <f t="shared" si="187"/>
        <v>0</v>
      </c>
      <c r="AR80" s="232">
        <f t="shared" si="187"/>
        <v>0</v>
      </c>
      <c r="AS80" s="232">
        <f t="shared" si="187"/>
        <v>0</v>
      </c>
      <c r="AT80" s="232">
        <f t="shared" si="187"/>
        <v>0</v>
      </c>
      <c r="AU80" s="232">
        <f t="shared" si="187"/>
        <v>0</v>
      </c>
      <c r="AV80" s="260">
        <f>SUM(AP80:AU80)</f>
        <v>0</v>
      </c>
      <c r="AW80" s="232">
        <f t="shared" ref="AW80:BB80" si="188">SUM(AW81:AW82)</f>
        <v>0</v>
      </c>
      <c r="AX80" s="232">
        <f t="shared" si="188"/>
        <v>0</v>
      </c>
      <c r="AY80" s="232">
        <f t="shared" si="188"/>
        <v>0</v>
      </c>
      <c r="AZ80" s="232">
        <f t="shared" si="188"/>
        <v>0</v>
      </c>
      <c r="BA80" s="232">
        <f t="shared" si="188"/>
        <v>0</v>
      </c>
      <c r="BB80" s="232">
        <f t="shared" si="188"/>
        <v>0</v>
      </c>
      <c r="BC80" s="260">
        <f t="shared" si="128"/>
        <v>0</v>
      </c>
      <c r="BD80" s="238">
        <f t="shared" si="173"/>
        <v>1021488.8896000001</v>
      </c>
    </row>
    <row r="81" spans="1:202" ht="12.75">
      <c r="A81" s="189"/>
      <c r="B81" s="145" t="s">
        <v>442</v>
      </c>
      <c r="C81" s="216"/>
      <c r="D81" s="73"/>
      <c r="E81" s="211">
        <v>7534.18</v>
      </c>
      <c r="F81" s="211">
        <v>1722</v>
      </c>
      <c r="G81" s="177">
        <f t="shared" si="180"/>
        <v>5812.18</v>
      </c>
      <c r="H81" s="211">
        <v>7534.18</v>
      </c>
      <c r="I81" s="211">
        <v>1722</v>
      </c>
      <c r="J81" s="210">
        <f t="shared" ref="J81:J86" si="189">H81-I81</f>
        <v>5812.18</v>
      </c>
      <c r="K81" s="252">
        <v>39.72</v>
      </c>
      <c r="L81" s="252">
        <v>39.72</v>
      </c>
      <c r="M81" s="252"/>
      <c r="N81" s="287">
        <f t="shared" si="174"/>
        <v>79.44</v>
      </c>
      <c r="O81" s="273"/>
      <c r="P81" s="273"/>
      <c r="Q81" s="290"/>
      <c r="R81" s="287"/>
      <c r="S81" s="290"/>
      <c r="T81" s="264"/>
      <c r="U81" s="273"/>
      <c r="V81" s="273"/>
      <c r="W81" s="290"/>
      <c r="X81" s="264"/>
      <c r="Y81" s="142"/>
      <c r="Z81" s="273"/>
      <c r="AA81" s="273"/>
      <c r="AB81" s="273"/>
      <c r="AC81" s="273"/>
      <c r="AD81" s="273"/>
      <c r="AE81" s="273"/>
      <c r="AF81" s="287">
        <f>SUM(Z81:AE81)</f>
        <v>0</v>
      </c>
      <c r="AG81" s="283">
        <f t="shared" si="172"/>
        <v>79.44</v>
      </c>
      <c r="AH81" s="228">
        <f t="shared" ref="AH81:AJ83" si="190">K81*$G81</f>
        <v>230859.78960000002</v>
      </c>
      <c r="AI81" s="228">
        <f t="shared" si="190"/>
        <v>230859.78960000002</v>
      </c>
      <c r="AJ81" s="228">
        <f t="shared" si="190"/>
        <v>0</v>
      </c>
      <c r="AK81" s="261">
        <f t="shared" si="177"/>
        <v>461719.57920000004</v>
      </c>
      <c r="AL81" s="228">
        <f t="shared" ref="AL81:AN83" si="191">O81*$G81</f>
        <v>0</v>
      </c>
      <c r="AM81" s="228">
        <f t="shared" si="191"/>
        <v>0</v>
      </c>
      <c r="AN81" s="228">
        <f t="shared" si="191"/>
        <v>0</v>
      </c>
      <c r="AO81" s="261"/>
      <c r="AP81" s="228">
        <f t="shared" ref="AP81:AU83" si="192">S81*$J81</f>
        <v>0</v>
      </c>
      <c r="AQ81" s="228">
        <f t="shared" si="192"/>
        <v>0</v>
      </c>
      <c r="AR81" s="228">
        <f t="shared" si="192"/>
        <v>0</v>
      </c>
      <c r="AS81" s="228">
        <f t="shared" si="192"/>
        <v>0</v>
      </c>
      <c r="AT81" s="228">
        <f t="shared" si="192"/>
        <v>0</v>
      </c>
      <c r="AU81" s="228">
        <f t="shared" si="192"/>
        <v>0</v>
      </c>
      <c r="AV81" s="261"/>
      <c r="AW81" s="228">
        <f t="shared" ref="AW81:BB83" si="193">Z81*$J81</f>
        <v>0</v>
      </c>
      <c r="AX81" s="228">
        <f t="shared" si="193"/>
        <v>0</v>
      </c>
      <c r="AY81" s="228">
        <f t="shared" si="193"/>
        <v>0</v>
      </c>
      <c r="AZ81" s="228">
        <f t="shared" si="193"/>
        <v>0</v>
      </c>
      <c r="BA81" s="228">
        <f t="shared" si="193"/>
        <v>0</v>
      </c>
      <c r="BB81" s="228">
        <f t="shared" si="193"/>
        <v>0</v>
      </c>
      <c r="BC81" s="261">
        <f t="shared" si="128"/>
        <v>0</v>
      </c>
      <c r="BD81" s="239">
        <f t="shared" si="173"/>
        <v>461719.57920000004</v>
      </c>
      <c r="BE81" s="244"/>
    </row>
    <row r="82" spans="1:202" ht="12.75">
      <c r="A82" s="189"/>
      <c r="B82" s="145" t="s">
        <v>374</v>
      </c>
      <c r="C82" s="216"/>
      <c r="D82" s="73"/>
      <c r="E82" s="211">
        <v>5615.89</v>
      </c>
      <c r="F82" s="211">
        <v>1673</v>
      </c>
      <c r="G82" s="177">
        <f t="shared" si="180"/>
        <v>3942.8900000000003</v>
      </c>
      <c r="H82" s="211">
        <v>5615.89</v>
      </c>
      <c r="I82" s="211">
        <v>1673</v>
      </c>
      <c r="J82" s="210">
        <f t="shared" si="189"/>
        <v>3942.8900000000003</v>
      </c>
      <c r="K82" s="252">
        <v>41.2</v>
      </c>
      <c r="L82" s="252">
        <v>41.2</v>
      </c>
      <c r="M82" s="252"/>
      <c r="N82" s="287">
        <f t="shared" si="174"/>
        <v>82.4</v>
      </c>
      <c r="O82" s="273"/>
      <c r="P82" s="273"/>
      <c r="Q82" s="290"/>
      <c r="R82" s="287"/>
      <c r="S82" s="290"/>
      <c r="T82" s="264"/>
      <c r="U82" s="273"/>
      <c r="V82" s="273"/>
      <c r="W82" s="290"/>
      <c r="X82" s="264"/>
      <c r="Y82" s="142"/>
      <c r="Z82" s="273"/>
      <c r="AA82" s="273"/>
      <c r="AB82" s="273"/>
      <c r="AC82" s="273"/>
      <c r="AD82" s="273"/>
      <c r="AE82" s="273"/>
      <c r="AF82" s="287">
        <f>SUM(Z82:AE82)</f>
        <v>0</v>
      </c>
      <c r="AG82" s="283">
        <f t="shared" si="172"/>
        <v>82.4</v>
      </c>
      <c r="AH82" s="228">
        <f t="shared" si="190"/>
        <v>162447.06800000003</v>
      </c>
      <c r="AI82" s="228">
        <f t="shared" si="190"/>
        <v>162447.06800000003</v>
      </c>
      <c r="AJ82" s="228">
        <f t="shared" si="190"/>
        <v>0</v>
      </c>
      <c r="AK82" s="261">
        <f t="shared" si="177"/>
        <v>324894.13600000006</v>
      </c>
      <c r="AL82" s="228">
        <f t="shared" si="191"/>
        <v>0</v>
      </c>
      <c r="AM82" s="228">
        <f t="shared" si="191"/>
        <v>0</v>
      </c>
      <c r="AN82" s="228">
        <f t="shared" si="191"/>
        <v>0</v>
      </c>
      <c r="AO82" s="261"/>
      <c r="AP82" s="228">
        <f t="shared" si="192"/>
        <v>0</v>
      </c>
      <c r="AQ82" s="228">
        <f t="shared" si="192"/>
        <v>0</v>
      </c>
      <c r="AR82" s="228">
        <f t="shared" si="192"/>
        <v>0</v>
      </c>
      <c r="AS82" s="228">
        <f t="shared" si="192"/>
        <v>0</v>
      </c>
      <c r="AT82" s="228">
        <f t="shared" si="192"/>
        <v>0</v>
      </c>
      <c r="AU82" s="228">
        <f t="shared" si="192"/>
        <v>0</v>
      </c>
      <c r="AV82" s="261"/>
      <c r="AW82" s="228">
        <f t="shared" si="193"/>
        <v>0</v>
      </c>
      <c r="AX82" s="228">
        <f t="shared" si="193"/>
        <v>0</v>
      </c>
      <c r="AY82" s="228">
        <f t="shared" si="193"/>
        <v>0</v>
      </c>
      <c r="AZ82" s="228">
        <f t="shared" si="193"/>
        <v>0</v>
      </c>
      <c r="BA82" s="228">
        <f t="shared" si="193"/>
        <v>0</v>
      </c>
      <c r="BB82" s="228">
        <f t="shared" si="193"/>
        <v>0</v>
      </c>
      <c r="BC82" s="261">
        <f t="shared" si="128"/>
        <v>0</v>
      </c>
      <c r="BD82" s="239">
        <f t="shared" si="173"/>
        <v>324894.13600000006</v>
      </c>
      <c r="BE82" s="244"/>
    </row>
    <row r="83" spans="1:202" ht="12.75">
      <c r="A83" s="189"/>
      <c r="B83" s="145" t="s">
        <v>331</v>
      </c>
      <c r="C83" s="216"/>
      <c r="D83" s="73"/>
      <c r="E83" s="211">
        <v>6808.58</v>
      </c>
      <c r="F83" s="211">
        <v>1722.5</v>
      </c>
      <c r="G83" s="177">
        <f>E83-F83</f>
        <v>5086.08</v>
      </c>
      <c r="H83" s="211">
        <v>6808.58</v>
      </c>
      <c r="I83" s="211">
        <v>1722.5</v>
      </c>
      <c r="J83" s="210">
        <f>H83-I83</f>
        <v>5086.08</v>
      </c>
      <c r="K83" s="252">
        <v>23.09</v>
      </c>
      <c r="L83" s="252">
        <v>23.09</v>
      </c>
      <c r="M83" s="252"/>
      <c r="N83" s="287">
        <f t="shared" si="174"/>
        <v>46.18</v>
      </c>
      <c r="O83" s="273"/>
      <c r="P83" s="273"/>
      <c r="Q83" s="290"/>
      <c r="R83" s="287"/>
      <c r="S83" s="290"/>
      <c r="T83" s="264"/>
      <c r="U83" s="273"/>
      <c r="V83" s="273"/>
      <c r="W83" s="290"/>
      <c r="X83" s="264"/>
      <c r="Y83" s="142"/>
      <c r="Z83" s="273"/>
      <c r="AA83" s="273"/>
      <c r="AB83" s="273"/>
      <c r="AC83" s="273"/>
      <c r="AD83" s="273"/>
      <c r="AE83" s="273"/>
      <c r="AF83" s="287">
        <f>SUM(Z83:AE83)</f>
        <v>0</v>
      </c>
      <c r="AG83" s="283">
        <f t="shared" si="172"/>
        <v>46.18</v>
      </c>
      <c r="AH83" s="228">
        <f t="shared" si="190"/>
        <v>117437.58719999999</v>
      </c>
      <c r="AI83" s="228">
        <f t="shared" si="190"/>
        <v>117437.58719999999</v>
      </c>
      <c r="AJ83" s="228">
        <f t="shared" si="190"/>
        <v>0</v>
      </c>
      <c r="AK83" s="261">
        <f t="shared" si="177"/>
        <v>234875.17439999999</v>
      </c>
      <c r="AL83" s="228">
        <f t="shared" si="191"/>
        <v>0</v>
      </c>
      <c r="AM83" s="228">
        <f t="shared" si="191"/>
        <v>0</v>
      </c>
      <c r="AN83" s="228">
        <f t="shared" si="191"/>
        <v>0</v>
      </c>
      <c r="AO83" s="261"/>
      <c r="AP83" s="228">
        <f t="shared" si="192"/>
        <v>0</v>
      </c>
      <c r="AQ83" s="228">
        <f t="shared" si="192"/>
        <v>0</v>
      </c>
      <c r="AR83" s="228">
        <f t="shared" si="192"/>
        <v>0</v>
      </c>
      <c r="AS83" s="228">
        <f t="shared" si="192"/>
        <v>0</v>
      </c>
      <c r="AT83" s="228">
        <f t="shared" si="192"/>
        <v>0</v>
      </c>
      <c r="AU83" s="228">
        <f t="shared" si="192"/>
        <v>0</v>
      </c>
      <c r="AV83" s="261"/>
      <c r="AW83" s="228">
        <f t="shared" si="193"/>
        <v>0</v>
      </c>
      <c r="AX83" s="228">
        <f t="shared" si="193"/>
        <v>0</v>
      </c>
      <c r="AY83" s="228">
        <f t="shared" si="193"/>
        <v>0</v>
      </c>
      <c r="AZ83" s="228">
        <f t="shared" si="193"/>
        <v>0</v>
      </c>
      <c r="BA83" s="228">
        <f t="shared" si="193"/>
        <v>0</v>
      </c>
      <c r="BB83" s="228">
        <f t="shared" si="193"/>
        <v>0</v>
      </c>
      <c r="BC83" s="261">
        <f t="shared" si="128"/>
        <v>0</v>
      </c>
      <c r="BD83" s="239">
        <f t="shared" si="173"/>
        <v>234875.17439999999</v>
      </c>
      <c r="BE83" s="244"/>
    </row>
    <row r="84" spans="1:202" s="83" customFormat="1" ht="12.75">
      <c r="A84" s="193" t="s">
        <v>101</v>
      </c>
      <c r="B84" s="182" t="s">
        <v>122</v>
      </c>
      <c r="C84" s="221" t="s">
        <v>216</v>
      </c>
      <c r="D84" s="73" t="s">
        <v>123</v>
      </c>
      <c r="E84" s="142"/>
      <c r="F84" s="142"/>
      <c r="G84" s="177"/>
      <c r="H84" s="142"/>
      <c r="I84" s="142"/>
      <c r="J84" s="210"/>
      <c r="K84" s="251">
        <f>SUM(K85)</f>
        <v>82.76</v>
      </c>
      <c r="L84" s="251">
        <f>SUM(L85)</f>
        <v>82.76</v>
      </c>
      <c r="M84" s="251">
        <f>SUM(M85)</f>
        <v>0</v>
      </c>
      <c r="N84" s="284">
        <f t="shared" si="174"/>
        <v>165.52</v>
      </c>
      <c r="O84" s="272">
        <f>SUM(O85)</f>
        <v>0</v>
      </c>
      <c r="P84" s="272">
        <f>SUM(P85)</f>
        <v>0</v>
      </c>
      <c r="Q84" s="272">
        <f>SUM(Q85)</f>
        <v>0</v>
      </c>
      <c r="R84" s="284">
        <f>O84+P84+Q84</f>
        <v>0</v>
      </c>
      <c r="S84" s="289">
        <f t="shared" ref="S84:X84" si="194">S85</f>
        <v>0</v>
      </c>
      <c r="T84" s="289">
        <f t="shared" si="194"/>
        <v>0</v>
      </c>
      <c r="U84" s="289">
        <f t="shared" si="194"/>
        <v>0</v>
      </c>
      <c r="V84" s="289">
        <f t="shared" si="194"/>
        <v>0</v>
      </c>
      <c r="W84" s="289">
        <f t="shared" si="194"/>
        <v>0</v>
      </c>
      <c r="X84" s="289">
        <f t="shared" si="194"/>
        <v>0</v>
      </c>
      <c r="Y84" s="262">
        <f>SUM(S84:X84)</f>
        <v>0</v>
      </c>
      <c r="Z84" s="272">
        <f t="shared" ref="Z84:AE84" si="195">Z85</f>
        <v>0</v>
      </c>
      <c r="AA84" s="272">
        <f t="shared" si="195"/>
        <v>0</v>
      </c>
      <c r="AB84" s="272">
        <f t="shared" si="195"/>
        <v>0</v>
      </c>
      <c r="AC84" s="272">
        <f t="shared" si="195"/>
        <v>0</v>
      </c>
      <c r="AD84" s="272">
        <f t="shared" si="195"/>
        <v>0</v>
      </c>
      <c r="AE84" s="272">
        <f t="shared" si="195"/>
        <v>0</v>
      </c>
      <c r="AF84" s="284">
        <f>SUM(AF85:AF85)</f>
        <v>0</v>
      </c>
      <c r="AG84" s="282">
        <f t="shared" si="172"/>
        <v>165.52</v>
      </c>
      <c r="AH84" s="227">
        <f>AH85</f>
        <v>35309.554000000011</v>
      </c>
      <c r="AI84" s="227">
        <f>AI85</f>
        <v>35309.554000000011</v>
      </c>
      <c r="AJ84" s="227">
        <f>AJ85</f>
        <v>0</v>
      </c>
      <c r="AK84" s="260">
        <f t="shared" si="177"/>
        <v>70619.108000000022</v>
      </c>
      <c r="AL84" s="227">
        <f>AL85</f>
        <v>0</v>
      </c>
      <c r="AM84" s="227">
        <f>AM85</f>
        <v>0</v>
      </c>
      <c r="AN84" s="227">
        <f>AN85</f>
        <v>0</v>
      </c>
      <c r="AO84" s="260">
        <f>SUM(AL84:AN84)</f>
        <v>0</v>
      </c>
      <c r="AP84" s="227">
        <f t="shared" ref="AP84:AU84" si="196">AP85</f>
        <v>0</v>
      </c>
      <c r="AQ84" s="227">
        <f t="shared" si="196"/>
        <v>0</v>
      </c>
      <c r="AR84" s="227">
        <f t="shared" si="196"/>
        <v>0</v>
      </c>
      <c r="AS84" s="227">
        <f t="shared" si="196"/>
        <v>0</v>
      </c>
      <c r="AT84" s="227">
        <f t="shared" si="196"/>
        <v>0</v>
      </c>
      <c r="AU84" s="227">
        <f t="shared" si="196"/>
        <v>0</v>
      </c>
      <c r="AV84" s="260">
        <f>SUM(AP84:AU84)</f>
        <v>0</v>
      </c>
      <c r="AW84" s="227">
        <f t="shared" ref="AW84:BB84" si="197">AW85</f>
        <v>0</v>
      </c>
      <c r="AX84" s="227">
        <f t="shared" si="197"/>
        <v>0</v>
      </c>
      <c r="AY84" s="227">
        <f t="shared" si="197"/>
        <v>0</v>
      </c>
      <c r="AZ84" s="227">
        <f t="shared" si="197"/>
        <v>0</v>
      </c>
      <c r="BA84" s="227">
        <f t="shared" si="197"/>
        <v>0</v>
      </c>
      <c r="BB84" s="227">
        <f t="shared" si="197"/>
        <v>0</v>
      </c>
      <c r="BC84" s="260">
        <f t="shared" si="128"/>
        <v>0</v>
      </c>
      <c r="BD84" s="238">
        <f t="shared" si="173"/>
        <v>70619.108000000022</v>
      </c>
      <c r="BE84" s="13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  <c r="CO84" s="244"/>
      <c r="CP84" s="244"/>
      <c r="CQ84" s="244"/>
      <c r="CR84" s="244"/>
      <c r="CS84" s="244"/>
      <c r="CT84" s="244"/>
      <c r="CU84" s="244"/>
      <c r="CV84" s="244"/>
      <c r="CW84" s="244"/>
      <c r="CX84" s="244"/>
      <c r="CY84" s="244"/>
      <c r="CZ84" s="244"/>
      <c r="DA84" s="244"/>
      <c r="DB84" s="244"/>
      <c r="DC84" s="244"/>
      <c r="DD84" s="244"/>
      <c r="DE84" s="244"/>
      <c r="DF84" s="244"/>
      <c r="DG84" s="244"/>
      <c r="DH84" s="244"/>
      <c r="DI84" s="244"/>
      <c r="DJ84" s="244"/>
      <c r="DK84" s="244"/>
      <c r="DL84" s="244"/>
      <c r="DM84" s="244"/>
      <c r="DN84" s="244"/>
      <c r="DO84" s="244"/>
      <c r="DP84" s="244"/>
      <c r="DQ84" s="244"/>
      <c r="DR84" s="244"/>
      <c r="DS84" s="244"/>
      <c r="DT84" s="244"/>
      <c r="DU84" s="244"/>
      <c r="DV84" s="244"/>
      <c r="DW84" s="244"/>
      <c r="DX84" s="244"/>
      <c r="DY84" s="244"/>
      <c r="DZ84" s="244"/>
      <c r="EA84" s="244"/>
      <c r="EB84" s="244"/>
      <c r="EC84" s="244"/>
      <c r="ED84" s="244"/>
      <c r="EE84" s="244"/>
      <c r="EF84" s="244"/>
      <c r="EG84" s="244"/>
      <c r="EH84" s="244"/>
      <c r="EI84" s="244"/>
      <c r="EJ84" s="244"/>
      <c r="EK84" s="244"/>
      <c r="EL84" s="244"/>
      <c r="EM84" s="244"/>
      <c r="EN84" s="244"/>
      <c r="EO84" s="244"/>
      <c r="EP84" s="244"/>
      <c r="EQ84" s="244"/>
      <c r="ER84" s="244"/>
      <c r="ES84" s="244"/>
      <c r="ET84" s="244"/>
      <c r="EU84" s="244"/>
      <c r="EV84" s="244"/>
      <c r="EW84" s="244"/>
      <c r="EX84" s="244"/>
      <c r="EY84" s="244"/>
      <c r="EZ84" s="244"/>
      <c r="FA84" s="244"/>
      <c r="FB84" s="244"/>
      <c r="FC84" s="244"/>
      <c r="FD84" s="244"/>
      <c r="FE84" s="244"/>
      <c r="FF84" s="244"/>
      <c r="FG84" s="244"/>
      <c r="FH84" s="244"/>
      <c r="FI84" s="244"/>
      <c r="FJ84" s="244"/>
      <c r="FK84" s="244"/>
      <c r="FL84" s="244"/>
      <c r="FM84" s="244"/>
      <c r="FN84" s="244"/>
      <c r="FO84" s="244"/>
      <c r="FP84" s="244"/>
      <c r="FQ84" s="244"/>
      <c r="FR84" s="244"/>
      <c r="FS84" s="244"/>
      <c r="FT84" s="244"/>
      <c r="FU84" s="244"/>
      <c r="FV84" s="244"/>
      <c r="FW84" s="244"/>
      <c r="FX84" s="244"/>
      <c r="FY84" s="244"/>
      <c r="FZ84" s="244"/>
      <c r="GA84" s="244"/>
      <c r="GB84" s="244"/>
      <c r="GC84" s="244"/>
      <c r="GD84" s="244"/>
      <c r="GE84" s="244"/>
      <c r="GF84" s="244"/>
      <c r="GG84" s="244"/>
      <c r="GH84" s="244"/>
      <c r="GI84" s="244"/>
      <c r="GJ84" s="244"/>
      <c r="GK84" s="244"/>
      <c r="GL84" s="244"/>
      <c r="GM84" s="244"/>
      <c r="GN84" s="244"/>
      <c r="GO84" s="244"/>
      <c r="GP84" s="244"/>
      <c r="GQ84" s="244"/>
      <c r="GR84" s="244"/>
      <c r="GS84" s="244"/>
      <c r="GT84" s="244"/>
    </row>
    <row r="85" spans="1:202" ht="12.75">
      <c r="A85" s="189"/>
      <c r="B85" s="145"/>
      <c r="C85" s="216" t="s">
        <v>122</v>
      </c>
      <c r="D85" s="146"/>
      <c r="E85" s="147">
        <v>2322.65</v>
      </c>
      <c r="F85" s="209">
        <v>1896</v>
      </c>
      <c r="G85" s="177">
        <f t="shared" si="180"/>
        <v>426.65000000000009</v>
      </c>
      <c r="H85" s="147">
        <v>2322.65</v>
      </c>
      <c r="I85" s="82">
        <v>1896</v>
      </c>
      <c r="J85" s="210">
        <f>H85-I85</f>
        <v>426.65000000000009</v>
      </c>
      <c r="K85" s="252">
        <v>82.76</v>
      </c>
      <c r="L85" s="252">
        <v>82.76</v>
      </c>
      <c r="M85" s="252"/>
      <c r="N85" s="287">
        <f t="shared" si="174"/>
        <v>165.52</v>
      </c>
      <c r="O85" s="273"/>
      <c r="P85" s="273"/>
      <c r="Q85" s="290"/>
      <c r="R85" s="287"/>
      <c r="S85" s="290"/>
      <c r="T85" s="264"/>
      <c r="U85" s="273"/>
      <c r="V85" s="273"/>
      <c r="W85" s="290"/>
      <c r="X85" s="264"/>
      <c r="Y85" s="142"/>
      <c r="Z85" s="273"/>
      <c r="AA85" s="273"/>
      <c r="AB85" s="273"/>
      <c r="AC85" s="273"/>
      <c r="AD85" s="273"/>
      <c r="AE85" s="273"/>
      <c r="AF85" s="287">
        <f t="shared" ref="AF85:AF90" si="198">SUM(Z85:AE85)</f>
        <v>0</v>
      </c>
      <c r="AG85" s="283">
        <f t="shared" si="172"/>
        <v>165.52</v>
      </c>
      <c r="AH85" s="228">
        <f t="shared" ref="AH85:AJ86" si="199">K85*$G85</f>
        <v>35309.554000000011</v>
      </c>
      <c r="AI85" s="228">
        <f t="shared" si="199"/>
        <v>35309.554000000011</v>
      </c>
      <c r="AJ85" s="228">
        <f t="shared" si="199"/>
        <v>0</v>
      </c>
      <c r="AK85" s="261">
        <f t="shared" si="177"/>
        <v>70619.108000000022</v>
      </c>
      <c r="AL85" s="228">
        <f t="shared" ref="AL85:AN86" si="200">O85*$G85</f>
        <v>0</v>
      </c>
      <c r="AM85" s="228">
        <f t="shared" si="200"/>
        <v>0</v>
      </c>
      <c r="AN85" s="228">
        <f t="shared" si="200"/>
        <v>0</v>
      </c>
      <c r="AO85" s="261"/>
      <c r="AP85" s="228">
        <f t="shared" ref="AP85:AU86" si="201">S85*$J85</f>
        <v>0</v>
      </c>
      <c r="AQ85" s="228">
        <f t="shared" si="201"/>
        <v>0</v>
      </c>
      <c r="AR85" s="228">
        <f t="shared" si="201"/>
        <v>0</v>
      </c>
      <c r="AS85" s="228">
        <f t="shared" si="201"/>
        <v>0</v>
      </c>
      <c r="AT85" s="228">
        <f t="shared" si="201"/>
        <v>0</v>
      </c>
      <c r="AU85" s="228">
        <f t="shared" si="201"/>
        <v>0</v>
      </c>
      <c r="AV85" s="261"/>
      <c r="AW85" s="228">
        <f t="shared" ref="AW85:BB86" si="202">Z85*$J85</f>
        <v>0</v>
      </c>
      <c r="AX85" s="228">
        <f t="shared" si="202"/>
        <v>0</v>
      </c>
      <c r="AY85" s="228">
        <f t="shared" si="202"/>
        <v>0</v>
      </c>
      <c r="AZ85" s="228">
        <f t="shared" si="202"/>
        <v>0</v>
      </c>
      <c r="BA85" s="228">
        <f t="shared" si="202"/>
        <v>0</v>
      </c>
      <c r="BB85" s="228">
        <f t="shared" si="202"/>
        <v>0</v>
      </c>
      <c r="BC85" s="261">
        <f t="shared" si="128"/>
        <v>0</v>
      </c>
      <c r="BD85" s="239">
        <f t="shared" si="173"/>
        <v>70619.108000000022</v>
      </c>
      <c r="BE85" s="244"/>
    </row>
    <row r="86" spans="1:202" s="79" customFormat="1" ht="11.25" customHeight="1">
      <c r="A86" s="193" t="s">
        <v>101</v>
      </c>
      <c r="B86" s="182" t="s">
        <v>124</v>
      </c>
      <c r="C86" s="221" t="s">
        <v>216</v>
      </c>
      <c r="D86" s="73" t="s">
        <v>125</v>
      </c>
      <c r="E86" s="82"/>
      <c r="F86" s="86"/>
      <c r="G86" s="177">
        <f t="shared" ref="G86:G100" si="203">E86-F86</f>
        <v>0</v>
      </c>
      <c r="H86" s="82"/>
      <c r="I86" s="82"/>
      <c r="J86" s="210">
        <f t="shared" si="189"/>
        <v>0</v>
      </c>
      <c r="K86" s="254"/>
      <c r="L86" s="254"/>
      <c r="M86" s="254"/>
      <c r="N86" s="284">
        <f>K86+L86+M86</f>
        <v>0</v>
      </c>
      <c r="O86" s="275"/>
      <c r="P86" s="275"/>
      <c r="Q86" s="293"/>
      <c r="R86" s="284">
        <f>O86+P86+Q86</f>
        <v>0</v>
      </c>
      <c r="S86" s="293"/>
      <c r="T86" s="266"/>
      <c r="U86" s="275"/>
      <c r="V86" s="275"/>
      <c r="W86" s="293"/>
      <c r="X86" s="263"/>
      <c r="Y86" s="262">
        <f>SUM(S86:X86)</f>
        <v>0</v>
      </c>
      <c r="Z86" s="275"/>
      <c r="AA86" s="275"/>
      <c r="AB86" s="275"/>
      <c r="AC86" s="275"/>
      <c r="AD86" s="275"/>
      <c r="AE86" s="275"/>
      <c r="AF86" s="284">
        <f t="shared" si="198"/>
        <v>0</v>
      </c>
      <c r="AG86" s="282">
        <f t="shared" si="172"/>
        <v>0</v>
      </c>
      <c r="AH86" s="232">
        <f t="shared" si="199"/>
        <v>0</v>
      </c>
      <c r="AI86" s="232">
        <f t="shared" si="199"/>
        <v>0</v>
      </c>
      <c r="AJ86" s="232">
        <f t="shared" si="199"/>
        <v>0</v>
      </c>
      <c r="AK86" s="260">
        <f t="shared" si="177"/>
        <v>0</v>
      </c>
      <c r="AL86" s="232">
        <f t="shared" si="200"/>
        <v>0</v>
      </c>
      <c r="AM86" s="232">
        <f t="shared" si="200"/>
        <v>0</v>
      </c>
      <c r="AN86" s="232">
        <f t="shared" si="200"/>
        <v>0</v>
      </c>
      <c r="AO86" s="260">
        <f>SUM(AL86:AN86)</f>
        <v>0</v>
      </c>
      <c r="AP86" s="232">
        <f t="shared" si="201"/>
        <v>0</v>
      </c>
      <c r="AQ86" s="232">
        <f t="shared" si="201"/>
        <v>0</v>
      </c>
      <c r="AR86" s="232">
        <f t="shared" si="201"/>
        <v>0</v>
      </c>
      <c r="AS86" s="232">
        <f t="shared" si="201"/>
        <v>0</v>
      </c>
      <c r="AT86" s="232">
        <f t="shared" si="201"/>
        <v>0</v>
      </c>
      <c r="AU86" s="232">
        <f t="shared" si="201"/>
        <v>0</v>
      </c>
      <c r="AV86" s="260">
        <f>SUM(AP86:AU86)</f>
        <v>0</v>
      </c>
      <c r="AW86" s="232">
        <f t="shared" si="202"/>
        <v>0</v>
      </c>
      <c r="AX86" s="232">
        <f t="shared" si="202"/>
        <v>0</v>
      </c>
      <c r="AY86" s="232">
        <f t="shared" si="202"/>
        <v>0</v>
      </c>
      <c r="AZ86" s="232">
        <f t="shared" si="202"/>
        <v>0</v>
      </c>
      <c r="BA86" s="232">
        <f t="shared" si="202"/>
        <v>0</v>
      </c>
      <c r="BB86" s="232">
        <f t="shared" si="202"/>
        <v>0</v>
      </c>
      <c r="BC86" s="260">
        <f t="shared" si="128"/>
        <v>0</v>
      </c>
      <c r="BD86" s="238">
        <f t="shared" si="173"/>
        <v>0</v>
      </c>
      <c r="BE86" s="13"/>
      <c r="BF86" s="243"/>
      <c r="BG86" s="243"/>
      <c r="BH86" s="243"/>
      <c r="BI86" s="243"/>
      <c r="BJ86" s="243"/>
      <c r="BK86" s="243"/>
      <c r="BL86" s="243"/>
      <c r="BM86" s="243"/>
      <c r="BN86" s="243"/>
      <c r="BO86" s="243"/>
      <c r="BP86" s="243"/>
      <c r="BQ86" s="243"/>
      <c r="BR86" s="243"/>
      <c r="BS86" s="243"/>
      <c r="BT86" s="243"/>
      <c r="BU86" s="243"/>
      <c r="BV86" s="243"/>
      <c r="BW86" s="243"/>
      <c r="BX86" s="243"/>
      <c r="BY86" s="243"/>
      <c r="BZ86" s="243"/>
      <c r="CA86" s="243"/>
      <c r="CB86" s="243"/>
      <c r="CC86" s="243"/>
      <c r="CD86" s="243"/>
      <c r="CE86" s="243"/>
      <c r="CF86" s="243"/>
      <c r="CG86" s="243"/>
      <c r="CH86" s="243"/>
      <c r="CI86" s="243"/>
      <c r="CJ86" s="243"/>
      <c r="CK86" s="243"/>
      <c r="CL86" s="243"/>
      <c r="CM86" s="243"/>
      <c r="CN86" s="243"/>
      <c r="CO86" s="243"/>
      <c r="CP86" s="243"/>
      <c r="CQ86" s="243"/>
      <c r="CR86" s="243"/>
      <c r="CS86" s="243"/>
      <c r="CT86" s="243"/>
      <c r="CU86" s="243"/>
      <c r="CV86" s="243"/>
      <c r="CW86" s="243"/>
      <c r="CX86" s="243"/>
      <c r="CY86" s="243"/>
      <c r="CZ86" s="243"/>
      <c r="DA86" s="243"/>
      <c r="DB86" s="243"/>
      <c r="DC86" s="243"/>
      <c r="DD86" s="243"/>
      <c r="DE86" s="243"/>
      <c r="DF86" s="243"/>
      <c r="DG86" s="243"/>
      <c r="DH86" s="243"/>
      <c r="DI86" s="243"/>
      <c r="DJ86" s="243"/>
      <c r="DK86" s="243"/>
      <c r="DL86" s="243"/>
      <c r="DM86" s="243"/>
      <c r="DN86" s="243"/>
      <c r="DO86" s="243"/>
      <c r="DP86" s="243"/>
      <c r="DQ86" s="243"/>
      <c r="DR86" s="243"/>
      <c r="DS86" s="243"/>
      <c r="DT86" s="243"/>
      <c r="DU86" s="243"/>
      <c r="DV86" s="243"/>
      <c r="DW86" s="243"/>
      <c r="DX86" s="243"/>
      <c r="DY86" s="243"/>
      <c r="DZ86" s="243"/>
      <c r="EA86" s="243"/>
      <c r="EB86" s="243"/>
      <c r="EC86" s="243"/>
      <c r="ED86" s="243"/>
      <c r="EE86" s="243"/>
      <c r="EF86" s="243"/>
      <c r="EG86" s="243"/>
      <c r="EH86" s="243"/>
      <c r="EI86" s="243"/>
      <c r="EJ86" s="243"/>
      <c r="EK86" s="243"/>
      <c r="EL86" s="243"/>
      <c r="EM86" s="243"/>
      <c r="EN86" s="243"/>
      <c r="EO86" s="243"/>
      <c r="EP86" s="243"/>
      <c r="EQ86" s="243"/>
      <c r="ER86" s="243"/>
      <c r="ES86" s="243"/>
      <c r="ET86" s="243"/>
      <c r="EU86" s="243"/>
      <c r="EV86" s="243"/>
      <c r="EW86" s="243"/>
      <c r="EX86" s="243"/>
      <c r="EY86" s="243"/>
      <c r="EZ86" s="243"/>
      <c r="FA86" s="243"/>
      <c r="FB86" s="243"/>
      <c r="FC86" s="243"/>
      <c r="FD86" s="243"/>
      <c r="FE86" s="243"/>
      <c r="FF86" s="243"/>
      <c r="FG86" s="243"/>
      <c r="FH86" s="243"/>
      <c r="FI86" s="243"/>
      <c r="FJ86" s="243"/>
      <c r="FK86" s="243"/>
      <c r="FL86" s="243"/>
      <c r="FM86" s="243"/>
      <c r="FN86" s="243"/>
      <c r="FO86" s="243"/>
      <c r="FP86" s="243"/>
      <c r="FQ86" s="243"/>
      <c r="FR86" s="243"/>
      <c r="FS86" s="243"/>
      <c r="FT86" s="243"/>
      <c r="FU86" s="243"/>
      <c r="FV86" s="243"/>
      <c r="FW86" s="243"/>
      <c r="FX86" s="243"/>
      <c r="FY86" s="243"/>
      <c r="FZ86" s="243"/>
      <c r="GA86" s="243"/>
      <c r="GB86" s="243"/>
      <c r="GC86" s="243"/>
      <c r="GD86" s="243"/>
      <c r="GE86" s="243"/>
      <c r="GF86" s="243"/>
      <c r="GG86" s="243"/>
      <c r="GH86" s="243"/>
      <c r="GI86" s="243"/>
      <c r="GJ86" s="243"/>
      <c r="GK86" s="243"/>
      <c r="GL86" s="243"/>
      <c r="GM86" s="243"/>
      <c r="GN86" s="243"/>
      <c r="GO86" s="243"/>
      <c r="GP86" s="243"/>
      <c r="GQ86" s="243"/>
      <c r="GR86" s="243"/>
      <c r="GS86" s="243"/>
      <c r="GT86" s="243"/>
    </row>
    <row r="87" spans="1:202" s="79" customFormat="1" ht="21" customHeight="1">
      <c r="A87" s="193" t="s">
        <v>101</v>
      </c>
      <c r="B87" s="182" t="s">
        <v>126</v>
      </c>
      <c r="C87" s="221"/>
      <c r="D87" s="73">
        <v>2918002171</v>
      </c>
      <c r="E87" s="82"/>
      <c r="F87" s="304"/>
      <c r="G87" s="177"/>
      <c r="H87" s="82"/>
      <c r="I87" s="82"/>
      <c r="J87" s="210"/>
      <c r="K87" s="254">
        <f>K88</f>
        <v>234.023</v>
      </c>
      <c r="L87" s="254">
        <f>L88</f>
        <v>233.68</v>
      </c>
      <c r="M87" s="254">
        <f>M88</f>
        <v>0</v>
      </c>
      <c r="N87" s="284">
        <f>K87+L87+M87</f>
        <v>467.70299999999997</v>
      </c>
      <c r="O87" s="275">
        <f>O88</f>
        <v>0</v>
      </c>
      <c r="P87" s="275">
        <f>P88</f>
        <v>0</v>
      </c>
      <c r="Q87" s="275">
        <f>Q88</f>
        <v>0</v>
      </c>
      <c r="R87" s="284">
        <f>O87+P87+Q87</f>
        <v>0</v>
      </c>
      <c r="S87" s="293">
        <f t="shared" ref="S87:X87" si="204">S88</f>
        <v>0</v>
      </c>
      <c r="T87" s="293">
        <f t="shared" si="204"/>
        <v>0</v>
      </c>
      <c r="U87" s="293">
        <f t="shared" si="204"/>
        <v>0</v>
      </c>
      <c r="V87" s="293">
        <f t="shared" si="204"/>
        <v>0</v>
      </c>
      <c r="W87" s="293">
        <f t="shared" si="204"/>
        <v>0</v>
      </c>
      <c r="X87" s="293">
        <f t="shared" si="204"/>
        <v>0</v>
      </c>
      <c r="Y87" s="262">
        <f>SUM(S87:X87)</f>
        <v>0</v>
      </c>
      <c r="Z87" s="275">
        <f t="shared" ref="Z87:AE87" si="205">Z88</f>
        <v>0</v>
      </c>
      <c r="AA87" s="275">
        <f t="shared" si="205"/>
        <v>0</v>
      </c>
      <c r="AB87" s="275">
        <f t="shared" si="205"/>
        <v>0</v>
      </c>
      <c r="AC87" s="275">
        <f t="shared" si="205"/>
        <v>0</v>
      </c>
      <c r="AD87" s="275">
        <f t="shared" si="205"/>
        <v>0</v>
      </c>
      <c r="AE87" s="275">
        <f t="shared" si="205"/>
        <v>0</v>
      </c>
      <c r="AF87" s="284">
        <f t="shared" si="198"/>
        <v>0</v>
      </c>
      <c r="AG87" s="282">
        <f t="shared" si="172"/>
        <v>467.70299999999997</v>
      </c>
      <c r="AH87" s="232">
        <f>AH88</f>
        <v>1187020.82152</v>
      </c>
      <c r="AI87" s="232">
        <f>AI88</f>
        <v>1185281.0432</v>
      </c>
      <c r="AJ87" s="232">
        <f>AJ88</f>
        <v>0</v>
      </c>
      <c r="AK87" s="260">
        <f t="shared" si="177"/>
        <v>2372301.86472</v>
      </c>
      <c r="AL87" s="232">
        <f>AL88</f>
        <v>0</v>
      </c>
      <c r="AM87" s="232">
        <f>AM88</f>
        <v>0</v>
      </c>
      <c r="AN87" s="232">
        <f>AN88</f>
        <v>0</v>
      </c>
      <c r="AO87" s="260">
        <f>SUM(AL87:AN87)</f>
        <v>0</v>
      </c>
      <c r="AP87" s="232">
        <f t="shared" ref="AP87:AU87" si="206">AP88</f>
        <v>0</v>
      </c>
      <c r="AQ87" s="232">
        <f t="shared" si="206"/>
        <v>0</v>
      </c>
      <c r="AR87" s="232">
        <f t="shared" si="206"/>
        <v>0</v>
      </c>
      <c r="AS87" s="232">
        <f t="shared" si="206"/>
        <v>0</v>
      </c>
      <c r="AT87" s="232">
        <f t="shared" si="206"/>
        <v>0</v>
      </c>
      <c r="AU87" s="232">
        <f t="shared" si="206"/>
        <v>0</v>
      </c>
      <c r="AV87" s="260">
        <f>SUM(AP87:AU87)</f>
        <v>0</v>
      </c>
      <c r="AW87" s="232">
        <f t="shared" ref="AW87:BB87" si="207">AW88</f>
        <v>0</v>
      </c>
      <c r="AX87" s="232">
        <f t="shared" si="207"/>
        <v>0</v>
      </c>
      <c r="AY87" s="232">
        <f t="shared" si="207"/>
        <v>0</v>
      </c>
      <c r="AZ87" s="232">
        <f t="shared" si="207"/>
        <v>0</v>
      </c>
      <c r="BA87" s="232">
        <f t="shared" si="207"/>
        <v>0</v>
      </c>
      <c r="BB87" s="232">
        <f t="shared" si="207"/>
        <v>0</v>
      </c>
      <c r="BC87" s="260">
        <f t="shared" si="128"/>
        <v>0</v>
      </c>
      <c r="BD87" s="238">
        <f t="shared" si="173"/>
        <v>2372301.86472</v>
      </c>
      <c r="BE87" s="1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243"/>
      <c r="CI87" s="243"/>
      <c r="CJ87" s="243"/>
      <c r="CK87" s="243"/>
      <c r="CL87" s="243"/>
      <c r="CM87" s="243"/>
      <c r="CN87" s="243"/>
      <c r="CO87" s="243"/>
      <c r="CP87" s="243"/>
      <c r="CQ87" s="243"/>
      <c r="CR87" s="243"/>
      <c r="CS87" s="243"/>
      <c r="CT87" s="243"/>
      <c r="CU87" s="243"/>
      <c r="CV87" s="243"/>
      <c r="CW87" s="243"/>
      <c r="CX87" s="243"/>
      <c r="CY87" s="243"/>
      <c r="CZ87" s="243"/>
      <c r="DA87" s="243"/>
      <c r="DB87" s="243"/>
      <c r="DC87" s="243"/>
      <c r="DD87" s="243"/>
      <c r="DE87" s="243"/>
      <c r="DF87" s="243"/>
      <c r="DG87" s="243"/>
      <c r="DH87" s="243"/>
      <c r="DI87" s="243"/>
      <c r="DJ87" s="243"/>
      <c r="DK87" s="243"/>
      <c r="DL87" s="243"/>
      <c r="DM87" s="243"/>
      <c r="DN87" s="243"/>
      <c r="DO87" s="243"/>
      <c r="DP87" s="243"/>
      <c r="DQ87" s="243"/>
      <c r="DR87" s="243"/>
      <c r="DS87" s="243"/>
      <c r="DT87" s="243"/>
      <c r="DU87" s="243"/>
      <c r="DV87" s="243"/>
      <c r="DW87" s="243"/>
      <c r="DX87" s="243"/>
      <c r="DY87" s="243"/>
      <c r="DZ87" s="243"/>
      <c r="EA87" s="243"/>
      <c r="EB87" s="243"/>
      <c r="EC87" s="243"/>
      <c r="ED87" s="243"/>
      <c r="EE87" s="243"/>
      <c r="EF87" s="243"/>
      <c r="EG87" s="243"/>
      <c r="EH87" s="243"/>
      <c r="EI87" s="243"/>
      <c r="EJ87" s="243"/>
      <c r="EK87" s="243"/>
      <c r="EL87" s="243"/>
      <c r="EM87" s="243"/>
      <c r="EN87" s="243"/>
      <c r="EO87" s="243"/>
      <c r="EP87" s="243"/>
      <c r="EQ87" s="243"/>
      <c r="ER87" s="243"/>
      <c r="ES87" s="243"/>
      <c r="ET87" s="243"/>
      <c r="EU87" s="243"/>
      <c r="EV87" s="243"/>
      <c r="EW87" s="243"/>
      <c r="EX87" s="243"/>
      <c r="EY87" s="243"/>
      <c r="EZ87" s="243"/>
      <c r="FA87" s="243"/>
      <c r="FB87" s="243"/>
      <c r="FC87" s="243"/>
      <c r="FD87" s="243"/>
      <c r="FE87" s="243"/>
      <c r="FF87" s="243"/>
      <c r="FG87" s="243"/>
      <c r="FH87" s="243"/>
      <c r="FI87" s="243"/>
      <c r="FJ87" s="243"/>
      <c r="FK87" s="243"/>
      <c r="FL87" s="243"/>
      <c r="FM87" s="243"/>
      <c r="FN87" s="243"/>
      <c r="FO87" s="243"/>
      <c r="FP87" s="243"/>
      <c r="FQ87" s="243"/>
      <c r="FR87" s="243"/>
      <c r="FS87" s="243"/>
      <c r="FT87" s="243"/>
      <c r="FU87" s="243"/>
      <c r="FV87" s="243"/>
      <c r="FW87" s="243"/>
      <c r="FX87" s="243"/>
      <c r="FY87" s="243"/>
      <c r="FZ87" s="243"/>
      <c r="GA87" s="243"/>
      <c r="GB87" s="243"/>
      <c r="GC87" s="243"/>
      <c r="GD87" s="243"/>
      <c r="GE87" s="243"/>
      <c r="GF87" s="243"/>
      <c r="GG87" s="243"/>
      <c r="GH87" s="243"/>
      <c r="GI87" s="243"/>
      <c r="GJ87" s="243"/>
      <c r="GK87" s="243"/>
      <c r="GL87" s="243"/>
      <c r="GM87" s="243"/>
      <c r="GN87" s="243"/>
      <c r="GO87" s="243"/>
      <c r="GP87" s="243"/>
      <c r="GQ87" s="243"/>
      <c r="GR87" s="243"/>
      <c r="GS87" s="243"/>
      <c r="GT87" s="243"/>
    </row>
    <row r="88" spans="1:202" ht="20.25">
      <c r="A88" s="189"/>
      <c r="B88" s="145"/>
      <c r="C88" s="216" t="s">
        <v>397</v>
      </c>
      <c r="D88" s="73"/>
      <c r="E88" s="211">
        <v>6691.94</v>
      </c>
      <c r="F88" s="211">
        <v>1619.7</v>
      </c>
      <c r="G88" s="177">
        <f t="shared" si="203"/>
        <v>5072.24</v>
      </c>
      <c r="H88" s="211">
        <v>6691.94</v>
      </c>
      <c r="I88" s="211">
        <v>1619.7</v>
      </c>
      <c r="J88" s="210">
        <f>H88-I88</f>
        <v>5072.24</v>
      </c>
      <c r="K88" s="252">
        <v>234.023</v>
      </c>
      <c r="L88" s="252">
        <v>233.68</v>
      </c>
      <c r="M88" s="252"/>
      <c r="N88" s="287">
        <f>K88+L88+M88</f>
        <v>467.70299999999997</v>
      </c>
      <c r="O88" s="273"/>
      <c r="P88" s="273"/>
      <c r="Q88" s="290"/>
      <c r="R88" s="287"/>
      <c r="S88" s="290"/>
      <c r="T88" s="264"/>
      <c r="U88" s="273"/>
      <c r="V88" s="273"/>
      <c r="W88" s="290"/>
      <c r="X88" s="264"/>
      <c r="Y88" s="142"/>
      <c r="Z88" s="273"/>
      <c r="AA88" s="273"/>
      <c r="AB88" s="273"/>
      <c r="AC88" s="273"/>
      <c r="AD88" s="273"/>
      <c r="AE88" s="273"/>
      <c r="AF88" s="287">
        <f t="shared" si="198"/>
        <v>0</v>
      </c>
      <c r="AG88" s="283">
        <f t="shared" si="172"/>
        <v>467.70299999999997</v>
      </c>
      <c r="AH88" s="228">
        <f>K88*$G88</f>
        <v>1187020.82152</v>
      </c>
      <c r="AI88" s="228">
        <f>L88*$G88</f>
        <v>1185281.0432</v>
      </c>
      <c r="AJ88" s="228">
        <f>M88*$G88</f>
        <v>0</v>
      </c>
      <c r="AK88" s="261">
        <f t="shared" si="177"/>
        <v>2372301.86472</v>
      </c>
      <c r="AL88" s="228">
        <f>O88*$G88</f>
        <v>0</v>
      </c>
      <c r="AM88" s="228">
        <f>P88*$G88</f>
        <v>0</v>
      </c>
      <c r="AN88" s="228">
        <f>Q88*$G88</f>
        <v>0</v>
      </c>
      <c r="AO88" s="261"/>
      <c r="AP88" s="228">
        <f t="shared" ref="AP88:AU88" si="208">S88*$J88</f>
        <v>0</v>
      </c>
      <c r="AQ88" s="228">
        <f t="shared" si="208"/>
        <v>0</v>
      </c>
      <c r="AR88" s="228">
        <f t="shared" si="208"/>
        <v>0</v>
      </c>
      <c r="AS88" s="228">
        <f t="shared" si="208"/>
        <v>0</v>
      </c>
      <c r="AT88" s="228">
        <f t="shared" si="208"/>
        <v>0</v>
      </c>
      <c r="AU88" s="228">
        <f t="shared" si="208"/>
        <v>0</v>
      </c>
      <c r="AV88" s="261"/>
      <c r="AW88" s="228">
        <f t="shared" ref="AW88:BB88" si="209">Z88*$J88</f>
        <v>0</v>
      </c>
      <c r="AX88" s="228">
        <f t="shared" si="209"/>
        <v>0</v>
      </c>
      <c r="AY88" s="228">
        <f t="shared" si="209"/>
        <v>0</v>
      </c>
      <c r="AZ88" s="228">
        <f t="shared" si="209"/>
        <v>0</v>
      </c>
      <c r="BA88" s="228">
        <f t="shared" si="209"/>
        <v>0</v>
      </c>
      <c r="BB88" s="228">
        <f t="shared" si="209"/>
        <v>0</v>
      </c>
      <c r="BC88" s="261">
        <f t="shared" si="128"/>
        <v>0</v>
      </c>
      <c r="BD88" s="239">
        <f t="shared" si="173"/>
        <v>2372301.86472</v>
      </c>
      <c r="BE88" s="244"/>
    </row>
    <row r="89" spans="1:202" s="79" customFormat="1" ht="25.5" customHeight="1">
      <c r="A89" s="193" t="s">
        <v>101</v>
      </c>
      <c r="B89" s="182" t="s">
        <v>483</v>
      </c>
      <c r="C89" s="221" t="s">
        <v>543</v>
      </c>
      <c r="D89" s="73" t="s">
        <v>114</v>
      </c>
      <c r="E89" s="82"/>
      <c r="F89" s="82"/>
      <c r="G89" s="177"/>
      <c r="H89" s="82"/>
      <c r="I89" s="82"/>
      <c r="J89" s="210"/>
      <c r="K89" s="254">
        <f>K90</f>
        <v>56.232999999999997</v>
      </c>
      <c r="L89" s="254">
        <f>L90</f>
        <v>56.232999999999997</v>
      </c>
      <c r="M89" s="254">
        <f>M90</f>
        <v>0</v>
      </c>
      <c r="N89" s="284">
        <f>K89+L89+M89</f>
        <v>112.46599999999999</v>
      </c>
      <c r="O89" s="275">
        <f>O90</f>
        <v>0</v>
      </c>
      <c r="P89" s="275">
        <f>P90</f>
        <v>0</v>
      </c>
      <c r="Q89" s="275">
        <f>Q90</f>
        <v>0</v>
      </c>
      <c r="R89" s="284">
        <f>O89+P89+Q89</f>
        <v>0</v>
      </c>
      <c r="S89" s="293">
        <f t="shared" ref="S89:X89" si="210">S90</f>
        <v>0</v>
      </c>
      <c r="T89" s="293">
        <f t="shared" si="210"/>
        <v>0</v>
      </c>
      <c r="U89" s="293">
        <f t="shared" si="210"/>
        <v>0</v>
      </c>
      <c r="V89" s="293">
        <f t="shared" si="210"/>
        <v>0</v>
      </c>
      <c r="W89" s="293">
        <f t="shared" si="210"/>
        <v>0</v>
      </c>
      <c r="X89" s="293">
        <f t="shared" si="210"/>
        <v>0</v>
      </c>
      <c r="Y89" s="262">
        <f>SUM(S89:X89)</f>
        <v>0</v>
      </c>
      <c r="Z89" s="275">
        <f t="shared" ref="Z89:AE89" si="211">Z90</f>
        <v>0</v>
      </c>
      <c r="AA89" s="275">
        <f t="shared" si="211"/>
        <v>0</v>
      </c>
      <c r="AB89" s="275">
        <f t="shared" si="211"/>
        <v>0</v>
      </c>
      <c r="AC89" s="275">
        <f t="shared" si="211"/>
        <v>0</v>
      </c>
      <c r="AD89" s="275">
        <f t="shared" si="211"/>
        <v>0</v>
      </c>
      <c r="AE89" s="275">
        <f t="shared" si="211"/>
        <v>0</v>
      </c>
      <c r="AF89" s="284">
        <f t="shared" si="198"/>
        <v>0</v>
      </c>
      <c r="AG89" s="282">
        <f t="shared" si="172"/>
        <v>112.46599999999999</v>
      </c>
      <c r="AH89" s="232">
        <f>AH90</f>
        <v>179909.61087999996</v>
      </c>
      <c r="AI89" s="232">
        <f>AI90</f>
        <v>179909.61087999996</v>
      </c>
      <c r="AJ89" s="232">
        <f>AJ90</f>
        <v>0</v>
      </c>
      <c r="AK89" s="260">
        <f t="shared" si="177"/>
        <v>359819.22175999993</v>
      </c>
      <c r="AL89" s="232">
        <f>AL90</f>
        <v>0</v>
      </c>
      <c r="AM89" s="232">
        <f>AM90</f>
        <v>0</v>
      </c>
      <c r="AN89" s="232">
        <f>AN90</f>
        <v>0</v>
      </c>
      <c r="AO89" s="260">
        <f>SUM(AL89:AN89)</f>
        <v>0</v>
      </c>
      <c r="AP89" s="232">
        <f t="shared" ref="AP89:AU89" si="212">AP90</f>
        <v>0</v>
      </c>
      <c r="AQ89" s="232">
        <f t="shared" si="212"/>
        <v>0</v>
      </c>
      <c r="AR89" s="232">
        <f t="shared" si="212"/>
        <v>0</v>
      </c>
      <c r="AS89" s="232">
        <f t="shared" si="212"/>
        <v>0</v>
      </c>
      <c r="AT89" s="232">
        <f t="shared" si="212"/>
        <v>0</v>
      </c>
      <c r="AU89" s="232">
        <f t="shared" si="212"/>
        <v>0</v>
      </c>
      <c r="AV89" s="260">
        <f>SUM(AP89:AU89)</f>
        <v>0</v>
      </c>
      <c r="AW89" s="232">
        <f t="shared" ref="AW89:BB89" si="213">AW90</f>
        <v>0</v>
      </c>
      <c r="AX89" s="232">
        <f t="shared" si="213"/>
        <v>0</v>
      </c>
      <c r="AY89" s="232">
        <f t="shared" si="213"/>
        <v>0</v>
      </c>
      <c r="AZ89" s="232">
        <f t="shared" si="213"/>
        <v>0</v>
      </c>
      <c r="BA89" s="232">
        <f t="shared" si="213"/>
        <v>0</v>
      </c>
      <c r="BB89" s="232">
        <f t="shared" si="213"/>
        <v>0</v>
      </c>
      <c r="BC89" s="260">
        <f t="shared" si="128"/>
        <v>0</v>
      </c>
      <c r="BD89" s="238">
        <f t="shared" si="173"/>
        <v>359819.22175999993</v>
      </c>
      <c r="BE89" s="1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43"/>
      <c r="CA89" s="243"/>
      <c r="CB89" s="243"/>
      <c r="CC89" s="243"/>
      <c r="CD89" s="243"/>
      <c r="CE89" s="243"/>
      <c r="CF89" s="243"/>
      <c r="CG89" s="243"/>
      <c r="CH89" s="243"/>
      <c r="CI89" s="243"/>
      <c r="CJ89" s="243"/>
      <c r="CK89" s="243"/>
      <c r="CL89" s="243"/>
      <c r="CM89" s="243"/>
      <c r="CN89" s="243"/>
      <c r="CO89" s="243"/>
      <c r="CP89" s="243"/>
      <c r="CQ89" s="243"/>
      <c r="CR89" s="243"/>
      <c r="CS89" s="243"/>
      <c r="CT89" s="243"/>
      <c r="CU89" s="243"/>
      <c r="CV89" s="243"/>
      <c r="CW89" s="243"/>
      <c r="CX89" s="243"/>
      <c r="CY89" s="243"/>
      <c r="CZ89" s="243"/>
      <c r="DA89" s="243"/>
      <c r="DB89" s="243"/>
      <c r="DC89" s="243"/>
      <c r="DD89" s="243"/>
      <c r="DE89" s="243"/>
      <c r="DF89" s="243"/>
      <c r="DG89" s="243"/>
      <c r="DH89" s="243"/>
      <c r="DI89" s="243"/>
      <c r="DJ89" s="243"/>
      <c r="DK89" s="243"/>
      <c r="DL89" s="243"/>
      <c r="DM89" s="243"/>
      <c r="DN89" s="243"/>
      <c r="DO89" s="243"/>
      <c r="DP89" s="243"/>
      <c r="DQ89" s="243"/>
      <c r="DR89" s="243"/>
      <c r="DS89" s="243"/>
      <c r="DT89" s="243"/>
      <c r="DU89" s="243"/>
      <c r="DV89" s="243"/>
      <c r="DW89" s="243"/>
      <c r="DX89" s="243"/>
      <c r="DY89" s="243"/>
      <c r="DZ89" s="243"/>
      <c r="EA89" s="243"/>
      <c r="EB89" s="243"/>
      <c r="EC89" s="243"/>
      <c r="ED89" s="243"/>
      <c r="EE89" s="243"/>
      <c r="EF89" s="243"/>
      <c r="EG89" s="243"/>
      <c r="EH89" s="243"/>
      <c r="EI89" s="243"/>
      <c r="EJ89" s="243"/>
      <c r="EK89" s="243"/>
      <c r="EL89" s="243"/>
      <c r="EM89" s="243"/>
      <c r="EN89" s="243"/>
      <c r="EO89" s="243"/>
      <c r="EP89" s="243"/>
      <c r="EQ89" s="243"/>
      <c r="ER89" s="243"/>
      <c r="ES89" s="243"/>
      <c r="ET89" s="243"/>
      <c r="EU89" s="243"/>
      <c r="EV89" s="243"/>
      <c r="EW89" s="243"/>
      <c r="EX89" s="243"/>
      <c r="EY89" s="243"/>
      <c r="EZ89" s="243"/>
      <c r="FA89" s="243"/>
      <c r="FB89" s="243"/>
      <c r="FC89" s="243"/>
      <c r="FD89" s="243"/>
      <c r="FE89" s="243"/>
      <c r="FF89" s="243"/>
      <c r="FG89" s="243"/>
      <c r="FH89" s="243"/>
      <c r="FI89" s="243"/>
      <c r="FJ89" s="243"/>
      <c r="FK89" s="243"/>
      <c r="FL89" s="243"/>
      <c r="FM89" s="243"/>
      <c r="FN89" s="243"/>
      <c r="FO89" s="243"/>
      <c r="FP89" s="243"/>
      <c r="FQ89" s="243"/>
      <c r="FR89" s="243"/>
      <c r="FS89" s="243"/>
      <c r="FT89" s="243"/>
      <c r="FU89" s="243"/>
      <c r="FV89" s="243"/>
      <c r="FW89" s="243"/>
      <c r="FX89" s="243"/>
      <c r="FY89" s="243"/>
      <c r="FZ89" s="243"/>
      <c r="GA89" s="243"/>
      <c r="GB89" s="243"/>
      <c r="GC89" s="243"/>
      <c r="GD89" s="243"/>
      <c r="GE89" s="243"/>
      <c r="GF89" s="243"/>
      <c r="GG89" s="243"/>
      <c r="GH89" s="243"/>
      <c r="GI89" s="243"/>
      <c r="GJ89" s="243"/>
      <c r="GK89" s="243"/>
      <c r="GL89" s="243"/>
      <c r="GM89" s="243"/>
      <c r="GN89" s="243"/>
      <c r="GO89" s="243"/>
      <c r="GP89" s="243"/>
      <c r="GQ89" s="243"/>
      <c r="GR89" s="243"/>
      <c r="GS89" s="243"/>
      <c r="GT89" s="243"/>
    </row>
    <row r="90" spans="1:202" ht="12.75">
      <c r="A90" s="194"/>
      <c r="B90" s="84" t="s">
        <v>542</v>
      </c>
      <c r="C90" s="221"/>
      <c r="D90" s="85"/>
      <c r="E90" s="82">
        <v>4804.3599999999997</v>
      </c>
      <c r="F90" s="82">
        <v>1605</v>
      </c>
      <c r="G90" s="177">
        <f t="shared" si="203"/>
        <v>3199.3599999999997</v>
      </c>
      <c r="H90" s="82">
        <v>4804.3599999999997</v>
      </c>
      <c r="I90" s="82">
        <v>1605</v>
      </c>
      <c r="J90" s="210">
        <f>H90-I90</f>
        <v>3199.3599999999997</v>
      </c>
      <c r="K90" s="255">
        <v>56.232999999999997</v>
      </c>
      <c r="L90" s="255">
        <v>56.232999999999997</v>
      </c>
      <c r="M90" s="255"/>
      <c r="N90" s="287">
        <f>K90+L90+M90</f>
        <v>112.46599999999999</v>
      </c>
      <c r="O90" s="276"/>
      <c r="P90" s="276"/>
      <c r="Q90" s="294"/>
      <c r="R90" s="287"/>
      <c r="S90" s="294"/>
      <c r="T90" s="267"/>
      <c r="U90" s="276"/>
      <c r="V90" s="276"/>
      <c r="W90" s="294"/>
      <c r="X90" s="264"/>
      <c r="Y90" s="142"/>
      <c r="Z90" s="276"/>
      <c r="AA90" s="276"/>
      <c r="AB90" s="276"/>
      <c r="AC90" s="276"/>
      <c r="AD90" s="276"/>
      <c r="AE90" s="276"/>
      <c r="AF90" s="287">
        <f t="shared" si="198"/>
        <v>0</v>
      </c>
      <c r="AG90" s="283">
        <f t="shared" si="172"/>
        <v>112.46599999999999</v>
      </c>
      <c r="AH90" s="230">
        <f>K90*$G90</f>
        <v>179909.61087999996</v>
      </c>
      <c r="AI90" s="230">
        <f>L90*$G90</f>
        <v>179909.61087999996</v>
      </c>
      <c r="AJ90" s="230">
        <f>M90*$G90</f>
        <v>0</v>
      </c>
      <c r="AK90" s="261">
        <f t="shared" si="177"/>
        <v>359819.22175999993</v>
      </c>
      <c r="AL90" s="230">
        <f>O90*$G90</f>
        <v>0</v>
      </c>
      <c r="AM90" s="230">
        <f>P90*$G90</f>
        <v>0</v>
      </c>
      <c r="AN90" s="230">
        <f>Q90*$G90</f>
        <v>0</v>
      </c>
      <c r="AO90" s="261"/>
      <c r="AP90" s="230">
        <f t="shared" ref="AP90:AU90" si="214">S90*$J90</f>
        <v>0</v>
      </c>
      <c r="AQ90" s="230">
        <f t="shared" si="214"/>
        <v>0</v>
      </c>
      <c r="AR90" s="230">
        <f t="shared" si="214"/>
        <v>0</v>
      </c>
      <c r="AS90" s="230">
        <f t="shared" si="214"/>
        <v>0</v>
      </c>
      <c r="AT90" s="230">
        <f t="shared" si="214"/>
        <v>0</v>
      </c>
      <c r="AU90" s="230">
        <f t="shared" si="214"/>
        <v>0</v>
      </c>
      <c r="AV90" s="261"/>
      <c r="AW90" s="230">
        <f t="shared" ref="AW90:BB90" si="215">Z90*$J90</f>
        <v>0</v>
      </c>
      <c r="AX90" s="230">
        <f t="shared" si="215"/>
        <v>0</v>
      </c>
      <c r="AY90" s="230">
        <f t="shared" si="215"/>
        <v>0</v>
      </c>
      <c r="AZ90" s="230">
        <f t="shared" si="215"/>
        <v>0</v>
      </c>
      <c r="BA90" s="230">
        <f t="shared" si="215"/>
        <v>0</v>
      </c>
      <c r="BB90" s="230">
        <f t="shared" si="215"/>
        <v>0</v>
      </c>
      <c r="BC90" s="261">
        <f t="shared" si="128"/>
        <v>0</v>
      </c>
      <c r="BD90" s="239">
        <f t="shared" si="173"/>
        <v>359819.22175999993</v>
      </c>
      <c r="BE90" s="244"/>
    </row>
    <row r="91" spans="1:202" s="79" customFormat="1" ht="26.25" customHeight="1">
      <c r="A91" s="193" t="s">
        <v>101</v>
      </c>
      <c r="B91" s="182" t="s">
        <v>471</v>
      </c>
      <c r="C91" s="221" t="s">
        <v>242</v>
      </c>
      <c r="D91" s="73" t="s">
        <v>113</v>
      </c>
      <c r="E91" s="82"/>
      <c r="F91" s="82"/>
      <c r="G91" s="177"/>
      <c r="H91" s="82"/>
      <c r="I91" s="82"/>
      <c r="J91" s="210"/>
      <c r="K91" s="254">
        <f t="shared" ref="K91:Q91" si="216">SUM(K92:K94)</f>
        <v>230.441</v>
      </c>
      <c r="L91" s="254">
        <f t="shared" si="216"/>
        <v>208.59300000000002</v>
      </c>
      <c r="M91" s="254">
        <f t="shared" si="216"/>
        <v>0</v>
      </c>
      <c r="N91" s="284">
        <f t="shared" si="216"/>
        <v>439.03399999999999</v>
      </c>
      <c r="O91" s="275">
        <f t="shared" si="216"/>
        <v>0</v>
      </c>
      <c r="P91" s="275">
        <f t="shared" si="216"/>
        <v>0</v>
      </c>
      <c r="Q91" s="275">
        <f t="shared" si="216"/>
        <v>0</v>
      </c>
      <c r="R91" s="284">
        <f>O91+P91+Q91</f>
        <v>0</v>
      </c>
      <c r="S91" s="293">
        <f t="shared" ref="S91:X91" si="217">SUM(S92:S94)</f>
        <v>0</v>
      </c>
      <c r="T91" s="293">
        <f t="shared" si="217"/>
        <v>0</v>
      </c>
      <c r="U91" s="293">
        <f t="shared" si="217"/>
        <v>0</v>
      </c>
      <c r="V91" s="293">
        <f t="shared" si="217"/>
        <v>0</v>
      </c>
      <c r="W91" s="293">
        <f t="shared" si="217"/>
        <v>0</v>
      </c>
      <c r="X91" s="293">
        <f t="shared" si="217"/>
        <v>0</v>
      </c>
      <c r="Y91" s="262">
        <f>SUM(S91:X91)</f>
        <v>0</v>
      </c>
      <c r="Z91" s="275">
        <f t="shared" ref="Z91:AF91" si="218">SUM(Z92:Z94)</f>
        <v>0</v>
      </c>
      <c r="AA91" s="275">
        <f t="shared" si="218"/>
        <v>0</v>
      </c>
      <c r="AB91" s="275">
        <f t="shared" si="218"/>
        <v>0</v>
      </c>
      <c r="AC91" s="275">
        <f t="shared" si="218"/>
        <v>0</v>
      </c>
      <c r="AD91" s="275">
        <f t="shared" si="218"/>
        <v>0</v>
      </c>
      <c r="AE91" s="275">
        <f t="shared" si="218"/>
        <v>0</v>
      </c>
      <c r="AF91" s="284">
        <f t="shared" si="218"/>
        <v>0</v>
      </c>
      <c r="AG91" s="282">
        <f t="shared" si="172"/>
        <v>439.03399999999999</v>
      </c>
      <c r="AH91" s="232">
        <f>SUM(AH92:AH94)</f>
        <v>837638.58241000003</v>
      </c>
      <c r="AI91" s="232">
        <f>SUM(AI92:AI94)</f>
        <v>761316.87624999997</v>
      </c>
      <c r="AJ91" s="232">
        <f>SUM(AJ92:AJ94)</f>
        <v>0</v>
      </c>
      <c r="AK91" s="260">
        <f t="shared" si="177"/>
        <v>1598955.45866</v>
      </c>
      <c r="AL91" s="232">
        <f>SUM(AL92:AL94)</f>
        <v>0</v>
      </c>
      <c r="AM91" s="232">
        <f>SUM(AM92:AM94)</f>
        <v>0</v>
      </c>
      <c r="AN91" s="232">
        <f>SUM(AN92:AN94)</f>
        <v>0</v>
      </c>
      <c r="AO91" s="260">
        <f>SUM(AL91:AN91)</f>
        <v>0</v>
      </c>
      <c r="AP91" s="232">
        <f t="shared" ref="AP91:AU91" si="219">SUM(AP92:AP94)</f>
        <v>0</v>
      </c>
      <c r="AQ91" s="232">
        <f t="shared" si="219"/>
        <v>0</v>
      </c>
      <c r="AR91" s="232">
        <f t="shared" si="219"/>
        <v>0</v>
      </c>
      <c r="AS91" s="232">
        <f t="shared" si="219"/>
        <v>0</v>
      </c>
      <c r="AT91" s="232">
        <f t="shared" si="219"/>
        <v>0</v>
      </c>
      <c r="AU91" s="232">
        <f t="shared" si="219"/>
        <v>0</v>
      </c>
      <c r="AV91" s="260">
        <f>SUM(AP91:AU91)</f>
        <v>0</v>
      </c>
      <c r="AW91" s="232">
        <f t="shared" ref="AW91:BB91" si="220">SUM(AW92:AW94)</f>
        <v>0</v>
      </c>
      <c r="AX91" s="232">
        <f t="shared" si="220"/>
        <v>0</v>
      </c>
      <c r="AY91" s="232">
        <f t="shared" si="220"/>
        <v>0</v>
      </c>
      <c r="AZ91" s="232">
        <f t="shared" si="220"/>
        <v>0</v>
      </c>
      <c r="BA91" s="232">
        <f t="shared" si="220"/>
        <v>0</v>
      </c>
      <c r="BB91" s="232">
        <f t="shared" si="220"/>
        <v>0</v>
      </c>
      <c r="BC91" s="260">
        <f t="shared" si="128"/>
        <v>0</v>
      </c>
      <c r="BD91" s="238">
        <f t="shared" si="173"/>
        <v>1598955.45866</v>
      </c>
      <c r="BE91" s="13"/>
      <c r="BF91" s="243"/>
      <c r="BG91" s="243"/>
      <c r="BH91" s="243"/>
      <c r="BI91" s="243"/>
      <c r="BJ91" s="243"/>
      <c r="BK91" s="243"/>
      <c r="BL91" s="243"/>
      <c r="BM91" s="243"/>
      <c r="BN91" s="243"/>
      <c r="BO91" s="243"/>
      <c r="BP91" s="243"/>
      <c r="BQ91" s="243"/>
      <c r="BR91" s="243"/>
      <c r="BS91" s="243"/>
      <c r="BT91" s="243"/>
      <c r="BU91" s="243"/>
      <c r="BV91" s="243"/>
      <c r="BW91" s="243"/>
      <c r="BX91" s="243"/>
      <c r="BY91" s="243"/>
      <c r="BZ91" s="243"/>
      <c r="CA91" s="243"/>
      <c r="CB91" s="243"/>
      <c r="CC91" s="243"/>
      <c r="CD91" s="243"/>
      <c r="CE91" s="243"/>
      <c r="CF91" s="243"/>
      <c r="CG91" s="243"/>
      <c r="CH91" s="243"/>
      <c r="CI91" s="243"/>
      <c r="CJ91" s="243"/>
      <c r="CK91" s="243"/>
      <c r="CL91" s="243"/>
      <c r="CM91" s="243"/>
      <c r="CN91" s="243"/>
      <c r="CO91" s="243"/>
      <c r="CP91" s="243"/>
      <c r="CQ91" s="243"/>
      <c r="CR91" s="243"/>
      <c r="CS91" s="243"/>
      <c r="CT91" s="243"/>
      <c r="CU91" s="243"/>
      <c r="CV91" s="243"/>
      <c r="CW91" s="243"/>
      <c r="CX91" s="243"/>
      <c r="CY91" s="243"/>
      <c r="CZ91" s="243"/>
      <c r="DA91" s="243"/>
      <c r="DB91" s="243"/>
      <c r="DC91" s="243"/>
      <c r="DD91" s="243"/>
      <c r="DE91" s="243"/>
      <c r="DF91" s="243"/>
      <c r="DG91" s="243"/>
      <c r="DH91" s="243"/>
      <c r="DI91" s="243"/>
      <c r="DJ91" s="243"/>
      <c r="DK91" s="243"/>
      <c r="DL91" s="243"/>
      <c r="DM91" s="243"/>
      <c r="DN91" s="243"/>
      <c r="DO91" s="243"/>
      <c r="DP91" s="243"/>
      <c r="DQ91" s="243"/>
      <c r="DR91" s="243"/>
      <c r="DS91" s="243"/>
      <c r="DT91" s="243"/>
      <c r="DU91" s="243"/>
      <c r="DV91" s="243"/>
      <c r="DW91" s="243"/>
      <c r="DX91" s="243"/>
      <c r="DY91" s="243"/>
      <c r="DZ91" s="243"/>
      <c r="EA91" s="243"/>
      <c r="EB91" s="243"/>
      <c r="EC91" s="243"/>
      <c r="ED91" s="243"/>
      <c r="EE91" s="243"/>
      <c r="EF91" s="243"/>
      <c r="EG91" s="243"/>
      <c r="EH91" s="243"/>
      <c r="EI91" s="243"/>
      <c r="EJ91" s="243"/>
      <c r="EK91" s="243"/>
      <c r="EL91" s="243"/>
      <c r="EM91" s="243"/>
      <c r="EN91" s="243"/>
      <c r="EO91" s="243"/>
      <c r="EP91" s="243"/>
      <c r="EQ91" s="243"/>
      <c r="ER91" s="243"/>
      <c r="ES91" s="243"/>
      <c r="ET91" s="243"/>
      <c r="EU91" s="243"/>
      <c r="EV91" s="243"/>
      <c r="EW91" s="243"/>
      <c r="EX91" s="243"/>
      <c r="EY91" s="243"/>
      <c r="EZ91" s="243"/>
      <c r="FA91" s="243"/>
      <c r="FB91" s="243"/>
      <c r="FC91" s="243"/>
      <c r="FD91" s="243"/>
      <c r="FE91" s="243"/>
      <c r="FF91" s="243"/>
      <c r="FG91" s="243"/>
      <c r="FH91" s="243"/>
      <c r="FI91" s="243"/>
      <c r="FJ91" s="243"/>
      <c r="FK91" s="243"/>
      <c r="FL91" s="243"/>
      <c r="FM91" s="243"/>
      <c r="FN91" s="243"/>
      <c r="FO91" s="243"/>
      <c r="FP91" s="243"/>
      <c r="FQ91" s="243"/>
      <c r="FR91" s="243"/>
      <c r="FS91" s="243"/>
      <c r="FT91" s="243"/>
      <c r="FU91" s="243"/>
      <c r="FV91" s="243"/>
      <c r="FW91" s="243"/>
      <c r="FX91" s="243"/>
      <c r="FY91" s="243"/>
      <c r="FZ91" s="243"/>
      <c r="GA91" s="243"/>
      <c r="GB91" s="243"/>
      <c r="GC91" s="243"/>
      <c r="GD91" s="243"/>
      <c r="GE91" s="243"/>
      <c r="GF91" s="243"/>
      <c r="GG91" s="243"/>
      <c r="GH91" s="243"/>
      <c r="GI91" s="243"/>
      <c r="GJ91" s="243"/>
      <c r="GK91" s="243"/>
      <c r="GL91" s="243"/>
      <c r="GM91" s="243"/>
      <c r="GN91" s="243"/>
      <c r="GO91" s="243"/>
      <c r="GP91" s="243"/>
      <c r="GQ91" s="243"/>
      <c r="GR91" s="243"/>
      <c r="GS91" s="243"/>
      <c r="GT91" s="243"/>
    </row>
    <row r="92" spans="1:202" ht="12.75">
      <c r="A92" s="194"/>
      <c r="B92" s="84" t="s">
        <v>271</v>
      </c>
      <c r="C92" s="221"/>
      <c r="D92" s="73"/>
      <c r="E92" s="82">
        <v>4516</v>
      </c>
      <c r="F92" s="82">
        <v>1600</v>
      </c>
      <c r="G92" s="177">
        <f t="shared" si="203"/>
        <v>2916</v>
      </c>
      <c r="H92" s="82">
        <v>4516</v>
      </c>
      <c r="I92" s="82">
        <v>1600</v>
      </c>
      <c r="J92" s="210">
        <f>H92-I92</f>
        <v>2916</v>
      </c>
      <c r="K92" s="255">
        <v>82.897999999999996</v>
      </c>
      <c r="L92" s="255">
        <v>68.578000000000003</v>
      </c>
      <c r="M92" s="255"/>
      <c r="N92" s="287">
        <f>SUM(K92:M92)</f>
        <v>151.476</v>
      </c>
      <c r="O92" s="276"/>
      <c r="P92" s="276"/>
      <c r="Q92" s="294"/>
      <c r="R92" s="287"/>
      <c r="S92" s="294"/>
      <c r="T92" s="267"/>
      <c r="U92" s="276"/>
      <c r="V92" s="276"/>
      <c r="W92" s="294"/>
      <c r="X92" s="264"/>
      <c r="Y92" s="142"/>
      <c r="Z92" s="276"/>
      <c r="AA92" s="276"/>
      <c r="AB92" s="276"/>
      <c r="AC92" s="276"/>
      <c r="AD92" s="276"/>
      <c r="AE92" s="276"/>
      <c r="AF92" s="287">
        <f t="shared" ref="AF92:AF102" si="221">SUM(Z92:AE92)</f>
        <v>0</v>
      </c>
      <c r="AG92" s="283">
        <f t="shared" si="172"/>
        <v>151.476</v>
      </c>
      <c r="AH92" s="230">
        <f t="shared" ref="AH92:AJ94" si="222">K92*$G92</f>
        <v>241730.568</v>
      </c>
      <c r="AI92" s="230">
        <f t="shared" si="222"/>
        <v>199973.448</v>
      </c>
      <c r="AJ92" s="230">
        <f t="shared" si="222"/>
        <v>0</v>
      </c>
      <c r="AK92" s="261">
        <f t="shared" si="177"/>
        <v>441704.016</v>
      </c>
      <c r="AL92" s="230">
        <f t="shared" ref="AL92:AN94" si="223">O92*$G92</f>
        <v>0</v>
      </c>
      <c r="AM92" s="230">
        <f t="shared" si="223"/>
        <v>0</v>
      </c>
      <c r="AN92" s="230">
        <f t="shared" si="223"/>
        <v>0</v>
      </c>
      <c r="AO92" s="261"/>
      <c r="AP92" s="230">
        <f t="shared" ref="AP92:AU94" si="224">S92*$J92</f>
        <v>0</v>
      </c>
      <c r="AQ92" s="230">
        <f t="shared" si="224"/>
        <v>0</v>
      </c>
      <c r="AR92" s="230">
        <f t="shared" si="224"/>
        <v>0</v>
      </c>
      <c r="AS92" s="230">
        <f t="shared" si="224"/>
        <v>0</v>
      </c>
      <c r="AT92" s="230">
        <f t="shared" si="224"/>
        <v>0</v>
      </c>
      <c r="AU92" s="230">
        <f t="shared" si="224"/>
        <v>0</v>
      </c>
      <c r="AV92" s="261"/>
      <c r="AW92" s="230">
        <f t="shared" ref="AW92:BB94" si="225">Z92*$J92</f>
        <v>0</v>
      </c>
      <c r="AX92" s="230">
        <f t="shared" si="225"/>
        <v>0</v>
      </c>
      <c r="AY92" s="230">
        <f t="shared" si="225"/>
        <v>0</v>
      </c>
      <c r="AZ92" s="230">
        <f t="shared" si="225"/>
        <v>0</v>
      </c>
      <c r="BA92" s="230">
        <f t="shared" si="225"/>
        <v>0</v>
      </c>
      <c r="BB92" s="230">
        <f t="shared" si="225"/>
        <v>0</v>
      </c>
      <c r="BC92" s="261">
        <f t="shared" si="128"/>
        <v>0</v>
      </c>
      <c r="BD92" s="239">
        <f t="shared" si="173"/>
        <v>441704.016</v>
      </c>
      <c r="BE92" s="244"/>
    </row>
    <row r="93" spans="1:202" ht="12.75">
      <c r="A93" s="194"/>
      <c r="B93" s="84" t="s">
        <v>272</v>
      </c>
      <c r="C93" s="221"/>
      <c r="D93" s="73"/>
      <c r="E93" s="82">
        <v>5280.15</v>
      </c>
      <c r="F93" s="82">
        <v>1600</v>
      </c>
      <c r="G93" s="177">
        <f t="shared" si="203"/>
        <v>3680.1499999999996</v>
      </c>
      <c r="H93" s="82">
        <v>5280.15</v>
      </c>
      <c r="I93" s="82">
        <v>1600</v>
      </c>
      <c r="J93" s="210">
        <f>H93-I93</f>
        <v>3680.1499999999996</v>
      </c>
      <c r="K93" s="255">
        <v>89.465000000000003</v>
      </c>
      <c r="L93" s="255">
        <v>89.465000000000003</v>
      </c>
      <c r="M93" s="255"/>
      <c r="N93" s="287">
        <f>SUM(K93:M93)</f>
        <v>178.93</v>
      </c>
      <c r="O93" s="276"/>
      <c r="P93" s="276"/>
      <c r="Q93" s="294"/>
      <c r="R93" s="287"/>
      <c r="S93" s="294"/>
      <c r="T93" s="267"/>
      <c r="U93" s="276"/>
      <c r="V93" s="276"/>
      <c r="W93" s="294"/>
      <c r="X93" s="264"/>
      <c r="Y93" s="142"/>
      <c r="Z93" s="276"/>
      <c r="AA93" s="276"/>
      <c r="AB93" s="276"/>
      <c r="AC93" s="276"/>
      <c r="AD93" s="276"/>
      <c r="AE93" s="276"/>
      <c r="AF93" s="287">
        <f t="shared" si="221"/>
        <v>0</v>
      </c>
      <c r="AG93" s="283">
        <f t="shared" si="172"/>
        <v>178.93</v>
      </c>
      <c r="AH93" s="230">
        <f t="shared" si="222"/>
        <v>329244.61974999995</v>
      </c>
      <c r="AI93" s="230">
        <f t="shared" si="222"/>
        <v>329244.61974999995</v>
      </c>
      <c r="AJ93" s="230">
        <f t="shared" si="222"/>
        <v>0</v>
      </c>
      <c r="AK93" s="261">
        <f t="shared" si="177"/>
        <v>658489.23949999991</v>
      </c>
      <c r="AL93" s="230">
        <f t="shared" si="223"/>
        <v>0</v>
      </c>
      <c r="AM93" s="230">
        <f t="shared" si="223"/>
        <v>0</v>
      </c>
      <c r="AN93" s="230">
        <f t="shared" si="223"/>
        <v>0</v>
      </c>
      <c r="AO93" s="261"/>
      <c r="AP93" s="230">
        <f t="shared" si="224"/>
        <v>0</v>
      </c>
      <c r="AQ93" s="230">
        <f t="shared" si="224"/>
        <v>0</v>
      </c>
      <c r="AR93" s="230">
        <f t="shared" si="224"/>
        <v>0</v>
      </c>
      <c r="AS93" s="230">
        <f t="shared" si="224"/>
        <v>0</v>
      </c>
      <c r="AT93" s="230">
        <f t="shared" si="224"/>
        <v>0</v>
      </c>
      <c r="AU93" s="230">
        <f t="shared" si="224"/>
        <v>0</v>
      </c>
      <c r="AV93" s="261"/>
      <c r="AW93" s="230">
        <f t="shared" si="225"/>
        <v>0</v>
      </c>
      <c r="AX93" s="230">
        <f t="shared" si="225"/>
        <v>0</v>
      </c>
      <c r="AY93" s="230">
        <f t="shared" si="225"/>
        <v>0</v>
      </c>
      <c r="AZ93" s="230">
        <f t="shared" si="225"/>
        <v>0</v>
      </c>
      <c r="BA93" s="230">
        <f t="shared" si="225"/>
        <v>0</v>
      </c>
      <c r="BB93" s="230">
        <f t="shared" si="225"/>
        <v>0</v>
      </c>
      <c r="BC93" s="261">
        <f t="shared" si="128"/>
        <v>0</v>
      </c>
      <c r="BD93" s="239">
        <f t="shared" si="173"/>
        <v>658489.23949999991</v>
      </c>
      <c r="BE93" s="244"/>
    </row>
    <row r="94" spans="1:202" ht="12.75">
      <c r="A94" s="194"/>
      <c r="B94" s="84" t="s">
        <v>533</v>
      </c>
      <c r="C94" s="221"/>
      <c r="D94" s="73"/>
      <c r="E94" s="82">
        <v>6271.47</v>
      </c>
      <c r="F94" s="82">
        <v>1680</v>
      </c>
      <c r="G94" s="177">
        <f t="shared" si="203"/>
        <v>4591.47</v>
      </c>
      <c r="H94" s="82">
        <v>6271.47</v>
      </c>
      <c r="I94" s="82">
        <v>1680</v>
      </c>
      <c r="J94" s="210">
        <f>H94-I94</f>
        <v>4591.47</v>
      </c>
      <c r="K94" s="255">
        <v>58.078000000000003</v>
      </c>
      <c r="L94" s="255">
        <v>50.55</v>
      </c>
      <c r="M94" s="255"/>
      <c r="N94" s="287">
        <f>SUM(K94:M94)</f>
        <v>108.628</v>
      </c>
      <c r="O94" s="276"/>
      <c r="P94" s="276"/>
      <c r="Q94" s="294"/>
      <c r="R94" s="287"/>
      <c r="S94" s="294"/>
      <c r="T94" s="267"/>
      <c r="U94" s="276"/>
      <c r="V94" s="276"/>
      <c r="W94" s="294"/>
      <c r="X94" s="264"/>
      <c r="Y94" s="142"/>
      <c r="Z94" s="276"/>
      <c r="AA94" s="276"/>
      <c r="AB94" s="276"/>
      <c r="AC94" s="276"/>
      <c r="AD94" s="276"/>
      <c r="AE94" s="276"/>
      <c r="AF94" s="287">
        <f t="shared" si="221"/>
        <v>0</v>
      </c>
      <c r="AG94" s="283">
        <f t="shared" si="172"/>
        <v>108.628</v>
      </c>
      <c r="AH94" s="230">
        <f t="shared" si="222"/>
        <v>266663.39466000005</v>
      </c>
      <c r="AI94" s="230">
        <f t="shared" si="222"/>
        <v>232098.80850000001</v>
      </c>
      <c r="AJ94" s="230">
        <f t="shared" si="222"/>
        <v>0</v>
      </c>
      <c r="AK94" s="261">
        <f t="shared" si="177"/>
        <v>498762.20316000003</v>
      </c>
      <c r="AL94" s="230">
        <f t="shared" si="223"/>
        <v>0</v>
      </c>
      <c r="AM94" s="230">
        <f t="shared" si="223"/>
        <v>0</v>
      </c>
      <c r="AN94" s="230">
        <f t="shared" si="223"/>
        <v>0</v>
      </c>
      <c r="AO94" s="261"/>
      <c r="AP94" s="230">
        <f t="shared" si="224"/>
        <v>0</v>
      </c>
      <c r="AQ94" s="230">
        <f t="shared" si="224"/>
        <v>0</v>
      </c>
      <c r="AR94" s="230">
        <f t="shared" si="224"/>
        <v>0</v>
      </c>
      <c r="AS94" s="230">
        <f t="shared" si="224"/>
        <v>0</v>
      </c>
      <c r="AT94" s="230">
        <f t="shared" si="224"/>
        <v>0</v>
      </c>
      <c r="AU94" s="230">
        <f t="shared" si="224"/>
        <v>0</v>
      </c>
      <c r="AV94" s="261"/>
      <c r="AW94" s="230">
        <f t="shared" si="225"/>
        <v>0</v>
      </c>
      <c r="AX94" s="230">
        <f t="shared" si="225"/>
        <v>0</v>
      </c>
      <c r="AY94" s="230">
        <f t="shared" si="225"/>
        <v>0</v>
      </c>
      <c r="AZ94" s="230">
        <f t="shared" si="225"/>
        <v>0</v>
      </c>
      <c r="BA94" s="230">
        <f t="shared" si="225"/>
        <v>0</v>
      </c>
      <c r="BB94" s="230">
        <f t="shared" si="225"/>
        <v>0</v>
      </c>
      <c r="BC94" s="261">
        <f t="shared" si="128"/>
        <v>0</v>
      </c>
      <c r="BD94" s="239">
        <f t="shared" si="173"/>
        <v>498762.20316000003</v>
      </c>
      <c r="BE94" s="244"/>
    </row>
    <row r="95" spans="1:202" ht="25.5">
      <c r="A95" s="193" t="s">
        <v>101</v>
      </c>
      <c r="B95" s="207" t="s">
        <v>476</v>
      </c>
      <c r="C95" s="221" t="s">
        <v>401</v>
      </c>
      <c r="D95" s="73" t="s">
        <v>112</v>
      </c>
      <c r="E95" s="82"/>
      <c r="F95" s="82"/>
      <c r="G95" s="177"/>
      <c r="H95" s="82"/>
      <c r="I95" s="82"/>
      <c r="J95" s="210"/>
      <c r="K95" s="254">
        <f t="shared" ref="K95:Q95" si="226">K96</f>
        <v>57.79</v>
      </c>
      <c r="L95" s="254">
        <f t="shared" si="226"/>
        <v>57.79</v>
      </c>
      <c r="M95" s="254">
        <f t="shared" si="226"/>
        <v>0</v>
      </c>
      <c r="N95" s="284">
        <f t="shared" si="226"/>
        <v>115.58</v>
      </c>
      <c r="O95" s="275">
        <f t="shared" si="226"/>
        <v>0</v>
      </c>
      <c r="P95" s="275">
        <f t="shared" si="226"/>
        <v>0</v>
      </c>
      <c r="Q95" s="275">
        <f t="shared" si="226"/>
        <v>0</v>
      </c>
      <c r="R95" s="284">
        <f t="shared" ref="R95:R101" si="227">O95+P95+Q95</f>
        <v>0</v>
      </c>
      <c r="S95" s="293">
        <f t="shared" ref="S95:X95" si="228">S96</f>
        <v>0</v>
      </c>
      <c r="T95" s="293">
        <f t="shared" si="228"/>
        <v>0</v>
      </c>
      <c r="U95" s="293">
        <f t="shared" si="228"/>
        <v>0</v>
      </c>
      <c r="V95" s="293">
        <f t="shared" si="228"/>
        <v>0</v>
      </c>
      <c r="W95" s="293">
        <f t="shared" si="228"/>
        <v>0</v>
      </c>
      <c r="X95" s="293">
        <f t="shared" si="228"/>
        <v>0</v>
      </c>
      <c r="Y95" s="262">
        <f>SUM(S95:X95)</f>
        <v>0</v>
      </c>
      <c r="Z95" s="275">
        <f t="shared" ref="Z95:AE95" si="229">Z96</f>
        <v>0</v>
      </c>
      <c r="AA95" s="275">
        <f t="shared" si="229"/>
        <v>0</v>
      </c>
      <c r="AB95" s="275">
        <f t="shared" si="229"/>
        <v>0</v>
      </c>
      <c r="AC95" s="275">
        <f t="shared" si="229"/>
        <v>0</v>
      </c>
      <c r="AD95" s="275">
        <f t="shared" si="229"/>
        <v>0</v>
      </c>
      <c r="AE95" s="275">
        <f t="shared" si="229"/>
        <v>0</v>
      </c>
      <c r="AF95" s="284">
        <f t="shared" si="221"/>
        <v>0</v>
      </c>
      <c r="AG95" s="282">
        <f t="shared" si="172"/>
        <v>115.58</v>
      </c>
      <c r="AH95" s="232">
        <f>AH96</f>
        <v>281811.77919999999</v>
      </c>
      <c r="AI95" s="232">
        <f>AI96</f>
        <v>281811.77919999999</v>
      </c>
      <c r="AJ95" s="232">
        <f>AJ96</f>
        <v>0</v>
      </c>
      <c r="AK95" s="260">
        <f t="shared" si="177"/>
        <v>563623.55839999998</v>
      </c>
      <c r="AL95" s="232">
        <f>AL96</f>
        <v>0</v>
      </c>
      <c r="AM95" s="232">
        <f>AM96</f>
        <v>0</v>
      </c>
      <c r="AN95" s="232">
        <f>AN96</f>
        <v>0</v>
      </c>
      <c r="AO95" s="260">
        <f>SUM(AL95:AN95)</f>
        <v>0</v>
      </c>
      <c r="AP95" s="232">
        <f t="shared" ref="AP95:AU95" si="230">AP96</f>
        <v>0</v>
      </c>
      <c r="AQ95" s="232">
        <f t="shared" si="230"/>
        <v>0</v>
      </c>
      <c r="AR95" s="232">
        <f t="shared" si="230"/>
        <v>0</v>
      </c>
      <c r="AS95" s="232">
        <f t="shared" si="230"/>
        <v>0</v>
      </c>
      <c r="AT95" s="232">
        <f t="shared" si="230"/>
        <v>0</v>
      </c>
      <c r="AU95" s="232">
        <f t="shared" si="230"/>
        <v>0</v>
      </c>
      <c r="AV95" s="260">
        <f>SUM(AP95:AU95)</f>
        <v>0</v>
      </c>
      <c r="AW95" s="232">
        <f t="shared" ref="AW95:BB95" si="231">AW96</f>
        <v>0</v>
      </c>
      <c r="AX95" s="232">
        <f t="shared" si="231"/>
        <v>0</v>
      </c>
      <c r="AY95" s="232">
        <f t="shared" si="231"/>
        <v>0</v>
      </c>
      <c r="AZ95" s="232">
        <f t="shared" si="231"/>
        <v>0</v>
      </c>
      <c r="BA95" s="232">
        <f t="shared" si="231"/>
        <v>0</v>
      </c>
      <c r="BB95" s="232">
        <f t="shared" si="231"/>
        <v>0</v>
      </c>
      <c r="BC95" s="260">
        <f t="shared" si="128"/>
        <v>0</v>
      </c>
      <c r="BD95" s="238">
        <f t="shared" si="173"/>
        <v>563623.55839999998</v>
      </c>
    </row>
    <row r="96" spans="1:202" ht="12.75">
      <c r="A96" s="194"/>
      <c r="B96" s="339"/>
      <c r="C96" s="221"/>
      <c r="D96" s="85"/>
      <c r="E96" s="82">
        <v>6556.48</v>
      </c>
      <c r="F96" s="82">
        <v>1680</v>
      </c>
      <c r="G96" s="177">
        <f t="shared" si="203"/>
        <v>4876.4799999999996</v>
      </c>
      <c r="H96" s="82">
        <v>6556.48</v>
      </c>
      <c r="I96" s="82">
        <v>1680</v>
      </c>
      <c r="J96" s="210">
        <f>H96-I96</f>
        <v>4876.4799999999996</v>
      </c>
      <c r="K96" s="255">
        <v>57.79</v>
      </c>
      <c r="L96" s="255">
        <v>57.79</v>
      </c>
      <c r="M96" s="255"/>
      <c r="N96" s="287">
        <f>SUM(K96:M96)</f>
        <v>115.58</v>
      </c>
      <c r="O96" s="276"/>
      <c r="P96" s="276"/>
      <c r="Q96" s="294"/>
      <c r="R96" s="287"/>
      <c r="S96" s="294"/>
      <c r="T96" s="267"/>
      <c r="U96" s="276"/>
      <c r="V96" s="276"/>
      <c r="W96" s="294"/>
      <c r="X96" s="264"/>
      <c r="Y96" s="142"/>
      <c r="Z96" s="276"/>
      <c r="AA96" s="276"/>
      <c r="AB96" s="276"/>
      <c r="AC96" s="276"/>
      <c r="AD96" s="276"/>
      <c r="AE96" s="276"/>
      <c r="AF96" s="287">
        <f t="shared" si="221"/>
        <v>0</v>
      </c>
      <c r="AG96" s="283">
        <f t="shared" si="172"/>
        <v>115.58</v>
      </c>
      <c r="AH96" s="230">
        <f>K96*$G96</f>
        <v>281811.77919999999</v>
      </c>
      <c r="AI96" s="230">
        <f>L96*$G96</f>
        <v>281811.77919999999</v>
      </c>
      <c r="AJ96" s="230">
        <f>M96*$G96</f>
        <v>0</v>
      </c>
      <c r="AK96" s="261">
        <f t="shared" si="177"/>
        <v>563623.55839999998</v>
      </c>
      <c r="AL96" s="230">
        <f>O96*$G96</f>
        <v>0</v>
      </c>
      <c r="AM96" s="230">
        <f>P96*$G96</f>
        <v>0</v>
      </c>
      <c r="AN96" s="230">
        <f>Q96*$G96</f>
        <v>0</v>
      </c>
      <c r="AO96" s="261"/>
      <c r="AP96" s="230">
        <f t="shared" ref="AP96:AU96" si="232">S96*$J96</f>
        <v>0</v>
      </c>
      <c r="AQ96" s="230">
        <f t="shared" si="232"/>
        <v>0</v>
      </c>
      <c r="AR96" s="230">
        <f t="shared" si="232"/>
        <v>0</v>
      </c>
      <c r="AS96" s="230">
        <f t="shared" si="232"/>
        <v>0</v>
      </c>
      <c r="AT96" s="230">
        <f t="shared" si="232"/>
        <v>0</v>
      </c>
      <c r="AU96" s="230">
        <f t="shared" si="232"/>
        <v>0</v>
      </c>
      <c r="AV96" s="261"/>
      <c r="AW96" s="230">
        <f t="shared" ref="AW96:BB96" si="233">Z96*$J96</f>
        <v>0</v>
      </c>
      <c r="AX96" s="230">
        <f t="shared" si="233"/>
        <v>0</v>
      </c>
      <c r="AY96" s="230">
        <f t="shared" si="233"/>
        <v>0</v>
      </c>
      <c r="AZ96" s="230">
        <f t="shared" si="233"/>
        <v>0</v>
      </c>
      <c r="BA96" s="230">
        <f t="shared" si="233"/>
        <v>0</v>
      </c>
      <c r="BB96" s="230">
        <f t="shared" si="233"/>
        <v>0</v>
      </c>
      <c r="BC96" s="261">
        <f>SUM(AZ96:BB96)</f>
        <v>0</v>
      </c>
      <c r="BD96" s="239">
        <f t="shared" si="173"/>
        <v>563623.55839999998</v>
      </c>
      <c r="BE96" s="244"/>
    </row>
    <row r="97" spans="1:202" ht="25.5">
      <c r="A97" s="193" t="s">
        <v>101</v>
      </c>
      <c r="B97" s="182" t="s">
        <v>482</v>
      </c>
      <c r="C97" s="221" t="s">
        <v>419</v>
      </c>
      <c r="D97" s="73">
        <v>2911004331</v>
      </c>
      <c r="E97" s="82"/>
      <c r="F97" s="82"/>
      <c r="G97" s="177"/>
      <c r="H97" s="82"/>
      <c r="I97" s="82"/>
      <c r="J97" s="210"/>
      <c r="K97" s="254">
        <f>K98</f>
        <v>62.84</v>
      </c>
      <c r="L97" s="254">
        <f>L98</f>
        <v>54.28</v>
      </c>
      <c r="M97" s="254">
        <f>M98</f>
        <v>0</v>
      </c>
      <c r="N97" s="284">
        <f>K97+L97+M97</f>
        <v>117.12</v>
      </c>
      <c r="O97" s="275">
        <f>O98</f>
        <v>0</v>
      </c>
      <c r="P97" s="275">
        <f>P98</f>
        <v>0</v>
      </c>
      <c r="Q97" s="275">
        <f>Q98</f>
        <v>0</v>
      </c>
      <c r="R97" s="284">
        <f t="shared" si="227"/>
        <v>0</v>
      </c>
      <c r="S97" s="293">
        <f t="shared" ref="S97:X97" si="234">S98</f>
        <v>0</v>
      </c>
      <c r="T97" s="293">
        <f t="shared" si="234"/>
        <v>0</v>
      </c>
      <c r="U97" s="293">
        <f t="shared" si="234"/>
        <v>0</v>
      </c>
      <c r="V97" s="293">
        <f t="shared" si="234"/>
        <v>0</v>
      </c>
      <c r="W97" s="293">
        <f t="shared" si="234"/>
        <v>0</v>
      </c>
      <c r="X97" s="293">
        <f t="shared" si="234"/>
        <v>0</v>
      </c>
      <c r="Y97" s="262">
        <f>SUM(S97:X97)</f>
        <v>0</v>
      </c>
      <c r="Z97" s="275">
        <f t="shared" ref="Z97:AE97" si="235">Z98</f>
        <v>0</v>
      </c>
      <c r="AA97" s="275">
        <f t="shared" si="235"/>
        <v>0</v>
      </c>
      <c r="AB97" s="275">
        <f t="shared" si="235"/>
        <v>0</v>
      </c>
      <c r="AC97" s="275">
        <f t="shared" si="235"/>
        <v>0</v>
      </c>
      <c r="AD97" s="275">
        <f t="shared" si="235"/>
        <v>0</v>
      </c>
      <c r="AE97" s="275">
        <f t="shared" si="235"/>
        <v>0</v>
      </c>
      <c r="AF97" s="284">
        <f t="shared" si="221"/>
        <v>0</v>
      </c>
      <c r="AG97" s="282">
        <f t="shared" si="172"/>
        <v>117.12</v>
      </c>
      <c r="AH97" s="232">
        <f>AH98</f>
        <v>185312.6464</v>
      </c>
      <c r="AI97" s="232">
        <f>AI98</f>
        <v>160069.54880000002</v>
      </c>
      <c r="AJ97" s="232">
        <f>AJ98</f>
        <v>0</v>
      </c>
      <c r="AK97" s="260">
        <f t="shared" si="177"/>
        <v>345382.19520000002</v>
      </c>
      <c r="AL97" s="232">
        <f>AL98</f>
        <v>0</v>
      </c>
      <c r="AM97" s="232">
        <f>AM98</f>
        <v>0</v>
      </c>
      <c r="AN97" s="232">
        <f>AN98</f>
        <v>0</v>
      </c>
      <c r="AO97" s="260">
        <f>SUM(AL97:AN97)</f>
        <v>0</v>
      </c>
      <c r="AP97" s="232">
        <f t="shared" ref="AP97:AU97" si="236">AP98</f>
        <v>0</v>
      </c>
      <c r="AQ97" s="232">
        <f t="shared" si="236"/>
        <v>0</v>
      </c>
      <c r="AR97" s="232">
        <f t="shared" si="236"/>
        <v>0</v>
      </c>
      <c r="AS97" s="232">
        <f t="shared" si="236"/>
        <v>0</v>
      </c>
      <c r="AT97" s="232">
        <f t="shared" si="236"/>
        <v>0</v>
      </c>
      <c r="AU97" s="232">
        <f t="shared" si="236"/>
        <v>0</v>
      </c>
      <c r="AV97" s="260">
        <f>SUM(AP97:AU97)</f>
        <v>0</v>
      </c>
      <c r="AW97" s="232">
        <f t="shared" ref="AW97:BB97" si="237">AW98</f>
        <v>0</v>
      </c>
      <c r="AX97" s="232">
        <f t="shared" si="237"/>
        <v>0</v>
      </c>
      <c r="AY97" s="232">
        <f t="shared" si="237"/>
        <v>0</v>
      </c>
      <c r="AZ97" s="232">
        <f t="shared" si="237"/>
        <v>0</v>
      </c>
      <c r="BA97" s="232">
        <f t="shared" si="237"/>
        <v>0</v>
      </c>
      <c r="BB97" s="232">
        <f t="shared" si="237"/>
        <v>0</v>
      </c>
      <c r="BC97" s="260">
        <f t="shared" ref="BC97:BC115" si="238">SUM(AW97:BB97)</f>
        <v>0</v>
      </c>
      <c r="BD97" s="238">
        <f t="shared" si="173"/>
        <v>345382.19520000002</v>
      </c>
    </row>
    <row r="98" spans="1:202" ht="12.75">
      <c r="A98" s="194"/>
      <c r="B98" s="339"/>
      <c r="C98" s="221"/>
      <c r="D98" s="85"/>
      <c r="E98" s="82">
        <v>4663.96</v>
      </c>
      <c r="F98" s="82">
        <v>1715</v>
      </c>
      <c r="G98" s="177">
        <f t="shared" si="203"/>
        <v>2948.96</v>
      </c>
      <c r="H98" s="82">
        <v>4663.96</v>
      </c>
      <c r="I98" s="82">
        <v>1715</v>
      </c>
      <c r="J98" s="210">
        <f>H98-I98</f>
        <v>2948.96</v>
      </c>
      <c r="K98" s="255">
        <v>62.84</v>
      </c>
      <c r="L98" s="255">
        <v>54.28</v>
      </c>
      <c r="M98" s="255"/>
      <c r="N98" s="287">
        <f>SUM(K98:M98)</f>
        <v>117.12</v>
      </c>
      <c r="O98" s="276"/>
      <c r="P98" s="276"/>
      <c r="Q98" s="294"/>
      <c r="R98" s="287"/>
      <c r="S98" s="294"/>
      <c r="T98" s="267"/>
      <c r="U98" s="276"/>
      <c r="V98" s="276"/>
      <c r="W98" s="294"/>
      <c r="X98" s="264"/>
      <c r="Y98" s="142"/>
      <c r="Z98" s="276"/>
      <c r="AA98" s="276"/>
      <c r="AB98" s="276"/>
      <c r="AC98" s="276"/>
      <c r="AD98" s="276"/>
      <c r="AE98" s="276"/>
      <c r="AF98" s="287">
        <f t="shared" si="221"/>
        <v>0</v>
      </c>
      <c r="AG98" s="283">
        <f t="shared" si="172"/>
        <v>117.12</v>
      </c>
      <c r="AH98" s="230">
        <f>K98*$G98</f>
        <v>185312.6464</v>
      </c>
      <c r="AI98" s="230">
        <f>L98*$G98</f>
        <v>160069.54880000002</v>
      </c>
      <c r="AJ98" s="230">
        <f>M98*$G98</f>
        <v>0</v>
      </c>
      <c r="AK98" s="261">
        <f t="shared" si="177"/>
        <v>345382.19520000002</v>
      </c>
      <c r="AL98" s="230">
        <f>O98*$G98</f>
        <v>0</v>
      </c>
      <c r="AM98" s="230">
        <f>P98*$G98</f>
        <v>0</v>
      </c>
      <c r="AN98" s="230">
        <f>Q98*$G98</f>
        <v>0</v>
      </c>
      <c r="AO98" s="261"/>
      <c r="AP98" s="230">
        <f t="shared" ref="AP98:AU98" si="239">S98*$J98</f>
        <v>0</v>
      </c>
      <c r="AQ98" s="230">
        <f t="shared" si="239"/>
        <v>0</v>
      </c>
      <c r="AR98" s="230">
        <f t="shared" si="239"/>
        <v>0</v>
      </c>
      <c r="AS98" s="230">
        <f t="shared" si="239"/>
        <v>0</v>
      </c>
      <c r="AT98" s="230">
        <f t="shared" si="239"/>
        <v>0</v>
      </c>
      <c r="AU98" s="230">
        <f t="shared" si="239"/>
        <v>0</v>
      </c>
      <c r="AV98" s="261"/>
      <c r="AW98" s="230">
        <f t="shared" ref="AW98:BB98" si="240">Z98*$J98</f>
        <v>0</v>
      </c>
      <c r="AX98" s="230">
        <f t="shared" si="240"/>
        <v>0</v>
      </c>
      <c r="AY98" s="230">
        <f t="shared" si="240"/>
        <v>0</v>
      </c>
      <c r="AZ98" s="230">
        <f t="shared" si="240"/>
        <v>0</v>
      </c>
      <c r="BA98" s="230">
        <f t="shared" si="240"/>
        <v>0</v>
      </c>
      <c r="BB98" s="230">
        <f t="shared" si="240"/>
        <v>0</v>
      </c>
      <c r="BC98" s="261">
        <f t="shared" si="238"/>
        <v>0</v>
      </c>
      <c r="BD98" s="239">
        <f t="shared" si="173"/>
        <v>345382.19520000002</v>
      </c>
      <c r="BE98" s="244"/>
    </row>
    <row r="99" spans="1:202" s="79" customFormat="1" ht="23.25" customHeight="1">
      <c r="A99" s="208" t="s">
        <v>101</v>
      </c>
      <c r="B99" s="182" t="s">
        <v>470</v>
      </c>
      <c r="C99" s="221" t="s">
        <v>413</v>
      </c>
      <c r="D99" s="134" t="s">
        <v>115</v>
      </c>
      <c r="E99" s="82"/>
      <c r="F99" s="82"/>
      <c r="G99" s="177"/>
      <c r="H99" s="82"/>
      <c r="I99" s="82"/>
      <c r="J99" s="210"/>
      <c r="K99" s="254">
        <f>K100</f>
        <v>35.569000000000003</v>
      </c>
      <c r="L99" s="254">
        <f>L100</f>
        <v>35.569000000000003</v>
      </c>
      <c r="M99" s="254">
        <f>M100</f>
        <v>0</v>
      </c>
      <c r="N99" s="284">
        <f>K99+L99+M99</f>
        <v>71.138000000000005</v>
      </c>
      <c r="O99" s="275">
        <f>O100</f>
        <v>0</v>
      </c>
      <c r="P99" s="275">
        <f>P100</f>
        <v>0</v>
      </c>
      <c r="Q99" s="275">
        <f>Q100</f>
        <v>0</v>
      </c>
      <c r="R99" s="284">
        <f t="shared" si="227"/>
        <v>0</v>
      </c>
      <c r="S99" s="293">
        <f t="shared" ref="S99:X99" si="241">S100</f>
        <v>0</v>
      </c>
      <c r="T99" s="293">
        <f t="shared" si="241"/>
        <v>0</v>
      </c>
      <c r="U99" s="293">
        <f t="shared" si="241"/>
        <v>0</v>
      </c>
      <c r="V99" s="293">
        <f t="shared" si="241"/>
        <v>0</v>
      </c>
      <c r="W99" s="293">
        <f t="shared" si="241"/>
        <v>0</v>
      </c>
      <c r="X99" s="293">
        <f t="shared" si="241"/>
        <v>0</v>
      </c>
      <c r="Y99" s="262">
        <f>SUM(S99:X99)</f>
        <v>0</v>
      </c>
      <c r="Z99" s="275">
        <f t="shared" ref="Z99:AE99" si="242">Z100</f>
        <v>0</v>
      </c>
      <c r="AA99" s="275">
        <f t="shared" si="242"/>
        <v>0</v>
      </c>
      <c r="AB99" s="275">
        <f t="shared" si="242"/>
        <v>0</v>
      </c>
      <c r="AC99" s="275">
        <f t="shared" si="242"/>
        <v>0</v>
      </c>
      <c r="AD99" s="275">
        <f t="shared" si="242"/>
        <v>0</v>
      </c>
      <c r="AE99" s="275">
        <f t="shared" si="242"/>
        <v>0</v>
      </c>
      <c r="AF99" s="284">
        <f t="shared" si="221"/>
        <v>0</v>
      </c>
      <c r="AG99" s="282">
        <f t="shared" si="172"/>
        <v>71.138000000000005</v>
      </c>
      <c r="AH99" s="232">
        <f>AH100</f>
        <v>143415.63076</v>
      </c>
      <c r="AI99" s="232">
        <f>AI100</f>
        <v>143415.63076</v>
      </c>
      <c r="AJ99" s="232">
        <f>AJ100</f>
        <v>0</v>
      </c>
      <c r="AK99" s="260">
        <f t="shared" si="177"/>
        <v>286831.26152</v>
      </c>
      <c r="AL99" s="232">
        <f>AL100</f>
        <v>0</v>
      </c>
      <c r="AM99" s="232">
        <f>AM100</f>
        <v>0</v>
      </c>
      <c r="AN99" s="232">
        <f>AN100</f>
        <v>0</v>
      </c>
      <c r="AO99" s="260">
        <f>SUM(AL99:AN99)</f>
        <v>0</v>
      </c>
      <c r="AP99" s="232">
        <f t="shared" ref="AP99:AU99" si="243">AP100</f>
        <v>0</v>
      </c>
      <c r="AQ99" s="232">
        <f t="shared" si="243"/>
        <v>0</v>
      </c>
      <c r="AR99" s="232">
        <f t="shared" si="243"/>
        <v>0</v>
      </c>
      <c r="AS99" s="232">
        <f t="shared" si="243"/>
        <v>0</v>
      </c>
      <c r="AT99" s="232">
        <f t="shared" si="243"/>
        <v>0</v>
      </c>
      <c r="AU99" s="232">
        <f t="shared" si="243"/>
        <v>0</v>
      </c>
      <c r="AV99" s="260">
        <f>SUM(AP99:AU99)</f>
        <v>0</v>
      </c>
      <c r="AW99" s="232">
        <f t="shared" ref="AW99:BB99" si="244">AW100</f>
        <v>0</v>
      </c>
      <c r="AX99" s="232">
        <f t="shared" si="244"/>
        <v>0</v>
      </c>
      <c r="AY99" s="232">
        <f t="shared" si="244"/>
        <v>0</v>
      </c>
      <c r="AZ99" s="232">
        <f t="shared" si="244"/>
        <v>0</v>
      </c>
      <c r="BA99" s="232">
        <f t="shared" si="244"/>
        <v>0</v>
      </c>
      <c r="BB99" s="232">
        <f t="shared" si="244"/>
        <v>0</v>
      </c>
      <c r="BC99" s="260">
        <f t="shared" si="238"/>
        <v>0</v>
      </c>
      <c r="BD99" s="238">
        <f t="shared" si="173"/>
        <v>286831.26152</v>
      </c>
      <c r="BE99" s="13"/>
      <c r="BF99" s="243"/>
      <c r="BG99" s="243"/>
      <c r="BH99" s="243"/>
      <c r="BI99" s="243"/>
      <c r="BJ99" s="243"/>
      <c r="BK99" s="243"/>
      <c r="BL99" s="243"/>
      <c r="BM99" s="243"/>
      <c r="BN99" s="243"/>
      <c r="BO99" s="243"/>
      <c r="BP99" s="243"/>
      <c r="BQ99" s="243"/>
      <c r="BR99" s="243"/>
      <c r="BS99" s="243"/>
      <c r="BT99" s="243"/>
      <c r="BU99" s="243"/>
      <c r="BV99" s="243"/>
      <c r="BW99" s="243"/>
      <c r="BX99" s="243"/>
      <c r="BY99" s="243"/>
      <c r="BZ99" s="243"/>
      <c r="CA99" s="243"/>
      <c r="CB99" s="243"/>
      <c r="CC99" s="243"/>
      <c r="CD99" s="243"/>
      <c r="CE99" s="243"/>
      <c r="CF99" s="243"/>
      <c r="CG99" s="243"/>
      <c r="CH99" s="243"/>
      <c r="CI99" s="243"/>
      <c r="CJ99" s="243"/>
      <c r="CK99" s="243"/>
      <c r="CL99" s="243"/>
      <c r="CM99" s="243"/>
      <c r="CN99" s="243"/>
      <c r="CO99" s="243"/>
      <c r="CP99" s="243"/>
      <c r="CQ99" s="243"/>
      <c r="CR99" s="243"/>
      <c r="CS99" s="243"/>
      <c r="CT99" s="243"/>
      <c r="CU99" s="243"/>
      <c r="CV99" s="243"/>
      <c r="CW99" s="243"/>
      <c r="CX99" s="243"/>
      <c r="CY99" s="243"/>
      <c r="CZ99" s="243"/>
      <c r="DA99" s="243"/>
      <c r="DB99" s="243"/>
      <c r="DC99" s="243"/>
      <c r="DD99" s="243"/>
      <c r="DE99" s="243"/>
      <c r="DF99" s="243"/>
      <c r="DG99" s="243"/>
      <c r="DH99" s="243"/>
      <c r="DI99" s="243"/>
      <c r="DJ99" s="243"/>
      <c r="DK99" s="243"/>
      <c r="DL99" s="243"/>
      <c r="DM99" s="243"/>
      <c r="DN99" s="243"/>
      <c r="DO99" s="243"/>
      <c r="DP99" s="243"/>
      <c r="DQ99" s="243"/>
      <c r="DR99" s="243"/>
      <c r="DS99" s="243"/>
      <c r="DT99" s="243"/>
      <c r="DU99" s="243"/>
      <c r="DV99" s="243"/>
      <c r="DW99" s="243"/>
      <c r="DX99" s="243"/>
      <c r="DY99" s="243"/>
      <c r="DZ99" s="243"/>
      <c r="EA99" s="243"/>
      <c r="EB99" s="243"/>
      <c r="EC99" s="243"/>
      <c r="ED99" s="243"/>
      <c r="EE99" s="243"/>
      <c r="EF99" s="243"/>
      <c r="EG99" s="243"/>
      <c r="EH99" s="243"/>
      <c r="EI99" s="243"/>
      <c r="EJ99" s="243"/>
      <c r="EK99" s="243"/>
      <c r="EL99" s="243"/>
      <c r="EM99" s="243"/>
      <c r="EN99" s="243"/>
      <c r="EO99" s="243"/>
      <c r="EP99" s="243"/>
      <c r="EQ99" s="243"/>
      <c r="ER99" s="243"/>
      <c r="ES99" s="243"/>
      <c r="ET99" s="243"/>
      <c r="EU99" s="243"/>
      <c r="EV99" s="243"/>
      <c r="EW99" s="243"/>
      <c r="EX99" s="243"/>
      <c r="EY99" s="243"/>
      <c r="EZ99" s="243"/>
      <c r="FA99" s="243"/>
      <c r="FB99" s="243"/>
      <c r="FC99" s="243"/>
      <c r="FD99" s="243"/>
      <c r="FE99" s="243"/>
      <c r="FF99" s="243"/>
      <c r="FG99" s="243"/>
      <c r="FH99" s="243"/>
      <c r="FI99" s="243"/>
      <c r="FJ99" s="243"/>
      <c r="FK99" s="243"/>
      <c r="FL99" s="243"/>
      <c r="FM99" s="243"/>
      <c r="FN99" s="243"/>
      <c r="FO99" s="243"/>
      <c r="FP99" s="243"/>
      <c r="FQ99" s="243"/>
      <c r="FR99" s="243"/>
      <c r="FS99" s="243"/>
      <c r="FT99" s="243"/>
      <c r="FU99" s="243"/>
      <c r="FV99" s="243"/>
      <c r="FW99" s="243"/>
      <c r="FX99" s="243"/>
      <c r="FY99" s="243"/>
      <c r="FZ99" s="243"/>
      <c r="GA99" s="243"/>
      <c r="GB99" s="243"/>
      <c r="GC99" s="243"/>
      <c r="GD99" s="243"/>
      <c r="GE99" s="243"/>
      <c r="GF99" s="243"/>
      <c r="GG99" s="243"/>
      <c r="GH99" s="243"/>
      <c r="GI99" s="243"/>
      <c r="GJ99" s="243"/>
      <c r="GK99" s="243"/>
      <c r="GL99" s="243"/>
      <c r="GM99" s="243"/>
      <c r="GN99" s="243"/>
      <c r="GO99" s="243"/>
      <c r="GP99" s="243"/>
      <c r="GQ99" s="243"/>
      <c r="GR99" s="243"/>
      <c r="GS99" s="243"/>
      <c r="GT99" s="243"/>
    </row>
    <row r="100" spans="1:202" ht="12.75">
      <c r="A100" s="194"/>
      <c r="B100" s="339"/>
      <c r="C100" s="221"/>
      <c r="D100" s="85"/>
      <c r="E100" s="82">
        <v>5637.04</v>
      </c>
      <c r="F100" s="82">
        <v>1605</v>
      </c>
      <c r="G100" s="177">
        <f t="shared" si="203"/>
        <v>4032.04</v>
      </c>
      <c r="H100" s="82">
        <v>5637.04</v>
      </c>
      <c r="I100" s="82">
        <v>1605</v>
      </c>
      <c r="J100" s="210">
        <f>H100-I100</f>
        <v>4032.04</v>
      </c>
      <c r="K100" s="255">
        <v>35.569000000000003</v>
      </c>
      <c r="L100" s="255">
        <v>35.569000000000003</v>
      </c>
      <c r="M100" s="255"/>
      <c r="N100" s="287">
        <f>SUM(K100:M100)</f>
        <v>71.138000000000005</v>
      </c>
      <c r="O100" s="276"/>
      <c r="P100" s="276"/>
      <c r="Q100" s="294"/>
      <c r="R100" s="287"/>
      <c r="S100" s="294"/>
      <c r="T100" s="267"/>
      <c r="U100" s="276"/>
      <c r="V100" s="276"/>
      <c r="W100" s="294"/>
      <c r="X100" s="264"/>
      <c r="Y100" s="142">
        <f>SUM(S100:X100)</f>
        <v>0</v>
      </c>
      <c r="Z100" s="276"/>
      <c r="AA100" s="276"/>
      <c r="AB100" s="276"/>
      <c r="AC100" s="276"/>
      <c r="AD100" s="276"/>
      <c r="AE100" s="276"/>
      <c r="AF100" s="287">
        <f t="shared" si="221"/>
        <v>0</v>
      </c>
      <c r="AG100" s="283">
        <f t="shared" si="172"/>
        <v>71.138000000000005</v>
      </c>
      <c r="AH100" s="230">
        <f>K100*$G100</f>
        <v>143415.63076</v>
      </c>
      <c r="AI100" s="230">
        <f>L100*$G100</f>
        <v>143415.63076</v>
      </c>
      <c r="AJ100" s="230">
        <f>M100*$G100</f>
        <v>0</v>
      </c>
      <c r="AK100" s="261">
        <f t="shared" si="177"/>
        <v>286831.26152</v>
      </c>
      <c r="AL100" s="230">
        <f>O100*$G100</f>
        <v>0</v>
      </c>
      <c r="AM100" s="230">
        <f>P100*$G100</f>
        <v>0</v>
      </c>
      <c r="AN100" s="230">
        <f>Q100*$G100</f>
        <v>0</v>
      </c>
      <c r="AO100" s="261"/>
      <c r="AP100" s="230">
        <f t="shared" ref="AP100:AU100" si="245">S100*$J100</f>
        <v>0</v>
      </c>
      <c r="AQ100" s="230">
        <f t="shared" si="245"/>
        <v>0</v>
      </c>
      <c r="AR100" s="230">
        <f t="shared" si="245"/>
        <v>0</v>
      </c>
      <c r="AS100" s="230">
        <f t="shared" si="245"/>
        <v>0</v>
      </c>
      <c r="AT100" s="230">
        <f t="shared" si="245"/>
        <v>0</v>
      </c>
      <c r="AU100" s="230">
        <f t="shared" si="245"/>
        <v>0</v>
      </c>
      <c r="AV100" s="261"/>
      <c r="AW100" s="230">
        <f t="shared" ref="AW100:BB100" si="246">Z100*$J100</f>
        <v>0</v>
      </c>
      <c r="AX100" s="230">
        <f t="shared" si="246"/>
        <v>0</v>
      </c>
      <c r="AY100" s="230">
        <f t="shared" si="246"/>
        <v>0</v>
      </c>
      <c r="AZ100" s="230">
        <f t="shared" si="246"/>
        <v>0</v>
      </c>
      <c r="BA100" s="230">
        <f t="shared" si="246"/>
        <v>0</v>
      </c>
      <c r="BB100" s="230">
        <f t="shared" si="246"/>
        <v>0</v>
      </c>
      <c r="BC100" s="261">
        <f t="shared" si="238"/>
        <v>0</v>
      </c>
      <c r="BD100" s="239">
        <f t="shared" si="173"/>
        <v>286831.26152</v>
      </c>
      <c r="BE100" s="244"/>
    </row>
    <row r="101" spans="1:202" s="79" customFormat="1" ht="32.25" customHeight="1">
      <c r="A101" s="193" t="s">
        <v>101</v>
      </c>
      <c r="B101" s="182" t="s">
        <v>477</v>
      </c>
      <c r="C101" s="221" t="s">
        <v>416</v>
      </c>
      <c r="D101" s="73" t="s">
        <v>116</v>
      </c>
      <c r="E101" s="82"/>
      <c r="F101" s="82"/>
      <c r="G101" s="177"/>
      <c r="H101" s="82"/>
      <c r="I101" s="82"/>
      <c r="J101" s="210"/>
      <c r="K101" s="254">
        <f>K102</f>
        <v>57.057000000000002</v>
      </c>
      <c r="L101" s="254">
        <f>L102</f>
        <v>57.057000000000002</v>
      </c>
      <c r="M101" s="254">
        <f>M102</f>
        <v>0</v>
      </c>
      <c r="N101" s="284">
        <f>K101+L101+M101</f>
        <v>114.114</v>
      </c>
      <c r="O101" s="275">
        <f>O102</f>
        <v>0</v>
      </c>
      <c r="P101" s="275">
        <f>P102</f>
        <v>0</v>
      </c>
      <c r="Q101" s="275">
        <f>Q102</f>
        <v>0</v>
      </c>
      <c r="R101" s="284">
        <f t="shared" si="227"/>
        <v>0</v>
      </c>
      <c r="S101" s="293">
        <f t="shared" ref="S101:X101" si="247">S102</f>
        <v>0</v>
      </c>
      <c r="T101" s="293">
        <f t="shared" si="247"/>
        <v>0</v>
      </c>
      <c r="U101" s="293">
        <f t="shared" si="247"/>
        <v>0</v>
      </c>
      <c r="V101" s="293">
        <f t="shared" si="247"/>
        <v>0</v>
      </c>
      <c r="W101" s="293">
        <f t="shared" si="247"/>
        <v>0</v>
      </c>
      <c r="X101" s="293">
        <f t="shared" si="247"/>
        <v>0</v>
      </c>
      <c r="Y101" s="262">
        <f>SUM(S101:X101)</f>
        <v>0</v>
      </c>
      <c r="Z101" s="275">
        <f t="shared" ref="Z101:AE101" si="248">Z102</f>
        <v>0</v>
      </c>
      <c r="AA101" s="275">
        <f t="shared" si="248"/>
        <v>0</v>
      </c>
      <c r="AB101" s="275">
        <f t="shared" si="248"/>
        <v>0</v>
      </c>
      <c r="AC101" s="275">
        <f t="shared" si="248"/>
        <v>0</v>
      </c>
      <c r="AD101" s="275">
        <f t="shared" si="248"/>
        <v>0</v>
      </c>
      <c r="AE101" s="275">
        <f t="shared" si="248"/>
        <v>0</v>
      </c>
      <c r="AF101" s="284">
        <f t="shared" si="221"/>
        <v>0</v>
      </c>
      <c r="AG101" s="282">
        <f t="shared" si="172"/>
        <v>114.114</v>
      </c>
      <c r="AH101" s="232">
        <f>AH102</f>
        <v>191693.26176000002</v>
      </c>
      <c r="AI101" s="232">
        <f>AI102</f>
        <v>191693.26176000002</v>
      </c>
      <c r="AJ101" s="232">
        <f>AJ102</f>
        <v>0</v>
      </c>
      <c r="AK101" s="260">
        <f t="shared" si="177"/>
        <v>383386.52352000005</v>
      </c>
      <c r="AL101" s="232">
        <f>AL102</f>
        <v>0</v>
      </c>
      <c r="AM101" s="232">
        <f>AM102</f>
        <v>0</v>
      </c>
      <c r="AN101" s="232">
        <f>AN102</f>
        <v>0</v>
      </c>
      <c r="AO101" s="260">
        <f>SUM(AL101:AN101)</f>
        <v>0</v>
      </c>
      <c r="AP101" s="232">
        <f t="shared" ref="AP101:AU101" si="249">AP102</f>
        <v>0</v>
      </c>
      <c r="AQ101" s="232">
        <f t="shared" si="249"/>
        <v>0</v>
      </c>
      <c r="AR101" s="232">
        <f t="shared" si="249"/>
        <v>0</v>
      </c>
      <c r="AS101" s="232">
        <f t="shared" si="249"/>
        <v>0</v>
      </c>
      <c r="AT101" s="232">
        <f t="shared" si="249"/>
        <v>0</v>
      </c>
      <c r="AU101" s="232">
        <f t="shared" si="249"/>
        <v>0</v>
      </c>
      <c r="AV101" s="260">
        <f>SUM(AP101:AU101)</f>
        <v>0</v>
      </c>
      <c r="AW101" s="232">
        <f t="shared" ref="AW101:BB101" si="250">AW102</f>
        <v>0</v>
      </c>
      <c r="AX101" s="232">
        <f t="shared" si="250"/>
        <v>0</v>
      </c>
      <c r="AY101" s="232">
        <f t="shared" si="250"/>
        <v>0</v>
      </c>
      <c r="AZ101" s="232">
        <f t="shared" si="250"/>
        <v>0</v>
      </c>
      <c r="BA101" s="232">
        <f t="shared" si="250"/>
        <v>0</v>
      </c>
      <c r="BB101" s="232">
        <f t="shared" si="250"/>
        <v>0</v>
      </c>
      <c r="BC101" s="260">
        <f t="shared" si="238"/>
        <v>0</v>
      </c>
      <c r="BD101" s="238">
        <f t="shared" si="173"/>
        <v>383386.52352000005</v>
      </c>
      <c r="BE101" s="13"/>
      <c r="BF101" s="243"/>
      <c r="BG101" s="243"/>
      <c r="BH101" s="243"/>
      <c r="BI101" s="243"/>
      <c r="BJ101" s="243"/>
      <c r="BK101" s="243"/>
      <c r="BL101" s="243"/>
      <c r="BM101" s="243"/>
      <c r="BN101" s="243"/>
      <c r="BO101" s="243"/>
      <c r="BP101" s="243"/>
      <c r="BQ101" s="243"/>
      <c r="BR101" s="243"/>
      <c r="BS101" s="243"/>
      <c r="BT101" s="243"/>
      <c r="BU101" s="243"/>
      <c r="BV101" s="243"/>
      <c r="BW101" s="243"/>
      <c r="BX101" s="243"/>
      <c r="BY101" s="243"/>
      <c r="BZ101" s="243"/>
      <c r="CA101" s="243"/>
      <c r="CB101" s="243"/>
      <c r="CC101" s="243"/>
      <c r="CD101" s="243"/>
      <c r="CE101" s="243"/>
      <c r="CF101" s="243"/>
      <c r="CG101" s="243"/>
      <c r="CH101" s="243"/>
      <c r="CI101" s="243"/>
      <c r="CJ101" s="243"/>
      <c r="CK101" s="243"/>
      <c r="CL101" s="243"/>
      <c r="CM101" s="243"/>
      <c r="CN101" s="243"/>
      <c r="CO101" s="243"/>
      <c r="CP101" s="243"/>
      <c r="CQ101" s="243"/>
      <c r="CR101" s="243"/>
      <c r="CS101" s="243"/>
      <c r="CT101" s="243"/>
      <c r="CU101" s="243"/>
      <c r="CV101" s="243"/>
      <c r="CW101" s="243"/>
      <c r="CX101" s="243"/>
      <c r="CY101" s="243"/>
      <c r="CZ101" s="243"/>
      <c r="DA101" s="243"/>
      <c r="DB101" s="243"/>
      <c r="DC101" s="243"/>
      <c r="DD101" s="243"/>
      <c r="DE101" s="243"/>
      <c r="DF101" s="243"/>
      <c r="DG101" s="243"/>
      <c r="DH101" s="243"/>
      <c r="DI101" s="243"/>
      <c r="DJ101" s="243"/>
      <c r="DK101" s="243"/>
      <c r="DL101" s="243"/>
      <c r="DM101" s="243"/>
      <c r="DN101" s="243"/>
      <c r="DO101" s="243"/>
      <c r="DP101" s="243"/>
      <c r="DQ101" s="243"/>
      <c r="DR101" s="243"/>
      <c r="DS101" s="243"/>
      <c r="DT101" s="243"/>
      <c r="DU101" s="243"/>
      <c r="DV101" s="243"/>
      <c r="DW101" s="243"/>
      <c r="DX101" s="243"/>
      <c r="DY101" s="243"/>
      <c r="DZ101" s="243"/>
      <c r="EA101" s="243"/>
      <c r="EB101" s="243"/>
      <c r="EC101" s="243"/>
      <c r="ED101" s="243"/>
      <c r="EE101" s="243"/>
      <c r="EF101" s="243"/>
      <c r="EG101" s="243"/>
      <c r="EH101" s="243"/>
      <c r="EI101" s="243"/>
      <c r="EJ101" s="243"/>
      <c r="EK101" s="243"/>
      <c r="EL101" s="243"/>
      <c r="EM101" s="243"/>
      <c r="EN101" s="243"/>
      <c r="EO101" s="243"/>
      <c r="EP101" s="243"/>
      <c r="EQ101" s="243"/>
      <c r="ER101" s="243"/>
      <c r="ES101" s="243"/>
      <c r="ET101" s="243"/>
      <c r="EU101" s="243"/>
      <c r="EV101" s="243"/>
      <c r="EW101" s="243"/>
      <c r="EX101" s="243"/>
      <c r="EY101" s="243"/>
      <c r="EZ101" s="243"/>
      <c r="FA101" s="243"/>
      <c r="FB101" s="243"/>
      <c r="FC101" s="243"/>
      <c r="FD101" s="243"/>
      <c r="FE101" s="243"/>
      <c r="FF101" s="243"/>
      <c r="FG101" s="243"/>
      <c r="FH101" s="243"/>
      <c r="FI101" s="243"/>
      <c r="FJ101" s="243"/>
      <c r="FK101" s="243"/>
      <c r="FL101" s="243"/>
      <c r="FM101" s="243"/>
      <c r="FN101" s="243"/>
      <c r="FO101" s="243"/>
      <c r="FP101" s="243"/>
      <c r="FQ101" s="243"/>
      <c r="FR101" s="243"/>
      <c r="FS101" s="243"/>
      <c r="FT101" s="243"/>
      <c r="FU101" s="243"/>
      <c r="FV101" s="243"/>
      <c r="FW101" s="243"/>
      <c r="FX101" s="243"/>
      <c r="FY101" s="243"/>
      <c r="FZ101" s="243"/>
      <c r="GA101" s="243"/>
      <c r="GB101" s="243"/>
      <c r="GC101" s="243"/>
      <c r="GD101" s="243"/>
      <c r="GE101" s="243"/>
      <c r="GF101" s="243"/>
      <c r="GG101" s="243"/>
      <c r="GH101" s="243"/>
      <c r="GI101" s="243"/>
      <c r="GJ101" s="243"/>
      <c r="GK101" s="243"/>
      <c r="GL101" s="243"/>
      <c r="GM101" s="243"/>
      <c r="GN101" s="243"/>
      <c r="GO101" s="243"/>
      <c r="GP101" s="243"/>
      <c r="GQ101" s="243"/>
      <c r="GR101" s="243"/>
      <c r="GS101" s="243"/>
      <c r="GT101" s="243"/>
    </row>
    <row r="102" spans="1:202" ht="30.75" customHeight="1">
      <c r="A102" s="194"/>
      <c r="B102" s="339"/>
      <c r="C102" s="221" t="s">
        <v>416</v>
      </c>
      <c r="D102" s="85"/>
      <c r="E102" s="82">
        <v>4964.68</v>
      </c>
      <c r="F102" s="82">
        <v>1605</v>
      </c>
      <c r="G102" s="177">
        <f>E102-F102</f>
        <v>3359.6800000000003</v>
      </c>
      <c r="H102" s="82">
        <v>4964.68</v>
      </c>
      <c r="I102" s="82">
        <v>1605</v>
      </c>
      <c r="J102" s="210">
        <f>H102-I102</f>
        <v>3359.6800000000003</v>
      </c>
      <c r="K102" s="255">
        <v>57.057000000000002</v>
      </c>
      <c r="L102" s="255">
        <v>57.057000000000002</v>
      </c>
      <c r="M102" s="255"/>
      <c r="N102" s="287">
        <f t="shared" ref="N102:N111" si="251">SUM(K102:M102)</f>
        <v>114.114</v>
      </c>
      <c r="O102" s="276"/>
      <c r="P102" s="276"/>
      <c r="Q102" s="294"/>
      <c r="R102" s="287"/>
      <c r="S102" s="294"/>
      <c r="T102" s="267"/>
      <c r="U102" s="276"/>
      <c r="V102" s="276"/>
      <c r="W102" s="294"/>
      <c r="X102" s="264"/>
      <c r="Y102" s="142"/>
      <c r="Z102" s="276"/>
      <c r="AA102" s="276"/>
      <c r="AB102" s="276"/>
      <c r="AC102" s="276"/>
      <c r="AD102" s="276"/>
      <c r="AE102" s="276"/>
      <c r="AF102" s="287">
        <f t="shared" si="221"/>
        <v>0</v>
      </c>
      <c r="AG102" s="283">
        <f t="shared" ref="AG102:AG133" si="252">AF102+Y102+R102+N102</f>
        <v>114.114</v>
      </c>
      <c r="AH102" s="230">
        <f>K102*$G102</f>
        <v>191693.26176000002</v>
      </c>
      <c r="AI102" s="230">
        <f>L102*$G102</f>
        <v>191693.26176000002</v>
      </c>
      <c r="AJ102" s="230">
        <f>M102*$G102</f>
        <v>0</v>
      </c>
      <c r="AK102" s="261">
        <f t="shared" si="177"/>
        <v>383386.52352000005</v>
      </c>
      <c r="AL102" s="230">
        <f>O102*$G102</f>
        <v>0</v>
      </c>
      <c r="AM102" s="230">
        <f>P102*$G102</f>
        <v>0</v>
      </c>
      <c r="AN102" s="230">
        <f>Q102*$G102</f>
        <v>0</v>
      </c>
      <c r="AO102" s="261"/>
      <c r="AP102" s="230">
        <f t="shared" ref="AP102:AU102" si="253">S102*$J102</f>
        <v>0</v>
      </c>
      <c r="AQ102" s="230">
        <f t="shared" si="253"/>
        <v>0</v>
      </c>
      <c r="AR102" s="230">
        <f t="shared" si="253"/>
        <v>0</v>
      </c>
      <c r="AS102" s="230">
        <f t="shared" si="253"/>
        <v>0</v>
      </c>
      <c r="AT102" s="230">
        <f t="shared" si="253"/>
        <v>0</v>
      </c>
      <c r="AU102" s="230">
        <f t="shared" si="253"/>
        <v>0</v>
      </c>
      <c r="AV102" s="261"/>
      <c r="AW102" s="230">
        <f t="shared" ref="AW102:BB102" si="254">Z102*$J102</f>
        <v>0</v>
      </c>
      <c r="AX102" s="230">
        <f t="shared" si="254"/>
        <v>0</v>
      </c>
      <c r="AY102" s="230">
        <f t="shared" si="254"/>
        <v>0</v>
      </c>
      <c r="AZ102" s="230">
        <f t="shared" si="254"/>
        <v>0</v>
      </c>
      <c r="BA102" s="230">
        <f t="shared" si="254"/>
        <v>0</v>
      </c>
      <c r="BB102" s="230">
        <f t="shared" si="254"/>
        <v>0</v>
      </c>
      <c r="BC102" s="261">
        <f t="shared" si="238"/>
        <v>0</v>
      </c>
      <c r="BD102" s="239">
        <f t="shared" ref="BD102:BD126" si="255">BC102+AV102+AO102+AK102</f>
        <v>383386.52352000005</v>
      </c>
      <c r="BE102" s="244"/>
    </row>
    <row r="103" spans="1:202" s="83" customFormat="1" ht="12.75">
      <c r="A103" s="197" t="s">
        <v>25</v>
      </c>
      <c r="B103" s="183" t="s">
        <v>165</v>
      </c>
      <c r="C103" s="217"/>
      <c r="D103" s="149">
        <v>7708503727</v>
      </c>
      <c r="E103" s="147"/>
      <c r="F103" s="144"/>
      <c r="G103" s="177"/>
      <c r="H103" s="147"/>
      <c r="I103" s="144"/>
      <c r="J103" s="210"/>
      <c r="K103" s="257">
        <f>SUM(K104:K111)</f>
        <v>1411.7950000000001</v>
      </c>
      <c r="L103" s="257">
        <f>SUM(L104:L111)</f>
        <v>1293.0220000000002</v>
      </c>
      <c r="M103" s="257">
        <f>SUM(M104:M111)</f>
        <v>0</v>
      </c>
      <c r="N103" s="284">
        <f t="shared" si="251"/>
        <v>2704.817</v>
      </c>
      <c r="O103" s="279">
        <f>SUM(O104:O107)</f>
        <v>0</v>
      </c>
      <c r="P103" s="279">
        <f>SUM(P104:P107)</f>
        <v>0</v>
      </c>
      <c r="Q103" s="279">
        <f>SUM(Q104:Q107)</f>
        <v>0</v>
      </c>
      <c r="R103" s="284">
        <f>R100+R101+R102</f>
        <v>0</v>
      </c>
      <c r="S103" s="296">
        <f t="shared" ref="S103:X103" si="256">SUM(S104:S107)</f>
        <v>0</v>
      </c>
      <c r="T103" s="296">
        <f t="shared" si="256"/>
        <v>0</v>
      </c>
      <c r="U103" s="296">
        <f t="shared" si="256"/>
        <v>0</v>
      </c>
      <c r="V103" s="296">
        <f t="shared" si="256"/>
        <v>0</v>
      </c>
      <c r="W103" s="296">
        <f t="shared" si="256"/>
        <v>0</v>
      </c>
      <c r="X103" s="296">
        <f t="shared" si="256"/>
        <v>0</v>
      </c>
      <c r="Y103" s="262">
        <f>SUM(S103:X103)</f>
        <v>0</v>
      </c>
      <c r="Z103" s="279">
        <f t="shared" ref="Z103:AF103" si="257">SUM(Z104:Z107)</f>
        <v>0</v>
      </c>
      <c r="AA103" s="279">
        <f t="shared" si="257"/>
        <v>0</v>
      </c>
      <c r="AB103" s="279">
        <f t="shared" si="257"/>
        <v>0</v>
      </c>
      <c r="AC103" s="279">
        <f t="shared" si="257"/>
        <v>0</v>
      </c>
      <c r="AD103" s="279">
        <f t="shared" si="257"/>
        <v>0</v>
      </c>
      <c r="AE103" s="279">
        <f t="shared" si="257"/>
        <v>0</v>
      </c>
      <c r="AF103" s="284">
        <f t="shared" si="257"/>
        <v>0</v>
      </c>
      <c r="AG103" s="282">
        <f t="shared" si="252"/>
        <v>2704.817</v>
      </c>
      <c r="AH103" s="234">
        <f>SUM(AH104:AH111)</f>
        <v>3782240.9588100007</v>
      </c>
      <c r="AI103" s="234">
        <f>SUM(AI104:AI111)</f>
        <v>3461629.3668400003</v>
      </c>
      <c r="AJ103" s="234">
        <f>SUM(AJ104:AJ111)</f>
        <v>0</v>
      </c>
      <c r="AK103" s="260">
        <f t="shared" si="177"/>
        <v>7243870.3256500009</v>
      </c>
      <c r="AL103" s="234">
        <f>SUM(AL104:AL107)</f>
        <v>0</v>
      </c>
      <c r="AM103" s="234">
        <f>SUM(AM104:AM107)</f>
        <v>0</v>
      </c>
      <c r="AN103" s="234">
        <f>SUM(AN104:AN107)</f>
        <v>0</v>
      </c>
      <c r="AO103" s="260">
        <f>SUM(AL103:AN103)</f>
        <v>0</v>
      </c>
      <c r="AP103" s="234">
        <f t="shared" ref="AP103:AU103" si="258">SUM(AP104:AP107)</f>
        <v>0</v>
      </c>
      <c r="AQ103" s="234">
        <f t="shared" si="258"/>
        <v>0</v>
      </c>
      <c r="AR103" s="234">
        <f t="shared" si="258"/>
        <v>0</v>
      </c>
      <c r="AS103" s="234">
        <f t="shared" si="258"/>
        <v>0</v>
      </c>
      <c r="AT103" s="234">
        <f t="shared" si="258"/>
        <v>0</v>
      </c>
      <c r="AU103" s="234">
        <f t="shared" si="258"/>
        <v>0</v>
      </c>
      <c r="AV103" s="260">
        <f>SUM(AP103:AU103)</f>
        <v>0</v>
      </c>
      <c r="AW103" s="234">
        <f t="shared" ref="AW103:BB103" si="259">SUM(AW104:AW107)</f>
        <v>0</v>
      </c>
      <c r="AX103" s="234">
        <f t="shared" si="259"/>
        <v>0</v>
      </c>
      <c r="AY103" s="234">
        <f t="shared" si="259"/>
        <v>0</v>
      </c>
      <c r="AZ103" s="234">
        <f t="shared" si="259"/>
        <v>0</v>
      </c>
      <c r="BA103" s="234">
        <f t="shared" si="259"/>
        <v>0</v>
      </c>
      <c r="BB103" s="234">
        <f t="shared" si="259"/>
        <v>0</v>
      </c>
      <c r="BC103" s="260">
        <f t="shared" si="238"/>
        <v>0</v>
      </c>
      <c r="BD103" s="238">
        <f t="shared" si="255"/>
        <v>7243870.3256500009</v>
      </c>
      <c r="BE103" s="13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44"/>
      <c r="CC103" s="244"/>
      <c r="CD103" s="244"/>
      <c r="CE103" s="244"/>
      <c r="CF103" s="244"/>
      <c r="CG103" s="244"/>
      <c r="CH103" s="244"/>
      <c r="CI103" s="244"/>
      <c r="CJ103" s="244"/>
      <c r="CK103" s="244"/>
      <c r="CL103" s="244"/>
      <c r="CM103" s="244"/>
      <c r="CN103" s="244"/>
      <c r="CO103" s="244"/>
      <c r="CP103" s="244"/>
      <c r="CQ103" s="244"/>
      <c r="CR103" s="244"/>
      <c r="CS103" s="244"/>
      <c r="CT103" s="244"/>
      <c r="CU103" s="244"/>
      <c r="CV103" s="244"/>
      <c r="CW103" s="244"/>
      <c r="CX103" s="244"/>
      <c r="CY103" s="244"/>
      <c r="CZ103" s="244"/>
      <c r="DA103" s="244"/>
      <c r="DB103" s="244"/>
      <c r="DC103" s="244"/>
      <c r="DD103" s="244"/>
      <c r="DE103" s="244"/>
      <c r="DF103" s="244"/>
      <c r="DG103" s="244"/>
      <c r="DH103" s="244"/>
      <c r="DI103" s="244"/>
      <c r="DJ103" s="244"/>
      <c r="DK103" s="244"/>
      <c r="DL103" s="244"/>
      <c r="DM103" s="244"/>
      <c r="DN103" s="244"/>
      <c r="DO103" s="244"/>
      <c r="DP103" s="244"/>
      <c r="DQ103" s="244"/>
      <c r="DR103" s="244"/>
      <c r="DS103" s="244"/>
      <c r="DT103" s="244"/>
      <c r="DU103" s="244"/>
      <c r="DV103" s="244"/>
      <c r="DW103" s="244"/>
      <c r="DX103" s="244"/>
      <c r="DY103" s="244"/>
      <c r="DZ103" s="244"/>
      <c r="EA103" s="244"/>
      <c r="EB103" s="244"/>
      <c r="EC103" s="244"/>
      <c r="ED103" s="244"/>
      <c r="EE103" s="244"/>
      <c r="EF103" s="244"/>
      <c r="EG103" s="244"/>
      <c r="EH103" s="244"/>
      <c r="EI103" s="244"/>
      <c r="EJ103" s="244"/>
      <c r="EK103" s="244"/>
      <c r="EL103" s="244"/>
      <c r="EM103" s="244"/>
      <c r="EN103" s="244"/>
      <c r="EO103" s="244"/>
      <c r="EP103" s="244"/>
      <c r="EQ103" s="244"/>
      <c r="ER103" s="244"/>
      <c r="ES103" s="244"/>
      <c r="ET103" s="244"/>
      <c r="EU103" s="244"/>
      <c r="EV103" s="244"/>
      <c r="EW103" s="244"/>
      <c r="EX103" s="244"/>
      <c r="EY103" s="244"/>
      <c r="EZ103" s="244"/>
      <c r="FA103" s="244"/>
      <c r="FB103" s="244"/>
      <c r="FC103" s="244"/>
      <c r="FD103" s="244"/>
      <c r="FE103" s="244"/>
      <c r="FF103" s="244"/>
      <c r="FG103" s="244"/>
      <c r="FH103" s="244"/>
      <c r="FI103" s="244"/>
      <c r="FJ103" s="244"/>
      <c r="FK103" s="244"/>
      <c r="FL103" s="244"/>
      <c r="FM103" s="244"/>
      <c r="FN103" s="244"/>
      <c r="FO103" s="244"/>
      <c r="FP103" s="244"/>
      <c r="FQ103" s="244"/>
      <c r="FR103" s="244"/>
      <c r="FS103" s="244"/>
      <c r="FT103" s="244"/>
      <c r="FU103" s="244"/>
      <c r="FV103" s="244"/>
      <c r="FW103" s="244"/>
      <c r="FX103" s="244"/>
      <c r="FY103" s="244"/>
      <c r="FZ103" s="244"/>
      <c r="GA103" s="244"/>
      <c r="GB103" s="244"/>
      <c r="GC103" s="244"/>
      <c r="GD103" s="244"/>
      <c r="GE103" s="244"/>
      <c r="GF103" s="244"/>
      <c r="GG103" s="244"/>
      <c r="GH103" s="244"/>
      <c r="GI103" s="244"/>
      <c r="GJ103" s="244"/>
      <c r="GK103" s="244"/>
      <c r="GL103" s="244"/>
      <c r="GM103" s="244"/>
      <c r="GN103" s="244"/>
      <c r="GO103" s="244"/>
      <c r="GP103" s="244"/>
      <c r="GQ103" s="244"/>
      <c r="GR103" s="244"/>
      <c r="GS103" s="244"/>
      <c r="GT103" s="244"/>
    </row>
    <row r="104" spans="1:202" s="83" customFormat="1" ht="12" customHeight="1">
      <c r="A104" s="198"/>
      <c r="B104" s="172" t="s">
        <v>435</v>
      </c>
      <c r="C104" s="217"/>
      <c r="D104" s="146"/>
      <c r="E104" s="147">
        <v>4437.59</v>
      </c>
      <c r="F104" s="351">
        <v>1377</v>
      </c>
      <c r="G104" s="177">
        <f t="shared" ref="G104:G124" si="260">E104-F104</f>
        <v>3060.59</v>
      </c>
      <c r="H104" s="147">
        <v>4437.59</v>
      </c>
      <c r="I104" s="352">
        <f>1349.75*0+1377</f>
        <v>1377</v>
      </c>
      <c r="J104" s="210">
        <f t="shared" ref="J104:J111" si="261">H104-I104</f>
        <v>3060.59</v>
      </c>
      <c r="K104" s="253">
        <v>829.14400000000001</v>
      </c>
      <c r="L104" s="253">
        <f>726.262+26.273</f>
        <v>752.53499999999997</v>
      </c>
      <c r="M104" s="253"/>
      <c r="N104" s="287">
        <f t="shared" si="251"/>
        <v>1581.6790000000001</v>
      </c>
      <c r="O104" s="274"/>
      <c r="P104" s="274"/>
      <c r="Q104" s="291"/>
      <c r="R104" s="287"/>
      <c r="S104" s="291"/>
      <c r="T104" s="274"/>
      <c r="U104" s="274"/>
      <c r="V104" s="274"/>
      <c r="W104" s="291"/>
      <c r="X104" s="265"/>
      <c r="Y104" s="142"/>
      <c r="Z104" s="274"/>
      <c r="AA104" s="274"/>
      <c r="AB104" s="274"/>
      <c r="AC104" s="274"/>
      <c r="AD104" s="274"/>
      <c r="AE104" s="274"/>
      <c r="AF104" s="287">
        <f t="shared" ref="AF104:AF114" si="262">SUM(Z104:AE104)</f>
        <v>0</v>
      </c>
      <c r="AG104" s="283">
        <f t="shared" si="252"/>
        <v>1581.6790000000001</v>
      </c>
      <c r="AH104" s="229">
        <f t="shared" ref="AH104:AJ111" si="263">K104*$G104</f>
        <v>2537669.8349600001</v>
      </c>
      <c r="AI104" s="229">
        <f>L104*$G104</f>
        <v>2303201.09565</v>
      </c>
      <c r="AJ104" s="229">
        <f t="shared" si="263"/>
        <v>0</v>
      </c>
      <c r="AK104" s="261">
        <f t="shared" si="177"/>
        <v>4840870.9306100002</v>
      </c>
      <c r="AL104" s="229">
        <f t="shared" ref="AL104:AN111" si="264">O104*$G104</f>
        <v>0</v>
      </c>
      <c r="AM104" s="229">
        <f t="shared" si="264"/>
        <v>0</v>
      </c>
      <c r="AN104" s="229">
        <f t="shared" si="264"/>
        <v>0</v>
      </c>
      <c r="AO104" s="261"/>
      <c r="AP104" s="229">
        <f t="shared" ref="AP104:AU111" si="265">S104*$J104</f>
        <v>0</v>
      </c>
      <c r="AQ104" s="229">
        <f t="shared" si="265"/>
        <v>0</v>
      </c>
      <c r="AR104" s="229">
        <f t="shared" si="265"/>
        <v>0</v>
      </c>
      <c r="AS104" s="229">
        <f t="shared" si="265"/>
        <v>0</v>
      </c>
      <c r="AT104" s="229">
        <f t="shared" si="265"/>
        <v>0</v>
      </c>
      <c r="AU104" s="229">
        <f t="shared" si="265"/>
        <v>0</v>
      </c>
      <c r="AV104" s="261"/>
      <c r="AW104" s="229">
        <f t="shared" ref="AW104:BB111" si="266">Z104*$J104</f>
        <v>0</v>
      </c>
      <c r="AX104" s="229">
        <f t="shared" si="266"/>
        <v>0</v>
      </c>
      <c r="AY104" s="229">
        <f t="shared" si="266"/>
        <v>0</v>
      </c>
      <c r="AZ104" s="229">
        <f t="shared" si="266"/>
        <v>0</v>
      </c>
      <c r="BA104" s="229">
        <f t="shared" si="266"/>
        <v>0</v>
      </c>
      <c r="BB104" s="229">
        <f t="shared" si="266"/>
        <v>0</v>
      </c>
      <c r="BC104" s="261">
        <f t="shared" si="238"/>
        <v>0</v>
      </c>
      <c r="BD104" s="239">
        <f t="shared" si="255"/>
        <v>4840870.9306100002</v>
      </c>
      <c r="BE104" s="13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44"/>
      <c r="CC104" s="244"/>
      <c r="CD104" s="244"/>
      <c r="CE104" s="244"/>
      <c r="CF104" s="244"/>
      <c r="CG104" s="244"/>
      <c r="CH104" s="244"/>
      <c r="CI104" s="244"/>
      <c r="CJ104" s="244"/>
      <c r="CK104" s="244"/>
      <c r="CL104" s="244"/>
      <c r="CM104" s="244"/>
      <c r="CN104" s="244"/>
      <c r="CO104" s="244"/>
      <c r="CP104" s="244"/>
      <c r="CQ104" s="244"/>
      <c r="CR104" s="244"/>
      <c r="CS104" s="244"/>
      <c r="CT104" s="244"/>
      <c r="CU104" s="244"/>
      <c r="CV104" s="244"/>
      <c r="CW104" s="244"/>
      <c r="CX104" s="244"/>
      <c r="CY104" s="244"/>
      <c r="CZ104" s="244"/>
      <c r="DA104" s="244"/>
      <c r="DB104" s="244"/>
      <c r="DC104" s="244"/>
      <c r="DD104" s="244"/>
      <c r="DE104" s="244"/>
      <c r="DF104" s="244"/>
      <c r="DG104" s="244"/>
      <c r="DH104" s="244"/>
      <c r="DI104" s="244"/>
      <c r="DJ104" s="244"/>
      <c r="DK104" s="244"/>
      <c r="DL104" s="244"/>
      <c r="DM104" s="244"/>
      <c r="DN104" s="244"/>
      <c r="DO104" s="244"/>
      <c r="DP104" s="244"/>
      <c r="DQ104" s="244"/>
      <c r="DR104" s="244"/>
      <c r="DS104" s="244"/>
      <c r="DT104" s="244"/>
      <c r="DU104" s="244"/>
      <c r="DV104" s="244"/>
      <c r="DW104" s="244"/>
      <c r="DX104" s="244"/>
      <c r="DY104" s="244"/>
      <c r="DZ104" s="244"/>
      <c r="EA104" s="244"/>
      <c r="EB104" s="244"/>
      <c r="EC104" s="244"/>
      <c r="ED104" s="244"/>
      <c r="EE104" s="244"/>
      <c r="EF104" s="244"/>
      <c r="EG104" s="244"/>
      <c r="EH104" s="244"/>
      <c r="EI104" s="244"/>
      <c r="EJ104" s="244"/>
      <c r="EK104" s="244"/>
      <c r="EL104" s="244"/>
      <c r="EM104" s="244"/>
      <c r="EN104" s="244"/>
      <c r="EO104" s="244"/>
      <c r="EP104" s="244"/>
      <c r="EQ104" s="244"/>
      <c r="ER104" s="244"/>
      <c r="ES104" s="244"/>
      <c r="ET104" s="244"/>
      <c r="EU104" s="244"/>
      <c r="EV104" s="244"/>
      <c r="EW104" s="244"/>
      <c r="EX104" s="244"/>
      <c r="EY104" s="244"/>
      <c r="EZ104" s="244"/>
      <c r="FA104" s="244"/>
      <c r="FB104" s="244"/>
      <c r="FC104" s="244"/>
      <c r="FD104" s="244"/>
      <c r="FE104" s="244"/>
      <c r="FF104" s="244"/>
      <c r="FG104" s="244"/>
      <c r="FH104" s="244"/>
      <c r="FI104" s="244"/>
      <c r="FJ104" s="244"/>
      <c r="FK104" s="244"/>
      <c r="FL104" s="244"/>
      <c r="FM104" s="244"/>
      <c r="FN104" s="244"/>
      <c r="FO104" s="244"/>
      <c r="FP104" s="244"/>
      <c r="FQ104" s="244"/>
      <c r="FR104" s="244"/>
      <c r="FS104" s="244"/>
      <c r="FT104" s="244"/>
      <c r="FU104" s="244"/>
      <c r="FV104" s="244"/>
      <c r="FW104" s="244"/>
      <c r="FX104" s="244"/>
      <c r="FY104" s="244"/>
      <c r="FZ104" s="244"/>
      <c r="GA104" s="244"/>
      <c r="GB104" s="244"/>
      <c r="GC104" s="244"/>
      <c r="GD104" s="244"/>
      <c r="GE104" s="244"/>
      <c r="GF104" s="244"/>
      <c r="GG104" s="244"/>
      <c r="GH104" s="244"/>
      <c r="GI104" s="244"/>
      <c r="GJ104" s="244"/>
      <c r="GK104" s="244"/>
      <c r="GL104" s="244"/>
      <c r="GM104" s="244"/>
      <c r="GN104" s="244"/>
      <c r="GO104" s="244"/>
      <c r="GP104" s="244"/>
      <c r="GQ104" s="244"/>
      <c r="GR104" s="244"/>
      <c r="GS104" s="244"/>
      <c r="GT104" s="244"/>
    </row>
    <row r="105" spans="1:202" s="83" customFormat="1" ht="12" customHeight="1">
      <c r="A105" s="198"/>
      <c r="B105" s="172" t="s">
        <v>436</v>
      </c>
      <c r="C105" s="217"/>
      <c r="D105" s="146"/>
      <c r="E105" s="147">
        <v>4850.42</v>
      </c>
      <c r="F105" s="209">
        <v>1525.83</v>
      </c>
      <c r="G105" s="177">
        <f t="shared" si="260"/>
        <v>3324.59</v>
      </c>
      <c r="H105" s="147">
        <v>4850.42</v>
      </c>
      <c r="I105" s="144">
        <v>1525.83</v>
      </c>
      <c r="J105" s="210">
        <f t="shared" si="261"/>
        <v>3324.59</v>
      </c>
      <c r="K105" s="253">
        <v>135.55600000000001</v>
      </c>
      <c r="L105" s="253">
        <v>132.64099999999999</v>
      </c>
      <c r="M105" s="253"/>
      <c r="N105" s="287">
        <f t="shared" si="251"/>
        <v>268.197</v>
      </c>
      <c r="O105" s="274"/>
      <c r="P105" s="274"/>
      <c r="Q105" s="291"/>
      <c r="R105" s="287"/>
      <c r="S105" s="291"/>
      <c r="T105" s="274"/>
      <c r="U105" s="274"/>
      <c r="V105" s="274"/>
      <c r="W105" s="291"/>
      <c r="X105" s="265"/>
      <c r="Y105" s="142"/>
      <c r="Z105" s="274"/>
      <c r="AA105" s="274"/>
      <c r="AB105" s="274"/>
      <c r="AC105" s="274"/>
      <c r="AD105" s="274"/>
      <c r="AE105" s="274"/>
      <c r="AF105" s="287">
        <f t="shared" si="262"/>
        <v>0</v>
      </c>
      <c r="AG105" s="283">
        <f t="shared" si="252"/>
        <v>268.197</v>
      </c>
      <c r="AH105" s="229">
        <f t="shared" si="263"/>
        <v>450668.12204000005</v>
      </c>
      <c r="AI105" s="229">
        <f t="shared" si="263"/>
        <v>440976.94218999997</v>
      </c>
      <c r="AJ105" s="229">
        <f t="shared" si="263"/>
        <v>0</v>
      </c>
      <c r="AK105" s="261">
        <f t="shared" ref="AK105:AK111" si="267">AH105+AI105+AJ105</f>
        <v>891645.06423000002</v>
      </c>
      <c r="AL105" s="229">
        <f t="shared" si="264"/>
        <v>0</v>
      </c>
      <c r="AM105" s="229">
        <f t="shared" si="264"/>
        <v>0</v>
      </c>
      <c r="AN105" s="229">
        <f t="shared" si="264"/>
        <v>0</v>
      </c>
      <c r="AO105" s="261"/>
      <c r="AP105" s="229">
        <f t="shared" si="265"/>
        <v>0</v>
      </c>
      <c r="AQ105" s="229">
        <f t="shared" si="265"/>
        <v>0</v>
      </c>
      <c r="AR105" s="229">
        <f t="shared" si="265"/>
        <v>0</v>
      </c>
      <c r="AS105" s="229">
        <f t="shared" si="265"/>
        <v>0</v>
      </c>
      <c r="AT105" s="229">
        <f t="shared" si="265"/>
        <v>0</v>
      </c>
      <c r="AU105" s="229">
        <f t="shared" si="265"/>
        <v>0</v>
      </c>
      <c r="AV105" s="261"/>
      <c r="AW105" s="229">
        <f t="shared" si="266"/>
        <v>0</v>
      </c>
      <c r="AX105" s="229">
        <f t="shared" si="266"/>
        <v>0</v>
      </c>
      <c r="AY105" s="229">
        <f t="shared" si="266"/>
        <v>0</v>
      </c>
      <c r="AZ105" s="229">
        <f t="shared" si="266"/>
        <v>0</v>
      </c>
      <c r="BA105" s="229">
        <f t="shared" si="266"/>
        <v>0</v>
      </c>
      <c r="BB105" s="229">
        <f t="shared" si="266"/>
        <v>0</v>
      </c>
      <c r="BC105" s="261">
        <f t="shared" si="238"/>
        <v>0</v>
      </c>
      <c r="BD105" s="239">
        <f t="shared" si="255"/>
        <v>891645.06423000002</v>
      </c>
      <c r="BE105" s="13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44"/>
      <c r="CC105" s="244"/>
      <c r="CD105" s="244"/>
      <c r="CE105" s="244"/>
      <c r="CF105" s="244"/>
      <c r="CG105" s="244"/>
      <c r="CH105" s="244"/>
      <c r="CI105" s="244"/>
      <c r="CJ105" s="244"/>
      <c r="CK105" s="244"/>
      <c r="CL105" s="244"/>
      <c r="CM105" s="244"/>
      <c r="CN105" s="244"/>
      <c r="CO105" s="244"/>
      <c r="CP105" s="244"/>
      <c r="CQ105" s="244"/>
      <c r="CR105" s="244"/>
      <c r="CS105" s="244"/>
      <c r="CT105" s="244"/>
      <c r="CU105" s="244"/>
      <c r="CV105" s="244"/>
      <c r="CW105" s="244"/>
      <c r="CX105" s="244"/>
      <c r="CY105" s="244"/>
      <c r="CZ105" s="244"/>
      <c r="DA105" s="244"/>
      <c r="DB105" s="244"/>
      <c r="DC105" s="244"/>
      <c r="DD105" s="244"/>
      <c r="DE105" s="244"/>
      <c r="DF105" s="244"/>
      <c r="DG105" s="244"/>
      <c r="DH105" s="244"/>
      <c r="DI105" s="244"/>
      <c r="DJ105" s="244"/>
      <c r="DK105" s="244"/>
      <c r="DL105" s="244"/>
      <c r="DM105" s="244"/>
      <c r="DN105" s="244"/>
      <c r="DO105" s="244"/>
      <c r="DP105" s="244"/>
      <c r="DQ105" s="244"/>
      <c r="DR105" s="244"/>
      <c r="DS105" s="244"/>
      <c r="DT105" s="244"/>
      <c r="DU105" s="244"/>
      <c r="DV105" s="244"/>
      <c r="DW105" s="244"/>
      <c r="DX105" s="244"/>
      <c r="DY105" s="244"/>
      <c r="DZ105" s="244"/>
      <c r="EA105" s="244"/>
      <c r="EB105" s="244"/>
      <c r="EC105" s="244"/>
      <c r="ED105" s="244"/>
      <c r="EE105" s="244"/>
      <c r="EF105" s="244"/>
      <c r="EG105" s="244"/>
      <c r="EH105" s="244"/>
      <c r="EI105" s="244"/>
      <c r="EJ105" s="244"/>
      <c r="EK105" s="244"/>
      <c r="EL105" s="244"/>
      <c r="EM105" s="244"/>
      <c r="EN105" s="244"/>
      <c r="EO105" s="244"/>
      <c r="EP105" s="244"/>
      <c r="EQ105" s="244"/>
      <c r="ER105" s="244"/>
      <c r="ES105" s="244"/>
      <c r="ET105" s="244"/>
      <c r="EU105" s="244"/>
      <c r="EV105" s="244"/>
      <c r="EW105" s="244"/>
      <c r="EX105" s="244"/>
      <c r="EY105" s="244"/>
      <c r="EZ105" s="244"/>
      <c r="FA105" s="244"/>
      <c r="FB105" s="244"/>
      <c r="FC105" s="244"/>
      <c r="FD105" s="244"/>
      <c r="FE105" s="244"/>
      <c r="FF105" s="244"/>
      <c r="FG105" s="244"/>
      <c r="FH105" s="244"/>
      <c r="FI105" s="244"/>
      <c r="FJ105" s="244"/>
      <c r="FK105" s="244"/>
      <c r="FL105" s="244"/>
      <c r="FM105" s="244"/>
      <c r="FN105" s="244"/>
      <c r="FO105" s="244"/>
      <c r="FP105" s="244"/>
      <c r="FQ105" s="244"/>
      <c r="FR105" s="244"/>
      <c r="FS105" s="244"/>
      <c r="FT105" s="244"/>
      <c r="FU105" s="244"/>
      <c r="FV105" s="244"/>
      <c r="FW105" s="244"/>
      <c r="FX105" s="244"/>
      <c r="FY105" s="244"/>
      <c r="FZ105" s="244"/>
      <c r="GA105" s="244"/>
      <c r="GB105" s="244"/>
      <c r="GC105" s="244"/>
      <c r="GD105" s="244"/>
      <c r="GE105" s="244"/>
      <c r="GF105" s="244"/>
      <c r="GG105" s="244"/>
      <c r="GH105" s="244"/>
      <c r="GI105" s="244"/>
      <c r="GJ105" s="244"/>
      <c r="GK105" s="244"/>
      <c r="GL105" s="244"/>
      <c r="GM105" s="244"/>
      <c r="GN105" s="244"/>
      <c r="GO105" s="244"/>
      <c r="GP105" s="244"/>
      <c r="GQ105" s="244"/>
      <c r="GR105" s="244"/>
      <c r="GS105" s="244"/>
      <c r="GT105" s="244"/>
    </row>
    <row r="106" spans="1:202" s="83" customFormat="1" ht="12" customHeight="1">
      <c r="A106" s="198"/>
      <c r="B106" s="172" t="s">
        <v>437</v>
      </c>
      <c r="C106" s="217"/>
      <c r="D106" s="146"/>
      <c r="E106" s="147">
        <v>3499.53</v>
      </c>
      <c r="F106" s="209">
        <v>2150</v>
      </c>
      <c r="G106" s="177">
        <f t="shared" si="260"/>
        <v>1349.5300000000002</v>
      </c>
      <c r="H106" s="147">
        <v>3499.53</v>
      </c>
      <c r="I106" s="144">
        <v>2150</v>
      </c>
      <c r="J106" s="210">
        <f t="shared" si="261"/>
        <v>1349.5300000000002</v>
      </c>
      <c r="K106" s="253">
        <v>300.12099999999998</v>
      </c>
      <c r="L106" s="253">
        <v>282.89299999999997</v>
      </c>
      <c r="M106" s="253"/>
      <c r="N106" s="287">
        <f t="shared" si="251"/>
        <v>583.0139999999999</v>
      </c>
      <c r="O106" s="274"/>
      <c r="P106" s="274"/>
      <c r="Q106" s="291"/>
      <c r="R106" s="287"/>
      <c r="S106" s="291"/>
      <c r="T106" s="274"/>
      <c r="U106" s="274"/>
      <c r="V106" s="274"/>
      <c r="W106" s="291"/>
      <c r="X106" s="265"/>
      <c r="Y106" s="142"/>
      <c r="Z106" s="274"/>
      <c r="AA106" s="274"/>
      <c r="AB106" s="274"/>
      <c r="AC106" s="274"/>
      <c r="AD106" s="274"/>
      <c r="AE106" s="274"/>
      <c r="AF106" s="287">
        <f t="shared" si="262"/>
        <v>0</v>
      </c>
      <c r="AG106" s="283">
        <f t="shared" si="252"/>
        <v>583.0139999999999</v>
      </c>
      <c r="AH106" s="229">
        <f t="shared" si="263"/>
        <v>405022.29313000001</v>
      </c>
      <c r="AI106" s="229">
        <f t="shared" si="263"/>
        <v>381772.59029000002</v>
      </c>
      <c r="AJ106" s="229">
        <f t="shared" si="263"/>
        <v>0</v>
      </c>
      <c r="AK106" s="261">
        <f t="shared" si="267"/>
        <v>786794.88342000009</v>
      </c>
      <c r="AL106" s="229">
        <f t="shared" si="264"/>
        <v>0</v>
      </c>
      <c r="AM106" s="229">
        <f t="shared" si="264"/>
        <v>0</v>
      </c>
      <c r="AN106" s="229">
        <f t="shared" si="264"/>
        <v>0</v>
      </c>
      <c r="AO106" s="261"/>
      <c r="AP106" s="229">
        <f t="shared" si="265"/>
        <v>0</v>
      </c>
      <c r="AQ106" s="229">
        <f t="shared" si="265"/>
        <v>0</v>
      </c>
      <c r="AR106" s="229">
        <f t="shared" si="265"/>
        <v>0</v>
      </c>
      <c r="AS106" s="229">
        <f t="shared" si="265"/>
        <v>0</v>
      </c>
      <c r="AT106" s="229">
        <f t="shared" si="265"/>
        <v>0</v>
      </c>
      <c r="AU106" s="229">
        <f t="shared" si="265"/>
        <v>0</v>
      </c>
      <c r="AV106" s="261"/>
      <c r="AW106" s="229">
        <f t="shared" si="266"/>
        <v>0</v>
      </c>
      <c r="AX106" s="229">
        <f t="shared" si="266"/>
        <v>0</v>
      </c>
      <c r="AY106" s="229">
        <f t="shared" si="266"/>
        <v>0</v>
      </c>
      <c r="AZ106" s="229">
        <f t="shared" si="266"/>
        <v>0</v>
      </c>
      <c r="BA106" s="229">
        <f t="shared" si="266"/>
        <v>0</v>
      </c>
      <c r="BB106" s="229">
        <f t="shared" si="266"/>
        <v>0</v>
      </c>
      <c r="BC106" s="261">
        <f t="shared" si="238"/>
        <v>0</v>
      </c>
      <c r="BD106" s="239">
        <f t="shared" si="255"/>
        <v>786794.88342000009</v>
      </c>
      <c r="BE106" s="13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44"/>
      <c r="CC106" s="244"/>
      <c r="CD106" s="244"/>
      <c r="CE106" s="244"/>
      <c r="CF106" s="244"/>
      <c r="CG106" s="244"/>
      <c r="CH106" s="244"/>
      <c r="CI106" s="244"/>
      <c r="CJ106" s="244"/>
      <c r="CK106" s="244"/>
      <c r="CL106" s="244"/>
      <c r="CM106" s="244"/>
      <c r="CN106" s="244"/>
      <c r="CO106" s="244"/>
      <c r="CP106" s="244"/>
      <c r="CQ106" s="244"/>
      <c r="CR106" s="244"/>
      <c r="CS106" s="244"/>
      <c r="CT106" s="244"/>
      <c r="CU106" s="244"/>
      <c r="CV106" s="244"/>
      <c r="CW106" s="244"/>
      <c r="CX106" s="244"/>
      <c r="CY106" s="244"/>
      <c r="CZ106" s="244"/>
      <c r="DA106" s="244"/>
      <c r="DB106" s="244"/>
      <c r="DC106" s="244"/>
      <c r="DD106" s="244"/>
      <c r="DE106" s="244"/>
      <c r="DF106" s="244"/>
      <c r="DG106" s="244"/>
      <c r="DH106" s="244"/>
      <c r="DI106" s="244"/>
      <c r="DJ106" s="244"/>
      <c r="DK106" s="244"/>
      <c r="DL106" s="244"/>
      <c r="DM106" s="244"/>
      <c r="DN106" s="244"/>
      <c r="DO106" s="244"/>
      <c r="DP106" s="244"/>
      <c r="DQ106" s="244"/>
      <c r="DR106" s="244"/>
      <c r="DS106" s="244"/>
      <c r="DT106" s="244"/>
      <c r="DU106" s="244"/>
      <c r="DV106" s="244"/>
      <c r="DW106" s="244"/>
      <c r="DX106" s="244"/>
      <c r="DY106" s="244"/>
      <c r="DZ106" s="244"/>
      <c r="EA106" s="244"/>
      <c r="EB106" s="244"/>
      <c r="EC106" s="244"/>
      <c r="ED106" s="244"/>
      <c r="EE106" s="244"/>
      <c r="EF106" s="244"/>
      <c r="EG106" s="244"/>
      <c r="EH106" s="244"/>
      <c r="EI106" s="244"/>
      <c r="EJ106" s="244"/>
      <c r="EK106" s="244"/>
      <c r="EL106" s="244"/>
      <c r="EM106" s="244"/>
      <c r="EN106" s="244"/>
      <c r="EO106" s="244"/>
      <c r="EP106" s="244"/>
      <c r="EQ106" s="244"/>
      <c r="ER106" s="244"/>
      <c r="ES106" s="244"/>
      <c r="ET106" s="244"/>
      <c r="EU106" s="244"/>
      <c r="EV106" s="244"/>
      <c r="EW106" s="244"/>
      <c r="EX106" s="244"/>
      <c r="EY106" s="244"/>
      <c r="EZ106" s="244"/>
      <c r="FA106" s="244"/>
      <c r="FB106" s="244"/>
      <c r="FC106" s="244"/>
      <c r="FD106" s="244"/>
      <c r="FE106" s="244"/>
      <c r="FF106" s="244"/>
      <c r="FG106" s="244"/>
      <c r="FH106" s="244"/>
      <c r="FI106" s="244"/>
      <c r="FJ106" s="244"/>
      <c r="FK106" s="244"/>
      <c r="FL106" s="244"/>
      <c r="FM106" s="244"/>
      <c r="FN106" s="244"/>
      <c r="FO106" s="244"/>
      <c r="FP106" s="244"/>
      <c r="FQ106" s="244"/>
      <c r="FR106" s="244"/>
      <c r="FS106" s="244"/>
      <c r="FT106" s="244"/>
      <c r="FU106" s="244"/>
      <c r="FV106" s="244"/>
      <c r="FW106" s="244"/>
      <c r="FX106" s="244"/>
      <c r="FY106" s="244"/>
      <c r="FZ106" s="244"/>
      <c r="GA106" s="244"/>
      <c r="GB106" s="244"/>
      <c r="GC106" s="244"/>
      <c r="GD106" s="244"/>
      <c r="GE106" s="244"/>
      <c r="GF106" s="244"/>
      <c r="GG106" s="244"/>
      <c r="GH106" s="244"/>
      <c r="GI106" s="244"/>
      <c r="GJ106" s="244"/>
      <c r="GK106" s="244"/>
      <c r="GL106" s="244"/>
      <c r="GM106" s="244"/>
      <c r="GN106" s="244"/>
      <c r="GO106" s="244"/>
      <c r="GP106" s="244"/>
      <c r="GQ106" s="244"/>
      <c r="GR106" s="244"/>
      <c r="GS106" s="244"/>
      <c r="GT106" s="244"/>
    </row>
    <row r="107" spans="1:202" s="83" customFormat="1" ht="12" customHeight="1">
      <c r="A107" s="198"/>
      <c r="B107" s="172" t="s">
        <v>531</v>
      </c>
      <c r="C107" s="217"/>
      <c r="D107" s="146"/>
      <c r="E107" s="147">
        <v>4747.07</v>
      </c>
      <c r="F107" s="209">
        <v>1850</v>
      </c>
      <c r="G107" s="177">
        <f t="shared" si="260"/>
        <v>2897.0699999999997</v>
      </c>
      <c r="H107" s="147">
        <v>4747.07</v>
      </c>
      <c r="I107" s="144">
        <v>1850</v>
      </c>
      <c r="J107" s="210">
        <f t="shared" si="261"/>
        <v>2897.0699999999997</v>
      </c>
      <c r="K107" s="253">
        <v>37.691000000000003</v>
      </c>
      <c r="L107" s="253">
        <v>33.908999999999999</v>
      </c>
      <c r="M107" s="253"/>
      <c r="N107" s="287">
        <f t="shared" si="251"/>
        <v>71.599999999999994</v>
      </c>
      <c r="O107" s="274"/>
      <c r="P107" s="274"/>
      <c r="Q107" s="291"/>
      <c r="R107" s="287"/>
      <c r="S107" s="291"/>
      <c r="T107" s="274"/>
      <c r="U107" s="274"/>
      <c r="V107" s="274"/>
      <c r="W107" s="291"/>
      <c r="X107" s="265"/>
      <c r="Y107" s="142"/>
      <c r="Z107" s="274"/>
      <c r="AA107" s="274"/>
      <c r="AB107" s="274"/>
      <c r="AC107" s="274"/>
      <c r="AD107" s="274"/>
      <c r="AE107" s="274"/>
      <c r="AF107" s="287">
        <f t="shared" si="262"/>
        <v>0</v>
      </c>
      <c r="AG107" s="283">
        <f t="shared" si="252"/>
        <v>71.599999999999994</v>
      </c>
      <c r="AH107" s="229">
        <f t="shared" si="263"/>
        <v>109193.46536999999</v>
      </c>
      <c r="AI107" s="229">
        <f t="shared" si="263"/>
        <v>98236.746629999994</v>
      </c>
      <c r="AJ107" s="229">
        <f t="shared" si="263"/>
        <v>0</v>
      </c>
      <c r="AK107" s="261">
        <f t="shared" si="267"/>
        <v>207430.212</v>
      </c>
      <c r="AL107" s="229">
        <f t="shared" si="264"/>
        <v>0</v>
      </c>
      <c r="AM107" s="229">
        <f t="shared" si="264"/>
        <v>0</v>
      </c>
      <c r="AN107" s="229">
        <f t="shared" si="264"/>
        <v>0</v>
      </c>
      <c r="AO107" s="261"/>
      <c r="AP107" s="229">
        <f t="shared" si="265"/>
        <v>0</v>
      </c>
      <c r="AQ107" s="229">
        <f t="shared" si="265"/>
        <v>0</v>
      </c>
      <c r="AR107" s="229">
        <f t="shared" si="265"/>
        <v>0</v>
      </c>
      <c r="AS107" s="229">
        <f t="shared" si="265"/>
        <v>0</v>
      </c>
      <c r="AT107" s="229">
        <f t="shared" si="265"/>
        <v>0</v>
      </c>
      <c r="AU107" s="229">
        <f t="shared" si="265"/>
        <v>0</v>
      </c>
      <c r="AV107" s="261"/>
      <c r="AW107" s="229">
        <f t="shared" si="266"/>
        <v>0</v>
      </c>
      <c r="AX107" s="229">
        <f t="shared" si="266"/>
        <v>0</v>
      </c>
      <c r="AY107" s="229">
        <f t="shared" si="266"/>
        <v>0</v>
      </c>
      <c r="AZ107" s="229">
        <f t="shared" si="266"/>
        <v>0</v>
      </c>
      <c r="BA107" s="229">
        <f t="shared" si="266"/>
        <v>0</v>
      </c>
      <c r="BB107" s="229">
        <f t="shared" si="266"/>
        <v>0</v>
      </c>
      <c r="BC107" s="261">
        <f t="shared" si="238"/>
        <v>0</v>
      </c>
      <c r="BD107" s="239">
        <f t="shared" si="255"/>
        <v>207430.212</v>
      </c>
      <c r="BE107" s="13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44"/>
      <c r="CC107" s="244"/>
      <c r="CD107" s="244"/>
      <c r="CE107" s="244"/>
      <c r="CF107" s="244"/>
      <c r="CG107" s="244"/>
      <c r="CH107" s="244"/>
      <c r="CI107" s="244"/>
      <c r="CJ107" s="244"/>
      <c r="CK107" s="244"/>
      <c r="CL107" s="244"/>
      <c r="CM107" s="244"/>
      <c r="CN107" s="244"/>
      <c r="CO107" s="244"/>
      <c r="CP107" s="244"/>
      <c r="CQ107" s="244"/>
      <c r="CR107" s="244"/>
      <c r="CS107" s="244"/>
      <c r="CT107" s="244"/>
      <c r="CU107" s="244"/>
      <c r="CV107" s="244"/>
      <c r="CW107" s="244"/>
      <c r="CX107" s="244"/>
      <c r="CY107" s="244"/>
      <c r="CZ107" s="244"/>
      <c r="DA107" s="244"/>
      <c r="DB107" s="244"/>
      <c r="DC107" s="244"/>
      <c r="DD107" s="244"/>
      <c r="DE107" s="244"/>
      <c r="DF107" s="244"/>
      <c r="DG107" s="244"/>
      <c r="DH107" s="244"/>
      <c r="DI107" s="244"/>
      <c r="DJ107" s="244"/>
      <c r="DK107" s="244"/>
      <c r="DL107" s="244"/>
      <c r="DM107" s="244"/>
      <c r="DN107" s="244"/>
      <c r="DO107" s="244"/>
      <c r="DP107" s="244"/>
      <c r="DQ107" s="244"/>
      <c r="DR107" s="244"/>
      <c r="DS107" s="244"/>
      <c r="DT107" s="244"/>
      <c r="DU107" s="244"/>
      <c r="DV107" s="244"/>
      <c r="DW107" s="244"/>
      <c r="DX107" s="244"/>
      <c r="DY107" s="244"/>
      <c r="DZ107" s="244"/>
      <c r="EA107" s="244"/>
      <c r="EB107" s="244"/>
      <c r="EC107" s="244"/>
      <c r="ED107" s="244"/>
      <c r="EE107" s="244"/>
      <c r="EF107" s="244"/>
      <c r="EG107" s="244"/>
      <c r="EH107" s="244"/>
      <c r="EI107" s="244"/>
      <c r="EJ107" s="244"/>
      <c r="EK107" s="244"/>
      <c r="EL107" s="244"/>
      <c r="EM107" s="244"/>
      <c r="EN107" s="244"/>
      <c r="EO107" s="244"/>
      <c r="EP107" s="244"/>
      <c r="EQ107" s="244"/>
      <c r="ER107" s="244"/>
      <c r="ES107" s="244"/>
      <c r="ET107" s="244"/>
      <c r="EU107" s="244"/>
      <c r="EV107" s="244"/>
      <c r="EW107" s="244"/>
      <c r="EX107" s="244"/>
      <c r="EY107" s="244"/>
      <c r="EZ107" s="244"/>
      <c r="FA107" s="244"/>
      <c r="FB107" s="244"/>
      <c r="FC107" s="244"/>
      <c r="FD107" s="244"/>
      <c r="FE107" s="244"/>
      <c r="FF107" s="244"/>
      <c r="FG107" s="244"/>
      <c r="FH107" s="244"/>
      <c r="FI107" s="244"/>
      <c r="FJ107" s="244"/>
      <c r="FK107" s="244"/>
      <c r="FL107" s="244"/>
      <c r="FM107" s="244"/>
      <c r="FN107" s="244"/>
      <c r="FO107" s="244"/>
      <c r="FP107" s="244"/>
      <c r="FQ107" s="244"/>
      <c r="FR107" s="244"/>
      <c r="FS107" s="244"/>
      <c r="FT107" s="244"/>
      <c r="FU107" s="244"/>
      <c r="FV107" s="244"/>
      <c r="FW107" s="244"/>
      <c r="FX107" s="244"/>
      <c r="FY107" s="244"/>
      <c r="FZ107" s="244"/>
      <c r="GA107" s="244"/>
      <c r="GB107" s="244"/>
      <c r="GC107" s="244"/>
      <c r="GD107" s="244"/>
      <c r="GE107" s="244"/>
      <c r="GF107" s="244"/>
      <c r="GG107" s="244"/>
      <c r="GH107" s="244"/>
      <c r="GI107" s="244"/>
      <c r="GJ107" s="244"/>
      <c r="GK107" s="244"/>
      <c r="GL107" s="244"/>
      <c r="GM107" s="244"/>
      <c r="GN107" s="244"/>
      <c r="GO107" s="244"/>
      <c r="GP107" s="244"/>
      <c r="GQ107" s="244"/>
      <c r="GR107" s="244"/>
      <c r="GS107" s="244"/>
      <c r="GT107" s="244"/>
    </row>
    <row r="108" spans="1:202" s="83" customFormat="1" ht="12" customHeight="1">
      <c r="A108" s="198"/>
      <c r="B108" s="172" t="s">
        <v>435</v>
      </c>
      <c r="C108" s="217"/>
      <c r="D108" s="146"/>
      <c r="E108" s="147">
        <v>4437.59</v>
      </c>
      <c r="F108" s="351">
        <f>1349.75*0+1377</f>
        <v>1377</v>
      </c>
      <c r="G108" s="177">
        <f>E108-F108</f>
        <v>3060.59</v>
      </c>
      <c r="H108" s="147">
        <v>4437.59</v>
      </c>
      <c r="I108" s="352">
        <f>1349.75*0+1377</f>
        <v>1377</v>
      </c>
      <c r="J108" s="210">
        <f t="shared" si="261"/>
        <v>3060.59</v>
      </c>
      <c r="K108" s="253">
        <v>76.147999999999996</v>
      </c>
      <c r="L108" s="253">
        <v>65.444000000000003</v>
      </c>
      <c r="M108" s="253"/>
      <c r="N108" s="287">
        <f t="shared" si="251"/>
        <v>141.59199999999998</v>
      </c>
      <c r="O108" s="274"/>
      <c r="P108" s="274"/>
      <c r="Q108" s="291"/>
      <c r="R108" s="287"/>
      <c r="S108" s="291"/>
      <c r="T108" s="274"/>
      <c r="U108" s="274"/>
      <c r="V108" s="274"/>
      <c r="W108" s="291"/>
      <c r="X108" s="265"/>
      <c r="Y108" s="142"/>
      <c r="Z108" s="274"/>
      <c r="AA108" s="274"/>
      <c r="AB108" s="274"/>
      <c r="AC108" s="274"/>
      <c r="AD108" s="274"/>
      <c r="AE108" s="274"/>
      <c r="AF108" s="287">
        <f t="shared" si="262"/>
        <v>0</v>
      </c>
      <c r="AG108" s="283">
        <f t="shared" si="252"/>
        <v>141.59199999999998</v>
      </c>
      <c r="AH108" s="229">
        <f t="shared" si="263"/>
        <v>233057.80731999999</v>
      </c>
      <c r="AI108" s="229">
        <f t="shared" si="263"/>
        <v>200297.25196000002</v>
      </c>
      <c r="AJ108" s="229">
        <f t="shared" si="263"/>
        <v>0</v>
      </c>
      <c r="AK108" s="261">
        <f t="shared" si="267"/>
        <v>433355.05928000004</v>
      </c>
      <c r="AL108" s="229">
        <f t="shared" si="264"/>
        <v>0</v>
      </c>
      <c r="AM108" s="229">
        <f t="shared" si="264"/>
        <v>0</v>
      </c>
      <c r="AN108" s="229">
        <f t="shared" si="264"/>
        <v>0</v>
      </c>
      <c r="AO108" s="261"/>
      <c r="AP108" s="229">
        <f t="shared" si="265"/>
        <v>0</v>
      </c>
      <c r="AQ108" s="229">
        <f t="shared" si="265"/>
        <v>0</v>
      </c>
      <c r="AR108" s="229">
        <f t="shared" si="265"/>
        <v>0</v>
      </c>
      <c r="AS108" s="229">
        <f t="shared" si="265"/>
        <v>0</v>
      </c>
      <c r="AT108" s="229">
        <f t="shared" si="265"/>
        <v>0</v>
      </c>
      <c r="AU108" s="229">
        <f t="shared" si="265"/>
        <v>0</v>
      </c>
      <c r="AV108" s="261"/>
      <c r="AW108" s="229">
        <f t="shared" si="266"/>
        <v>0</v>
      </c>
      <c r="AX108" s="229">
        <f t="shared" si="266"/>
        <v>0</v>
      </c>
      <c r="AY108" s="229">
        <f t="shared" si="266"/>
        <v>0</v>
      </c>
      <c r="AZ108" s="229">
        <f t="shared" si="266"/>
        <v>0</v>
      </c>
      <c r="BA108" s="229">
        <f t="shared" si="266"/>
        <v>0</v>
      </c>
      <c r="BB108" s="229">
        <f t="shared" si="266"/>
        <v>0</v>
      </c>
      <c r="BC108" s="261">
        <f t="shared" si="238"/>
        <v>0</v>
      </c>
      <c r="BD108" s="239">
        <f t="shared" si="255"/>
        <v>433355.05928000004</v>
      </c>
      <c r="BE108" s="13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44"/>
      <c r="CC108" s="244"/>
      <c r="CD108" s="244"/>
      <c r="CE108" s="244"/>
      <c r="CF108" s="244"/>
      <c r="CG108" s="244"/>
      <c r="CH108" s="244"/>
      <c r="CI108" s="244"/>
      <c r="CJ108" s="244"/>
      <c r="CK108" s="244"/>
      <c r="CL108" s="244"/>
      <c r="CM108" s="244"/>
      <c r="CN108" s="244"/>
      <c r="CO108" s="244"/>
      <c r="CP108" s="244"/>
      <c r="CQ108" s="244"/>
      <c r="CR108" s="244"/>
      <c r="CS108" s="244"/>
      <c r="CT108" s="244"/>
      <c r="CU108" s="244"/>
      <c r="CV108" s="244"/>
      <c r="CW108" s="244"/>
      <c r="CX108" s="244"/>
      <c r="CY108" s="244"/>
      <c r="CZ108" s="244"/>
      <c r="DA108" s="244"/>
      <c r="DB108" s="244"/>
      <c r="DC108" s="244"/>
      <c r="DD108" s="244"/>
      <c r="DE108" s="244"/>
      <c r="DF108" s="244"/>
      <c r="DG108" s="244"/>
      <c r="DH108" s="244"/>
      <c r="DI108" s="244"/>
      <c r="DJ108" s="244"/>
      <c r="DK108" s="244"/>
      <c r="DL108" s="244"/>
      <c r="DM108" s="244"/>
      <c r="DN108" s="244"/>
      <c r="DO108" s="244"/>
      <c r="DP108" s="244"/>
      <c r="DQ108" s="244"/>
      <c r="DR108" s="244"/>
      <c r="DS108" s="244"/>
      <c r="DT108" s="244"/>
      <c r="DU108" s="244"/>
      <c r="DV108" s="244"/>
      <c r="DW108" s="244"/>
      <c r="DX108" s="244"/>
      <c r="DY108" s="244"/>
      <c r="DZ108" s="244"/>
      <c r="EA108" s="244"/>
      <c r="EB108" s="244"/>
      <c r="EC108" s="244"/>
      <c r="ED108" s="244"/>
      <c r="EE108" s="244"/>
      <c r="EF108" s="244"/>
      <c r="EG108" s="244"/>
      <c r="EH108" s="244"/>
      <c r="EI108" s="244"/>
      <c r="EJ108" s="244"/>
      <c r="EK108" s="244"/>
      <c r="EL108" s="244"/>
      <c r="EM108" s="244"/>
      <c r="EN108" s="244"/>
      <c r="EO108" s="244"/>
      <c r="EP108" s="244"/>
      <c r="EQ108" s="244"/>
      <c r="ER108" s="244"/>
      <c r="ES108" s="244"/>
      <c r="ET108" s="244"/>
      <c r="EU108" s="244"/>
      <c r="EV108" s="244"/>
      <c r="EW108" s="244"/>
      <c r="EX108" s="244"/>
      <c r="EY108" s="244"/>
      <c r="EZ108" s="244"/>
      <c r="FA108" s="244"/>
      <c r="FB108" s="244"/>
      <c r="FC108" s="244"/>
      <c r="FD108" s="244"/>
      <c r="FE108" s="244"/>
      <c r="FF108" s="244"/>
      <c r="FG108" s="244"/>
      <c r="FH108" s="244"/>
      <c r="FI108" s="244"/>
      <c r="FJ108" s="244"/>
      <c r="FK108" s="244"/>
      <c r="FL108" s="244"/>
      <c r="FM108" s="244"/>
      <c r="FN108" s="244"/>
      <c r="FO108" s="244"/>
      <c r="FP108" s="244"/>
      <c r="FQ108" s="244"/>
      <c r="FR108" s="244"/>
      <c r="FS108" s="244"/>
      <c r="FT108" s="244"/>
      <c r="FU108" s="244"/>
      <c r="FV108" s="244"/>
      <c r="FW108" s="244"/>
      <c r="FX108" s="244"/>
      <c r="FY108" s="244"/>
      <c r="FZ108" s="244"/>
      <c r="GA108" s="244"/>
      <c r="GB108" s="244"/>
      <c r="GC108" s="244"/>
      <c r="GD108" s="244"/>
      <c r="GE108" s="244"/>
      <c r="GF108" s="244"/>
      <c r="GG108" s="244"/>
      <c r="GH108" s="244"/>
      <c r="GI108" s="244"/>
      <c r="GJ108" s="244"/>
      <c r="GK108" s="244"/>
      <c r="GL108" s="244"/>
      <c r="GM108" s="244"/>
      <c r="GN108" s="244"/>
      <c r="GO108" s="244"/>
      <c r="GP108" s="244"/>
      <c r="GQ108" s="244"/>
      <c r="GR108" s="244"/>
      <c r="GS108" s="244"/>
      <c r="GT108" s="244"/>
    </row>
    <row r="109" spans="1:202" s="83" customFormat="1" ht="12" customHeight="1">
      <c r="A109" s="198"/>
      <c r="B109" s="172" t="s">
        <v>436</v>
      </c>
      <c r="C109" s="217"/>
      <c r="D109" s="146"/>
      <c r="E109" s="147">
        <v>4850.42</v>
      </c>
      <c r="F109" s="209">
        <v>1525.83</v>
      </c>
      <c r="G109" s="177">
        <f>E109-F109</f>
        <v>3324.59</v>
      </c>
      <c r="H109" s="147">
        <v>4850.42</v>
      </c>
      <c r="I109" s="144">
        <v>1525.83</v>
      </c>
      <c r="J109" s="210">
        <f t="shared" si="261"/>
        <v>3324.59</v>
      </c>
      <c r="K109" s="253">
        <v>0</v>
      </c>
      <c r="L109" s="253">
        <v>0</v>
      </c>
      <c r="M109" s="253"/>
      <c r="N109" s="287">
        <f t="shared" si="251"/>
        <v>0</v>
      </c>
      <c r="O109" s="274"/>
      <c r="P109" s="274"/>
      <c r="Q109" s="291"/>
      <c r="R109" s="287"/>
      <c r="S109" s="291"/>
      <c r="T109" s="274"/>
      <c r="U109" s="274"/>
      <c r="V109" s="274"/>
      <c r="W109" s="291"/>
      <c r="X109" s="265"/>
      <c r="Y109" s="142"/>
      <c r="Z109" s="274"/>
      <c r="AA109" s="274"/>
      <c r="AB109" s="274"/>
      <c r="AC109" s="274"/>
      <c r="AD109" s="274"/>
      <c r="AE109" s="274"/>
      <c r="AF109" s="287">
        <f t="shared" si="262"/>
        <v>0</v>
      </c>
      <c r="AG109" s="283">
        <f t="shared" si="252"/>
        <v>0</v>
      </c>
      <c r="AH109" s="229">
        <f t="shared" si="263"/>
        <v>0</v>
      </c>
      <c r="AI109" s="229">
        <f t="shared" si="263"/>
        <v>0</v>
      </c>
      <c r="AJ109" s="229">
        <f t="shared" si="263"/>
        <v>0</v>
      </c>
      <c r="AK109" s="261">
        <f t="shared" si="267"/>
        <v>0</v>
      </c>
      <c r="AL109" s="229">
        <f t="shared" si="264"/>
        <v>0</v>
      </c>
      <c r="AM109" s="229">
        <f t="shared" si="264"/>
        <v>0</v>
      </c>
      <c r="AN109" s="229">
        <f t="shared" si="264"/>
        <v>0</v>
      </c>
      <c r="AO109" s="261"/>
      <c r="AP109" s="229">
        <f t="shared" si="265"/>
        <v>0</v>
      </c>
      <c r="AQ109" s="229">
        <f t="shared" si="265"/>
        <v>0</v>
      </c>
      <c r="AR109" s="229">
        <f t="shared" si="265"/>
        <v>0</v>
      </c>
      <c r="AS109" s="229">
        <f t="shared" si="265"/>
        <v>0</v>
      </c>
      <c r="AT109" s="229">
        <f t="shared" si="265"/>
        <v>0</v>
      </c>
      <c r="AU109" s="229">
        <f t="shared" si="265"/>
        <v>0</v>
      </c>
      <c r="AV109" s="261"/>
      <c r="AW109" s="229">
        <f t="shared" si="266"/>
        <v>0</v>
      </c>
      <c r="AX109" s="229">
        <f t="shared" si="266"/>
        <v>0</v>
      </c>
      <c r="AY109" s="229">
        <f t="shared" si="266"/>
        <v>0</v>
      </c>
      <c r="AZ109" s="229">
        <f t="shared" si="266"/>
        <v>0</v>
      </c>
      <c r="BA109" s="229">
        <f t="shared" si="266"/>
        <v>0</v>
      </c>
      <c r="BB109" s="229">
        <f t="shared" si="266"/>
        <v>0</v>
      </c>
      <c r="BC109" s="261">
        <f t="shared" si="238"/>
        <v>0</v>
      </c>
      <c r="BD109" s="239">
        <f t="shared" si="255"/>
        <v>0</v>
      </c>
      <c r="BE109" s="13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4"/>
      <c r="CK109" s="244"/>
      <c r="CL109" s="244"/>
      <c r="CM109" s="244"/>
      <c r="CN109" s="244"/>
      <c r="CO109" s="244"/>
      <c r="CP109" s="244"/>
      <c r="CQ109" s="244"/>
      <c r="CR109" s="244"/>
      <c r="CS109" s="244"/>
      <c r="CT109" s="244"/>
      <c r="CU109" s="244"/>
      <c r="CV109" s="244"/>
      <c r="CW109" s="244"/>
      <c r="CX109" s="244"/>
      <c r="CY109" s="244"/>
      <c r="CZ109" s="244"/>
      <c r="DA109" s="244"/>
      <c r="DB109" s="244"/>
      <c r="DC109" s="244"/>
      <c r="DD109" s="244"/>
      <c r="DE109" s="244"/>
      <c r="DF109" s="244"/>
      <c r="DG109" s="244"/>
      <c r="DH109" s="244"/>
      <c r="DI109" s="244"/>
      <c r="DJ109" s="244"/>
      <c r="DK109" s="244"/>
      <c r="DL109" s="244"/>
      <c r="DM109" s="244"/>
      <c r="DN109" s="244"/>
      <c r="DO109" s="244"/>
      <c r="DP109" s="244"/>
      <c r="DQ109" s="244"/>
      <c r="DR109" s="244"/>
      <c r="DS109" s="244"/>
      <c r="DT109" s="244"/>
      <c r="DU109" s="244"/>
      <c r="DV109" s="244"/>
      <c r="DW109" s="244"/>
      <c r="DX109" s="244"/>
      <c r="DY109" s="244"/>
      <c r="DZ109" s="244"/>
      <c r="EA109" s="244"/>
      <c r="EB109" s="244"/>
      <c r="EC109" s="244"/>
      <c r="ED109" s="244"/>
      <c r="EE109" s="244"/>
      <c r="EF109" s="244"/>
      <c r="EG109" s="244"/>
      <c r="EH109" s="244"/>
      <c r="EI109" s="244"/>
      <c r="EJ109" s="244"/>
      <c r="EK109" s="244"/>
      <c r="EL109" s="244"/>
      <c r="EM109" s="244"/>
      <c r="EN109" s="244"/>
      <c r="EO109" s="244"/>
      <c r="EP109" s="244"/>
      <c r="EQ109" s="244"/>
      <c r="ER109" s="244"/>
      <c r="ES109" s="244"/>
      <c r="ET109" s="244"/>
      <c r="EU109" s="244"/>
      <c r="EV109" s="244"/>
      <c r="EW109" s="244"/>
      <c r="EX109" s="244"/>
      <c r="EY109" s="244"/>
      <c r="EZ109" s="244"/>
      <c r="FA109" s="244"/>
      <c r="FB109" s="244"/>
      <c r="FC109" s="244"/>
      <c r="FD109" s="244"/>
      <c r="FE109" s="244"/>
      <c r="FF109" s="244"/>
      <c r="FG109" s="244"/>
      <c r="FH109" s="244"/>
      <c r="FI109" s="244"/>
      <c r="FJ109" s="244"/>
      <c r="FK109" s="244"/>
      <c r="FL109" s="244"/>
      <c r="FM109" s="244"/>
      <c r="FN109" s="244"/>
      <c r="FO109" s="244"/>
      <c r="FP109" s="244"/>
      <c r="FQ109" s="244"/>
      <c r="FR109" s="244"/>
      <c r="FS109" s="244"/>
      <c r="FT109" s="244"/>
      <c r="FU109" s="244"/>
      <c r="FV109" s="244"/>
      <c r="FW109" s="244"/>
      <c r="FX109" s="244"/>
      <c r="FY109" s="244"/>
      <c r="FZ109" s="244"/>
      <c r="GA109" s="244"/>
      <c r="GB109" s="244"/>
      <c r="GC109" s="244"/>
      <c r="GD109" s="244"/>
      <c r="GE109" s="244"/>
      <c r="GF109" s="244"/>
      <c r="GG109" s="244"/>
      <c r="GH109" s="244"/>
      <c r="GI109" s="244"/>
      <c r="GJ109" s="244"/>
      <c r="GK109" s="244"/>
      <c r="GL109" s="244"/>
      <c r="GM109" s="244"/>
      <c r="GN109" s="244"/>
      <c r="GO109" s="244"/>
      <c r="GP109" s="244"/>
      <c r="GQ109" s="244"/>
      <c r="GR109" s="244"/>
      <c r="GS109" s="244"/>
      <c r="GT109" s="244"/>
    </row>
    <row r="110" spans="1:202" s="83" customFormat="1" ht="12" customHeight="1">
      <c r="A110" s="198"/>
      <c r="B110" s="172" t="s">
        <v>531</v>
      </c>
      <c r="C110" s="217"/>
      <c r="D110" s="146"/>
      <c r="E110" s="147">
        <v>4747.07</v>
      </c>
      <c r="F110" s="209">
        <v>1850</v>
      </c>
      <c r="G110" s="177">
        <f>E110-F110</f>
        <v>2897.0699999999997</v>
      </c>
      <c r="H110" s="147">
        <v>4747.07</v>
      </c>
      <c r="I110" s="144">
        <v>1850</v>
      </c>
      <c r="J110" s="210">
        <f t="shared" si="261"/>
        <v>2897.0699999999997</v>
      </c>
      <c r="K110" s="253">
        <v>1.236</v>
      </c>
      <c r="L110" s="253">
        <v>1.6779999999999999</v>
      </c>
      <c r="M110" s="253"/>
      <c r="N110" s="287">
        <f t="shared" si="251"/>
        <v>2.9139999999999997</v>
      </c>
      <c r="O110" s="274"/>
      <c r="P110" s="274"/>
      <c r="Q110" s="291"/>
      <c r="R110" s="287"/>
      <c r="S110" s="291"/>
      <c r="T110" s="274"/>
      <c r="U110" s="274"/>
      <c r="V110" s="274"/>
      <c r="W110" s="291"/>
      <c r="X110" s="265"/>
      <c r="Y110" s="142"/>
      <c r="Z110" s="274"/>
      <c r="AA110" s="274"/>
      <c r="AB110" s="274"/>
      <c r="AC110" s="274"/>
      <c r="AD110" s="274"/>
      <c r="AE110" s="274"/>
      <c r="AF110" s="287">
        <f t="shared" si="262"/>
        <v>0</v>
      </c>
      <c r="AG110" s="283">
        <f t="shared" si="252"/>
        <v>2.9139999999999997</v>
      </c>
      <c r="AH110" s="229">
        <f t="shared" si="263"/>
        <v>3580.7785199999994</v>
      </c>
      <c r="AI110" s="229">
        <f t="shared" si="263"/>
        <v>4861.2834599999996</v>
      </c>
      <c r="AJ110" s="229">
        <f t="shared" si="263"/>
        <v>0</v>
      </c>
      <c r="AK110" s="261">
        <f t="shared" si="267"/>
        <v>8442.0619799999986</v>
      </c>
      <c r="AL110" s="229">
        <f t="shared" si="264"/>
        <v>0</v>
      </c>
      <c r="AM110" s="229">
        <f t="shared" si="264"/>
        <v>0</v>
      </c>
      <c r="AN110" s="229">
        <f t="shared" si="264"/>
        <v>0</v>
      </c>
      <c r="AO110" s="261"/>
      <c r="AP110" s="229">
        <f t="shared" si="265"/>
        <v>0</v>
      </c>
      <c r="AQ110" s="229">
        <f t="shared" si="265"/>
        <v>0</v>
      </c>
      <c r="AR110" s="229">
        <f t="shared" si="265"/>
        <v>0</v>
      </c>
      <c r="AS110" s="229">
        <f t="shared" si="265"/>
        <v>0</v>
      </c>
      <c r="AT110" s="229">
        <f t="shared" si="265"/>
        <v>0</v>
      </c>
      <c r="AU110" s="229">
        <f t="shared" si="265"/>
        <v>0</v>
      </c>
      <c r="AV110" s="261"/>
      <c r="AW110" s="229">
        <f t="shared" si="266"/>
        <v>0</v>
      </c>
      <c r="AX110" s="229">
        <f t="shared" si="266"/>
        <v>0</v>
      </c>
      <c r="AY110" s="229">
        <f t="shared" si="266"/>
        <v>0</v>
      </c>
      <c r="AZ110" s="229">
        <f t="shared" si="266"/>
        <v>0</v>
      </c>
      <c r="BA110" s="229">
        <f t="shared" si="266"/>
        <v>0</v>
      </c>
      <c r="BB110" s="229">
        <f t="shared" si="266"/>
        <v>0</v>
      </c>
      <c r="BC110" s="261">
        <f t="shared" si="238"/>
        <v>0</v>
      </c>
      <c r="BD110" s="239">
        <f t="shared" si="255"/>
        <v>8442.0619799999986</v>
      </c>
      <c r="BE110" s="13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44"/>
      <c r="CC110" s="244"/>
      <c r="CD110" s="244"/>
      <c r="CE110" s="244"/>
      <c r="CF110" s="244"/>
      <c r="CG110" s="244"/>
      <c r="CH110" s="244"/>
      <c r="CI110" s="244"/>
      <c r="CJ110" s="244"/>
      <c r="CK110" s="244"/>
      <c r="CL110" s="244"/>
      <c r="CM110" s="244"/>
      <c r="CN110" s="244"/>
      <c r="CO110" s="244"/>
      <c r="CP110" s="244"/>
      <c r="CQ110" s="244"/>
      <c r="CR110" s="244"/>
      <c r="CS110" s="244"/>
      <c r="CT110" s="244"/>
      <c r="CU110" s="244"/>
      <c r="CV110" s="244"/>
      <c r="CW110" s="244"/>
      <c r="CX110" s="244"/>
      <c r="CY110" s="244"/>
      <c r="CZ110" s="244"/>
      <c r="DA110" s="244"/>
      <c r="DB110" s="244"/>
      <c r="DC110" s="244"/>
      <c r="DD110" s="244"/>
      <c r="DE110" s="244"/>
      <c r="DF110" s="244"/>
      <c r="DG110" s="244"/>
      <c r="DH110" s="244"/>
      <c r="DI110" s="244"/>
      <c r="DJ110" s="244"/>
      <c r="DK110" s="244"/>
      <c r="DL110" s="244"/>
      <c r="DM110" s="244"/>
      <c r="DN110" s="244"/>
      <c r="DO110" s="244"/>
      <c r="DP110" s="244"/>
      <c r="DQ110" s="244"/>
      <c r="DR110" s="244"/>
      <c r="DS110" s="244"/>
      <c r="DT110" s="244"/>
      <c r="DU110" s="244"/>
      <c r="DV110" s="244"/>
      <c r="DW110" s="244"/>
      <c r="DX110" s="244"/>
      <c r="DY110" s="244"/>
      <c r="DZ110" s="244"/>
      <c r="EA110" s="244"/>
      <c r="EB110" s="244"/>
      <c r="EC110" s="244"/>
      <c r="ED110" s="244"/>
      <c r="EE110" s="244"/>
      <c r="EF110" s="244"/>
      <c r="EG110" s="244"/>
      <c r="EH110" s="244"/>
      <c r="EI110" s="244"/>
      <c r="EJ110" s="244"/>
      <c r="EK110" s="244"/>
      <c r="EL110" s="244"/>
      <c r="EM110" s="244"/>
      <c r="EN110" s="244"/>
      <c r="EO110" s="244"/>
      <c r="EP110" s="244"/>
      <c r="EQ110" s="244"/>
      <c r="ER110" s="244"/>
      <c r="ES110" s="244"/>
      <c r="ET110" s="244"/>
      <c r="EU110" s="244"/>
      <c r="EV110" s="244"/>
      <c r="EW110" s="244"/>
      <c r="EX110" s="244"/>
      <c r="EY110" s="244"/>
      <c r="EZ110" s="244"/>
      <c r="FA110" s="244"/>
      <c r="FB110" s="244"/>
      <c r="FC110" s="244"/>
      <c r="FD110" s="244"/>
      <c r="FE110" s="244"/>
      <c r="FF110" s="244"/>
      <c r="FG110" s="244"/>
      <c r="FH110" s="244"/>
      <c r="FI110" s="244"/>
      <c r="FJ110" s="244"/>
      <c r="FK110" s="244"/>
      <c r="FL110" s="244"/>
      <c r="FM110" s="244"/>
      <c r="FN110" s="244"/>
      <c r="FO110" s="244"/>
      <c r="FP110" s="244"/>
      <c r="FQ110" s="244"/>
      <c r="FR110" s="244"/>
      <c r="FS110" s="244"/>
      <c r="FT110" s="244"/>
      <c r="FU110" s="244"/>
      <c r="FV110" s="244"/>
      <c r="FW110" s="244"/>
      <c r="FX110" s="244"/>
      <c r="FY110" s="244"/>
      <c r="FZ110" s="244"/>
      <c r="GA110" s="244"/>
      <c r="GB110" s="244"/>
      <c r="GC110" s="244"/>
      <c r="GD110" s="244"/>
      <c r="GE110" s="244"/>
      <c r="GF110" s="244"/>
      <c r="GG110" s="244"/>
      <c r="GH110" s="244"/>
      <c r="GI110" s="244"/>
      <c r="GJ110" s="244"/>
      <c r="GK110" s="244"/>
      <c r="GL110" s="244"/>
      <c r="GM110" s="244"/>
      <c r="GN110" s="244"/>
      <c r="GO110" s="244"/>
      <c r="GP110" s="244"/>
      <c r="GQ110" s="244"/>
      <c r="GR110" s="244"/>
      <c r="GS110" s="244"/>
      <c r="GT110" s="244"/>
    </row>
    <row r="111" spans="1:202" s="83" customFormat="1" ht="12" customHeight="1">
      <c r="A111" s="198"/>
      <c r="B111" s="172" t="s">
        <v>437</v>
      </c>
      <c r="C111" s="217"/>
      <c r="D111" s="146"/>
      <c r="E111" s="147">
        <v>3499.53</v>
      </c>
      <c r="F111" s="209">
        <v>2150</v>
      </c>
      <c r="G111" s="177">
        <f>E111-F111</f>
        <v>1349.5300000000002</v>
      </c>
      <c r="H111" s="147">
        <v>3499.53</v>
      </c>
      <c r="I111" s="144">
        <v>2150</v>
      </c>
      <c r="J111" s="210">
        <f t="shared" si="261"/>
        <v>1349.5300000000002</v>
      </c>
      <c r="K111" s="253">
        <v>31.899000000000001</v>
      </c>
      <c r="L111" s="253">
        <f>28.177-4.255</f>
        <v>23.922000000000001</v>
      </c>
      <c r="M111" s="253"/>
      <c r="N111" s="287">
        <f t="shared" si="251"/>
        <v>55.820999999999998</v>
      </c>
      <c r="O111" s="274"/>
      <c r="P111" s="274"/>
      <c r="Q111" s="291"/>
      <c r="R111" s="287"/>
      <c r="S111" s="291"/>
      <c r="T111" s="274"/>
      <c r="U111" s="274"/>
      <c r="V111" s="274"/>
      <c r="W111" s="291"/>
      <c r="X111" s="265"/>
      <c r="Y111" s="142"/>
      <c r="Z111" s="274"/>
      <c r="AA111" s="274"/>
      <c r="AB111" s="274"/>
      <c r="AC111" s="274"/>
      <c r="AD111" s="274"/>
      <c r="AE111" s="274"/>
      <c r="AF111" s="287">
        <f t="shared" si="262"/>
        <v>0</v>
      </c>
      <c r="AG111" s="283">
        <f t="shared" si="252"/>
        <v>55.820999999999998</v>
      </c>
      <c r="AH111" s="229">
        <f t="shared" si="263"/>
        <v>43048.657470000006</v>
      </c>
      <c r="AI111" s="229">
        <f t="shared" si="263"/>
        <v>32283.456660000007</v>
      </c>
      <c r="AJ111" s="229">
        <f t="shared" si="263"/>
        <v>0</v>
      </c>
      <c r="AK111" s="261">
        <f t="shared" si="267"/>
        <v>75332.114130000016</v>
      </c>
      <c r="AL111" s="229">
        <f t="shared" si="264"/>
        <v>0</v>
      </c>
      <c r="AM111" s="229">
        <f t="shared" si="264"/>
        <v>0</v>
      </c>
      <c r="AN111" s="229">
        <f t="shared" si="264"/>
        <v>0</v>
      </c>
      <c r="AO111" s="261"/>
      <c r="AP111" s="229">
        <f t="shared" si="265"/>
        <v>0</v>
      </c>
      <c r="AQ111" s="229">
        <f t="shared" si="265"/>
        <v>0</v>
      </c>
      <c r="AR111" s="229">
        <f t="shared" si="265"/>
        <v>0</v>
      </c>
      <c r="AS111" s="229">
        <f t="shared" si="265"/>
        <v>0</v>
      </c>
      <c r="AT111" s="229">
        <f t="shared" si="265"/>
        <v>0</v>
      </c>
      <c r="AU111" s="229">
        <f t="shared" si="265"/>
        <v>0</v>
      </c>
      <c r="AV111" s="261"/>
      <c r="AW111" s="229">
        <f t="shared" si="266"/>
        <v>0</v>
      </c>
      <c r="AX111" s="229">
        <f t="shared" si="266"/>
        <v>0</v>
      </c>
      <c r="AY111" s="229">
        <f t="shared" si="266"/>
        <v>0</v>
      </c>
      <c r="AZ111" s="229">
        <f t="shared" si="266"/>
        <v>0</v>
      </c>
      <c r="BA111" s="229">
        <f t="shared" si="266"/>
        <v>0</v>
      </c>
      <c r="BB111" s="229">
        <f t="shared" si="266"/>
        <v>0</v>
      </c>
      <c r="BC111" s="261">
        <f t="shared" si="238"/>
        <v>0</v>
      </c>
      <c r="BD111" s="239">
        <f t="shared" si="255"/>
        <v>75332.114130000016</v>
      </c>
      <c r="BE111" s="13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244"/>
      <c r="GB111" s="244"/>
      <c r="GC111" s="244"/>
      <c r="GD111" s="244"/>
      <c r="GE111" s="244"/>
      <c r="GF111" s="244"/>
      <c r="GG111" s="244"/>
      <c r="GH111" s="244"/>
      <c r="GI111" s="244"/>
      <c r="GJ111" s="244"/>
      <c r="GK111" s="244"/>
      <c r="GL111" s="244"/>
      <c r="GM111" s="244"/>
      <c r="GN111" s="244"/>
      <c r="GO111" s="244"/>
      <c r="GP111" s="244"/>
      <c r="GQ111" s="244"/>
      <c r="GR111" s="244"/>
      <c r="GS111" s="244"/>
      <c r="GT111" s="244"/>
    </row>
    <row r="112" spans="1:202" s="83" customFormat="1" ht="12.75">
      <c r="A112" s="197" t="s">
        <v>25</v>
      </c>
      <c r="B112" s="183" t="s">
        <v>72</v>
      </c>
      <c r="C112" s="217" t="s">
        <v>426</v>
      </c>
      <c r="D112" s="138">
        <v>7708503727</v>
      </c>
      <c r="E112" s="147"/>
      <c r="F112" s="144"/>
      <c r="G112" s="177"/>
      <c r="H112" s="147"/>
      <c r="I112" s="144"/>
      <c r="J112" s="210"/>
      <c r="K112" s="257">
        <f>K113+K114</f>
        <v>968.36</v>
      </c>
      <c r="L112" s="257">
        <f>L113+L114</f>
        <v>1056.412</v>
      </c>
      <c r="M112" s="257">
        <f>M113+M114</f>
        <v>0</v>
      </c>
      <c r="N112" s="284">
        <f>K112+L112+M112</f>
        <v>2024.7719999999999</v>
      </c>
      <c r="O112" s="279">
        <f>O113</f>
        <v>0</v>
      </c>
      <c r="P112" s="279">
        <f>P113</f>
        <v>0</v>
      </c>
      <c r="Q112" s="279">
        <f>Q113</f>
        <v>0</v>
      </c>
      <c r="R112" s="284">
        <f>O112+P112+Q112</f>
        <v>0</v>
      </c>
      <c r="S112" s="296">
        <f t="shared" ref="S112:X112" si="268">S113</f>
        <v>0</v>
      </c>
      <c r="T112" s="296">
        <f t="shared" si="268"/>
        <v>0</v>
      </c>
      <c r="U112" s="296">
        <f t="shared" si="268"/>
        <v>0</v>
      </c>
      <c r="V112" s="296">
        <f t="shared" si="268"/>
        <v>0</v>
      </c>
      <c r="W112" s="296">
        <f t="shared" si="268"/>
        <v>0</v>
      </c>
      <c r="X112" s="296">
        <f t="shared" si="268"/>
        <v>0</v>
      </c>
      <c r="Y112" s="284">
        <f>SUM(S112:X112)</f>
        <v>0</v>
      </c>
      <c r="Z112" s="279">
        <f t="shared" ref="Z112:AE112" si="269">Z113</f>
        <v>0</v>
      </c>
      <c r="AA112" s="279">
        <f t="shared" si="269"/>
        <v>0</v>
      </c>
      <c r="AB112" s="279">
        <f t="shared" si="269"/>
        <v>0</v>
      </c>
      <c r="AC112" s="279">
        <f t="shared" si="269"/>
        <v>0</v>
      </c>
      <c r="AD112" s="279">
        <f t="shared" si="269"/>
        <v>0</v>
      </c>
      <c r="AE112" s="279">
        <f t="shared" si="269"/>
        <v>0</v>
      </c>
      <c r="AF112" s="284">
        <f t="shared" si="262"/>
        <v>0</v>
      </c>
      <c r="AG112" s="282">
        <f t="shared" si="252"/>
        <v>2024.7719999999999</v>
      </c>
      <c r="AH112" s="234">
        <f>AH113+AH114</f>
        <v>283148.46400000009</v>
      </c>
      <c r="AI112" s="234">
        <f>AI113+AI114</f>
        <v>308894.86880000005</v>
      </c>
      <c r="AJ112" s="234">
        <f>AJ113+AJ114</f>
        <v>0</v>
      </c>
      <c r="AK112" s="260">
        <f t="shared" ref="AK112:AK121" si="270">AH112+AI112+AJ112</f>
        <v>592043.33280000021</v>
      </c>
      <c r="AL112" s="234">
        <f>AL113</f>
        <v>0</v>
      </c>
      <c r="AM112" s="234">
        <f>AM113</f>
        <v>0</v>
      </c>
      <c r="AN112" s="234">
        <f>AN113</f>
        <v>0</v>
      </c>
      <c r="AO112" s="260">
        <f>SUM(AL112:AN112)</f>
        <v>0</v>
      </c>
      <c r="AP112" s="234">
        <f t="shared" ref="AP112:AU112" si="271">AP113</f>
        <v>0</v>
      </c>
      <c r="AQ112" s="234">
        <f t="shared" si="271"/>
        <v>0</v>
      </c>
      <c r="AR112" s="234">
        <f t="shared" si="271"/>
        <v>0</v>
      </c>
      <c r="AS112" s="234">
        <f t="shared" si="271"/>
        <v>0</v>
      </c>
      <c r="AT112" s="234">
        <f t="shared" si="271"/>
        <v>0</v>
      </c>
      <c r="AU112" s="234">
        <f t="shared" si="271"/>
        <v>0</v>
      </c>
      <c r="AV112" s="260">
        <f>SUM(AP112:AU112)</f>
        <v>0</v>
      </c>
      <c r="AW112" s="234">
        <f t="shared" ref="AW112:BB112" si="272">AW113</f>
        <v>0</v>
      </c>
      <c r="AX112" s="234">
        <f t="shared" si="272"/>
        <v>0</v>
      </c>
      <c r="AY112" s="234">
        <f t="shared" si="272"/>
        <v>0</v>
      </c>
      <c r="AZ112" s="234">
        <f t="shared" si="272"/>
        <v>0</v>
      </c>
      <c r="BA112" s="234">
        <f t="shared" si="272"/>
        <v>0</v>
      </c>
      <c r="BB112" s="234">
        <f t="shared" si="272"/>
        <v>0</v>
      </c>
      <c r="BC112" s="260">
        <f t="shared" si="238"/>
        <v>0</v>
      </c>
      <c r="BD112" s="238">
        <f t="shared" si="255"/>
        <v>592043.33280000021</v>
      </c>
      <c r="BE112" s="13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44"/>
      <c r="GB112" s="244"/>
      <c r="GC112" s="244"/>
      <c r="GD112" s="244"/>
      <c r="GE112" s="244"/>
      <c r="GF112" s="244"/>
      <c r="GG112" s="244"/>
      <c r="GH112" s="244"/>
      <c r="GI112" s="244"/>
      <c r="GJ112" s="244"/>
      <c r="GK112" s="244"/>
      <c r="GL112" s="244"/>
      <c r="GM112" s="244"/>
      <c r="GN112" s="244"/>
      <c r="GO112" s="244"/>
      <c r="GP112" s="244"/>
      <c r="GQ112" s="244"/>
      <c r="GR112" s="244"/>
      <c r="GS112" s="244"/>
      <c r="GT112" s="244"/>
    </row>
    <row r="113" spans="1:202" s="83" customFormat="1" ht="12.75">
      <c r="A113" s="198"/>
      <c r="B113" s="145" t="s">
        <v>699</v>
      </c>
      <c r="C113" s="217"/>
      <c r="D113" s="146"/>
      <c r="E113" s="147">
        <v>2292.4</v>
      </c>
      <c r="F113" s="209">
        <v>2000</v>
      </c>
      <c r="G113" s="177">
        <f t="shared" si="260"/>
        <v>292.40000000000009</v>
      </c>
      <c r="H113" s="147">
        <v>2292.4</v>
      </c>
      <c r="I113" s="144">
        <v>2000</v>
      </c>
      <c r="J113" s="210">
        <f>H113-I113</f>
        <v>292.40000000000009</v>
      </c>
      <c r="K113" s="253">
        <v>853.40200000000004</v>
      </c>
      <c r="L113" s="253">
        <v>936.81</v>
      </c>
      <c r="M113" s="253"/>
      <c r="N113" s="287">
        <f>K113+L113+M113</f>
        <v>1790.212</v>
      </c>
      <c r="O113" s="274"/>
      <c r="P113" s="274"/>
      <c r="Q113" s="291"/>
      <c r="R113" s="287"/>
      <c r="S113" s="291"/>
      <c r="T113" s="274"/>
      <c r="U113" s="274"/>
      <c r="V113" s="274"/>
      <c r="W113" s="291"/>
      <c r="X113" s="274"/>
      <c r="Y113" s="142"/>
      <c r="Z113" s="274"/>
      <c r="AA113" s="274"/>
      <c r="AB113" s="274"/>
      <c r="AC113" s="274"/>
      <c r="AD113" s="274"/>
      <c r="AE113" s="274"/>
      <c r="AF113" s="287">
        <f t="shared" si="262"/>
        <v>0</v>
      </c>
      <c r="AG113" s="283">
        <f t="shared" si="252"/>
        <v>1790.212</v>
      </c>
      <c r="AH113" s="229">
        <f t="shared" ref="AH113:AJ114" si="273">K113*$G113</f>
        <v>249534.7448000001</v>
      </c>
      <c r="AI113" s="229">
        <f t="shared" si="273"/>
        <v>273923.24400000006</v>
      </c>
      <c r="AJ113" s="229">
        <f t="shared" si="273"/>
        <v>0</v>
      </c>
      <c r="AK113" s="261">
        <f t="shared" si="270"/>
        <v>523457.98880000017</v>
      </c>
      <c r="AL113" s="229">
        <f t="shared" ref="AL113:AN114" si="274">O113*$G113</f>
        <v>0</v>
      </c>
      <c r="AM113" s="229">
        <f t="shared" si="274"/>
        <v>0</v>
      </c>
      <c r="AN113" s="229">
        <f t="shared" si="274"/>
        <v>0</v>
      </c>
      <c r="AO113" s="261"/>
      <c r="AP113" s="229">
        <f t="shared" ref="AP113:AU114" si="275">S113*$J113</f>
        <v>0</v>
      </c>
      <c r="AQ113" s="229">
        <f t="shared" si="275"/>
        <v>0</v>
      </c>
      <c r="AR113" s="229">
        <f t="shared" si="275"/>
        <v>0</v>
      </c>
      <c r="AS113" s="229">
        <f t="shared" si="275"/>
        <v>0</v>
      </c>
      <c r="AT113" s="229">
        <f t="shared" si="275"/>
        <v>0</v>
      </c>
      <c r="AU113" s="229">
        <f t="shared" si="275"/>
        <v>0</v>
      </c>
      <c r="AV113" s="261"/>
      <c r="AW113" s="229">
        <f t="shared" ref="AW113:BB114" si="276">Z113*$J113</f>
        <v>0</v>
      </c>
      <c r="AX113" s="229">
        <f t="shared" si="276"/>
        <v>0</v>
      </c>
      <c r="AY113" s="229">
        <f t="shared" si="276"/>
        <v>0</v>
      </c>
      <c r="AZ113" s="229">
        <f t="shared" si="276"/>
        <v>0</v>
      </c>
      <c r="BA113" s="229">
        <f t="shared" si="276"/>
        <v>0</v>
      </c>
      <c r="BB113" s="229">
        <f t="shared" si="276"/>
        <v>0</v>
      </c>
      <c r="BC113" s="261">
        <f t="shared" si="238"/>
        <v>0</v>
      </c>
      <c r="BD113" s="239">
        <f t="shared" si="255"/>
        <v>523457.98880000017</v>
      </c>
      <c r="BE113" s="13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44"/>
      <c r="GB113" s="244"/>
      <c r="GC113" s="244"/>
      <c r="GD113" s="244"/>
      <c r="GE113" s="244"/>
      <c r="GF113" s="244"/>
      <c r="GG113" s="244"/>
      <c r="GH113" s="244"/>
      <c r="GI113" s="244"/>
      <c r="GJ113" s="244"/>
      <c r="GK113" s="244"/>
      <c r="GL113" s="244"/>
      <c r="GM113" s="244"/>
      <c r="GN113" s="244"/>
      <c r="GO113" s="244"/>
      <c r="GP113" s="244"/>
      <c r="GQ113" s="244"/>
      <c r="GR113" s="244"/>
      <c r="GS113" s="244"/>
      <c r="GT113" s="244"/>
    </row>
    <row r="114" spans="1:202" s="83" customFormat="1" ht="12.75">
      <c r="A114" s="198"/>
      <c r="B114" s="145" t="s">
        <v>700</v>
      </c>
      <c r="C114" s="217"/>
      <c r="D114" s="146"/>
      <c r="E114" s="147">
        <v>2292.4</v>
      </c>
      <c r="F114" s="209">
        <v>2000</v>
      </c>
      <c r="G114" s="177">
        <f>E114-F114</f>
        <v>292.40000000000009</v>
      </c>
      <c r="H114" s="147">
        <v>2292.4</v>
      </c>
      <c r="I114" s="144">
        <v>2000</v>
      </c>
      <c r="J114" s="210">
        <f>H114-I114</f>
        <v>292.40000000000009</v>
      </c>
      <c r="K114" s="253">
        <v>114.958</v>
      </c>
      <c r="L114" s="253">
        <v>119.602</v>
      </c>
      <c r="M114" s="253"/>
      <c r="N114" s="287">
        <f>K114+L114+M114</f>
        <v>234.56</v>
      </c>
      <c r="O114" s="274"/>
      <c r="P114" s="274"/>
      <c r="Q114" s="291"/>
      <c r="R114" s="287"/>
      <c r="S114" s="291"/>
      <c r="T114" s="274"/>
      <c r="U114" s="274"/>
      <c r="V114" s="274"/>
      <c r="W114" s="291"/>
      <c r="X114" s="274"/>
      <c r="Y114" s="142"/>
      <c r="Z114" s="274"/>
      <c r="AA114" s="274"/>
      <c r="AB114" s="274"/>
      <c r="AC114" s="274"/>
      <c r="AD114" s="274"/>
      <c r="AE114" s="274"/>
      <c r="AF114" s="287">
        <f t="shared" si="262"/>
        <v>0</v>
      </c>
      <c r="AG114" s="283">
        <f t="shared" si="252"/>
        <v>234.56</v>
      </c>
      <c r="AH114" s="229">
        <f t="shared" si="273"/>
        <v>33613.719200000007</v>
      </c>
      <c r="AI114" s="229">
        <f t="shared" si="273"/>
        <v>34971.624800000012</v>
      </c>
      <c r="AJ114" s="229">
        <f t="shared" si="273"/>
        <v>0</v>
      </c>
      <c r="AK114" s="261">
        <f t="shared" si="270"/>
        <v>68585.344000000012</v>
      </c>
      <c r="AL114" s="229">
        <f t="shared" si="274"/>
        <v>0</v>
      </c>
      <c r="AM114" s="229">
        <f t="shared" si="274"/>
        <v>0</v>
      </c>
      <c r="AN114" s="229">
        <f t="shared" si="274"/>
        <v>0</v>
      </c>
      <c r="AO114" s="261"/>
      <c r="AP114" s="229">
        <f t="shared" si="275"/>
        <v>0</v>
      </c>
      <c r="AQ114" s="229">
        <f t="shared" si="275"/>
        <v>0</v>
      </c>
      <c r="AR114" s="229">
        <f t="shared" si="275"/>
        <v>0</v>
      </c>
      <c r="AS114" s="229">
        <f t="shared" si="275"/>
        <v>0</v>
      </c>
      <c r="AT114" s="229">
        <f t="shared" si="275"/>
        <v>0</v>
      </c>
      <c r="AU114" s="229">
        <f t="shared" si="275"/>
        <v>0</v>
      </c>
      <c r="AV114" s="261"/>
      <c r="AW114" s="229">
        <f t="shared" si="276"/>
        <v>0</v>
      </c>
      <c r="AX114" s="229">
        <f t="shared" si="276"/>
        <v>0</v>
      </c>
      <c r="AY114" s="229">
        <f t="shared" si="276"/>
        <v>0</v>
      </c>
      <c r="AZ114" s="229">
        <f t="shared" si="276"/>
        <v>0</v>
      </c>
      <c r="BA114" s="229">
        <f t="shared" si="276"/>
        <v>0</v>
      </c>
      <c r="BB114" s="229">
        <f t="shared" si="276"/>
        <v>0</v>
      </c>
      <c r="BC114" s="261">
        <f t="shared" si="238"/>
        <v>0</v>
      </c>
      <c r="BD114" s="239">
        <f t="shared" si="255"/>
        <v>68585.344000000012</v>
      </c>
      <c r="BE114" s="13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44"/>
      <c r="GB114" s="244"/>
      <c r="GC114" s="244"/>
      <c r="GD114" s="244"/>
      <c r="GE114" s="244"/>
      <c r="GF114" s="244"/>
      <c r="GG114" s="244"/>
      <c r="GH114" s="244"/>
      <c r="GI114" s="244"/>
      <c r="GJ114" s="244"/>
      <c r="GK114" s="244"/>
      <c r="GL114" s="244"/>
      <c r="GM114" s="244"/>
      <c r="GN114" s="244"/>
      <c r="GO114" s="244"/>
      <c r="GP114" s="244"/>
      <c r="GQ114" s="244"/>
      <c r="GR114" s="244"/>
      <c r="GS114" s="244"/>
      <c r="GT114" s="244"/>
    </row>
    <row r="115" spans="1:202" s="79" customFormat="1" ht="11.25" customHeight="1">
      <c r="A115" s="187" t="s">
        <v>56</v>
      </c>
      <c r="B115" s="179" t="s">
        <v>340</v>
      </c>
      <c r="C115" s="218"/>
      <c r="D115" s="138">
        <v>2901265172</v>
      </c>
      <c r="E115" s="178"/>
      <c r="F115" s="147"/>
      <c r="G115" s="177"/>
      <c r="H115" s="178"/>
      <c r="I115" s="152"/>
      <c r="J115" s="210"/>
      <c r="K115" s="251">
        <f t="shared" ref="K115:Q115" si="277">SUM(K116:K121)</f>
        <v>3843.1669999999999</v>
      </c>
      <c r="L115" s="251">
        <f t="shared" si="277"/>
        <v>3213.75</v>
      </c>
      <c r="M115" s="251">
        <f t="shared" si="277"/>
        <v>0</v>
      </c>
      <c r="N115" s="284">
        <f t="shared" si="277"/>
        <v>7056.9169999999995</v>
      </c>
      <c r="O115" s="272">
        <f t="shared" si="277"/>
        <v>0</v>
      </c>
      <c r="P115" s="272">
        <f t="shared" si="277"/>
        <v>0</v>
      </c>
      <c r="Q115" s="272">
        <f t="shared" si="277"/>
        <v>0</v>
      </c>
      <c r="R115" s="284">
        <f>O115+P115+Q115</f>
        <v>0</v>
      </c>
      <c r="S115" s="289">
        <f t="shared" ref="S115:X115" si="278">SUM(S116:S121)</f>
        <v>0</v>
      </c>
      <c r="T115" s="289">
        <f t="shared" si="278"/>
        <v>0</v>
      </c>
      <c r="U115" s="289">
        <f t="shared" si="278"/>
        <v>0</v>
      </c>
      <c r="V115" s="289">
        <f t="shared" si="278"/>
        <v>0</v>
      </c>
      <c r="W115" s="289">
        <f t="shared" si="278"/>
        <v>0</v>
      </c>
      <c r="X115" s="289">
        <f t="shared" si="278"/>
        <v>0</v>
      </c>
      <c r="Y115" s="284">
        <f>SUM(S115:X115)</f>
        <v>0</v>
      </c>
      <c r="Z115" s="272">
        <f t="shared" ref="Z115:AF115" si="279">SUM(Z116:Z121)</f>
        <v>0</v>
      </c>
      <c r="AA115" s="272">
        <f t="shared" si="279"/>
        <v>0</v>
      </c>
      <c r="AB115" s="272">
        <f t="shared" si="279"/>
        <v>0</v>
      </c>
      <c r="AC115" s="272">
        <f t="shared" si="279"/>
        <v>0</v>
      </c>
      <c r="AD115" s="272">
        <f t="shared" si="279"/>
        <v>0</v>
      </c>
      <c r="AE115" s="272">
        <f t="shared" si="279"/>
        <v>0</v>
      </c>
      <c r="AF115" s="284">
        <f t="shared" si="279"/>
        <v>0</v>
      </c>
      <c r="AG115" s="282">
        <f t="shared" si="252"/>
        <v>7056.9169999999995</v>
      </c>
      <c r="AH115" s="227">
        <f>SUM(AH116:AH121)</f>
        <v>9836174.3831900023</v>
      </c>
      <c r="AI115" s="227">
        <f>SUM(AI116:AI121)</f>
        <v>8168217.0247000009</v>
      </c>
      <c r="AJ115" s="227">
        <f>SUM(AJ116:AJ121)</f>
        <v>0</v>
      </c>
      <c r="AK115" s="260">
        <f t="shared" si="270"/>
        <v>18004391.407890003</v>
      </c>
      <c r="AL115" s="227">
        <f>SUM(AL116:AL121)</f>
        <v>0</v>
      </c>
      <c r="AM115" s="227">
        <f>SUM(AM116:AM121)</f>
        <v>0</v>
      </c>
      <c r="AN115" s="227">
        <f>SUM(AN116:AN121)</f>
        <v>0</v>
      </c>
      <c r="AO115" s="260">
        <f>SUM(AL115:AN115)</f>
        <v>0</v>
      </c>
      <c r="AP115" s="227">
        <f t="shared" ref="AP115:AU115" si="280">SUM(AP116:AP121)</f>
        <v>0</v>
      </c>
      <c r="AQ115" s="227">
        <f t="shared" si="280"/>
        <v>0</v>
      </c>
      <c r="AR115" s="227">
        <f t="shared" si="280"/>
        <v>0</v>
      </c>
      <c r="AS115" s="227">
        <f t="shared" si="280"/>
        <v>0</v>
      </c>
      <c r="AT115" s="227">
        <f t="shared" si="280"/>
        <v>0</v>
      </c>
      <c r="AU115" s="227">
        <f t="shared" si="280"/>
        <v>0</v>
      </c>
      <c r="AV115" s="260">
        <f>SUM(AP115:AU115)</f>
        <v>0</v>
      </c>
      <c r="AW115" s="227">
        <f t="shared" ref="AW115:BB115" si="281">SUM(AW116:AW121)</f>
        <v>0</v>
      </c>
      <c r="AX115" s="227">
        <f t="shared" si="281"/>
        <v>0</v>
      </c>
      <c r="AY115" s="227">
        <f t="shared" si="281"/>
        <v>0</v>
      </c>
      <c r="AZ115" s="227">
        <f t="shared" si="281"/>
        <v>0</v>
      </c>
      <c r="BA115" s="227">
        <f t="shared" si="281"/>
        <v>0</v>
      </c>
      <c r="BB115" s="227">
        <f t="shared" si="281"/>
        <v>0</v>
      </c>
      <c r="BC115" s="260">
        <f t="shared" si="238"/>
        <v>0</v>
      </c>
      <c r="BD115" s="238">
        <f t="shared" si="255"/>
        <v>18004391.407890003</v>
      </c>
      <c r="BE115" s="1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43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43"/>
      <c r="CM115" s="243"/>
      <c r="CN115" s="243"/>
      <c r="CO115" s="243"/>
      <c r="CP115" s="243"/>
      <c r="CQ115" s="243"/>
      <c r="CR115" s="243"/>
      <c r="CS115" s="243"/>
      <c r="CT115" s="243"/>
      <c r="CU115" s="243"/>
      <c r="CV115" s="243"/>
      <c r="CW115" s="243"/>
      <c r="CX115" s="243"/>
      <c r="CY115" s="243"/>
      <c r="CZ115" s="243"/>
      <c r="DA115" s="243"/>
      <c r="DB115" s="243"/>
      <c r="DC115" s="243"/>
      <c r="DD115" s="243"/>
      <c r="DE115" s="243"/>
      <c r="DF115" s="243"/>
      <c r="DG115" s="243"/>
      <c r="DH115" s="243"/>
      <c r="DI115" s="243"/>
      <c r="DJ115" s="243"/>
      <c r="DK115" s="243"/>
      <c r="DL115" s="243"/>
      <c r="DM115" s="243"/>
      <c r="DN115" s="243"/>
      <c r="DO115" s="243"/>
      <c r="DP115" s="243"/>
      <c r="DQ115" s="243"/>
      <c r="DR115" s="243"/>
      <c r="DS115" s="243"/>
      <c r="DT115" s="243"/>
      <c r="DU115" s="243"/>
      <c r="DV115" s="243"/>
      <c r="DW115" s="243"/>
      <c r="DX115" s="243"/>
      <c r="DY115" s="243"/>
      <c r="DZ115" s="243"/>
      <c r="EA115" s="243"/>
      <c r="EB115" s="243"/>
      <c r="EC115" s="243"/>
      <c r="ED115" s="243"/>
      <c r="EE115" s="243"/>
      <c r="EF115" s="243"/>
      <c r="EG115" s="243"/>
      <c r="EH115" s="243"/>
      <c r="EI115" s="243"/>
      <c r="EJ115" s="243"/>
      <c r="EK115" s="243"/>
      <c r="EL115" s="243"/>
      <c r="EM115" s="243"/>
      <c r="EN115" s="243"/>
      <c r="EO115" s="243"/>
      <c r="EP115" s="243"/>
      <c r="EQ115" s="243"/>
      <c r="ER115" s="243"/>
      <c r="ES115" s="243"/>
      <c r="ET115" s="243"/>
      <c r="EU115" s="243"/>
      <c r="EV115" s="243"/>
      <c r="EW115" s="243"/>
      <c r="EX115" s="243"/>
      <c r="EY115" s="243"/>
      <c r="EZ115" s="243"/>
      <c r="FA115" s="243"/>
      <c r="FB115" s="243"/>
      <c r="FC115" s="243"/>
      <c r="FD115" s="243"/>
      <c r="FE115" s="243"/>
      <c r="FF115" s="243"/>
      <c r="FG115" s="243"/>
      <c r="FH115" s="243"/>
      <c r="FI115" s="243"/>
      <c r="FJ115" s="243"/>
      <c r="FK115" s="243"/>
      <c r="FL115" s="243"/>
      <c r="FM115" s="243"/>
      <c r="FN115" s="243"/>
      <c r="FO115" s="243"/>
      <c r="FP115" s="243"/>
      <c r="FQ115" s="243"/>
      <c r="FR115" s="243"/>
      <c r="FS115" s="243"/>
      <c r="FT115" s="243"/>
      <c r="FU115" s="243"/>
      <c r="FV115" s="243"/>
      <c r="FW115" s="243"/>
      <c r="FX115" s="243"/>
      <c r="FY115" s="243"/>
      <c r="FZ115" s="243"/>
      <c r="GA115" s="243"/>
      <c r="GB115" s="243"/>
      <c r="GC115" s="243"/>
      <c r="GD115" s="243"/>
      <c r="GE115" s="243"/>
      <c r="GF115" s="243"/>
      <c r="GG115" s="243"/>
      <c r="GH115" s="243"/>
      <c r="GI115" s="243"/>
      <c r="GJ115" s="243"/>
      <c r="GK115" s="243"/>
      <c r="GL115" s="243"/>
      <c r="GM115" s="243"/>
      <c r="GN115" s="243"/>
      <c r="GO115" s="243"/>
      <c r="GP115" s="243"/>
      <c r="GQ115" s="243"/>
      <c r="GR115" s="243"/>
      <c r="GS115" s="243"/>
      <c r="GT115" s="243"/>
    </row>
    <row r="116" spans="1:202" s="3" customFormat="1" ht="24" customHeight="1">
      <c r="A116" s="188"/>
      <c r="B116" s="172" t="s">
        <v>341</v>
      </c>
      <c r="C116" s="217" t="s">
        <v>234</v>
      </c>
      <c r="D116" s="140"/>
      <c r="E116" s="175">
        <v>3587.46</v>
      </c>
      <c r="F116" s="176">
        <v>1601.67</v>
      </c>
      <c r="G116" s="177">
        <f t="shared" si="260"/>
        <v>1985.79</v>
      </c>
      <c r="H116" s="175">
        <v>3587.46</v>
      </c>
      <c r="I116" s="176">
        <v>1601.67</v>
      </c>
      <c r="J116" s="307">
        <f t="shared" ref="J116:J121" si="282">H116-I116</f>
        <v>1985.79</v>
      </c>
      <c r="K116" s="252">
        <v>341.072</v>
      </c>
      <c r="L116" s="252">
        <v>324.35599999999999</v>
      </c>
      <c r="M116" s="252"/>
      <c r="N116" s="287">
        <f t="shared" ref="N116:N121" si="283">SUM(K116:M116)</f>
        <v>665.428</v>
      </c>
      <c r="O116" s="273"/>
      <c r="P116" s="273"/>
      <c r="Q116" s="290"/>
      <c r="R116" s="287"/>
      <c r="S116" s="290"/>
      <c r="T116" s="264"/>
      <c r="U116" s="273"/>
      <c r="V116" s="273"/>
      <c r="W116" s="290"/>
      <c r="X116" s="264"/>
      <c r="Y116" s="142"/>
      <c r="Z116" s="273"/>
      <c r="AA116" s="273"/>
      <c r="AB116" s="273"/>
      <c r="AC116" s="273"/>
      <c r="AD116" s="273"/>
      <c r="AE116" s="273"/>
      <c r="AF116" s="287">
        <f t="shared" ref="AF116:AF121" si="284">SUM(Z116:AE116)</f>
        <v>0</v>
      </c>
      <c r="AG116" s="283">
        <f t="shared" si="252"/>
        <v>665.428</v>
      </c>
      <c r="AH116" s="228">
        <f t="shared" ref="AH116:AJ121" si="285">K116*$G116</f>
        <v>677297.36687999999</v>
      </c>
      <c r="AI116" s="228">
        <f t="shared" si="285"/>
        <v>644102.90123999992</v>
      </c>
      <c r="AJ116" s="228">
        <f t="shared" si="285"/>
        <v>0</v>
      </c>
      <c r="AK116" s="261">
        <f t="shared" si="270"/>
        <v>1321400.2681199999</v>
      </c>
      <c r="AL116" s="228">
        <f t="shared" ref="AL116:AN121" si="286">O116*$G116</f>
        <v>0</v>
      </c>
      <c r="AM116" s="228">
        <f t="shared" si="286"/>
        <v>0</v>
      </c>
      <c r="AN116" s="228">
        <f t="shared" si="286"/>
        <v>0</v>
      </c>
      <c r="AO116" s="261"/>
      <c r="AP116" s="228">
        <f t="shared" ref="AP116:AU121" si="287">S116*$J116</f>
        <v>0</v>
      </c>
      <c r="AQ116" s="228">
        <f t="shared" si="287"/>
        <v>0</v>
      </c>
      <c r="AR116" s="228">
        <f t="shared" si="287"/>
        <v>0</v>
      </c>
      <c r="AS116" s="228">
        <f t="shared" si="287"/>
        <v>0</v>
      </c>
      <c r="AT116" s="228">
        <f t="shared" si="287"/>
        <v>0</v>
      </c>
      <c r="AU116" s="228">
        <f t="shared" si="287"/>
        <v>0</v>
      </c>
      <c r="AV116" s="261"/>
      <c r="AW116" s="228">
        <f t="shared" ref="AW116:BB121" si="288">Z116*$J116</f>
        <v>0</v>
      </c>
      <c r="AX116" s="228">
        <f t="shared" si="288"/>
        <v>0</v>
      </c>
      <c r="AY116" s="228">
        <f t="shared" si="288"/>
        <v>0</v>
      </c>
      <c r="AZ116" s="228">
        <f t="shared" si="288"/>
        <v>0</v>
      </c>
      <c r="BA116" s="228">
        <f t="shared" si="288"/>
        <v>0</v>
      </c>
      <c r="BB116" s="228">
        <f t="shared" si="288"/>
        <v>0</v>
      </c>
      <c r="BC116" s="261">
        <f t="shared" ref="BC116:BC121" si="289">SUM(AW116:BB116)</f>
        <v>0</v>
      </c>
      <c r="BD116" s="239">
        <f t="shared" si="255"/>
        <v>1321400.2681199999</v>
      </c>
      <c r="BE116" s="243"/>
      <c r="BF116" s="242"/>
      <c r="BG116" s="242"/>
      <c r="BH116" s="242"/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2"/>
      <c r="BW116" s="242"/>
      <c r="BX116" s="242"/>
      <c r="BY116" s="242"/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/>
      <c r="CJ116" s="242"/>
      <c r="CK116" s="242"/>
      <c r="CL116" s="242"/>
      <c r="CM116" s="242"/>
      <c r="CN116" s="242"/>
      <c r="CO116" s="242"/>
      <c r="CP116" s="242"/>
      <c r="CQ116" s="242"/>
      <c r="CR116" s="242"/>
      <c r="CS116" s="242"/>
      <c r="CT116" s="242"/>
      <c r="CU116" s="242"/>
      <c r="CV116" s="242"/>
      <c r="CW116" s="242"/>
      <c r="CX116" s="242"/>
      <c r="CY116" s="242"/>
      <c r="CZ116" s="242"/>
      <c r="DA116" s="242"/>
      <c r="DB116" s="242"/>
      <c r="DC116" s="242"/>
      <c r="DD116" s="242"/>
      <c r="DE116" s="242"/>
      <c r="DF116" s="242"/>
      <c r="DG116" s="242"/>
      <c r="DH116" s="242"/>
      <c r="DI116" s="242"/>
      <c r="DJ116" s="242"/>
      <c r="DK116" s="242"/>
      <c r="DL116" s="242"/>
      <c r="DM116" s="242"/>
      <c r="DN116" s="242"/>
      <c r="DO116" s="242"/>
      <c r="DP116" s="242"/>
      <c r="DQ116" s="242"/>
      <c r="DR116" s="242"/>
      <c r="DS116" s="242"/>
      <c r="DT116" s="242"/>
      <c r="DU116" s="242"/>
      <c r="DV116" s="242"/>
      <c r="DW116" s="242"/>
      <c r="DX116" s="242"/>
      <c r="DY116" s="242"/>
      <c r="DZ116" s="242"/>
      <c r="EA116" s="242"/>
      <c r="EB116" s="242"/>
      <c r="EC116" s="242"/>
      <c r="ED116" s="242"/>
      <c r="EE116" s="242"/>
      <c r="EF116" s="242"/>
      <c r="EG116" s="242"/>
      <c r="EH116" s="242"/>
      <c r="EI116" s="242"/>
      <c r="EJ116" s="242"/>
      <c r="EK116" s="242"/>
      <c r="EL116" s="242"/>
      <c r="EM116" s="242"/>
      <c r="EN116" s="242"/>
      <c r="EO116" s="242"/>
      <c r="EP116" s="242"/>
      <c r="EQ116" s="242"/>
      <c r="ER116" s="242"/>
      <c r="ES116" s="242"/>
      <c r="ET116" s="242"/>
      <c r="EU116" s="242"/>
      <c r="EV116" s="242"/>
      <c r="EW116" s="242"/>
      <c r="EX116" s="242"/>
      <c r="EY116" s="242"/>
      <c r="EZ116" s="242"/>
      <c r="FA116" s="242"/>
      <c r="FB116" s="242"/>
      <c r="FC116" s="242"/>
      <c r="FD116" s="242"/>
      <c r="FE116" s="242"/>
      <c r="FF116" s="242"/>
      <c r="FG116" s="242"/>
      <c r="FH116" s="242"/>
      <c r="FI116" s="242"/>
      <c r="FJ116" s="242"/>
      <c r="FK116" s="242"/>
      <c r="FL116" s="242"/>
      <c r="FM116" s="242"/>
      <c r="FN116" s="242"/>
      <c r="FO116" s="242"/>
      <c r="FP116" s="242"/>
      <c r="FQ116" s="242"/>
      <c r="FR116" s="242"/>
      <c r="FS116" s="242"/>
      <c r="FT116" s="242"/>
      <c r="FU116" s="242"/>
      <c r="FV116" s="242"/>
      <c r="FW116" s="242"/>
      <c r="FX116" s="242"/>
      <c r="FY116" s="242"/>
      <c r="FZ116" s="242"/>
      <c r="GA116" s="242"/>
      <c r="GB116" s="242"/>
      <c r="GC116" s="242"/>
      <c r="GD116" s="242"/>
      <c r="GE116" s="242"/>
      <c r="GF116" s="242"/>
      <c r="GG116" s="242"/>
      <c r="GH116" s="242"/>
      <c r="GI116" s="242"/>
      <c r="GJ116" s="242"/>
      <c r="GK116" s="242"/>
      <c r="GL116" s="242"/>
      <c r="GM116" s="242"/>
      <c r="GN116" s="242"/>
      <c r="GO116" s="242"/>
      <c r="GP116" s="242"/>
      <c r="GQ116" s="242"/>
      <c r="GR116" s="242"/>
      <c r="GS116" s="242"/>
      <c r="GT116" s="242"/>
    </row>
    <row r="117" spans="1:202" s="3" customFormat="1" ht="24" customHeight="1">
      <c r="A117" s="188"/>
      <c r="B117" s="172" t="s">
        <v>430</v>
      </c>
      <c r="C117" s="217" t="s">
        <v>234</v>
      </c>
      <c r="D117" s="140"/>
      <c r="E117" s="175">
        <v>4207.22</v>
      </c>
      <c r="F117" s="176">
        <v>1721.67</v>
      </c>
      <c r="G117" s="177">
        <f t="shared" si="260"/>
        <v>2485.5500000000002</v>
      </c>
      <c r="H117" s="175">
        <v>4207.22</v>
      </c>
      <c r="I117" s="176">
        <v>1721.67</v>
      </c>
      <c r="J117" s="307">
        <f t="shared" si="282"/>
        <v>2485.5500000000002</v>
      </c>
      <c r="K117" s="252">
        <v>978.38099999999997</v>
      </c>
      <c r="L117" s="252">
        <v>933.69</v>
      </c>
      <c r="M117" s="252"/>
      <c r="N117" s="287">
        <f t="shared" si="283"/>
        <v>1912.0709999999999</v>
      </c>
      <c r="O117" s="273"/>
      <c r="P117" s="273"/>
      <c r="Q117" s="290"/>
      <c r="R117" s="287"/>
      <c r="S117" s="290"/>
      <c r="T117" s="264"/>
      <c r="U117" s="273"/>
      <c r="V117" s="273"/>
      <c r="W117" s="290"/>
      <c r="X117" s="264"/>
      <c r="Y117" s="142"/>
      <c r="Z117" s="273"/>
      <c r="AA117" s="273"/>
      <c r="AB117" s="273"/>
      <c r="AC117" s="273"/>
      <c r="AD117" s="273"/>
      <c r="AE117" s="273"/>
      <c r="AF117" s="287">
        <f t="shared" si="284"/>
        <v>0</v>
      </c>
      <c r="AG117" s="283">
        <f t="shared" si="252"/>
        <v>1912.0709999999999</v>
      </c>
      <c r="AH117" s="228">
        <f t="shared" si="285"/>
        <v>2431814.8945500003</v>
      </c>
      <c r="AI117" s="228">
        <f t="shared" si="285"/>
        <v>2320733.1795000001</v>
      </c>
      <c r="AJ117" s="228">
        <f t="shared" si="285"/>
        <v>0</v>
      </c>
      <c r="AK117" s="261">
        <f t="shared" si="270"/>
        <v>4752548.0740499999</v>
      </c>
      <c r="AL117" s="228">
        <f t="shared" si="286"/>
        <v>0</v>
      </c>
      <c r="AM117" s="228">
        <f t="shared" si="286"/>
        <v>0</v>
      </c>
      <c r="AN117" s="228">
        <f t="shared" si="286"/>
        <v>0</v>
      </c>
      <c r="AO117" s="261"/>
      <c r="AP117" s="228">
        <f t="shared" si="287"/>
        <v>0</v>
      </c>
      <c r="AQ117" s="228">
        <f t="shared" si="287"/>
        <v>0</v>
      </c>
      <c r="AR117" s="228">
        <f t="shared" si="287"/>
        <v>0</v>
      </c>
      <c r="AS117" s="228">
        <f t="shared" si="287"/>
        <v>0</v>
      </c>
      <c r="AT117" s="228">
        <f t="shared" si="287"/>
        <v>0</v>
      </c>
      <c r="AU117" s="228">
        <f t="shared" si="287"/>
        <v>0</v>
      </c>
      <c r="AV117" s="261"/>
      <c r="AW117" s="228">
        <f t="shared" si="288"/>
        <v>0</v>
      </c>
      <c r="AX117" s="228">
        <f t="shared" si="288"/>
        <v>0</v>
      </c>
      <c r="AY117" s="228">
        <f t="shared" si="288"/>
        <v>0</v>
      </c>
      <c r="AZ117" s="228">
        <f t="shared" si="288"/>
        <v>0</v>
      </c>
      <c r="BA117" s="228">
        <f t="shared" si="288"/>
        <v>0</v>
      </c>
      <c r="BB117" s="228">
        <f t="shared" si="288"/>
        <v>0</v>
      </c>
      <c r="BC117" s="261">
        <f t="shared" si="289"/>
        <v>0</v>
      </c>
      <c r="BD117" s="239">
        <f t="shared" si="255"/>
        <v>4752548.0740499999</v>
      </c>
      <c r="BE117" s="243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2"/>
      <c r="CM117" s="242"/>
      <c r="CN117" s="242"/>
      <c r="CO117" s="242"/>
      <c r="CP117" s="242"/>
      <c r="CQ117" s="242"/>
      <c r="CR117" s="242"/>
      <c r="CS117" s="242"/>
      <c r="CT117" s="242"/>
      <c r="CU117" s="242"/>
      <c r="CV117" s="242"/>
      <c r="CW117" s="242"/>
      <c r="CX117" s="242"/>
      <c r="CY117" s="242"/>
      <c r="CZ117" s="242"/>
      <c r="DA117" s="242"/>
      <c r="DB117" s="242"/>
      <c r="DC117" s="242"/>
      <c r="DD117" s="242"/>
      <c r="DE117" s="242"/>
      <c r="DF117" s="242"/>
      <c r="DG117" s="242"/>
      <c r="DH117" s="242"/>
      <c r="DI117" s="242"/>
      <c r="DJ117" s="242"/>
      <c r="DK117" s="242"/>
      <c r="DL117" s="242"/>
      <c r="DM117" s="242"/>
      <c r="DN117" s="242"/>
      <c r="DO117" s="242"/>
      <c r="DP117" s="242"/>
      <c r="DQ117" s="242"/>
      <c r="DR117" s="242"/>
      <c r="DS117" s="242"/>
      <c r="DT117" s="242"/>
      <c r="DU117" s="242"/>
      <c r="DV117" s="242"/>
      <c r="DW117" s="242"/>
      <c r="DX117" s="242"/>
      <c r="DY117" s="242"/>
      <c r="DZ117" s="242"/>
      <c r="EA117" s="242"/>
      <c r="EB117" s="242"/>
      <c r="EC117" s="242"/>
      <c r="ED117" s="242"/>
      <c r="EE117" s="242"/>
      <c r="EF117" s="242"/>
      <c r="EG117" s="242"/>
      <c r="EH117" s="242"/>
      <c r="EI117" s="242"/>
      <c r="EJ117" s="242"/>
      <c r="EK117" s="242"/>
      <c r="EL117" s="242"/>
      <c r="EM117" s="242"/>
      <c r="EN117" s="242"/>
      <c r="EO117" s="242"/>
      <c r="EP117" s="242"/>
      <c r="EQ117" s="242"/>
      <c r="ER117" s="242"/>
      <c r="ES117" s="242"/>
      <c r="ET117" s="242"/>
      <c r="EU117" s="242"/>
      <c r="EV117" s="242"/>
      <c r="EW117" s="242"/>
      <c r="EX117" s="242"/>
      <c r="EY117" s="242"/>
      <c r="EZ117" s="242"/>
      <c r="FA117" s="242"/>
      <c r="FB117" s="242"/>
      <c r="FC117" s="242"/>
      <c r="FD117" s="242"/>
      <c r="FE117" s="242"/>
      <c r="FF117" s="242"/>
      <c r="FG117" s="242"/>
      <c r="FH117" s="242"/>
      <c r="FI117" s="242"/>
      <c r="FJ117" s="242"/>
      <c r="FK117" s="242"/>
      <c r="FL117" s="242"/>
      <c r="FM117" s="242"/>
      <c r="FN117" s="242"/>
      <c r="FO117" s="242"/>
      <c r="FP117" s="242"/>
      <c r="FQ117" s="242"/>
      <c r="FR117" s="242"/>
      <c r="FS117" s="242"/>
      <c r="FT117" s="242"/>
      <c r="FU117" s="242"/>
      <c r="FV117" s="242"/>
      <c r="FW117" s="242"/>
      <c r="FX117" s="242"/>
      <c r="FY117" s="242"/>
      <c r="FZ117" s="242"/>
      <c r="GA117" s="242"/>
      <c r="GB117" s="242"/>
      <c r="GC117" s="242"/>
      <c r="GD117" s="242"/>
      <c r="GE117" s="242"/>
      <c r="GF117" s="242"/>
      <c r="GG117" s="242"/>
      <c r="GH117" s="242"/>
      <c r="GI117" s="242"/>
      <c r="GJ117" s="242"/>
      <c r="GK117" s="242"/>
      <c r="GL117" s="242"/>
      <c r="GM117" s="242"/>
      <c r="GN117" s="242"/>
      <c r="GO117" s="242"/>
      <c r="GP117" s="242"/>
      <c r="GQ117" s="242"/>
      <c r="GR117" s="242"/>
      <c r="GS117" s="242"/>
      <c r="GT117" s="242"/>
    </row>
    <row r="118" spans="1:202" s="3" customFormat="1" ht="24" customHeight="1">
      <c r="A118" s="188"/>
      <c r="B118" s="172" t="s">
        <v>342</v>
      </c>
      <c r="C118" s="217" t="s">
        <v>234</v>
      </c>
      <c r="D118" s="140"/>
      <c r="E118" s="175">
        <v>4031.96</v>
      </c>
      <c r="F118" s="176">
        <v>1721.67</v>
      </c>
      <c r="G118" s="177">
        <f t="shared" si="260"/>
        <v>2310.29</v>
      </c>
      <c r="H118" s="175">
        <v>4031.96</v>
      </c>
      <c r="I118" s="176">
        <v>1721.67</v>
      </c>
      <c r="J118" s="307">
        <f t="shared" si="282"/>
        <v>2310.29</v>
      </c>
      <c r="K118" s="252">
        <v>167.10400000000001</v>
      </c>
      <c r="L118" s="252">
        <v>161.964</v>
      </c>
      <c r="M118" s="252"/>
      <c r="N118" s="287">
        <f t="shared" si="283"/>
        <v>329.06799999999998</v>
      </c>
      <c r="O118" s="273"/>
      <c r="P118" s="273"/>
      <c r="Q118" s="290"/>
      <c r="R118" s="287"/>
      <c r="S118" s="290"/>
      <c r="T118" s="264"/>
      <c r="U118" s="273"/>
      <c r="V118" s="273"/>
      <c r="W118" s="290"/>
      <c r="X118" s="264"/>
      <c r="Y118" s="142"/>
      <c r="Z118" s="273"/>
      <c r="AA118" s="273"/>
      <c r="AB118" s="273"/>
      <c r="AC118" s="273"/>
      <c r="AD118" s="273"/>
      <c r="AE118" s="273"/>
      <c r="AF118" s="287">
        <f t="shared" si="284"/>
        <v>0</v>
      </c>
      <c r="AG118" s="283">
        <f t="shared" si="252"/>
        <v>329.06799999999998</v>
      </c>
      <c r="AH118" s="228">
        <f t="shared" si="285"/>
        <v>386058.70016000001</v>
      </c>
      <c r="AI118" s="228">
        <f t="shared" si="285"/>
        <v>374183.80955999997</v>
      </c>
      <c r="AJ118" s="228">
        <f t="shared" si="285"/>
        <v>0</v>
      </c>
      <c r="AK118" s="261">
        <f t="shared" si="270"/>
        <v>760242.50971999997</v>
      </c>
      <c r="AL118" s="228">
        <f t="shared" si="286"/>
        <v>0</v>
      </c>
      <c r="AM118" s="228">
        <f t="shared" si="286"/>
        <v>0</v>
      </c>
      <c r="AN118" s="228">
        <f t="shared" si="286"/>
        <v>0</v>
      </c>
      <c r="AO118" s="261"/>
      <c r="AP118" s="228">
        <f t="shared" si="287"/>
        <v>0</v>
      </c>
      <c r="AQ118" s="228">
        <f t="shared" si="287"/>
        <v>0</v>
      </c>
      <c r="AR118" s="228">
        <f t="shared" si="287"/>
        <v>0</v>
      </c>
      <c r="AS118" s="228">
        <f t="shared" si="287"/>
        <v>0</v>
      </c>
      <c r="AT118" s="228">
        <f t="shared" si="287"/>
        <v>0</v>
      </c>
      <c r="AU118" s="228">
        <f t="shared" si="287"/>
        <v>0</v>
      </c>
      <c r="AV118" s="261"/>
      <c r="AW118" s="228">
        <f t="shared" si="288"/>
        <v>0</v>
      </c>
      <c r="AX118" s="228">
        <f t="shared" si="288"/>
        <v>0</v>
      </c>
      <c r="AY118" s="228">
        <f t="shared" si="288"/>
        <v>0</v>
      </c>
      <c r="AZ118" s="228">
        <f t="shared" si="288"/>
        <v>0</v>
      </c>
      <c r="BA118" s="228">
        <f t="shared" si="288"/>
        <v>0</v>
      </c>
      <c r="BB118" s="228">
        <f t="shared" si="288"/>
        <v>0</v>
      </c>
      <c r="BC118" s="261">
        <f t="shared" si="289"/>
        <v>0</v>
      </c>
      <c r="BD118" s="239">
        <f t="shared" si="255"/>
        <v>760242.50971999997</v>
      </c>
      <c r="BE118" s="243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242"/>
      <c r="DJ118" s="242"/>
      <c r="DK118" s="242"/>
      <c r="DL118" s="242"/>
      <c r="DM118" s="242"/>
      <c r="DN118" s="242"/>
      <c r="DO118" s="242"/>
      <c r="DP118" s="242"/>
      <c r="DQ118" s="242"/>
      <c r="DR118" s="242"/>
      <c r="DS118" s="242"/>
      <c r="DT118" s="242"/>
      <c r="DU118" s="242"/>
      <c r="DV118" s="242"/>
      <c r="DW118" s="242"/>
      <c r="DX118" s="242"/>
      <c r="DY118" s="242"/>
      <c r="DZ118" s="242"/>
      <c r="EA118" s="242"/>
      <c r="EB118" s="242"/>
      <c r="EC118" s="242"/>
      <c r="ED118" s="242"/>
      <c r="EE118" s="242"/>
      <c r="EF118" s="242"/>
      <c r="EG118" s="242"/>
      <c r="EH118" s="242"/>
      <c r="EI118" s="242"/>
      <c r="EJ118" s="242"/>
      <c r="EK118" s="242"/>
      <c r="EL118" s="242"/>
      <c r="EM118" s="242"/>
      <c r="EN118" s="242"/>
      <c r="EO118" s="242"/>
      <c r="EP118" s="242"/>
      <c r="EQ118" s="242"/>
      <c r="ER118" s="242"/>
      <c r="ES118" s="242"/>
      <c r="ET118" s="242"/>
      <c r="EU118" s="242"/>
      <c r="EV118" s="242"/>
      <c r="EW118" s="242"/>
      <c r="EX118" s="242"/>
      <c r="EY118" s="242"/>
      <c r="EZ118" s="242"/>
      <c r="FA118" s="242"/>
      <c r="FB118" s="242"/>
      <c r="FC118" s="242"/>
      <c r="FD118" s="242"/>
      <c r="FE118" s="242"/>
      <c r="FF118" s="242"/>
      <c r="FG118" s="242"/>
      <c r="FH118" s="242"/>
      <c r="FI118" s="242"/>
      <c r="FJ118" s="242"/>
      <c r="FK118" s="242"/>
      <c r="FL118" s="242"/>
      <c r="FM118" s="242"/>
      <c r="FN118" s="242"/>
      <c r="FO118" s="242"/>
      <c r="FP118" s="242"/>
      <c r="FQ118" s="242"/>
      <c r="FR118" s="242"/>
      <c r="FS118" s="242"/>
      <c r="FT118" s="242"/>
      <c r="FU118" s="242"/>
      <c r="FV118" s="242"/>
      <c r="FW118" s="242"/>
      <c r="FX118" s="242"/>
      <c r="FY118" s="242"/>
      <c r="FZ118" s="242"/>
      <c r="GA118" s="242"/>
      <c r="GB118" s="242"/>
      <c r="GC118" s="242"/>
      <c r="GD118" s="242"/>
      <c r="GE118" s="242"/>
      <c r="GF118" s="242"/>
      <c r="GG118" s="242"/>
      <c r="GH118" s="242"/>
      <c r="GI118" s="242"/>
      <c r="GJ118" s="242"/>
      <c r="GK118" s="242"/>
      <c r="GL118" s="242"/>
      <c r="GM118" s="242"/>
      <c r="GN118" s="242"/>
      <c r="GO118" s="242"/>
      <c r="GP118" s="242"/>
      <c r="GQ118" s="242"/>
      <c r="GR118" s="242"/>
      <c r="GS118" s="242"/>
      <c r="GT118" s="242"/>
    </row>
    <row r="119" spans="1:202" s="3" customFormat="1" ht="24" customHeight="1">
      <c r="A119" s="188"/>
      <c r="B119" s="172" t="s">
        <v>431</v>
      </c>
      <c r="C119" s="217" t="s">
        <v>232</v>
      </c>
      <c r="D119" s="140"/>
      <c r="E119" s="175">
        <v>4484.5600000000004</v>
      </c>
      <c r="F119" s="176">
        <v>1460</v>
      </c>
      <c r="G119" s="177">
        <f t="shared" si="260"/>
        <v>3024.5600000000004</v>
      </c>
      <c r="H119" s="175">
        <v>4484.5600000000004</v>
      </c>
      <c r="I119" s="176">
        <v>1460</v>
      </c>
      <c r="J119" s="307">
        <f t="shared" si="282"/>
        <v>3024.5600000000004</v>
      </c>
      <c r="K119" s="252">
        <v>42.771999999999998</v>
      </c>
      <c r="L119" s="252">
        <v>40.572000000000003</v>
      </c>
      <c r="M119" s="252"/>
      <c r="N119" s="287">
        <f t="shared" si="283"/>
        <v>83.343999999999994</v>
      </c>
      <c r="O119" s="273"/>
      <c r="P119" s="273"/>
      <c r="Q119" s="290"/>
      <c r="R119" s="287"/>
      <c r="S119" s="290"/>
      <c r="T119" s="264"/>
      <c r="U119" s="273"/>
      <c r="V119" s="273"/>
      <c r="W119" s="290"/>
      <c r="X119" s="264"/>
      <c r="Y119" s="142"/>
      <c r="Z119" s="273"/>
      <c r="AA119" s="273"/>
      <c r="AB119" s="273"/>
      <c r="AC119" s="273"/>
      <c r="AD119" s="273"/>
      <c r="AE119" s="273"/>
      <c r="AF119" s="287">
        <f t="shared" si="284"/>
        <v>0</v>
      </c>
      <c r="AG119" s="283">
        <f t="shared" si="252"/>
        <v>83.343999999999994</v>
      </c>
      <c r="AH119" s="228">
        <f t="shared" si="285"/>
        <v>129366.48032000002</v>
      </c>
      <c r="AI119" s="228">
        <f t="shared" si="285"/>
        <v>122712.44832000002</v>
      </c>
      <c r="AJ119" s="228">
        <f t="shared" si="285"/>
        <v>0</v>
      </c>
      <c r="AK119" s="261">
        <f t="shared" si="270"/>
        <v>252078.92864000006</v>
      </c>
      <c r="AL119" s="228">
        <f t="shared" si="286"/>
        <v>0</v>
      </c>
      <c r="AM119" s="228">
        <f t="shared" si="286"/>
        <v>0</v>
      </c>
      <c r="AN119" s="228">
        <f t="shared" si="286"/>
        <v>0</v>
      </c>
      <c r="AO119" s="261"/>
      <c r="AP119" s="228">
        <f t="shared" si="287"/>
        <v>0</v>
      </c>
      <c r="AQ119" s="228">
        <f t="shared" si="287"/>
        <v>0</v>
      </c>
      <c r="AR119" s="228">
        <f t="shared" si="287"/>
        <v>0</v>
      </c>
      <c r="AS119" s="228">
        <f t="shared" si="287"/>
        <v>0</v>
      </c>
      <c r="AT119" s="228">
        <f t="shared" si="287"/>
        <v>0</v>
      </c>
      <c r="AU119" s="228">
        <f t="shared" si="287"/>
        <v>0</v>
      </c>
      <c r="AV119" s="261"/>
      <c r="AW119" s="228">
        <f t="shared" si="288"/>
        <v>0</v>
      </c>
      <c r="AX119" s="228">
        <f t="shared" si="288"/>
        <v>0</v>
      </c>
      <c r="AY119" s="228">
        <f t="shared" si="288"/>
        <v>0</v>
      </c>
      <c r="AZ119" s="228">
        <f t="shared" si="288"/>
        <v>0</v>
      </c>
      <c r="BA119" s="228">
        <f t="shared" si="288"/>
        <v>0</v>
      </c>
      <c r="BB119" s="228">
        <f t="shared" si="288"/>
        <v>0</v>
      </c>
      <c r="BC119" s="261">
        <f t="shared" si="289"/>
        <v>0</v>
      </c>
      <c r="BD119" s="239">
        <f t="shared" si="255"/>
        <v>252078.92864000006</v>
      </c>
      <c r="BE119" s="243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242"/>
      <c r="DJ119" s="242"/>
      <c r="DK119" s="242"/>
      <c r="DL119" s="242"/>
      <c r="DM119" s="242"/>
      <c r="DN119" s="242"/>
      <c r="DO119" s="242"/>
      <c r="DP119" s="242"/>
      <c r="DQ119" s="242"/>
      <c r="DR119" s="242"/>
      <c r="DS119" s="242"/>
      <c r="DT119" s="242"/>
      <c r="DU119" s="242"/>
      <c r="DV119" s="242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242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242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242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242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242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</row>
    <row r="120" spans="1:202" s="3" customFormat="1" ht="24" customHeight="1">
      <c r="A120" s="188"/>
      <c r="B120" s="172" t="s">
        <v>432</v>
      </c>
      <c r="C120" s="217" t="s">
        <v>232</v>
      </c>
      <c r="D120" s="140"/>
      <c r="E120" s="175">
        <v>4484.5600000000004</v>
      </c>
      <c r="F120" s="176">
        <v>1800</v>
      </c>
      <c r="G120" s="177">
        <f t="shared" si="260"/>
        <v>2684.5600000000004</v>
      </c>
      <c r="H120" s="175">
        <v>4484.5600000000004</v>
      </c>
      <c r="I120" s="176">
        <v>1800</v>
      </c>
      <c r="J120" s="307">
        <f t="shared" si="282"/>
        <v>2684.5600000000004</v>
      </c>
      <c r="K120" s="252">
        <v>192.637</v>
      </c>
      <c r="L120" s="252">
        <v>141.197</v>
      </c>
      <c r="M120" s="252"/>
      <c r="N120" s="287">
        <f t="shared" si="283"/>
        <v>333.834</v>
      </c>
      <c r="O120" s="273"/>
      <c r="P120" s="273"/>
      <c r="Q120" s="290"/>
      <c r="R120" s="287"/>
      <c r="S120" s="290"/>
      <c r="T120" s="264"/>
      <c r="U120" s="273"/>
      <c r="V120" s="273"/>
      <c r="W120" s="290"/>
      <c r="X120" s="264"/>
      <c r="Y120" s="142"/>
      <c r="Z120" s="273"/>
      <c r="AA120" s="273"/>
      <c r="AB120" s="273"/>
      <c r="AC120" s="273"/>
      <c r="AD120" s="273"/>
      <c r="AE120" s="273"/>
      <c r="AF120" s="287">
        <f t="shared" si="284"/>
        <v>0</v>
      </c>
      <c r="AG120" s="283">
        <f t="shared" si="252"/>
        <v>333.834</v>
      </c>
      <c r="AH120" s="228">
        <f t="shared" si="285"/>
        <v>517145.5847200001</v>
      </c>
      <c r="AI120" s="228">
        <f t="shared" si="285"/>
        <v>379051.81832000008</v>
      </c>
      <c r="AJ120" s="228">
        <f t="shared" si="285"/>
        <v>0</v>
      </c>
      <c r="AK120" s="261">
        <f t="shared" si="270"/>
        <v>896197.40304000024</v>
      </c>
      <c r="AL120" s="228">
        <f t="shared" si="286"/>
        <v>0</v>
      </c>
      <c r="AM120" s="228">
        <f t="shared" si="286"/>
        <v>0</v>
      </c>
      <c r="AN120" s="228">
        <f t="shared" si="286"/>
        <v>0</v>
      </c>
      <c r="AO120" s="261"/>
      <c r="AP120" s="228">
        <f t="shared" si="287"/>
        <v>0</v>
      </c>
      <c r="AQ120" s="228">
        <f t="shared" si="287"/>
        <v>0</v>
      </c>
      <c r="AR120" s="228">
        <f t="shared" si="287"/>
        <v>0</v>
      </c>
      <c r="AS120" s="228">
        <f t="shared" si="287"/>
        <v>0</v>
      </c>
      <c r="AT120" s="228">
        <f t="shared" si="287"/>
        <v>0</v>
      </c>
      <c r="AU120" s="228">
        <f t="shared" si="287"/>
        <v>0</v>
      </c>
      <c r="AV120" s="261"/>
      <c r="AW120" s="228">
        <f t="shared" si="288"/>
        <v>0</v>
      </c>
      <c r="AX120" s="228">
        <f t="shared" si="288"/>
        <v>0</v>
      </c>
      <c r="AY120" s="228">
        <f t="shared" si="288"/>
        <v>0</v>
      </c>
      <c r="AZ120" s="228">
        <f t="shared" si="288"/>
        <v>0</v>
      </c>
      <c r="BA120" s="228">
        <f t="shared" si="288"/>
        <v>0</v>
      </c>
      <c r="BB120" s="228">
        <f t="shared" si="288"/>
        <v>0</v>
      </c>
      <c r="BC120" s="261">
        <f t="shared" si="289"/>
        <v>0</v>
      </c>
      <c r="BD120" s="239">
        <f t="shared" si="255"/>
        <v>896197.40304000024</v>
      </c>
      <c r="BE120" s="243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242"/>
      <c r="DJ120" s="242"/>
      <c r="DK120" s="242"/>
      <c r="DL120" s="242"/>
      <c r="DM120" s="242"/>
      <c r="DN120" s="242"/>
      <c r="DO120" s="242"/>
      <c r="DP120" s="242"/>
      <c r="DQ120" s="242"/>
      <c r="DR120" s="242"/>
      <c r="DS120" s="242"/>
      <c r="DT120" s="242"/>
      <c r="DU120" s="242"/>
      <c r="DV120" s="242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242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242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242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242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</row>
    <row r="121" spans="1:202" s="3" customFormat="1" ht="24" customHeight="1">
      <c r="A121" s="188"/>
      <c r="B121" s="172" t="s">
        <v>530</v>
      </c>
      <c r="C121" s="217" t="s">
        <v>232</v>
      </c>
      <c r="D121" s="140"/>
      <c r="E121" s="175">
        <v>4484.5600000000004</v>
      </c>
      <c r="F121" s="176">
        <v>1800</v>
      </c>
      <c r="G121" s="177">
        <f t="shared" si="260"/>
        <v>2684.5600000000004</v>
      </c>
      <c r="H121" s="175">
        <v>4484.5600000000004</v>
      </c>
      <c r="I121" s="176">
        <v>1800</v>
      </c>
      <c r="J121" s="307">
        <f t="shared" si="282"/>
        <v>2684.5600000000004</v>
      </c>
      <c r="K121" s="252">
        <v>2121.201</v>
      </c>
      <c r="L121" s="252">
        <v>1611.971</v>
      </c>
      <c r="M121" s="252"/>
      <c r="N121" s="287">
        <f t="shared" si="283"/>
        <v>3733.172</v>
      </c>
      <c r="O121" s="273"/>
      <c r="P121" s="273"/>
      <c r="Q121" s="290"/>
      <c r="R121" s="287"/>
      <c r="S121" s="290"/>
      <c r="T121" s="264"/>
      <c r="U121" s="273"/>
      <c r="V121" s="273"/>
      <c r="W121" s="290"/>
      <c r="X121" s="264"/>
      <c r="Y121" s="142"/>
      <c r="Z121" s="273"/>
      <c r="AA121" s="273"/>
      <c r="AB121" s="273"/>
      <c r="AC121" s="273"/>
      <c r="AD121" s="273"/>
      <c r="AE121" s="273"/>
      <c r="AF121" s="287">
        <f t="shared" si="284"/>
        <v>0</v>
      </c>
      <c r="AG121" s="283">
        <f t="shared" si="252"/>
        <v>3733.172</v>
      </c>
      <c r="AH121" s="228">
        <f t="shared" si="285"/>
        <v>5694491.3565600011</v>
      </c>
      <c r="AI121" s="228">
        <f t="shared" si="285"/>
        <v>4327432.8677600008</v>
      </c>
      <c r="AJ121" s="228">
        <f t="shared" si="285"/>
        <v>0</v>
      </c>
      <c r="AK121" s="261">
        <f t="shared" si="270"/>
        <v>10021924.224320002</v>
      </c>
      <c r="AL121" s="228">
        <f t="shared" si="286"/>
        <v>0</v>
      </c>
      <c r="AM121" s="228">
        <f t="shared" si="286"/>
        <v>0</v>
      </c>
      <c r="AN121" s="228">
        <f t="shared" si="286"/>
        <v>0</v>
      </c>
      <c r="AO121" s="261"/>
      <c r="AP121" s="228">
        <f t="shared" si="287"/>
        <v>0</v>
      </c>
      <c r="AQ121" s="228">
        <f t="shared" si="287"/>
        <v>0</v>
      </c>
      <c r="AR121" s="228">
        <f t="shared" si="287"/>
        <v>0</v>
      </c>
      <c r="AS121" s="228">
        <f t="shared" si="287"/>
        <v>0</v>
      </c>
      <c r="AT121" s="228">
        <f t="shared" si="287"/>
        <v>0</v>
      </c>
      <c r="AU121" s="228">
        <f t="shared" si="287"/>
        <v>0</v>
      </c>
      <c r="AV121" s="261"/>
      <c r="AW121" s="228">
        <f t="shared" si="288"/>
        <v>0</v>
      </c>
      <c r="AX121" s="228">
        <f t="shared" si="288"/>
        <v>0</v>
      </c>
      <c r="AY121" s="228">
        <f t="shared" si="288"/>
        <v>0</v>
      </c>
      <c r="AZ121" s="228">
        <f t="shared" si="288"/>
        <v>0</v>
      </c>
      <c r="BA121" s="228">
        <f t="shared" si="288"/>
        <v>0</v>
      </c>
      <c r="BB121" s="228">
        <f t="shared" si="288"/>
        <v>0</v>
      </c>
      <c r="BC121" s="261">
        <f t="shared" si="289"/>
        <v>0</v>
      </c>
      <c r="BD121" s="239">
        <f t="shared" si="255"/>
        <v>10021924.224320002</v>
      </c>
      <c r="BE121" s="243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242"/>
      <c r="FG121" s="242"/>
      <c r="FH121" s="242"/>
      <c r="FI121" s="242"/>
      <c r="FJ121" s="242"/>
      <c r="FK121" s="242"/>
      <c r="FL121" s="242"/>
      <c r="FM121" s="242"/>
      <c r="FN121" s="242"/>
      <c r="FO121" s="242"/>
      <c r="FP121" s="242"/>
      <c r="FQ121" s="242"/>
      <c r="FR121" s="242"/>
      <c r="FS121" s="242"/>
      <c r="FT121" s="242"/>
      <c r="FU121" s="242"/>
      <c r="FV121" s="242"/>
      <c r="FW121" s="242"/>
      <c r="FX121" s="242"/>
      <c r="FY121" s="242"/>
      <c r="FZ121" s="242"/>
      <c r="GA121" s="242"/>
      <c r="GB121" s="242"/>
      <c r="GC121" s="242"/>
      <c r="GD121" s="242"/>
      <c r="GE121" s="242"/>
      <c r="GF121" s="242"/>
      <c r="GG121" s="242"/>
      <c r="GH121" s="242"/>
      <c r="GI121" s="242"/>
      <c r="GJ121" s="242"/>
      <c r="GK121" s="242"/>
      <c r="GL121" s="242"/>
      <c r="GM121" s="242"/>
      <c r="GN121" s="242"/>
      <c r="GO121" s="242"/>
      <c r="GP121" s="242"/>
      <c r="GQ121" s="242"/>
      <c r="GR121" s="242"/>
      <c r="GS121" s="242"/>
      <c r="GT121" s="242"/>
    </row>
    <row r="122" spans="1:202" s="3" customFormat="1" ht="15" customHeight="1">
      <c r="A122" s="187" t="s">
        <v>26</v>
      </c>
      <c r="B122" s="170" t="s">
        <v>27</v>
      </c>
      <c r="C122" s="216" t="s">
        <v>256</v>
      </c>
      <c r="D122" s="138">
        <v>2901249879</v>
      </c>
      <c r="E122" s="139"/>
      <c r="F122" s="139"/>
      <c r="G122" s="177"/>
      <c r="H122" s="139"/>
      <c r="I122" s="139"/>
      <c r="J122" s="139"/>
      <c r="K122" s="251">
        <f t="shared" ref="K122:AF122" si="290">SUM(K123:K126)</f>
        <v>2428.473</v>
      </c>
      <c r="L122" s="251">
        <f t="shared" si="290"/>
        <v>2417.7420000000002</v>
      </c>
      <c r="M122" s="251">
        <f t="shared" si="290"/>
        <v>0</v>
      </c>
      <c r="N122" s="284">
        <f t="shared" si="290"/>
        <v>4846.2150000000011</v>
      </c>
      <c r="O122" s="272">
        <f t="shared" si="290"/>
        <v>0</v>
      </c>
      <c r="P122" s="272">
        <f t="shared" si="290"/>
        <v>0</v>
      </c>
      <c r="Q122" s="289">
        <f t="shared" si="290"/>
        <v>0</v>
      </c>
      <c r="R122" s="284">
        <f t="shared" si="290"/>
        <v>0</v>
      </c>
      <c r="S122" s="289">
        <f t="shared" si="290"/>
        <v>0</v>
      </c>
      <c r="T122" s="289">
        <f t="shared" si="290"/>
        <v>0</v>
      </c>
      <c r="U122" s="289">
        <f t="shared" si="290"/>
        <v>0</v>
      </c>
      <c r="V122" s="289">
        <f t="shared" si="290"/>
        <v>0</v>
      </c>
      <c r="W122" s="289">
        <f t="shared" si="290"/>
        <v>0</v>
      </c>
      <c r="X122" s="289">
        <f t="shared" si="290"/>
        <v>0</v>
      </c>
      <c r="Y122" s="284">
        <f t="shared" si="290"/>
        <v>0</v>
      </c>
      <c r="Z122" s="272">
        <f t="shared" si="290"/>
        <v>0</v>
      </c>
      <c r="AA122" s="272">
        <f t="shared" si="290"/>
        <v>0</v>
      </c>
      <c r="AB122" s="272">
        <f t="shared" si="290"/>
        <v>0</v>
      </c>
      <c r="AC122" s="272">
        <f t="shared" si="290"/>
        <v>0</v>
      </c>
      <c r="AD122" s="272">
        <f t="shared" si="290"/>
        <v>0</v>
      </c>
      <c r="AE122" s="272">
        <f t="shared" si="290"/>
        <v>0</v>
      </c>
      <c r="AF122" s="284">
        <f t="shared" si="290"/>
        <v>0</v>
      </c>
      <c r="AG122" s="282">
        <f t="shared" si="252"/>
        <v>4846.2150000000011</v>
      </c>
      <c r="AH122" s="227">
        <f t="shared" ref="AH122:AN122" si="291">SUM(AH123:AH126)</f>
        <v>13783258.566200001</v>
      </c>
      <c r="AI122" s="227">
        <f t="shared" si="291"/>
        <v>13787305.076799998</v>
      </c>
      <c r="AJ122" s="227">
        <f t="shared" si="291"/>
        <v>0</v>
      </c>
      <c r="AK122" s="260">
        <f t="shared" si="291"/>
        <v>27570563.642999995</v>
      </c>
      <c r="AL122" s="227">
        <f t="shared" si="291"/>
        <v>0</v>
      </c>
      <c r="AM122" s="227">
        <f t="shared" si="291"/>
        <v>0</v>
      </c>
      <c r="AN122" s="227">
        <f t="shared" si="291"/>
        <v>0</v>
      </c>
      <c r="AO122" s="260">
        <f>AL122+AM122+AN122</f>
        <v>0</v>
      </c>
      <c r="AP122" s="227">
        <f t="shared" ref="AP122:AU122" si="292">SUM(AP123:AP126)</f>
        <v>0</v>
      </c>
      <c r="AQ122" s="227">
        <f t="shared" si="292"/>
        <v>0</v>
      </c>
      <c r="AR122" s="227">
        <f t="shared" si="292"/>
        <v>0</v>
      </c>
      <c r="AS122" s="227">
        <f t="shared" si="292"/>
        <v>0</v>
      </c>
      <c r="AT122" s="227">
        <f t="shared" si="292"/>
        <v>0</v>
      </c>
      <c r="AU122" s="227">
        <f t="shared" si="292"/>
        <v>0</v>
      </c>
      <c r="AV122" s="260">
        <f>SUM(AP122:AU122)</f>
        <v>0</v>
      </c>
      <c r="AW122" s="227">
        <f t="shared" ref="AW122:BB122" si="293">SUM(AW123:AW126)</f>
        <v>0</v>
      </c>
      <c r="AX122" s="227">
        <f t="shared" si="293"/>
        <v>0</v>
      </c>
      <c r="AY122" s="227">
        <f t="shared" si="293"/>
        <v>0</v>
      </c>
      <c r="AZ122" s="227">
        <f t="shared" si="293"/>
        <v>0</v>
      </c>
      <c r="BA122" s="227">
        <f t="shared" si="293"/>
        <v>0</v>
      </c>
      <c r="BB122" s="227">
        <f t="shared" si="293"/>
        <v>0</v>
      </c>
      <c r="BC122" s="260">
        <f>SUM(AW122:BB122)</f>
        <v>0</v>
      </c>
      <c r="BD122" s="238">
        <f t="shared" si="255"/>
        <v>27570563.642999995</v>
      </c>
      <c r="BE122" s="13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242"/>
      <c r="FG122" s="242"/>
      <c r="FH122" s="242"/>
      <c r="FI122" s="242"/>
      <c r="FJ122" s="242"/>
      <c r="FK122" s="242"/>
      <c r="FL122" s="242"/>
      <c r="FM122" s="242"/>
      <c r="FN122" s="242"/>
      <c r="FO122" s="242"/>
      <c r="FP122" s="242"/>
      <c r="FQ122" s="242"/>
      <c r="FR122" s="242"/>
      <c r="FS122" s="242"/>
      <c r="FT122" s="242"/>
      <c r="FU122" s="242"/>
      <c r="FV122" s="242"/>
      <c r="FW122" s="242"/>
      <c r="FX122" s="242"/>
      <c r="FY122" s="242"/>
      <c r="FZ122" s="242"/>
      <c r="GA122" s="242"/>
      <c r="GB122" s="242"/>
      <c r="GC122" s="242"/>
      <c r="GD122" s="242"/>
      <c r="GE122" s="242"/>
      <c r="GF122" s="242"/>
      <c r="GG122" s="242"/>
      <c r="GH122" s="242"/>
      <c r="GI122" s="242"/>
      <c r="GJ122" s="242"/>
      <c r="GK122" s="242"/>
      <c r="GL122" s="242"/>
      <c r="GM122" s="242"/>
      <c r="GN122" s="242"/>
      <c r="GO122" s="242"/>
      <c r="GP122" s="242"/>
      <c r="GQ122" s="242"/>
      <c r="GR122" s="242"/>
      <c r="GS122" s="242"/>
      <c r="GT122" s="242"/>
    </row>
    <row r="123" spans="1:202" s="3" customFormat="1" ht="15" customHeight="1">
      <c r="A123" s="188"/>
      <c r="B123" s="172" t="s">
        <v>29</v>
      </c>
      <c r="C123" s="217"/>
      <c r="D123" s="140"/>
      <c r="E123" s="175">
        <v>5707.17</v>
      </c>
      <c r="F123" s="176">
        <v>1596.67</v>
      </c>
      <c r="G123" s="177">
        <f t="shared" si="260"/>
        <v>4110.5</v>
      </c>
      <c r="H123" s="175">
        <v>5707.17</v>
      </c>
      <c r="I123" s="176">
        <v>1596.67</v>
      </c>
      <c r="J123" s="177">
        <f>H123-I123</f>
        <v>4110.5</v>
      </c>
      <c r="K123" s="253">
        <v>707.54200000000003</v>
      </c>
      <c r="L123" s="253">
        <v>675.00800000000004</v>
      </c>
      <c r="M123" s="253"/>
      <c r="N123" s="287">
        <f t="shared" ref="N123:N134" si="294">SUM(K123:M123)</f>
        <v>1382.5500000000002</v>
      </c>
      <c r="O123" s="274"/>
      <c r="P123" s="274"/>
      <c r="Q123" s="291"/>
      <c r="R123" s="287"/>
      <c r="S123" s="291"/>
      <c r="T123" s="265"/>
      <c r="U123" s="274"/>
      <c r="V123" s="274"/>
      <c r="W123" s="291"/>
      <c r="X123" s="265"/>
      <c r="Y123" s="142"/>
      <c r="Z123" s="274"/>
      <c r="AA123" s="274"/>
      <c r="AB123" s="274"/>
      <c r="AC123" s="274"/>
      <c r="AD123" s="274"/>
      <c r="AE123" s="274"/>
      <c r="AF123" s="287">
        <f>SUM(Z123:AE123)</f>
        <v>0</v>
      </c>
      <c r="AG123" s="283">
        <f t="shared" si="252"/>
        <v>1382.5500000000002</v>
      </c>
      <c r="AH123" s="229">
        <f t="shared" ref="AH123:AJ125" si="295">K123*$G123</f>
        <v>2908351.3910000003</v>
      </c>
      <c r="AI123" s="229">
        <f t="shared" si="295"/>
        <v>2774620.3840000001</v>
      </c>
      <c r="AJ123" s="229">
        <f t="shared" si="295"/>
        <v>0</v>
      </c>
      <c r="AK123" s="261">
        <f>SUM(AH123:AJ123)</f>
        <v>5682971.7750000004</v>
      </c>
      <c r="AL123" s="229">
        <f t="shared" ref="AL123:AN124" si="296">O123*$G123</f>
        <v>0</v>
      </c>
      <c r="AM123" s="229">
        <f t="shared" si="296"/>
        <v>0</v>
      </c>
      <c r="AN123" s="229">
        <f t="shared" si="296"/>
        <v>0</v>
      </c>
      <c r="AO123" s="261"/>
      <c r="AP123" s="229">
        <f t="shared" ref="AP123:AU124" si="297">S123*$J123</f>
        <v>0</v>
      </c>
      <c r="AQ123" s="229">
        <f t="shared" si="297"/>
        <v>0</v>
      </c>
      <c r="AR123" s="229">
        <f t="shared" si="297"/>
        <v>0</v>
      </c>
      <c r="AS123" s="229">
        <f t="shared" si="297"/>
        <v>0</v>
      </c>
      <c r="AT123" s="229">
        <f t="shared" si="297"/>
        <v>0</v>
      </c>
      <c r="AU123" s="229">
        <f t="shared" si="297"/>
        <v>0</v>
      </c>
      <c r="AV123" s="261"/>
      <c r="AW123" s="229">
        <f t="shared" ref="AW123:BB124" si="298">Z123*$J123</f>
        <v>0</v>
      </c>
      <c r="AX123" s="229">
        <f t="shared" si="298"/>
        <v>0</v>
      </c>
      <c r="AY123" s="229">
        <f t="shared" si="298"/>
        <v>0</v>
      </c>
      <c r="AZ123" s="229">
        <f t="shared" si="298"/>
        <v>0</v>
      </c>
      <c r="BA123" s="229">
        <f t="shared" si="298"/>
        <v>0</v>
      </c>
      <c r="BB123" s="229">
        <f t="shared" si="298"/>
        <v>0</v>
      </c>
      <c r="BC123" s="261">
        <f>SUM(AW123:BB123)</f>
        <v>0</v>
      </c>
      <c r="BD123" s="239">
        <f t="shared" si="255"/>
        <v>5682971.7750000004</v>
      </c>
      <c r="BE123" s="243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242"/>
      <c r="FG123" s="242"/>
      <c r="FH123" s="242"/>
      <c r="FI123" s="242"/>
      <c r="FJ123" s="242"/>
      <c r="FK123" s="242"/>
      <c r="FL123" s="242"/>
      <c r="FM123" s="242"/>
      <c r="FN123" s="242"/>
      <c r="FO123" s="242"/>
      <c r="FP123" s="242"/>
      <c r="FQ123" s="242"/>
      <c r="FR123" s="242"/>
      <c r="FS123" s="242"/>
      <c r="FT123" s="242"/>
      <c r="FU123" s="242"/>
      <c r="FV123" s="242"/>
      <c r="FW123" s="242"/>
      <c r="FX123" s="242"/>
      <c r="FY123" s="242"/>
      <c r="FZ123" s="242"/>
      <c r="GA123" s="242"/>
      <c r="GB123" s="242"/>
      <c r="GC123" s="242"/>
      <c r="GD123" s="242"/>
      <c r="GE123" s="242"/>
      <c r="GF123" s="242"/>
      <c r="GG123" s="242"/>
      <c r="GH123" s="242"/>
      <c r="GI123" s="242"/>
      <c r="GJ123" s="242"/>
      <c r="GK123" s="242"/>
      <c r="GL123" s="242"/>
      <c r="GM123" s="242"/>
      <c r="GN123" s="242"/>
      <c r="GO123" s="242"/>
      <c r="GP123" s="242"/>
      <c r="GQ123" s="242"/>
      <c r="GR123" s="242"/>
      <c r="GS123" s="242"/>
      <c r="GT123" s="242"/>
    </row>
    <row r="124" spans="1:202" s="3" customFormat="1" ht="15" customHeight="1">
      <c r="A124" s="188"/>
      <c r="B124" s="172" t="s">
        <v>28</v>
      </c>
      <c r="C124" s="217"/>
      <c r="D124" s="140"/>
      <c r="E124" s="175">
        <v>7915.87</v>
      </c>
      <c r="F124" s="176">
        <v>1596.67</v>
      </c>
      <c r="G124" s="177">
        <f t="shared" si="260"/>
        <v>6319.2</v>
      </c>
      <c r="H124" s="175">
        <v>7915.87</v>
      </c>
      <c r="I124" s="176">
        <v>1596.67</v>
      </c>
      <c r="J124" s="177">
        <f>H124-I124</f>
        <v>6319.2</v>
      </c>
      <c r="K124" s="253">
        <v>1703.6880000000001</v>
      </c>
      <c r="L124" s="253">
        <v>1728.1759999999999</v>
      </c>
      <c r="M124" s="253"/>
      <c r="N124" s="287">
        <f t="shared" si="294"/>
        <v>3431.864</v>
      </c>
      <c r="O124" s="274"/>
      <c r="P124" s="274"/>
      <c r="Q124" s="291"/>
      <c r="R124" s="287"/>
      <c r="S124" s="291"/>
      <c r="T124" s="265"/>
      <c r="U124" s="274"/>
      <c r="V124" s="274"/>
      <c r="W124" s="291"/>
      <c r="X124" s="265"/>
      <c r="Y124" s="142"/>
      <c r="Z124" s="274"/>
      <c r="AA124" s="274"/>
      <c r="AB124" s="274"/>
      <c r="AC124" s="274"/>
      <c r="AD124" s="274"/>
      <c r="AE124" s="274"/>
      <c r="AF124" s="287">
        <f>SUM(Z124:AE124)</f>
        <v>0</v>
      </c>
      <c r="AG124" s="283">
        <f t="shared" si="252"/>
        <v>3431.864</v>
      </c>
      <c r="AH124" s="229">
        <f t="shared" si="295"/>
        <v>10765945.2096</v>
      </c>
      <c r="AI124" s="229">
        <f t="shared" si="295"/>
        <v>10920689.779199999</v>
      </c>
      <c r="AJ124" s="229">
        <f t="shared" si="295"/>
        <v>0</v>
      </c>
      <c r="AK124" s="261">
        <f>SUM(AH124:AJ124)</f>
        <v>21686634.988799997</v>
      </c>
      <c r="AL124" s="229">
        <f t="shared" si="296"/>
        <v>0</v>
      </c>
      <c r="AM124" s="229">
        <f t="shared" si="296"/>
        <v>0</v>
      </c>
      <c r="AN124" s="229">
        <f t="shared" si="296"/>
        <v>0</v>
      </c>
      <c r="AO124" s="261"/>
      <c r="AP124" s="229">
        <f t="shared" si="297"/>
        <v>0</v>
      </c>
      <c r="AQ124" s="229">
        <f t="shared" si="297"/>
        <v>0</v>
      </c>
      <c r="AR124" s="229">
        <f t="shared" si="297"/>
        <v>0</v>
      </c>
      <c r="AS124" s="229">
        <f t="shared" si="297"/>
        <v>0</v>
      </c>
      <c r="AT124" s="229">
        <f t="shared" si="297"/>
        <v>0</v>
      </c>
      <c r="AU124" s="229">
        <f t="shared" si="297"/>
        <v>0</v>
      </c>
      <c r="AV124" s="261"/>
      <c r="AW124" s="229">
        <f t="shared" si="298"/>
        <v>0</v>
      </c>
      <c r="AX124" s="229">
        <f t="shared" si="298"/>
        <v>0</v>
      </c>
      <c r="AY124" s="229">
        <f t="shared" si="298"/>
        <v>0</v>
      </c>
      <c r="AZ124" s="229">
        <f t="shared" si="298"/>
        <v>0</v>
      </c>
      <c r="BA124" s="229">
        <f t="shared" si="298"/>
        <v>0</v>
      </c>
      <c r="BB124" s="229">
        <f t="shared" si="298"/>
        <v>0</v>
      </c>
      <c r="BC124" s="261">
        <f>SUM(AW124:BB124)</f>
        <v>0</v>
      </c>
      <c r="BD124" s="239">
        <f t="shared" si="255"/>
        <v>21686634.988799997</v>
      </c>
      <c r="BE124" s="243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242"/>
      <c r="FG124" s="242"/>
      <c r="FH124" s="242"/>
      <c r="FI124" s="242"/>
      <c r="FJ124" s="242"/>
      <c r="FK124" s="242"/>
      <c r="FL124" s="242"/>
      <c r="FM124" s="242"/>
      <c r="FN124" s="242"/>
      <c r="FO124" s="242"/>
      <c r="FP124" s="242"/>
      <c r="FQ124" s="242"/>
      <c r="FR124" s="242"/>
      <c r="FS124" s="242"/>
      <c r="FT124" s="242"/>
      <c r="FU124" s="242"/>
      <c r="FV124" s="242"/>
      <c r="FW124" s="242"/>
      <c r="FX124" s="242"/>
      <c r="FY124" s="242"/>
      <c r="FZ124" s="242"/>
      <c r="GA124" s="242"/>
      <c r="GB124" s="242"/>
      <c r="GC124" s="242"/>
      <c r="GD124" s="242"/>
      <c r="GE124" s="242"/>
      <c r="GF124" s="242"/>
      <c r="GG124" s="242"/>
      <c r="GH124" s="242"/>
      <c r="GI124" s="242"/>
      <c r="GJ124" s="242"/>
      <c r="GK124" s="242"/>
      <c r="GL124" s="242"/>
      <c r="GM124" s="242"/>
      <c r="GN124" s="242"/>
      <c r="GO124" s="242"/>
      <c r="GP124" s="242"/>
      <c r="GQ124" s="242"/>
      <c r="GR124" s="242"/>
      <c r="GS124" s="242"/>
      <c r="GT124" s="242"/>
    </row>
    <row r="125" spans="1:202" s="3" customFormat="1" ht="15" customHeight="1">
      <c r="A125" s="188"/>
      <c r="B125" s="172" t="s">
        <v>603</v>
      </c>
      <c r="C125" s="217"/>
      <c r="D125" s="140"/>
      <c r="E125" s="175">
        <v>7915.87</v>
      </c>
      <c r="F125" s="176">
        <v>1596.67</v>
      </c>
      <c r="G125" s="177">
        <f>E125-F125</f>
        <v>6319.2</v>
      </c>
      <c r="H125" s="175">
        <v>7915.87</v>
      </c>
      <c r="I125" s="176">
        <v>1596.67</v>
      </c>
      <c r="J125" s="177">
        <f>H125-I125</f>
        <v>6319.2</v>
      </c>
      <c r="K125" s="253">
        <v>17.242999999999999</v>
      </c>
      <c r="L125" s="253">
        <v>14.558</v>
      </c>
      <c r="M125" s="253"/>
      <c r="N125" s="287">
        <f t="shared" si="294"/>
        <v>31.800999999999998</v>
      </c>
      <c r="O125" s="274"/>
      <c r="P125" s="274"/>
      <c r="Q125" s="291"/>
      <c r="R125" s="287"/>
      <c r="S125" s="291"/>
      <c r="T125" s="265"/>
      <c r="U125" s="274"/>
      <c r="V125" s="274"/>
      <c r="W125" s="291"/>
      <c r="X125" s="265"/>
      <c r="Y125" s="142"/>
      <c r="Z125" s="274"/>
      <c r="AA125" s="274"/>
      <c r="AB125" s="274"/>
      <c r="AC125" s="274"/>
      <c r="AD125" s="274"/>
      <c r="AE125" s="274"/>
      <c r="AF125" s="287"/>
      <c r="AG125" s="283">
        <f t="shared" si="252"/>
        <v>31.800999999999998</v>
      </c>
      <c r="AH125" s="229">
        <f>K125*$G125</f>
        <v>108961.96559999998</v>
      </c>
      <c r="AI125" s="229">
        <f t="shared" si="295"/>
        <v>91994.9136</v>
      </c>
      <c r="AJ125" s="229"/>
      <c r="AK125" s="261">
        <f>SUM(AH125:AJ125)</f>
        <v>200956.87919999997</v>
      </c>
      <c r="AL125" s="229"/>
      <c r="AM125" s="229"/>
      <c r="AN125" s="229"/>
      <c r="AO125" s="261"/>
      <c r="AP125" s="229"/>
      <c r="AQ125" s="229"/>
      <c r="AR125" s="229"/>
      <c r="AS125" s="229"/>
      <c r="AT125" s="229"/>
      <c r="AU125" s="229"/>
      <c r="AV125" s="261"/>
      <c r="AW125" s="229"/>
      <c r="AX125" s="229"/>
      <c r="AY125" s="229"/>
      <c r="AZ125" s="229"/>
      <c r="BA125" s="229"/>
      <c r="BB125" s="229"/>
      <c r="BC125" s="261"/>
      <c r="BD125" s="239">
        <f t="shared" si="255"/>
        <v>200956.87919999997</v>
      </c>
      <c r="BE125" s="243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242"/>
      <c r="FG125" s="242"/>
      <c r="FH125" s="242"/>
      <c r="FI125" s="242"/>
      <c r="FJ125" s="242"/>
      <c r="FK125" s="242"/>
      <c r="FL125" s="242"/>
      <c r="FM125" s="242"/>
      <c r="FN125" s="242"/>
      <c r="FO125" s="242"/>
      <c r="FP125" s="242"/>
      <c r="FQ125" s="242"/>
      <c r="FR125" s="242"/>
      <c r="FS125" s="242"/>
      <c r="FT125" s="242"/>
      <c r="FU125" s="242"/>
      <c r="FV125" s="242"/>
      <c r="FW125" s="242"/>
      <c r="FX125" s="242"/>
      <c r="FY125" s="242"/>
      <c r="FZ125" s="242"/>
      <c r="GA125" s="242"/>
      <c r="GB125" s="242"/>
      <c r="GC125" s="242"/>
      <c r="GD125" s="242"/>
      <c r="GE125" s="242"/>
      <c r="GF125" s="242"/>
      <c r="GG125" s="242"/>
      <c r="GH125" s="242"/>
      <c r="GI125" s="242"/>
      <c r="GJ125" s="242"/>
      <c r="GK125" s="242"/>
      <c r="GL125" s="242"/>
      <c r="GM125" s="242"/>
      <c r="GN125" s="242"/>
      <c r="GO125" s="242"/>
      <c r="GP125" s="242"/>
      <c r="GQ125" s="242"/>
      <c r="GR125" s="242"/>
      <c r="GS125" s="242"/>
      <c r="GT125" s="242"/>
    </row>
    <row r="126" spans="1:202" s="3" customFormat="1" ht="15" customHeight="1">
      <c r="A126" s="188"/>
      <c r="B126" s="172" t="s">
        <v>170</v>
      </c>
      <c r="C126" s="217"/>
      <c r="D126" s="140"/>
      <c r="E126" s="175"/>
      <c r="F126" s="176"/>
      <c r="G126" s="177"/>
      <c r="H126" s="175"/>
      <c r="I126" s="176"/>
      <c r="J126" s="177"/>
      <c r="K126" s="253"/>
      <c r="L126" s="253"/>
      <c r="M126" s="253"/>
      <c r="N126" s="287">
        <f t="shared" si="294"/>
        <v>0</v>
      </c>
      <c r="O126" s="274"/>
      <c r="P126" s="274"/>
      <c r="Q126" s="291"/>
      <c r="R126" s="287">
        <f>O126+P126+Q126</f>
        <v>0</v>
      </c>
      <c r="S126" s="291"/>
      <c r="T126" s="265"/>
      <c r="U126" s="274"/>
      <c r="V126" s="274"/>
      <c r="W126" s="291"/>
      <c r="X126" s="265"/>
      <c r="Y126" s="142">
        <f>SUM(S126:X126)</f>
        <v>0</v>
      </c>
      <c r="Z126" s="274"/>
      <c r="AA126" s="274"/>
      <c r="AB126" s="274"/>
      <c r="AC126" s="274"/>
      <c r="AD126" s="274"/>
      <c r="AE126" s="274"/>
      <c r="AF126" s="287">
        <f>SUM(Z126:AE126)</f>
        <v>0</v>
      </c>
      <c r="AG126" s="283">
        <f t="shared" si="252"/>
        <v>0</v>
      </c>
      <c r="AH126" s="229">
        <f>K126*$G126</f>
        <v>0</v>
      </c>
      <c r="AI126" s="229">
        <f>L126*$G126</f>
        <v>0</v>
      </c>
      <c r="AJ126" s="229">
        <f>M126*$G126</f>
        <v>0</v>
      </c>
      <c r="AK126" s="261">
        <f>SUM(AH126:AJ126)</f>
        <v>0</v>
      </c>
      <c r="AL126" s="229">
        <f>O126*$G126</f>
        <v>0</v>
      </c>
      <c r="AM126" s="229">
        <f>P126*$G126</f>
        <v>0</v>
      </c>
      <c r="AN126" s="229">
        <f>Q126*$G126</f>
        <v>0</v>
      </c>
      <c r="AO126" s="261">
        <f>SUM(AL126:AN126)</f>
        <v>0</v>
      </c>
      <c r="AP126" s="229">
        <f t="shared" ref="AP126:AU126" si="299">S126*$J126</f>
        <v>0</v>
      </c>
      <c r="AQ126" s="229">
        <f t="shared" si="299"/>
        <v>0</v>
      </c>
      <c r="AR126" s="229">
        <f t="shared" si="299"/>
        <v>0</v>
      </c>
      <c r="AS126" s="229">
        <f t="shared" si="299"/>
        <v>0</v>
      </c>
      <c r="AT126" s="229">
        <f t="shared" si="299"/>
        <v>0</v>
      </c>
      <c r="AU126" s="229">
        <f t="shared" si="299"/>
        <v>0</v>
      </c>
      <c r="AV126" s="261">
        <f>SUM(AP126:AU126)</f>
        <v>0</v>
      </c>
      <c r="AW126" s="229">
        <f t="shared" ref="AW126:BB126" si="300">Z126*$J126</f>
        <v>0</v>
      </c>
      <c r="AX126" s="229">
        <f t="shared" si="300"/>
        <v>0</v>
      </c>
      <c r="AY126" s="229">
        <f t="shared" si="300"/>
        <v>0</v>
      </c>
      <c r="AZ126" s="229">
        <f t="shared" si="300"/>
        <v>0</v>
      </c>
      <c r="BA126" s="229">
        <f t="shared" si="300"/>
        <v>0</v>
      </c>
      <c r="BB126" s="229">
        <f t="shared" si="300"/>
        <v>0</v>
      </c>
      <c r="BC126" s="261">
        <f>SUM(AW126:BB126)</f>
        <v>0</v>
      </c>
      <c r="BD126" s="239">
        <f t="shared" si="255"/>
        <v>0</v>
      </c>
      <c r="BE126" s="243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242"/>
      <c r="FG126" s="242"/>
      <c r="FH126" s="242"/>
      <c r="FI126" s="242"/>
      <c r="FJ126" s="242"/>
      <c r="FK126" s="242"/>
      <c r="FL126" s="242"/>
      <c r="FM126" s="242"/>
      <c r="FN126" s="242"/>
      <c r="FO126" s="242"/>
      <c r="FP126" s="242"/>
      <c r="FQ126" s="242"/>
      <c r="FR126" s="242"/>
      <c r="FS126" s="242"/>
      <c r="FT126" s="242"/>
      <c r="FU126" s="242"/>
      <c r="FV126" s="242"/>
      <c r="FW126" s="242"/>
      <c r="FX126" s="242"/>
      <c r="FY126" s="242"/>
      <c r="FZ126" s="242"/>
      <c r="GA126" s="242"/>
      <c r="GB126" s="242"/>
      <c r="GC126" s="242"/>
      <c r="GD126" s="242"/>
      <c r="GE126" s="242"/>
      <c r="GF126" s="242"/>
      <c r="GG126" s="242"/>
      <c r="GH126" s="242"/>
      <c r="GI126" s="242"/>
      <c r="GJ126" s="242"/>
      <c r="GK126" s="242"/>
      <c r="GL126" s="242"/>
      <c r="GM126" s="242"/>
      <c r="GN126" s="242"/>
      <c r="GO126" s="242"/>
      <c r="GP126" s="242"/>
      <c r="GQ126" s="242"/>
      <c r="GR126" s="242"/>
      <c r="GS126" s="242"/>
      <c r="GT126" s="242"/>
    </row>
    <row r="127" spans="1:202" s="3" customFormat="1" ht="15" customHeight="1">
      <c r="A127" s="187" t="s">
        <v>26</v>
      </c>
      <c r="B127" s="170" t="s">
        <v>31</v>
      </c>
      <c r="C127" s="216" t="s">
        <v>223</v>
      </c>
      <c r="D127" s="138">
        <v>2901200792</v>
      </c>
      <c r="E127" s="142"/>
      <c r="F127" s="142"/>
      <c r="G127" s="177"/>
      <c r="H127" s="142"/>
      <c r="I127" s="142"/>
      <c r="J127" s="177"/>
      <c r="K127" s="251">
        <f>SUM(K128:K131)</f>
        <v>4473.0439999999999</v>
      </c>
      <c r="L127" s="251">
        <f>SUM(L128:L131)</f>
        <v>4528.6379999999999</v>
      </c>
      <c r="M127" s="251">
        <f>SUM(M128:M131)</f>
        <v>0</v>
      </c>
      <c r="N127" s="284">
        <f t="shared" si="294"/>
        <v>9001.6820000000007</v>
      </c>
      <c r="O127" s="272">
        <f>SUM(O128:O129)</f>
        <v>0</v>
      </c>
      <c r="P127" s="272">
        <f>SUM(P128:P129)</f>
        <v>0</v>
      </c>
      <c r="Q127" s="272">
        <f>SUM(Q128:Q129)</f>
        <v>0</v>
      </c>
      <c r="R127" s="284">
        <f>O127+P127+Q127</f>
        <v>0</v>
      </c>
      <c r="S127" s="289">
        <f t="shared" ref="S127:X127" si="301">SUM(S128:S129)</f>
        <v>0</v>
      </c>
      <c r="T127" s="289">
        <f t="shared" si="301"/>
        <v>0</v>
      </c>
      <c r="U127" s="289">
        <f t="shared" si="301"/>
        <v>0</v>
      </c>
      <c r="V127" s="289">
        <f t="shared" si="301"/>
        <v>0</v>
      </c>
      <c r="W127" s="289">
        <f t="shared" si="301"/>
        <v>0</v>
      </c>
      <c r="X127" s="289">
        <f t="shared" si="301"/>
        <v>0</v>
      </c>
      <c r="Y127" s="284">
        <f>SUM(S127:X127)</f>
        <v>0</v>
      </c>
      <c r="Z127" s="272">
        <f t="shared" ref="Z127:AF127" si="302">SUM(Z128:Z129)</f>
        <v>0</v>
      </c>
      <c r="AA127" s="272">
        <f t="shared" si="302"/>
        <v>0</v>
      </c>
      <c r="AB127" s="272">
        <f t="shared" si="302"/>
        <v>0</v>
      </c>
      <c r="AC127" s="272">
        <f t="shared" si="302"/>
        <v>0</v>
      </c>
      <c r="AD127" s="272">
        <f t="shared" si="302"/>
        <v>0</v>
      </c>
      <c r="AE127" s="272">
        <f t="shared" si="302"/>
        <v>0</v>
      </c>
      <c r="AF127" s="284">
        <f t="shared" si="302"/>
        <v>0</v>
      </c>
      <c r="AG127" s="282">
        <f t="shared" si="252"/>
        <v>9001.6820000000007</v>
      </c>
      <c r="AH127" s="227">
        <f>SUM(AH128:AH131)</f>
        <v>16914854.638039999</v>
      </c>
      <c r="AI127" s="227">
        <f>SUM(AI128:AI131)</f>
        <v>17060871.08427</v>
      </c>
      <c r="AJ127" s="227">
        <f>SUM(AJ128:AJ131)</f>
        <v>0</v>
      </c>
      <c r="AK127" s="260">
        <f>AH127+AI127+AJ127</f>
        <v>33975725.722309999</v>
      </c>
      <c r="AL127" s="227">
        <f>SUM(AL128:AL129)</f>
        <v>0</v>
      </c>
      <c r="AM127" s="227">
        <f>SUM(AM128:AM129)</f>
        <v>0</v>
      </c>
      <c r="AN127" s="227">
        <f>SUM(AN128:AN129)</f>
        <v>0</v>
      </c>
      <c r="AO127" s="260">
        <f>SUM(AL127:AN127)</f>
        <v>0</v>
      </c>
      <c r="AP127" s="227">
        <f t="shared" ref="AP127:AU127" si="303">SUM(AP128:AP129)</f>
        <v>0</v>
      </c>
      <c r="AQ127" s="227">
        <f t="shared" si="303"/>
        <v>0</v>
      </c>
      <c r="AR127" s="227">
        <f t="shared" si="303"/>
        <v>0</v>
      </c>
      <c r="AS127" s="227">
        <f t="shared" si="303"/>
        <v>0</v>
      </c>
      <c r="AT127" s="227">
        <f t="shared" si="303"/>
        <v>0</v>
      </c>
      <c r="AU127" s="227">
        <f t="shared" si="303"/>
        <v>0</v>
      </c>
      <c r="AV127" s="260">
        <f>SUM(AP127:AU127)</f>
        <v>0</v>
      </c>
      <c r="AW127" s="227">
        <f t="shared" ref="AW127:BB127" si="304">SUM(AW128:AW129)</f>
        <v>0</v>
      </c>
      <c r="AX127" s="227">
        <f t="shared" si="304"/>
        <v>0</v>
      </c>
      <c r="AY127" s="227">
        <f t="shared" si="304"/>
        <v>0</v>
      </c>
      <c r="AZ127" s="227">
        <f t="shared" si="304"/>
        <v>0</v>
      </c>
      <c r="BA127" s="227">
        <f t="shared" si="304"/>
        <v>0</v>
      </c>
      <c r="BB127" s="227">
        <f t="shared" si="304"/>
        <v>0</v>
      </c>
      <c r="BC127" s="260">
        <f>SUM(AW127:BB127)</f>
        <v>0</v>
      </c>
      <c r="BD127" s="238">
        <f>SUM(BD128:BD131)</f>
        <v>33975725.722309999</v>
      </c>
      <c r="BE127" s="13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242"/>
      <c r="FG127" s="242"/>
      <c r="FH127" s="242"/>
      <c r="FI127" s="242"/>
      <c r="FJ127" s="242"/>
      <c r="FK127" s="242"/>
      <c r="FL127" s="242"/>
      <c r="FM127" s="242"/>
      <c r="FN127" s="242"/>
      <c r="FO127" s="242"/>
      <c r="FP127" s="242"/>
      <c r="FQ127" s="242"/>
      <c r="FR127" s="242"/>
      <c r="FS127" s="242"/>
      <c r="FT127" s="242"/>
      <c r="FU127" s="242"/>
      <c r="FV127" s="242"/>
      <c r="FW127" s="242"/>
      <c r="FX127" s="242"/>
      <c r="FY127" s="242"/>
      <c r="FZ127" s="242"/>
      <c r="GA127" s="242"/>
      <c r="GB127" s="242"/>
      <c r="GC127" s="242"/>
      <c r="GD127" s="242"/>
      <c r="GE127" s="242"/>
      <c r="GF127" s="242"/>
      <c r="GG127" s="242"/>
      <c r="GH127" s="242"/>
      <c r="GI127" s="242"/>
      <c r="GJ127" s="242"/>
      <c r="GK127" s="242"/>
      <c r="GL127" s="242"/>
      <c r="GM127" s="242"/>
      <c r="GN127" s="242"/>
      <c r="GO127" s="242"/>
      <c r="GP127" s="242"/>
      <c r="GQ127" s="242"/>
      <c r="GR127" s="242"/>
      <c r="GS127" s="242"/>
      <c r="GT127" s="242"/>
    </row>
    <row r="128" spans="1:202" s="3" customFormat="1" ht="15" customHeight="1">
      <c r="A128" s="188"/>
      <c r="B128" s="172" t="s">
        <v>620</v>
      </c>
      <c r="C128" s="217"/>
      <c r="D128" s="140"/>
      <c r="E128" s="175">
        <v>5438.03</v>
      </c>
      <c r="F128" s="176">
        <v>1980</v>
      </c>
      <c r="G128" s="177">
        <f>E128-F128</f>
        <v>3458.0299999999997</v>
      </c>
      <c r="H128" s="175">
        <v>5438.03</v>
      </c>
      <c r="I128" s="176">
        <v>1980</v>
      </c>
      <c r="J128" s="177">
        <f>H128-I128</f>
        <v>3458.0299999999997</v>
      </c>
      <c r="K128" s="253">
        <v>2624.6219999999998</v>
      </c>
      <c r="L128" s="253">
        <v>2734.8719999999998</v>
      </c>
      <c r="M128" s="253"/>
      <c r="N128" s="287">
        <f t="shared" si="294"/>
        <v>5359.4939999999997</v>
      </c>
      <c r="O128" s="274"/>
      <c r="P128" s="274"/>
      <c r="Q128" s="291"/>
      <c r="R128" s="287"/>
      <c r="S128" s="291"/>
      <c r="T128" s="265"/>
      <c r="U128" s="274"/>
      <c r="V128" s="274"/>
      <c r="W128" s="291"/>
      <c r="X128" s="265"/>
      <c r="Y128" s="142"/>
      <c r="Z128" s="274"/>
      <c r="AA128" s="274"/>
      <c r="AB128" s="274"/>
      <c r="AC128" s="274"/>
      <c r="AD128" s="274"/>
      <c r="AE128" s="274"/>
      <c r="AF128" s="287">
        <f>SUM(Z128:AE128)</f>
        <v>0</v>
      </c>
      <c r="AG128" s="283">
        <f t="shared" si="252"/>
        <v>5359.4939999999997</v>
      </c>
      <c r="AH128" s="229">
        <f t="shared" ref="AH128:AJ131" si="305">K128*$G128</f>
        <v>9076021.6146599986</v>
      </c>
      <c r="AI128" s="229">
        <f t="shared" si="305"/>
        <v>9457269.4221599996</v>
      </c>
      <c r="AJ128" s="229">
        <f t="shared" si="305"/>
        <v>0</v>
      </c>
      <c r="AK128" s="261">
        <f>AH128+AI128+AJ128</f>
        <v>18533291.036819998</v>
      </c>
      <c r="AL128" s="229">
        <f t="shared" ref="AL128:AN129" si="306">O128*$G128</f>
        <v>0</v>
      </c>
      <c r="AM128" s="229">
        <f t="shared" si="306"/>
        <v>0</v>
      </c>
      <c r="AN128" s="229">
        <f t="shared" si="306"/>
        <v>0</v>
      </c>
      <c r="AO128" s="261"/>
      <c r="AP128" s="229">
        <f t="shared" ref="AP128:AU129" si="307">S128*$J128</f>
        <v>0</v>
      </c>
      <c r="AQ128" s="229">
        <f t="shared" si="307"/>
        <v>0</v>
      </c>
      <c r="AR128" s="229">
        <f t="shared" si="307"/>
        <v>0</v>
      </c>
      <c r="AS128" s="229">
        <f t="shared" si="307"/>
        <v>0</v>
      </c>
      <c r="AT128" s="229">
        <f t="shared" si="307"/>
        <v>0</v>
      </c>
      <c r="AU128" s="229">
        <f t="shared" si="307"/>
        <v>0</v>
      </c>
      <c r="AV128" s="261"/>
      <c r="AW128" s="229">
        <f t="shared" ref="AW128:BB129" si="308">Z128*$J128</f>
        <v>0</v>
      </c>
      <c r="AX128" s="229">
        <f t="shared" si="308"/>
        <v>0</v>
      </c>
      <c r="AY128" s="229">
        <f t="shared" si="308"/>
        <v>0</v>
      </c>
      <c r="AZ128" s="229">
        <f t="shared" si="308"/>
        <v>0</v>
      </c>
      <c r="BA128" s="229">
        <f t="shared" si="308"/>
        <v>0</v>
      </c>
      <c r="BB128" s="229">
        <f t="shared" si="308"/>
        <v>0</v>
      </c>
      <c r="BC128" s="261">
        <f>SUM(AW128:BB128)</f>
        <v>0</v>
      </c>
      <c r="BD128" s="239">
        <f>BC128+AV128+AO128+AK128</f>
        <v>18533291.036819998</v>
      </c>
      <c r="BE128" s="243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242"/>
      <c r="FG128" s="242"/>
      <c r="FH128" s="242"/>
      <c r="FI128" s="242"/>
      <c r="FJ128" s="242"/>
      <c r="FK128" s="242"/>
      <c r="FL128" s="242"/>
      <c r="FM128" s="242"/>
      <c r="FN128" s="242"/>
      <c r="FO128" s="242"/>
      <c r="FP128" s="242"/>
      <c r="FQ128" s="242"/>
      <c r="FR128" s="242"/>
      <c r="FS128" s="242"/>
      <c r="FT128" s="242"/>
      <c r="FU128" s="242"/>
      <c r="FV128" s="242"/>
      <c r="FW128" s="242"/>
      <c r="FX128" s="242"/>
      <c r="FY128" s="242"/>
      <c r="FZ128" s="242"/>
      <c r="GA128" s="242"/>
      <c r="GB128" s="242"/>
      <c r="GC128" s="242"/>
      <c r="GD128" s="242"/>
      <c r="GE128" s="242"/>
      <c r="GF128" s="242"/>
      <c r="GG128" s="242"/>
      <c r="GH128" s="242"/>
      <c r="GI128" s="242"/>
      <c r="GJ128" s="242"/>
      <c r="GK128" s="242"/>
      <c r="GL128" s="242"/>
      <c r="GM128" s="242"/>
      <c r="GN128" s="242"/>
      <c r="GO128" s="242"/>
      <c r="GP128" s="242"/>
      <c r="GQ128" s="242"/>
      <c r="GR128" s="242"/>
      <c r="GS128" s="242"/>
      <c r="GT128" s="242"/>
    </row>
    <row r="129" spans="1:202" s="3" customFormat="1" ht="15.75" customHeight="1">
      <c r="A129" s="188"/>
      <c r="B129" s="172" t="s">
        <v>621</v>
      </c>
      <c r="C129" s="217"/>
      <c r="D129" s="140"/>
      <c r="E129" s="175">
        <v>6389.7</v>
      </c>
      <c r="F129" s="176">
        <v>1980</v>
      </c>
      <c r="G129" s="177">
        <f>E129-F129</f>
        <v>4409.7</v>
      </c>
      <c r="H129" s="175">
        <v>6389.7</v>
      </c>
      <c r="I129" s="176">
        <v>1980</v>
      </c>
      <c r="J129" s="177">
        <f>H129-I129</f>
        <v>4409.7</v>
      </c>
      <c r="K129" s="253">
        <v>1496.0139999999999</v>
      </c>
      <c r="L129" s="253">
        <v>1442.567</v>
      </c>
      <c r="M129" s="253"/>
      <c r="N129" s="287">
        <f t="shared" si="294"/>
        <v>2938.5810000000001</v>
      </c>
      <c r="O129" s="274"/>
      <c r="P129" s="274"/>
      <c r="Q129" s="291"/>
      <c r="R129" s="287"/>
      <c r="S129" s="291"/>
      <c r="T129" s="265"/>
      <c r="U129" s="274"/>
      <c r="V129" s="274"/>
      <c r="W129" s="291"/>
      <c r="X129" s="265"/>
      <c r="Y129" s="142"/>
      <c r="Z129" s="274"/>
      <c r="AA129" s="274"/>
      <c r="AB129" s="274"/>
      <c r="AC129" s="274"/>
      <c r="AD129" s="274"/>
      <c r="AE129" s="274"/>
      <c r="AF129" s="287">
        <f>SUM(Z129:AE129)</f>
        <v>0</v>
      </c>
      <c r="AG129" s="283">
        <f t="shared" si="252"/>
        <v>2938.5810000000001</v>
      </c>
      <c r="AH129" s="229">
        <f t="shared" si="305"/>
        <v>6596972.9357999992</v>
      </c>
      <c r="AI129" s="229">
        <f t="shared" si="305"/>
        <v>6361287.6998999994</v>
      </c>
      <c r="AJ129" s="229">
        <f t="shared" si="305"/>
        <v>0</v>
      </c>
      <c r="AK129" s="261">
        <f t="shared" ref="AK129:AK134" si="309">AH129+AI129+AJ129</f>
        <v>12958260.635699999</v>
      </c>
      <c r="AL129" s="229">
        <f t="shared" si="306"/>
        <v>0</v>
      </c>
      <c r="AM129" s="229">
        <f t="shared" si="306"/>
        <v>0</v>
      </c>
      <c r="AN129" s="229">
        <f t="shared" si="306"/>
        <v>0</v>
      </c>
      <c r="AO129" s="261"/>
      <c r="AP129" s="229">
        <f t="shared" si="307"/>
        <v>0</v>
      </c>
      <c r="AQ129" s="229">
        <f t="shared" si="307"/>
        <v>0</v>
      </c>
      <c r="AR129" s="229">
        <f t="shared" si="307"/>
        <v>0</v>
      </c>
      <c r="AS129" s="229">
        <f t="shared" si="307"/>
        <v>0</v>
      </c>
      <c r="AT129" s="229">
        <f t="shared" si="307"/>
        <v>0</v>
      </c>
      <c r="AU129" s="229">
        <f t="shared" si="307"/>
        <v>0</v>
      </c>
      <c r="AV129" s="261"/>
      <c r="AW129" s="229">
        <f t="shared" si="308"/>
        <v>0</v>
      </c>
      <c r="AX129" s="229">
        <f t="shared" si="308"/>
        <v>0</v>
      </c>
      <c r="AY129" s="229">
        <f t="shared" si="308"/>
        <v>0</v>
      </c>
      <c r="AZ129" s="229">
        <f t="shared" si="308"/>
        <v>0</v>
      </c>
      <c r="BA129" s="229">
        <f t="shared" si="308"/>
        <v>0</v>
      </c>
      <c r="BB129" s="229">
        <f t="shared" si="308"/>
        <v>0</v>
      </c>
      <c r="BC129" s="261">
        <f>SUM(AW129:BB129)</f>
        <v>0</v>
      </c>
      <c r="BD129" s="239">
        <f>BC129+AV129+AO129+AK129</f>
        <v>12958260.635699999</v>
      </c>
      <c r="BE129" s="243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242"/>
      <c r="FG129" s="242"/>
      <c r="FH129" s="242"/>
      <c r="FI129" s="242"/>
      <c r="FJ129" s="242"/>
      <c r="FK129" s="242"/>
      <c r="FL129" s="242"/>
      <c r="FM129" s="242"/>
      <c r="FN129" s="242"/>
      <c r="FO129" s="242"/>
      <c r="FP129" s="242"/>
      <c r="FQ129" s="242"/>
      <c r="FR129" s="242"/>
      <c r="FS129" s="242"/>
      <c r="FT129" s="242"/>
      <c r="FU129" s="242"/>
      <c r="FV129" s="242"/>
      <c r="FW129" s="242"/>
      <c r="FX129" s="242"/>
      <c r="FY129" s="242"/>
      <c r="FZ129" s="242"/>
      <c r="GA129" s="242"/>
      <c r="GB129" s="242"/>
      <c r="GC129" s="242"/>
      <c r="GD129" s="242"/>
      <c r="GE129" s="242"/>
      <c r="GF129" s="242"/>
      <c r="GG129" s="242"/>
      <c r="GH129" s="242"/>
      <c r="GI129" s="242"/>
      <c r="GJ129" s="242"/>
      <c r="GK129" s="242"/>
      <c r="GL129" s="242"/>
      <c r="GM129" s="242"/>
      <c r="GN129" s="242"/>
      <c r="GO129" s="242"/>
      <c r="GP129" s="242"/>
      <c r="GQ129" s="242"/>
      <c r="GR129" s="242"/>
      <c r="GS129" s="242"/>
      <c r="GT129" s="242"/>
    </row>
    <row r="130" spans="1:202" s="3" customFormat="1" ht="16.5" customHeight="1">
      <c r="A130" s="188"/>
      <c r="B130" s="172" t="s">
        <v>622</v>
      </c>
      <c r="C130" s="217"/>
      <c r="D130" s="140"/>
      <c r="E130" s="175">
        <v>5438.03</v>
      </c>
      <c r="F130" s="176">
        <v>1980</v>
      </c>
      <c r="G130" s="177">
        <f>E130-F130</f>
        <v>3458.0299999999997</v>
      </c>
      <c r="H130" s="175">
        <v>5438.03</v>
      </c>
      <c r="I130" s="176">
        <v>1980</v>
      </c>
      <c r="J130" s="177">
        <f>H130-I130</f>
        <v>3458.0299999999997</v>
      </c>
      <c r="K130" s="253">
        <v>328.00599999999997</v>
      </c>
      <c r="L130" s="253">
        <v>321.92700000000002</v>
      </c>
      <c r="M130" s="253"/>
      <c r="N130" s="287">
        <f t="shared" si="294"/>
        <v>649.93299999999999</v>
      </c>
      <c r="O130" s="274"/>
      <c r="P130" s="274"/>
      <c r="Q130" s="291"/>
      <c r="R130" s="287"/>
      <c r="S130" s="291"/>
      <c r="T130" s="265"/>
      <c r="U130" s="274"/>
      <c r="V130" s="274"/>
      <c r="W130" s="291"/>
      <c r="X130" s="265"/>
      <c r="Y130" s="142"/>
      <c r="Z130" s="274"/>
      <c r="AA130" s="274"/>
      <c r="AB130" s="274"/>
      <c r="AC130" s="274"/>
      <c r="AD130" s="274"/>
      <c r="AE130" s="274"/>
      <c r="AF130" s="287"/>
      <c r="AG130" s="283">
        <f t="shared" si="252"/>
        <v>649.93299999999999</v>
      </c>
      <c r="AH130" s="229">
        <f>K130*$G130</f>
        <v>1134254.5881799997</v>
      </c>
      <c r="AI130" s="229">
        <f t="shared" si="305"/>
        <v>1113233.2238099999</v>
      </c>
      <c r="AJ130" s="229"/>
      <c r="AK130" s="261">
        <f t="shared" si="309"/>
        <v>2247487.8119899994</v>
      </c>
      <c r="AL130" s="229"/>
      <c r="AM130" s="229"/>
      <c r="AN130" s="229"/>
      <c r="AO130" s="261"/>
      <c r="AP130" s="229"/>
      <c r="AQ130" s="229"/>
      <c r="AR130" s="229"/>
      <c r="AS130" s="229"/>
      <c r="AT130" s="229"/>
      <c r="AU130" s="229"/>
      <c r="AV130" s="261"/>
      <c r="AW130" s="229"/>
      <c r="AX130" s="229"/>
      <c r="AY130" s="229"/>
      <c r="AZ130" s="229"/>
      <c r="BA130" s="229"/>
      <c r="BB130" s="229"/>
      <c r="BC130" s="261"/>
      <c r="BD130" s="239">
        <f>BC130+AV130+AO130+AK130</f>
        <v>2247487.8119899994</v>
      </c>
      <c r="BE130" s="243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242"/>
      <c r="FC130" s="242"/>
      <c r="FD130" s="242"/>
      <c r="FE130" s="242"/>
      <c r="FF130" s="242"/>
      <c r="FG130" s="242"/>
      <c r="FH130" s="242"/>
      <c r="FI130" s="242"/>
      <c r="FJ130" s="242"/>
      <c r="FK130" s="242"/>
      <c r="FL130" s="242"/>
      <c r="FM130" s="242"/>
      <c r="FN130" s="242"/>
      <c r="FO130" s="242"/>
      <c r="FP130" s="242"/>
      <c r="FQ130" s="242"/>
      <c r="FR130" s="242"/>
      <c r="FS130" s="242"/>
      <c r="FT130" s="242"/>
      <c r="FU130" s="242"/>
      <c r="FV130" s="242"/>
      <c r="FW130" s="242"/>
      <c r="FX130" s="242"/>
      <c r="FY130" s="242"/>
      <c r="FZ130" s="242"/>
      <c r="GA130" s="242"/>
      <c r="GB130" s="242"/>
      <c r="GC130" s="242"/>
      <c r="GD130" s="242"/>
      <c r="GE130" s="242"/>
      <c r="GF130" s="242"/>
      <c r="GG130" s="242"/>
      <c r="GH130" s="242"/>
      <c r="GI130" s="242"/>
      <c r="GJ130" s="242"/>
      <c r="GK130" s="242"/>
      <c r="GL130" s="242"/>
      <c r="GM130" s="242"/>
      <c r="GN130" s="242"/>
      <c r="GO130" s="242"/>
      <c r="GP130" s="242"/>
      <c r="GQ130" s="242"/>
      <c r="GR130" s="242"/>
      <c r="GS130" s="242"/>
      <c r="GT130" s="242"/>
    </row>
    <row r="131" spans="1:202" s="3" customFormat="1" ht="22.5" customHeight="1">
      <c r="A131" s="188"/>
      <c r="B131" s="172" t="s">
        <v>623</v>
      </c>
      <c r="C131" s="217"/>
      <c r="D131" s="140"/>
      <c r="E131" s="175">
        <v>6389.7</v>
      </c>
      <c r="F131" s="176">
        <v>1980</v>
      </c>
      <c r="G131" s="177">
        <f>E131-F131</f>
        <v>4409.7</v>
      </c>
      <c r="H131" s="175">
        <v>6389.7</v>
      </c>
      <c r="I131" s="176">
        <v>1980</v>
      </c>
      <c r="J131" s="177">
        <f>H131-I131</f>
        <v>4409.7</v>
      </c>
      <c r="K131" s="253">
        <v>24.402000000000001</v>
      </c>
      <c r="L131" s="253">
        <v>29.271999999999998</v>
      </c>
      <c r="M131" s="253"/>
      <c r="N131" s="287">
        <f t="shared" si="294"/>
        <v>53.673999999999999</v>
      </c>
      <c r="O131" s="274"/>
      <c r="P131" s="274"/>
      <c r="Q131" s="291"/>
      <c r="R131" s="287"/>
      <c r="S131" s="291"/>
      <c r="T131" s="265"/>
      <c r="U131" s="274"/>
      <c r="V131" s="274"/>
      <c r="W131" s="291"/>
      <c r="X131" s="265"/>
      <c r="Y131" s="142"/>
      <c r="Z131" s="274"/>
      <c r="AA131" s="274"/>
      <c r="AB131" s="274"/>
      <c r="AC131" s="274"/>
      <c r="AD131" s="274"/>
      <c r="AE131" s="274"/>
      <c r="AF131" s="287"/>
      <c r="AG131" s="283">
        <f t="shared" si="252"/>
        <v>53.673999999999999</v>
      </c>
      <c r="AH131" s="229">
        <f>K131*$G131</f>
        <v>107605.4994</v>
      </c>
      <c r="AI131" s="229">
        <f t="shared" si="305"/>
        <v>129080.73839999999</v>
      </c>
      <c r="AJ131" s="229"/>
      <c r="AK131" s="261">
        <f t="shared" si="309"/>
        <v>236686.2378</v>
      </c>
      <c r="AL131" s="229"/>
      <c r="AM131" s="229"/>
      <c r="AN131" s="229"/>
      <c r="AO131" s="261"/>
      <c r="AP131" s="229"/>
      <c r="AQ131" s="229"/>
      <c r="AR131" s="229"/>
      <c r="AS131" s="229"/>
      <c r="AT131" s="229"/>
      <c r="AU131" s="229"/>
      <c r="AV131" s="261"/>
      <c r="AW131" s="229"/>
      <c r="AX131" s="229"/>
      <c r="AY131" s="229"/>
      <c r="AZ131" s="229"/>
      <c r="BA131" s="229"/>
      <c r="BB131" s="229"/>
      <c r="BC131" s="261"/>
      <c r="BD131" s="239">
        <f>BC131+AV131+AO131+AK131</f>
        <v>236686.2378</v>
      </c>
      <c r="BE131" s="243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  <c r="FP131" s="242"/>
      <c r="FQ131" s="242"/>
      <c r="FR131" s="242"/>
      <c r="FS131" s="242"/>
      <c r="FT131" s="242"/>
      <c r="FU131" s="242"/>
      <c r="FV131" s="242"/>
      <c r="FW131" s="242"/>
      <c r="FX131" s="242"/>
      <c r="FY131" s="242"/>
      <c r="FZ131" s="242"/>
      <c r="GA131" s="242"/>
      <c r="GB131" s="242"/>
      <c r="GC131" s="242"/>
      <c r="GD131" s="242"/>
      <c r="GE131" s="242"/>
      <c r="GF131" s="242"/>
      <c r="GG131" s="242"/>
      <c r="GH131" s="242"/>
      <c r="GI131" s="242"/>
      <c r="GJ131" s="242"/>
      <c r="GK131" s="242"/>
      <c r="GL131" s="242"/>
      <c r="GM131" s="242"/>
      <c r="GN131" s="242"/>
      <c r="GO131" s="242"/>
      <c r="GP131" s="242"/>
      <c r="GQ131" s="242"/>
      <c r="GR131" s="242"/>
      <c r="GS131" s="242"/>
      <c r="GT131" s="242"/>
    </row>
    <row r="132" spans="1:202" s="3" customFormat="1" ht="15" customHeight="1">
      <c r="A132" s="187" t="s">
        <v>26</v>
      </c>
      <c r="B132" s="170" t="s">
        <v>559</v>
      </c>
      <c r="C132" s="216" t="s">
        <v>236</v>
      </c>
      <c r="D132" s="138">
        <v>2901307418</v>
      </c>
      <c r="E132" s="139"/>
      <c r="F132" s="139"/>
      <c r="G132" s="177"/>
      <c r="H132" s="139"/>
      <c r="I132" s="139"/>
      <c r="J132" s="139"/>
      <c r="K132" s="251">
        <f>SUM(K133:K134)</f>
        <v>4988.6210000000001</v>
      </c>
      <c r="L132" s="251">
        <f>SUM(L133:L134)</f>
        <v>4605.6329999999998</v>
      </c>
      <c r="M132" s="251">
        <f>SUM(M133:M134)</f>
        <v>0</v>
      </c>
      <c r="N132" s="284">
        <f t="shared" si="294"/>
        <v>9594.2540000000008</v>
      </c>
      <c r="O132" s="272">
        <f>SUM(O133:O134)</f>
        <v>0</v>
      </c>
      <c r="P132" s="272">
        <f>SUM(P133:P134)</f>
        <v>0</v>
      </c>
      <c r="Q132" s="272">
        <f>SUM(Q133:Q134)</f>
        <v>0</v>
      </c>
      <c r="R132" s="284"/>
      <c r="S132" s="289">
        <f t="shared" ref="S132:X132" si="310">SUM(S133:S134)</f>
        <v>0</v>
      </c>
      <c r="T132" s="289">
        <f t="shared" si="310"/>
        <v>0</v>
      </c>
      <c r="U132" s="289">
        <f t="shared" si="310"/>
        <v>0</v>
      </c>
      <c r="V132" s="289">
        <f t="shared" si="310"/>
        <v>0</v>
      </c>
      <c r="W132" s="289">
        <f t="shared" si="310"/>
        <v>0</v>
      </c>
      <c r="X132" s="289">
        <f t="shared" si="310"/>
        <v>0</v>
      </c>
      <c r="Y132" s="284"/>
      <c r="Z132" s="272">
        <f t="shared" ref="Z132:AF132" si="311">SUM(Z133:Z134)</f>
        <v>0</v>
      </c>
      <c r="AA132" s="272">
        <f t="shared" si="311"/>
        <v>0</v>
      </c>
      <c r="AB132" s="272">
        <f t="shared" si="311"/>
        <v>0</v>
      </c>
      <c r="AC132" s="272">
        <f t="shared" si="311"/>
        <v>0</v>
      </c>
      <c r="AD132" s="272">
        <f t="shared" si="311"/>
        <v>0</v>
      </c>
      <c r="AE132" s="272">
        <f t="shared" si="311"/>
        <v>0</v>
      </c>
      <c r="AF132" s="284">
        <f t="shared" si="311"/>
        <v>0</v>
      </c>
      <c r="AG132" s="282">
        <f t="shared" si="252"/>
        <v>9594.2540000000008</v>
      </c>
      <c r="AH132" s="227">
        <f>SUM(AH133:AH134)</f>
        <v>28394083.349169999</v>
      </c>
      <c r="AI132" s="227">
        <f>SUM(AI133:AI134)</f>
        <v>26217715.040409993</v>
      </c>
      <c r="AJ132" s="227">
        <f>SUM(AJ133:AJ134)</f>
        <v>0</v>
      </c>
      <c r="AK132" s="260">
        <f t="shared" si="309"/>
        <v>54611798.389579996</v>
      </c>
      <c r="AL132" s="227">
        <f>SUM(AL133:AL134)</f>
        <v>0</v>
      </c>
      <c r="AM132" s="227">
        <f>SUM(AM133:AM134)</f>
        <v>0</v>
      </c>
      <c r="AN132" s="227">
        <f>SUM(AN133:AN134)</f>
        <v>0</v>
      </c>
      <c r="AO132" s="260"/>
      <c r="AP132" s="227">
        <f t="shared" ref="AP132:AU132" si="312">SUM(AP133:AP134)</f>
        <v>0</v>
      </c>
      <c r="AQ132" s="227">
        <f t="shared" si="312"/>
        <v>0</v>
      </c>
      <c r="AR132" s="227">
        <f t="shared" si="312"/>
        <v>0</v>
      </c>
      <c r="AS132" s="227">
        <f t="shared" si="312"/>
        <v>0</v>
      </c>
      <c r="AT132" s="227">
        <f t="shared" si="312"/>
        <v>0</v>
      </c>
      <c r="AU132" s="227">
        <f t="shared" si="312"/>
        <v>0</v>
      </c>
      <c r="AV132" s="260">
        <f>SUM(AP132:AU132)</f>
        <v>0</v>
      </c>
      <c r="AW132" s="227">
        <f t="shared" ref="AW132:BB132" si="313">SUM(AW133:AW134)</f>
        <v>0</v>
      </c>
      <c r="AX132" s="227">
        <f t="shared" si="313"/>
        <v>0</v>
      </c>
      <c r="AY132" s="227">
        <f t="shared" si="313"/>
        <v>0</v>
      </c>
      <c r="AZ132" s="227">
        <f t="shared" si="313"/>
        <v>0</v>
      </c>
      <c r="BA132" s="227">
        <f t="shared" si="313"/>
        <v>0</v>
      </c>
      <c r="BB132" s="227">
        <f t="shared" si="313"/>
        <v>0</v>
      </c>
      <c r="BC132" s="260">
        <f>SUM(AW132:BB132)</f>
        <v>0</v>
      </c>
      <c r="BD132" s="238">
        <f>SUM(BD133:BD134)</f>
        <v>54611798.389579996</v>
      </c>
      <c r="BE132" s="13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  <c r="FP132" s="242"/>
      <c r="FQ132" s="242"/>
      <c r="FR132" s="242"/>
      <c r="FS132" s="242"/>
      <c r="FT132" s="242"/>
      <c r="FU132" s="242"/>
      <c r="FV132" s="242"/>
      <c r="FW132" s="242"/>
      <c r="FX132" s="242"/>
      <c r="FY132" s="242"/>
      <c r="FZ132" s="242"/>
      <c r="GA132" s="242"/>
      <c r="GB132" s="242"/>
      <c r="GC132" s="242"/>
      <c r="GD132" s="242"/>
      <c r="GE132" s="242"/>
      <c r="GF132" s="242"/>
      <c r="GG132" s="242"/>
      <c r="GH132" s="242"/>
      <c r="GI132" s="242"/>
      <c r="GJ132" s="242"/>
      <c r="GK132" s="242"/>
      <c r="GL132" s="242"/>
      <c r="GM132" s="242"/>
      <c r="GN132" s="242"/>
      <c r="GO132" s="242"/>
      <c r="GP132" s="242"/>
      <c r="GQ132" s="242"/>
      <c r="GR132" s="242"/>
      <c r="GS132" s="242"/>
      <c r="GT132" s="242"/>
    </row>
    <row r="133" spans="1:202" s="3" customFormat="1" ht="15" customHeight="1">
      <c r="A133" s="188"/>
      <c r="B133" s="172" t="s">
        <v>560</v>
      </c>
      <c r="C133" s="217"/>
      <c r="D133" s="140"/>
      <c r="E133" s="354">
        <f>7830.37*0+7858.44</f>
        <v>7858.44</v>
      </c>
      <c r="F133" s="176">
        <f>1690*0+1841.67</f>
        <v>1841.67</v>
      </c>
      <c r="G133" s="176">
        <f>E133-F133</f>
        <v>6016.7699999999995</v>
      </c>
      <c r="H133" s="354">
        <v>7830.37</v>
      </c>
      <c r="I133" s="176">
        <v>1690</v>
      </c>
      <c r="J133" s="177">
        <f>H133-I133</f>
        <v>6140.37</v>
      </c>
      <c r="K133" s="253"/>
      <c r="L133" s="253">
        <v>10.804</v>
      </c>
      <c r="M133" s="253"/>
      <c r="N133" s="287">
        <f t="shared" si="294"/>
        <v>10.804</v>
      </c>
      <c r="O133" s="274"/>
      <c r="P133" s="274"/>
      <c r="Q133" s="291"/>
      <c r="R133" s="287"/>
      <c r="S133" s="291"/>
      <c r="T133" s="265"/>
      <c r="U133" s="274"/>
      <c r="V133" s="274"/>
      <c r="W133" s="291"/>
      <c r="X133" s="265"/>
      <c r="Y133" s="142"/>
      <c r="Z133" s="274"/>
      <c r="AA133" s="274"/>
      <c r="AB133" s="274"/>
      <c r="AC133" s="274"/>
      <c r="AD133" s="274"/>
      <c r="AE133" s="274"/>
      <c r="AF133" s="287">
        <f>SUM(Z133:AE133)</f>
        <v>0</v>
      </c>
      <c r="AG133" s="283">
        <f t="shared" si="252"/>
        <v>10.804</v>
      </c>
      <c r="AH133" s="229">
        <f t="shared" ref="AH133:AJ134" si="314">K133*$G133</f>
        <v>0</v>
      </c>
      <c r="AI133" s="229">
        <f t="shared" si="314"/>
        <v>65005.183079999995</v>
      </c>
      <c r="AJ133" s="229">
        <f t="shared" si="314"/>
        <v>0</v>
      </c>
      <c r="AK133" s="261">
        <f t="shared" si="309"/>
        <v>65005.183079999995</v>
      </c>
      <c r="AL133" s="229">
        <f t="shared" ref="AL133:AN134" si="315">O133*$G133</f>
        <v>0</v>
      </c>
      <c r="AM133" s="229">
        <f t="shared" si="315"/>
        <v>0</v>
      </c>
      <c r="AN133" s="229">
        <f t="shared" si="315"/>
        <v>0</v>
      </c>
      <c r="AO133" s="261"/>
      <c r="AP133" s="229">
        <f t="shared" ref="AP133:AU134" si="316">S133*$J133</f>
        <v>0</v>
      </c>
      <c r="AQ133" s="229">
        <f t="shared" si="316"/>
        <v>0</v>
      </c>
      <c r="AR133" s="229">
        <f t="shared" si="316"/>
        <v>0</v>
      </c>
      <c r="AS133" s="229">
        <f t="shared" si="316"/>
        <v>0</v>
      </c>
      <c r="AT133" s="229">
        <f t="shared" si="316"/>
        <v>0</v>
      </c>
      <c r="AU133" s="229">
        <f t="shared" si="316"/>
        <v>0</v>
      </c>
      <c r="AV133" s="261">
        <f>SUM(AP133:AU133)</f>
        <v>0</v>
      </c>
      <c r="AW133" s="229">
        <f t="shared" ref="AW133:BB134" si="317">Z133*$J133</f>
        <v>0</v>
      </c>
      <c r="AX133" s="229">
        <f t="shared" si="317"/>
        <v>0</v>
      </c>
      <c r="AY133" s="229">
        <f t="shared" si="317"/>
        <v>0</v>
      </c>
      <c r="AZ133" s="229">
        <f t="shared" si="317"/>
        <v>0</v>
      </c>
      <c r="BA133" s="229">
        <f t="shared" si="317"/>
        <v>0</v>
      </c>
      <c r="BB133" s="229">
        <f t="shared" si="317"/>
        <v>0</v>
      </c>
      <c r="BC133" s="261">
        <f>SUM(AW133:BB133)</f>
        <v>0</v>
      </c>
      <c r="BD133" s="239">
        <f t="shared" ref="BD133:BD154" si="318">BC133+AV133+AO133+AK133</f>
        <v>65005.183079999995</v>
      </c>
      <c r="BE133" s="243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  <c r="FP133" s="242"/>
      <c r="FQ133" s="242"/>
      <c r="FR133" s="242"/>
      <c r="FS133" s="242"/>
      <c r="FT133" s="242"/>
      <c r="FU133" s="242"/>
      <c r="FV133" s="242"/>
      <c r="FW133" s="242"/>
      <c r="FX133" s="242"/>
      <c r="FY133" s="242"/>
      <c r="FZ133" s="242"/>
      <c r="GA133" s="242"/>
      <c r="GB133" s="242"/>
      <c r="GC133" s="242"/>
      <c r="GD133" s="242"/>
      <c r="GE133" s="242"/>
      <c r="GF133" s="242"/>
      <c r="GG133" s="242"/>
      <c r="GH133" s="242"/>
      <c r="GI133" s="242"/>
      <c r="GJ133" s="242"/>
      <c r="GK133" s="242"/>
      <c r="GL133" s="242"/>
      <c r="GM133" s="242"/>
      <c r="GN133" s="242"/>
      <c r="GO133" s="242"/>
      <c r="GP133" s="242"/>
      <c r="GQ133" s="242"/>
      <c r="GR133" s="242"/>
      <c r="GS133" s="242"/>
      <c r="GT133" s="242"/>
    </row>
    <row r="134" spans="1:202" s="3" customFormat="1" ht="15" customHeight="1">
      <c r="A134" s="188"/>
      <c r="B134" s="172" t="s">
        <v>561</v>
      </c>
      <c r="C134" s="217"/>
      <c r="D134" s="140"/>
      <c r="E134" s="354">
        <v>7858.44</v>
      </c>
      <c r="F134" s="176">
        <v>2166.67</v>
      </c>
      <c r="G134" s="176">
        <f>E134-F134</f>
        <v>5691.7699999999995</v>
      </c>
      <c r="H134" s="354">
        <v>7858.44</v>
      </c>
      <c r="I134" s="176">
        <v>2166.67</v>
      </c>
      <c r="J134" s="177">
        <f>H134-I134</f>
        <v>5691.7699999999995</v>
      </c>
      <c r="K134" s="253">
        <v>4988.6210000000001</v>
      </c>
      <c r="L134" s="253">
        <v>4594.8289999999997</v>
      </c>
      <c r="M134" s="253"/>
      <c r="N134" s="287">
        <f t="shared" si="294"/>
        <v>9583.4500000000007</v>
      </c>
      <c r="O134" s="274"/>
      <c r="P134" s="274"/>
      <c r="Q134" s="291"/>
      <c r="R134" s="287"/>
      <c r="S134" s="291"/>
      <c r="T134" s="265"/>
      <c r="U134" s="274"/>
      <c r="V134" s="274"/>
      <c r="W134" s="291"/>
      <c r="X134" s="265"/>
      <c r="Y134" s="142"/>
      <c r="Z134" s="274"/>
      <c r="AA134" s="274"/>
      <c r="AB134" s="274"/>
      <c r="AC134" s="274"/>
      <c r="AD134" s="274"/>
      <c r="AE134" s="274"/>
      <c r="AF134" s="287">
        <f>SUM(Z134:AE134)</f>
        <v>0</v>
      </c>
      <c r="AG134" s="283">
        <f t="shared" ref="AG134:AG154" si="319">AF134+Y134+R134+N134</f>
        <v>9583.4500000000007</v>
      </c>
      <c r="AH134" s="229">
        <f t="shared" si="314"/>
        <v>28394083.349169999</v>
      </c>
      <c r="AI134" s="229">
        <f t="shared" si="314"/>
        <v>26152709.857329994</v>
      </c>
      <c r="AJ134" s="229">
        <f t="shared" si="314"/>
        <v>0</v>
      </c>
      <c r="AK134" s="261">
        <f t="shared" si="309"/>
        <v>54546793.206499994</v>
      </c>
      <c r="AL134" s="229">
        <f t="shared" si="315"/>
        <v>0</v>
      </c>
      <c r="AM134" s="229">
        <f t="shared" si="315"/>
        <v>0</v>
      </c>
      <c r="AN134" s="229">
        <f t="shared" si="315"/>
        <v>0</v>
      </c>
      <c r="AO134" s="261"/>
      <c r="AP134" s="229">
        <f t="shared" si="316"/>
        <v>0</v>
      </c>
      <c r="AQ134" s="229">
        <f t="shared" si="316"/>
        <v>0</v>
      </c>
      <c r="AR134" s="229">
        <f t="shared" si="316"/>
        <v>0</v>
      </c>
      <c r="AS134" s="229">
        <f t="shared" si="316"/>
        <v>0</v>
      </c>
      <c r="AT134" s="229">
        <f t="shared" si="316"/>
        <v>0</v>
      </c>
      <c r="AU134" s="229">
        <f t="shared" si="316"/>
        <v>0</v>
      </c>
      <c r="AV134" s="261">
        <f>SUM(AP134:AU134)</f>
        <v>0</v>
      </c>
      <c r="AW134" s="229">
        <f t="shared" si="317"/>
        <v>0</v>
      </c>
      <c r="AX134" s="229">
        <f t="shared" si="317"/>
        <v>0</v>
      </c>
      <c r="AY134" s="229">
        <f t="shared" si="317"/>
        <v>0</v>
      </c>
      <c r="AZ134" s="229">
        <f t="shared" si="317"/>
        <v>0</v>
      </c>
      <c r="BA134" s="229">
        <f t="shared" si="317"/>
        <v>0</v>
      </c>
      <c r="BB134" s="229">
        <f t="shared" si="317"/>
        <v>0</v>
      </c>
      <c r="BC134" s="261">
        <f>SUM(AW134:BB134)</f>
        <v>0</v>
      </c>
      <c r="BD134" s="239">
        <f t="shared" si="318"/>
        <v>54546793.206499994</v>
      </c>
      <c r="BE134" s="243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  <c r="FP134" s="242"/>
      <c r="FQ134" s="242"/>
      <c r="FR134" s="242"/>
      <c r="FS134" s="242"/>
      <c r="FT134" s="242"/>
      <c r="FU134" s="242"/>
      <c r="FV134" s="242"/>
      <c r="FW134" s="242"/>
      <c r="FX134" s="242"/>
      <c r="FY134" s="242"/>
      <c r="FZ134" s="242"/>
      <c r="GA134" s="242"/>
      <c r="GB134" s="242"/>
      <c r="GC134" s="242"/>
      <c r="GD134" s="242"/>
      <c r="GE134" s="242"/>
      <c r="GF134" s="242"/>
      <c r="GG134" s="242"/>
      <c r="GH134" s="242"/>
      <c r="GI134" s="242"/>
      <c r="GJ134" s="242"/>
      <c r="GK134" s="242"/>
      <c r="GL134" s="242"/>
      <c r="GM134" s="242"/>
      <c r="GN134" s="242"/>
      <c r="GO134" s="242"/>
      <c r="GP134" s="242"/>
      <c r="GQ134" s="242"/>
      <c r="GR134" s="242"/>
      <c r="GS134" s="242"/>
      <c r="GT134" s="242"/>
    </row>
    <row r="135" spans="1:202" s="3" customFormat="1" ht="15" customHeight="1">
      <c r="A135" s="187" t="s">
        <v>56</v>
      </c>
      <c r="B135" s="170" t="s">
        <v>528</v>
      </c>
      <c r="C135" s="216" t="s">
        <v>240</v>
      </c>
      <c r="D135" s="138">
        <v>2922007775</v>
      </c>
      <c r="E135" s="142"/>
      <c r="F135" s="142"/>
      <c r="G135" s="177"/>
      <c r="H135" s="353"/>
      <c r="I135" s="353"/>
      <c r="J135" s="177"/>
      <c r="K135" s="251">
        <f>SUM(K136:K142)</f>
        <v>101.19499999999999</v>
      </c>
      <c r="L135" s="251">
        <f>SUM(L136:L142)</f>
        <v>97.194999999999993</v>
      </c>
      <c r="M135" s="251">
        <f>SUM(M136:M142)</f>
        <v>0</v>
      </c>
      <c r="N135" s="284">
        <f t="shared" ref="N135:N154" si="320">K135+L135+M135</f>
        <v>198.39</v>
      </c>
      <c r="O135" s="272">
        <f>SUM(O142:O142)</f>
        <v>0</v>
      </c>
      <c r="P135" s="272">
        <f>SUM(P142:P142)</f>
        <v>0</v>
      </c>
      <c r="Q135" s="272">
        <f>SUM(Q142:Q142)</f>
        <v>0</v>
      </c>
      <c r="R135" s="284">
        <f>O135+P135+Q135</f>
        <v>0</v>
      </c>
      <c r="S135" s="289">
        <f t="shared" ref="S135:X135" si="321">SUM(S142:S142)</f>
        <v>0</v>
      </c>
      <c r="T135" s="289">
        <f t="shared" si="321"/>
        <v>0</v>
      </c>
      <c r="U135" s="289">
        <f t="shared" si="321"/>
        <v>0</v>
      </c>
      <c r="V135" s="289">
        <f t="shared" si="321"/>
        <v>0</v>
      </c>
      <c r="W135" s="289">
        <f t="shared" si="321"/>
        <v>0</v>
      </c>
      <c r="X135" s="289">
        <f t="shared" si="321"/>
        <v>0</v>
      </c>
      <c r="Y135" s="284">
        <f>SUM(S135:X135)</f>
        <v>0</v>
      </c>
      <c r="Z135" s="272">
        <f t="shared" ref="Z135:AE135" si="322">SUM(Z142:Z142)</f>
        <v>0</v>
      </c>
      <c r="AA135" s="272">
        <f t="shared" si="322"/>
        <v>0</v>
      </c>
      <c r="AB135" s="272">
        <f t="shared" si="322"/>
        <v>0</v>
      </c>
      <c r="AC135" s="272">
        <f t="shared" si="322"/>
        <v>0</v>
      </c>
      <c r="AD135" s="272">
        <f t="shared" si="322"/>
        <v>0</v>
      </c>
      <c r="AE135" s="272">
        <f t="shared" si="322"/>
        <v>0</v>
      </c>
      <c r="AF135" s="284">
        <f t="shared" ref="AF135:AF141" si="323">SUM(Z135:AE135)</f>
        <v>0</v>
      </c>
      <c r="AG135" s="282">
        <f t="shared" si="319"/>
        <v>198.39</v>
      </c>
      <c r="AH135" s="227">
        <f>SUM(AH136:AH142)</f>
        <v>477774.58111999999</v>
      </c>
      <c r="AI135" s="227">
        <f>SUM(AI136:AI142)</f>
        <v>460363.70111999998</v>
      </c>
      <c r="AJ135" s="227">
        <f>SUM(AJ136:AJ142)</f>
        <v>0</v>
      </c>
      <c r="AK135" s="260">
        <f t="shared" ref="AK135:AK142" si="324">AH135+AI135+AJ135</f>
        <v>938138.28223999997</v>
      </c>
      <c r="AL135" s="227">
        <f>SUM(AL142:AL142)</f>
        <v>0</v>
      </c>
      <c r="AM135" s="227">
        <f>SUM(AM142:AM142)</f>
        <v>0</v>
      </c>
      <c r="AN135" s="227">
        <f>SUM(AN142:AN142)</f>
        <v>0</v>
      </c>
      <c r="AO135" s="260">
        <f>SUM(AL135:AN135)</f>
        <v>0</v>
      </c>
      <c r="AP135" s="227">
        <f t="shared" ref="AP135:AU135" si="325">SUM(AP142:AP142)</f>
        <v>0</v>
      </c>
      <c r="AQ135" s="227">
        <f t="shared" si="325"/>
        <v>0</v>
      </c>
      <c r="AR135" s="227">
        <f t="shared" si="325"/>
        <v>0</v>
      </c>
      <c r="AS135" s="227">
        <f t="shared" si="325"/>
        <v>0</v>
      </c>
      <c r="AT135" s="227">
        <f t="shared" si="325"/>
        <v>0</v>
      </c>
      <c r="AU135" s="227">
        <f t="shared" si="325"/>
        <v>0</v>
      </c>
      <c r="AV135" s="260">
        <f>SUM(AP135:AU135)</f>
        <v>0</v>
      </c>
      <c r="AW135" s="227">
        <f t="shared" ref="AW135:BB135" si="326">SUM(AW142:AW142)</f>
        <v>0</v>
      </c>
      <c r="AX135" s="227">
        <f t="shared" si="326"/>
        <v>0</v>
      </c>
      <c r="AY135" s="227">
        <f t="shared" si="326"/>
        <v>0</v>
      </c>
      <c r="AZ135" s="227">
        <f t="shared" si="326"/>
        <v>0</v>
      </c>
      <c r="BA135" s="227">
        <f t="shared" si="326"/>
        <v>0</v>
      </c>
      <c r="BB135" s="227">
        <f t="shared" si="326"/>
        <v>0</v>
      </c>
      <c r="BC135" s="260">
        <f t="shared" ref="BC135:BC141" si="327">SUM(AW135:BB135)</f>
        <v>0</v>
      </c>
      <c r="BD135" s="238">
        <f t="shared" si="318"/>
        <v>938138.28223999997</v>
      </c>
      <c r="BE135" s="13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  <c r="FM135" s="242"/>
      <c r="FN135" s="242"/>
      <c r="FO135" s="242"/>
      <c r="FP135" s="242"/>
      <c r="FQ135" s="242"/>
      <c r="FR135" s="242"/>
      <c r="FS135" s="242"/>
      <c r="FT135" s="242"/>
      <c r="FU135" s="242"/>
      <c r="FV135" s="242"/>
      <c r="FW135" s="242"/>
      <c r="FX135" s="242"/>
      <c r="FY135" s="242"/>
      <c r="FZ135" s="242"/>
      <c r="GA135" s="242"/>
      <c r="GB135" s="242"/>
      <c r="GC135" s="242"/>
      <c r="GD135" s="242"/>
      <c r="GE135" s="242"/>
      <c r="GF135" s="242"/>
      <c r="GG135" s="242"/>
      <c r="GH135" s="242"/>
      <c r="GI135" s="242"/>
      <c r="GJ135" s="242"/>
      <c r="GK135" s="242"/>
      <c r="GL135" s="242"/>
      <c r="GM135" s="242"/>
      <c r="GN135" s="242"/>
      <c r="GO135" s="242"/>
      <c r="GP135" s="242"/>
      <c r="GQ135" s="242"/>
      <c r="GR135" s="242"/>
      <c r="GS135" s="242"/>
      <c r="GT135" s="242"/>
    </row>
    <row r="136" spans="1:202" s="3" customFormat="1" ht="15" customHeight="1">
      <c r="A136" s="188"/>
      <c r="B136" s="172" t="s">
        <v>102</v>
      </c>
      <c r="C136" s="217"/>
      <c r="D136" s="140"/>
      <c r="E136" s="175">
        <v>6857.08</v>
      </c>
      <c r="F136" s="176">
        <v>2201</v>
      </c>
      <c r="G136" s="177">
        <f t="shared" ref="G136:G141" si="328">E136-F136</f>
        <v>4656.08</v>
      </c>
      <c r="H136" s="175">
        <v>6857.08</v>
      </c>
      <c r="I136" s="176">
        <v>2201</v>
      </c>
      <c r="J136" s="177">
        <f t="shared" ref="J136:J141" si="329">H136-I136</f>
        <v>4656.08</v>
      </c>
      <c r="K136" s="253">
        <v>43.311</v>
      </c>
      <c r="L136" s="253">
        <v>43.311</v>
      </c>
      <c r="M136" s="253"/>
      <c r="N136" s="287">
        <f t="shared" si="320"/>
        <v>86.622</v>
      </c>
      <c r="O136" s="274"/>
      <c r="P136" s="274"/>
      <c r="Q136" s="291"/>
      <c r="R136" s="287"/>
      <c r="S136" s="291"/>
      <c r="T136" s="265"/>
      <c r="U136" s="274"/>
      <c r="V136" s="274"/>
      <c r="W136" s="291"/>
      <c r="X136" s="274"/>
      <c r="Y136" s="142"/>
      <c r="Z136" s="274"/>
      <c r="AA136" s="274"/>
      <c r="AB136" s="274"/>
      <c r="AC136" s="274"/>
      <c r="AD136" s="274"/>
      <c r="AE136" s="274"/>
      <c r="AF136" s="287">
        <f t="shared" si="323"/>
        <v>0</v>
      </c>
      <c r="AG136" s="283">
        <f t="shared" si="319"/>
        <v>86.622</v>
      </c>
      <c r="AH136" s="229">
        <f t="shared" ref="AH136:AJ142" si="330">K136*$G136</f>
        <v>201659.48087999999</v>
      </c>
      <c r="AI136" s="229">
        <f t="shared" si="330"/>
        <v>201659.48087999999</v>
      </c>
      <c r="AJ136" s="229">
        <f t="shared" si="330"/>
        <v>0</v>
      </c>
      <c r="AK136" s="261">
        <f t="shared" si="324"/>
        <v>403318.96175999998</v>
      </c>
      <c r="AL136" s="229">
        <f t="shared" ref="AL136:AN142" si="331">O136*$G136</f>
        <v>0</v>
      </c>
      <c r="AM136" s="229">
        <f t="shared" si="331"/>
        <v>0</v>
      </c>
      <c r="AN136" s="229">
        <f t="shared" si="331"/>
        <v>0</v>
      </c>
      <c r="AO136" s="261"/>
      <c r="AP136" s="229">
        <f t="shared" ref="AP136:AU142" si="332">S136*$J136</f>
        <v>0</v>
      </c>
      <c r="AQ136" s="229">
        <f t="shared" si="332"/>
        <v>0</v>
      </c>
      <c r="AR136" s="229">
        <f t="shared" si="332"/>
        <v>0</v>
      </c>
      <c r="AS136" s="229">
        <f t="shared" si="332"/>
        <v>0</v>
      </c>
      <c r="AT136" s="229">
        <f t="shared" si="332"/>
        <v>0</v>
      </c>
      <c r="AU136" s="229">
        <f t="shared" si="332"/>
        <v>0</v>
      </c>
      <c r="AV136" s="261"/>
      <c r="AW136" s="229">
        <f t="shared" ref="AW136:BB142" si="333">Z136*$J136</f>
        <v>0</v>
      </c>
      <c r="AX136" s="229">
        <f t="shared" si="333"/>
        <v>0</v>
      </c>
      <c r="AY136" s="229">
        <f t="shared" si="333"/>
        <v>0</v>
      </c>
      <c r="AZ136" s="229">
        <f t="shared" si="333"/>
        <v>0</v>
      </c>
      <c r="BA136" s="229">
        <f t="shared" si="333"/>
        <v>0</v>
      </c>
      <c r="BB136" s="229">
        <f t="shared" si="333"/>
        <v>0</v>
      </c>
      <c r="BC136" s="261">
        <f t="shared" si="327"/>
        <v>0</v>
      </c>
      <c r="BD136" s="239">
        <f t="shared" si="318"/>
        <v>403318.96175999998</v>
      </c>
      <c r="BE136" s="243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  <c r="FP136" s="242"/>
      <c r="FQ136" s="242"/>
      <c r="FR136" s="242"/>
      <c r="FS136" s="242"/>
      <c r="FT136" s="242"/>
      <c r="FU136" s="242"/>
      <c r="FV136" s="242"/>
      <c r="FW136" s="242"/>
      <c r="FX136" s="242"/>
      <c r="FY136" s="242"/>
      <c r="FZ136" s="242"/>
      <c r="GA136" s="242"/>
      <c r="GB136" s="242"/>
      <c r="GC136" s="242"/>
      <c r="GD136" s="242"/>
      <c r="GE136" s="242"/>
      <c r="GF136" s="242"/>
      <c r="GG136" s="242"/>
      <c r="GH136" s="242"/>
      <c r="GI136" s="242"/>
      <c r="GJ136" s="242"/>
      <c r="GK136" s="242"/>
      <c r="GL136" s="242"/>
      <c r="GM136" s="242"/>
      <c r="GN136" s="242"/>
      <c r="GO136" s="242"/>
      <c r="GP136" s="242"/>
      <c r="GQ136" s="242"/>
      <c r="GR136" s="242"/>
      <c r="GS136" s="242"/>
      <c r="GT136" s="242"/>
    </row>
    <row r="137" spans="1:202" s="3" customFormat="1" ht="15" customHeight="1">
      <c r="A137" s="188"/>
      <c r="B137" s="172" t="s">
        <v>268</v>
      </c>
      <c r="C137" s="217"/>
      <c r="D137" s="140"/>
      <c r="E137" s="175">
        <v>4976.2700000000004</v>
      </c>
      <c r="F137" s="176">
        <v>2201</v>
      </c>
      <c r="G137" s="177">
        <f t="shared" si="328"/>
        <v>2775.2700000000004</v>
      </c>
      <c r="H137" s="175">
        <v>4976.2700000000004</v>
      </c>
      <c r="I137" s="176">
        <v>2201</v>
      </c>
      <c r="J137" s="177">
        <f t="shared" si="329"/>
        <v>2775.2700000000004</v>
      </c>
      <c r="K137" s="253">
        <v>2.593</v>
      </c>
      <c r="L137" s="253">
        <v>2.593</v>
      </c>
      <c r="M137" s="253"/>
      <c r="N137" s="287">
        <f t="shared" si="320"/>
        <v>5.1859999999999999</v>
      </c>
      <c r="O137" s="274"/>
      <c r="P137" s="274"/>
      <c r="Q137" s="291"/>
      <c r="R137" s="287"/>
      <c r="S137" s="291"/>
      <c r="T137" s="265"/>
      <c r="U137" s="274"/>
      <c r="V137" s="274"/>
      <c r="W137" s="291"/>
      <c r="X137" s="274"/>
      <c r="Y137" s="142"/>
      <c r="Z137" s="274"/>
      <c r="AA137" s="274"/>
      <c r="AB137" s="274"/>
      <c r="AC137" s="274"/>
      <c r="AD137" s="274"/>
      <c r="AE137" s="274"/>
      <c r="AF137" s="287">
        <f t="shared" si="323"/>
        <v>0</v>
      </c>
      <c r="AG137" s="283">
        <f t="shared" si="319"/>
        <v>5.1859999999999999</v>
      </c>
      <c r="AH137" s="229">
        <f t="shared" si="330"/>
        <v>7196.2751100000014</v>
      </c>
      <c r="AI137" s="229">
        <f t="shared" si="330"/>
        <v>7196.2751100000014</v>
      </c>
      <c r="AJ137" s="229">
        <f t="shared" si="330"/>
        <v>0</v>
      </c>
      <c r="AK137" s="261">
        <f t="shared" si="324"/>
        <v>14392.550220000003</v>
      </c>
      <c r="AL137" s="229">
        <f t="shared" si="331"/>
        <v>0</v>
      </c>
      <c r="AM137" s="229">
        <f t="shared" si="331"/>
        <v>0</v>
      </c>
      <c r="AN137" s="229">
        <f t="shared" si="331"/>
        <v>0</v>
      </c>
      <c r="AO137" s="261"/>
      <c r="AP137" s="229">
        <f t="shared" si="332"/>
        <v>0</v>
      </c>
      <c r="AQ137" s="229">
        <f t="shared" si="332"/>
        <v>0</v>
      </c>
      <c r="AR137" s="229">
        <f t="shared" si="332"/>
        <v>0</v>
      </c>
      <c r="AS137" s="229">
        <f t="shared" si="332"/>
        <v>0</v>
      </c>
      <c r="AT137" s="229">
        <f t="shared" si="332"/>
        <v>0</v>
      </c>
      <c r="AU137" s="229">
        <f t="shared" si="332"/>
        <v>0</v>
      </c>
      <c r="AV137" s="261"/>
      <c r="AW137" s="229">
        <f t="shared" si="333"/>
        <v>0</v>
      </c>
      <c r="AX137" s="229">
        <f t="shared" si="333"/>
        <v>0</v>
      </c>
      <c r="AY137" s="229">
        <f t="shared" si="333"/>
        <v>0</v>
      </c>
      <c r="AZ137" s="229">
        <f t="shared" si="333"/>
        <v>0</v>
      </c>
      <c r="BA137" s="229">
        <f t="shared" si="333"/>
        <v>0</v>
      </c>
      <c r="BB137" s="229">
        <f t="shared" si="333"/>
        <v>0</v>
      </c>
      <c r="BC137" s="261">
        <f t="shared" si="327"/>
        <v>0</v>
      </c>
      <c r="BD137" s="239">
        <f t="shared" si="318"/>
        <v>14392.550220000003</v>
      </c>
      <c r="BE137" s="243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  <c r="FP137" s="242"/>
      <c r="FQ137" s="242"/>
      <c r="FR137" s="242"/>
      <c r="FS137" s="242"/>
      <c r="FT137" s="242"/>
      <c r="FU137" s="242"/>
      <c r="FV137" s="242"/>
      <c r="FW137" s="242"/>
      <c r="FX137" s="242"/>
      <c r="FY137" s="242"/>
      <c r="FZ137" s="242"/>
      <c r="GA137" s="242"/>
      <c r="GB137" s="242"/>
      <c r="GC137" s="242"/>
      <c r="GD137" s="242"/>
      <c r="GE137" s="242"/>
      <c r="GF137" s="242"/>
      <c r="GG137" s="242"/>
      <c r="GH137" s="242"/>
      <c r="GI137" s="242"/>
      <c r="GJ137" s="242"/>
      <c r="GK137" s="242"/>
      <c r="GL137" s="242"/>
      <c r="GM137" s="242"/>
      <c r="GN137" s="242"/>
      <c r="GO137" s="242"/>
      <c r="GP137" s="242"/>
      <c r="GQ137" s="242"/>
      <c r="GR137" s="242"/>
      <c r="GS137" s="242"/>
      <c r="GT137" s="242"/>
    </row>
    <row r="138" spans="1:202" s="3" customFormat="1" ht="15" customHeight="1">
      <c r="A138" s="188"/>
      <c r="B138" s="172" t="s">
        <v>108</v>
      </c>
      <c r="C138" s="217"/>
      <c r="D138" s="140"/>
      <c r="E138" s="175">
        <v>3716.37</v>
      </c>
      <c r="F138" s="176">
        <v>1733</v>
      </c>
      <c r="G138" s="177">
        <f t="shared" si="328"/>
        <v>1983.37</v>
      </c>
      <c r="H138" s="175">
        <v>3716.37</v>
      </c>
      <c r="I138" s="176">
        <v>1733</v>
      </c>
      <c r="J138" s="177">
        <f t="shared" si="329"/>
        <v>1983.37</v>
      </c>
      <c r="K138" s="253">
        <v>5.3780000000000001</v>
      </c>
      <c r="L138" s="253">
        <v>5.3780000000000001</v>
      </c>
      <c r="M138" s="253"/>
      <c r="N138" s="287">
        <f t="shared" si="320"/>
        <v>10.756</v>
      </c>
      <c r="O138" s="274"/>
      <c r="P138" s="274"/>
      <c r="Q138" s="291"/>
      <c r="R138" s="287"/>
      <c r="S138" s="291"/>
      <c r="T138" s="265"/>
      <c r="U138" s="274"/>
      <c r="V138" s="274"/>
      <c r="W138" s="291"/>
      <c r="X138" s="274"/>
      <c r="Y138" s="142"/>
      <c r="Z138" s="274"/>
      <c r="AA138" s="274"/>
      <c r="AB138" s="274"/>
      <c r="AC138" s="274"/>
      <c r="AD138" s="274"/>
      <c r="AE138" s="274"/>
      <c r="AF138" s="287">
        <f t="shared" si="323"/>
        <v>0</v>
      </c>
      <c r="AG138" s="283">
        <f t="shared" si="319"/>
        <v>10.756</v>
      </c>
      <c r="AH138" s="229">
        <f t="shared" si="330"/>
        <v>10666.56386</v>
      </c>
      <c r="AI138" s="229">
        <f t="shared" si="330"/>
        <v>10666.56386</v>
      </c>
      <c r="AJ138" s="229">
        <f t="shared" si="330"/>
        <v>0</v>
      </c>
      <c r="AK138" s="261">
        <f t="shared" si="324"/>
        <v>21333.12772</v>
      </c>
      <c r="AL138" s="229">
        <f t="shared" si="331"/>
        <v>0</v>
      </c>
      <c r="AM138" s="229">
        <f t="shared" si="331"/>
        <v>0</v>
      </c>
      <c r="AN138" s="229">
        <f t="shared" si="331"/>
        <v>0</v>
      </c>
      <c r="AO138" s="261"/>
      <c r="AP138" s="229">
        <f t="shared" si="332"/>
        <v>0</v>
      </c>
      <c r="AQ138" s="229">
        <f t="shared" si="332"/>
        <v>0</v>
      </c>
      <c r="AR138" s="229">
        <f t="shared" si="332"/>
        <v>0</v>
      </c>
      <c r="AS138" s="229">
        <f t="shared" si="332"/>
        <v>0</v>
      </c>
      <c r="AT138" s="229">
        <f t="shared" si="332"/>
        <v>0</v>
      </c>
      <c r="AU138" s="229">
        <f t="shared" si="332"/>
        <v>0</v>
      </c>
      <c r="AV138" s="261"/>
      <c r="AW138" s="229">
        <f t="shared" si="333"/>
        <v>0</v>
      </c>
      <c r="AX138" s="229">
        <f t="shared" si="333"/>
        <v>0</v>
      </c>
      <c r="AY138" s="229">
        <f t="shared" si="333"/>
        <v>0</v>
      </c>
      <c r="AZ138" s="229">
        <f t="shared" si="333"/>
        <v>0</v>
      </c>
      <c r="BA138" s="229">
        <f t="shared" si="333"/>
        <v>0</v>
      </c>
      <c r="BB138" s="229">
        <f t="shared" si="333"/>
        <v>0</v>
      </c>
      <c r="BC138" s="261">
        <f t="shared" si="327"/>
        <v>0</v>
      </c>
      <c r="BD138" s="239">
        <f t="shared" si="318"/>
        <v>21333.12772</v>
      </c>
      <c r="BE138" s="243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  <c r="FP138" s="242"/>
      <c r="FQ138" s="242"/>
      <c r="FR138" s="242"/>
      <c r="FS138" s="242"/>
      <c r="FT138" s="242"/>
      <c r="FU138" s="242"/>
      <c r="FV138" s="242"/>
      <c r="FW138" s="242"/>
      <c r="FX138" s="242"/>
      <c r="FY138" s="242"/>
      <c r="FZ138" s="242"/>
      <c r="GA138" s="242"/>
      <c r="GB138" s="242"/>
      <c r="GC138" s="242"/>
      <c r="GD138" s="242"/>
      <c r="GE138" s="242"/>
      <c r="GF138" s="242"/>
      <c r="GG138" s="242"/>
      <c r="GH138" s="242"/>
      <c r="GI138" s="242"/>
      <c r="GJ138" s="242"/>
      <c r="GK138" s="242"/>
      <c r="GL138" s="242"/>
      <c r="GM138" s="242"/>
      <c r="GN138" s="242"/>
      <c r="GO138" s="242"/>
      <c r="GP138" s="242"/>
      <c r="GQ138" s="242"/>
      <c r="GR138" s="242"/>
      <c r="GS138" s="242"/>
      <c r="GT138" s="242"/>
    </row>
    <row r="139" spans="1:202" s="3" customFormat="1" ht="15" customHeight="1">
      <c r="A139" s="188"/>
      <c r="B139" s="172" t="s">
        <v>270</v>
      </c>
      <c r="C139" s="217"/>
      <c r="D139" s="140"/>
      <c r="E139" s="175">
        <v>8366.59</v>
      </c>
      <c r="F139" s="176">
        <v>2027</v>
      </c>
      <c r="G139" s="177">
        <f t="shared" si="328"/>
        <v>6339.59</v>
      </c>
      <c r="H139" s="175">
        <v>8366.59</v>
      </c>
      <c r="I139" s="176">
        <v>2027</v>
      </c>
      <c r="J139" s="177">
        <f t="shared" si="329"/>
        <v>6339.59</v>
      </c>
      <c r="K139" s="253">
        <v>18.632999999999999</v>
      </c>
      <c r="L139" s="253">
        <v>18.632999999999999</v>
      </c>
      <c r="M139" s="253"/>
      <c r="N139" s="287">
        <f t="shared" si="320"/>
        <v>37.265999999999998</v>
      </c>
      <c r="O139" s="274"/>
      <c r="P139" s="274"/>
      <c r="Q139" s="291"/>
      <c r="R139" s="287"/>
      <c r="S139" s="291"/>
      <c r="T139" s="265"/>
      <c r="U139" s="274"/>
      <c r="V139" s="274"/>
      <c r="W139" s="291"/>
      <c r="X139" s="274"/>
      <c r="Y139" s="142"/>
      <c r="Z139" s="274"/>
      <c r="AA139" s="274"/>
      <c r="AB139" s="274"/>
      <c r="AC139" s="274"/>
      <c r="AD139" s="274"/>
      <c r="AE139" s="274"/>
      <c r="AF139" s="287">
        <f t="shared" si="323"/>
        <v>0</v>
      </c>
      <c r="AG139" s="283">
        <f t="shared" si="319"/>
        <v>37.265999999999998</v>
      </c>
      <c r="AH139" s="229">
        <f t="shared" si="330"/>
        <v>118125.58047</v>
      </c>
      <c r="AI139" s="229">
        <f t="shared" si="330"/>
        <v>118125.58047</v>
      </c>
      <c r="AJ139" s="229">
        <f t="shared" si="330"/>
        <v>0</v>
      </c>
      <c r="AK139" s="261">
        <f t="shared" si="324"/>
        <v>236251.16094</v>
      </c>
      <c r="AL139" s="229">
        <f t="shared" si="331"/>
        <v>0</v>
      </c>
      <c r="AM139" s="229">
        <f t="shared" si="331"/>
        <v>0</v>
      </c>
      <c r="AN139" s="229">
        <f t="shared" si="331"/>
        <v>0</v>
      </c>
      <c r="AO139" s="261"/>
      <c r="AP139" s="229">
        <f t="shared" si="332"/>
        <v>0</v>
      </c>
      <c r="AQ139" s="229">
        <f t="shared" si="332"/>
        <v>0</v>
      </c>
      <c r="AR139" s="229">
        <f t="shared" si="332"/>
        <v>0</v>
      </c>
      <c r="AS139" s="229">
        <f t="shared" si="332"/>
        <v>0</v>
      </c>
      <c r="AT139" s="229">
        <f t="shared" si="332"/>
        <v>0</v>
      </c>
      <c r="AU139" s="229">
        <f t="shared" si="332"/>
        <v>0</v>
      </c>
      <c r="AV139" s="261"/>
      <c r="AW139" s="229">
        <f t="shared" si="333"/>
        <v>0</v>
      </c>
      <c r="AX139" s="229">
        <f t="shared" si="333"/>
        <v>0</v>
      </c>
      <c r="AY139" s="229">
        <f t="shared" si="333"/>
        <v>0</v>
      </c>
      <c r="AZ139" s="229">
        <f t="shared" si="333"/>
        <v>0</v>
      </c>
      <c r="BA139" s="229">
        <f t="shared" si="333"/>
        <v>0</v>
      </c>
      <c r="BB139" s="229">
        <f t="shared" si="333"/>
        <v>0</v>
      </c>
      <c r="BC139" s="261">
        <f t="shared" si="327"/>
        <v>0</v>
      </c>
      <c r="BD139" s="239">
        <f t="shared" si="318"/>
        <v>236251.16094</v>
      </c>
      <c r="BE139" s="243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  <c r="FP139" s="242"/>
      <c r="FQ139" s="242"/>
      <c r="FR139" s="242"/>
      <c r="FS139" s="242"/>
      <c r="FT139" s="242"/>
      <c r="FU139" s="242"/>
      <c r="FV139" s="242"/>
      <c r="FW139" s="242"/>
      <c r="FX139" s="242"/>
      <c r="FY139" s="242"/>
      <c r="FZ139" s="242"/>
      <c r="GA139" s="242"/>
      <c r="GB139" s="242"/>
      <c r="GC139" s="242"/>
      <c r="GD139" s="242"/>
      <c r="GE139" s="242"/>
      <c r="GF139" s="242"/>
      <c r="GG139" s="242"/>
      <c r="GH139" s="242"/>
      <c r="GI139" s="242"/>
      <c r="GJ139" s="242"/>
      <c r="GK139" s="242"/>
      <c r="GL139" s="242"/>
      <c r="GM139" s="242"/>
      <c r="GN139" s="242"/>
      <c r="GO139" s="242"/>
      <c r="GP139" s="242"/>
      <c r="GQ139" s="242"/>
      <c r="GR139" s="242"/>
      <c r="GS139" s="242"/>
      <c r="GT139" s="242"/>
    </row>
    <row r="140" spans="1:202" s="3" customFormat="1" ht="15" customHeight="1">
      <c r="A140" s="188"/>
      <c r="B140" s="172" t="s">
        <v>267</v>
      </c>
      <c r="C140" s="217"/>
      <c r="D140" s="140"/>
      <c r="E140" s="175">
        <v>7512.32</v>
      </c>
      <c r="F140" s="176">
        <v>1678</v>
      </c>
      <c r="G140" s="177">
        <f t="shared" si="328"/>
        <v>5834.32</v>
      </c>
      <c r="H140" s="175">
        <v>7512.32</v>
      </c>
      <c r="I140" s="176">
        <v>1678</v>
      </c>
      <c r="J140" s="177">
        <f t="shared" si="329"/>
        <v>5834.32</v>
      </c>
      <c r="K140" s="253">
        <v>2.536</v>
      </c>
      <c r="L140" s="253">
        <v>2.536</v>
      </c>
      <c r="M140" s="253"/>
      <c r="N140" s="287">
        <f t="shared" si="320"/>
        <v>5.0720000000000001</v>
      </c>
      <c r="O140" s="274"/>
      <c r="P140" s="274"/>
      <c r="Q140" s="291"/>
      <c r="R140" s="287"/>
      <c r="S140" s="291"/>
      <c r="T140" s="265"/>
      <c r="U140" s="274"/>
      <c r="V140" s="274"/>
      <c r="W140" s="291"/>
      <c r="X140" s="274"/>
      <c r="Y140" s="142"/>
      <c r="Z140" s="274"/>
      <c r="AA140" s="274"/>
      <c r="AB140" s="274"/>
      <c r="AC140" s="274"/>
      <c r="AD140" s="274"/>
      <c r="AE140" s="274"/>
      <c r="AF140" s="287">
        <f t="shared" si="323"/>
        <v>0</v>
      </c>
      <c r="AG140" s="283">
        <f t="shared" si="319"/>
        <v>5.0720000000000001</v>
      </c>
      <c r="AH140" s="229">
        <f t="shared" si="330"/>
        <v>14795.835519999999</v>
      </c>
      <c r="AI140" s="229">
        <f t="shared" si="330"/>
        <v>14795.835519999999</v>
      </c>
      <c r="AJ140" s="229">
        <f t="shared" si="330"/>
        <v>0</v>
      </c>
      <c r="AK140" s="261">
        <f t="shared" si="324"/>
        <v>29591.671039999997</v>
      </c>
      <c r="AL140" s="229">
        <f t="shared" si="331"/>
        <v>0</v>
      </c>
      <c r="AM140" s="229">
        <f t="shared" si="331"/>
        <v>0</v>
      </c>
      <c r="AN140" s="229">
        <f t="shared" si="331"/>
        <v>0</v>
      </c>
      <c r="AO140" s="261"/>
      <c r="AP140" s="229">
        <f t="shared" si="332"/>
        <v>0</v>
      </c>
      <c r="AQ140" s="229">
        <f t="shared" si="332"/>
        <v>0</v>
      </c>
      <c r="AR140" s="229">
        <f t="shared" si="332"/>
        <v>0</v>
      </c>
      <c r="AS140" s="229">
        <f t="shared" si="332"/>
        <v>0</v>
      </c>
      <c r="AT140" s="229">
        <f t="shared" si="332"/>
        <v>0</v>
      </c>
      <c r="AU140" s="229">
        <f t="shared" si="332"/>
        <v>0</v>
      </c>
      <c r="AV140" s="261"/>
      <c r="AW140" s="229">
        <f t="shared" si="333"/>
        <v>0</v>
      </c>
      <c r="AX140" s="229">
        <f t="shared" si="333"/>
        <v>0</v>
      </c>
      <c r="AY140" s="229">
        <f t="shared" si="333"/>
        <v>0</v>
      </c>
      <c r="AZ140" s="229">
        <f t="shared" si="333"/>
        <v>0</v>
      </c>
      <c r="BA140" s="229">
        <f t="shared" si="333"/>
        <v>0</v>
      </c>
      <c r="BB140" s="229">
        <f t="shared" si="333"/>
        <v>0</v>
      </c>
      <c r="BC140" s="261">
        <f t="shared" si="327"/>
        <v>0</v>
      </c>
      <c r="BD140" s="239">
        <f t="shared" si="318"/>
        <v>29591.671039999997</v>
      </c>
      <c r="BE140" s="243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  <c r="FP140" s="242"/>
      <c r="FQ140" s="242"/>
      <c r="FR140" s="242"/>
      <c r="FS140" s="242"/>
      <c r="FT140" s="242"/>
      <c r="FU140" s="242"/>
      <c r="FV140" s="242"/>
      <c r="FW140" s="242"/>
      <c r="FX140" s="242"/>
      <c r="FY140" s="242"/>
      <c r="FZ140" s="242"/>
      <c r="GA140" s="242"/>
      <c r="GB140" s="242"/>
      <c r="GC140" s="242"/>
      <c r="GD140" s="242"/>
      <c r="GE140" s="242"/>
      <c r="GF140" s="242"/>
      <c r="GG140" s="242"/>
      <c r="GH140" s="242"/>
      <c r="GI140" s="242"/>
      <c r="GJ140" s="242"/>
      <c r="GK140" s="242"/>
      <c r="GL140" s="242"/>
      <c r="GM140" s="242"/>
      <c r="GN140" s="242"/>
      <c r="GO140" s="242"/>
      <c r="GP140" s="242"/>
      <c r="GQ140" s="242"/>
      <c r="GR140" s="242"/>
      <c r="GS140" s="242"/>
      <c r="GT140" s="242"/>
    </row>
    <row r="141" spans="1:202" s="3" customFormat="1" ht="15" customHeight="1">
      <c r="A141" s="188"/>
      <c r="B141" s="172" t="s">
        <v>138</v>
      </c>
      <c r="C141" s="217"/>
      <c r="D141" s="140"/>
      <c r="E141" s="175">
        <v>6553.72</v>
      </c>
      <c r="F141" s="176">
        <v>2201</v>
      </c>
      <c r="G141" s="177">
        <f t="shared" si="328"/>
        <v>4352.72</v>
      </c>
      <c r="H141" s="175">
        <v>6553.72</v>
      </c>
      <c r="I141" s="176">
        <v>2201</v>
      </c>
      <c r="J141" s="177">
        <f t="shared" si="329"/>
        <v>4352.72</v>
      </c>
      <c r="K141" s="253">
        <v>23</v>
      </c>
      <c r="L141" s="253">
        <v>19</v>
      </c>
      <c r="M141" s="253"/>
      <c r="N141" s="287">
        <f t="shared" si="320"/>
        <v>42</v>
      </c>
      <c r="O141" s="274"/>
      <c r="P141" s="274"/>
      <c r="Q141" s="291"/>
      <c r="R141" s="287"/>
      <c r="S141" s="291"/>
      <c r="T141" s="265"/>
      <c r="U141" s="274"/>
      <c r="V141" s="274"/>
      <c r="W141" s="291"/>
      <c r="X141" s="274"/>
      <c r="Y141" s="142"/>
      <c r="Z141" s="274"/>
      <c r="AA141" s="274"/>
      <c r="AB141" s="274"/>
      <c r="AC141" s="274"/>
      <c r="AD141" s="274"/>
      <c r="AE141" s="274"/>
      <c r="AF141" s="287">
        <f t="shared" si="323"/>
        <v>0</v>
      </c>
      <c r="AG141" s="283">
        <f t="shared" si="319"/>
        <v>42</v>
      </c>
      <c r="AH141" s="229">
        <f t="shared" si="330"/>
        <v>100112.56000000001</v>
      </c>
      <c r="AI141" s="229">
        <f t="shared" si="330"/>
        <v>82701.680000000008</v>
      </c>
      <c r="AJ141" s="229">
        <f t="shared" si="330"/>
        <v>0</v>
      </c>
      <c r="AK141" s="261">
        <f t="shared" si="324"/>
        <v>182814.24000000002</v>
      </c>
      <c r="AL141" s="229">
        <f t="shared" si="331"/>
        <v>0</v>
      </c>
      <c r="AM141" s="229">
        <f t="shared" si="331"/>
        <v>0</v>
      </c>
      <c r="AN141" s="229">
        <f t="shared" si="331"/>
        <v>0</v>
      </c>
      <c r="AO141" s="261"/>
      <c r="AP141" s="229">
        <f t="shared" si="332"/>
        <v>0</v>
      </c>
      <c r="AQ141" s="229">
        <f t="shared" si="332"/>
        <v>0</v>
      </c>
      <c r="AR141" s="229">
        <f t="shared" si="332"/>
        <v>0</v>
      </c>
      <c r="AS141" s="229">
        <f t="shared" si="332"/>
        <v>0</v>
      </c>
      <c r="AT141" s="229">
        <f t="shared" si="332"/>
        <v>0</v>
      </c>
      <c r="AU141" s="229">
        <f t="shared" si="332"/>
        <v>0</v>
      </c>
      <c r="AV141" s="261"/>
      <c r="AW141" s="229">
        <f t="shared" si="333"/>
        <v>0</v>
      </c>
      <c r="AX141" s="229">
        <f t="shared" si="333"/>
        <v>0</v>
      </c>
      <c r="AY141" s="229">
        <f t="shared" si="333"/>
        <v>0</v>
      </c>
      <c r="AZ141" s="229">
        <f t="shared" si="333"/>
        <v>0</v>
      </c>
      <c r="BA141" s="229">
        <f t="shared" si="333"/>
        <v>0</v>
      </c>
      <c r="BB141" s="229">
        <f t="shared" si="333"/>
        <v>0</v>
      </c>
      <c r="BC141" s="261">
        <f t="shared" si="327"/>
        <v>0</v>
      </c>
      <c r="BD141" s="239">
        <f t="shared" si="318"/>
        <v>182814.24000000002</v>
      </c>
      <c r="BE141" s="243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  <c r="FP141" s="242"/>
      <c r="FQ141" s="242"/>
      <c r="FR141" s="242"/>
      <c r="FS141" s="242"/>
      <c r="FT141" s="242"/>
      <c r="FU141" s="242"/>
      <c r="FV141" s="242"/>
      <c r="FW141" s="242"/>
      <c r="FX141" s="242"/>
      <c r="FY141" s="242"/>
      <c r="FZ141" s="242"/>
      <c r="GA141" s="242"/>
      <c r="GB141" s="242"/>
      <c r="GC141" s="242"/>
      <c r="GD141" s="242"/>
      <c r="GE141" s="242"/>
      <c r="GF141" s="242"/>
      <c r="GG141" s="242"/>
      <c r="GH141" s="242"/>
      <c r="GI141" s="242"/>
      <c r="GJ141" s="242"/>
      <c r="GK141" s="242"/>
      <c r="GL141" s="242"/>
      <c r="GM141" s="242"/>
      <c r="GN141" s="242"/>
      <c r="GO141" s="242"/>
      <c r="GP141" s="242"/>
      <c r="GQ141" s="242"/>
      <c r="GR141" s="242"/>
      <c r="GS141" s="242"/>
      <c r="GT141" s="242"/>
    </row>
    <row r="142" spans="1:202" s="3" customFormat="1" ht="15" customHeight="1">
      <c r="A142" s="188"/>
      <c r="B142" s="172" t="s">
        <v>532</v>
      </c>
      <c r="C142" s="217"/>
      <c r="D142" s="140"/>
      <c r="E142" s="175">
        <v>6535.37</v>
      </c>
      <c r="F142" s="176">
        <v>2145</v>
      </c>
      <c r="G142" s="177">
        <f>E142-F142</f>
        <v>4390.37</v>
      </c>
      <c r="H142" s="175">
        <v>6535.37</v>
      </c>
      <c r="I142" s="176">
        <v>2145</v>
      </c>
      <c r="J142" s="177">
        <f>H142-I142</f>
        <v>4390.37</v>
      </c>
      <c r="K142" s="253">
        <v>5.7439999999999998</v>
      </c>
      <c r="L142" s="253">
        <v>5.7439999999999998</v>
      </c>
      <c r="M142" s="253"/>
      <c r="N142" s="287">
        <f t="shared" si="320"/>
        <v>11.488</v>
      </c>
      <c r="O142" s="274"/>
      <c r="P142" s="274"/>
      <c r="Q142" s="291"/>
      <c r="R142" s="287"/>
      <c r="S142" s="291"/>
      <c r="T142" s="265"/>
      <c r="U142" s="274"/>
      <c r="V142" s="274"/>
      <c r="W142" s="291"/>
      <c r="X142" s="274"/>
      <c r="Y142" s="142"/>
      <c r="Z142" s="274"/>
      <c r="AA142" s="274"/>
      <c r="AB142" s="274"/>
      <c r="AC142" s="274"/>
      <c r="AD142" s="274"/>
      <c r="AE142" s="274"/>
      <c r="AF142" s="287">
        <f t="shared" ref="AF142:AF148" si="334">SUM(Z142:AE142)</f>
        <v>0</v>
      </c>
      <c r="AG142" s="283">
        <f t="shared" si="319"/>
        <v>11.488</v>
      </c>
      <c r="AH142" s="229">
        <f t="shared" si="330"/>
        <v>25218.28528</v>
      </c>
      <c r="AI142" s="229">
        <f t="shared" si="330"/>
        <v>25218.28528</v>
      </c>
      <c r="AJ142" s="229">
        <f t="shared" si="330"/>
        <v>0</v>
      </c>
      <c r="AK142" s="261">
        <f t="shared" si="324"/>
        <v>50436.57056</v>
      </c>
      <c r="AL142" s="229">
        <f t="shared" si="331"/>
        <v>0</v>
      </c>
      <c r="AM142" s="229">
        <f t="shared" si="331"/>
        <v>0</v>
      </c>
      <c r="AN142" s="229">
        <f t="shared" si="331"/>
        <v>0</v>
      </c>
      <c r="AO142" s="261"/>
      <c r="AP142" s="229">
        <f t="shared" si="332"/>
        <v>0</v>
      </c>
      <c r="AQ142" s="229">
        <f t="shared" si="332"/>
        <v>0</v>
      </c>
      <c r="AR142" s="229">
        <f t="shared" si="332"/>
        <v>0</v>
      </c>
      <c r="AS142" s="229">
        <f t="shared" si="332"/>
        <v>0</v>
      </c>
      <c r="AT142" s="229">
        <f t="shared" si="332"/>
        <v>0</v>
      </c>
      <c r="AU142" s="229">
        <f t="shared" si="332"/>
        <v>0</v>
      </c>
      <c r="AV142" s="261"/>
      <c r="AW142" s="229">
        <f t="shared" si="333"/>
        <v>0</v>
      </c>
      <c r="AX142" s="229">
        <f t="shared" si="333"/>
        <v>0</v>
      </c>
      <c r="AY142" s="229">
        <f t="shared" si="333"/>
        <v>0</v>
      </c>
      <c r="AZ142" s="229">
        <f t="shared" si="333"/>
        <v>0</v>
      </c>
      <c r="BA142" s="229">
        <f t="shared" si="333"/>
        <v>0</v>
      </c>
      <c r="BB142" s="229">
        <f t="shared" si="333"/>
        <v>0</v>
      </c>
      <c r="BC142" s="261">
        <f t="shared" ref="BC142:BC148" si="335">SUM(AW142:BB142)</f>
        <v>0</v>
      </c>
      <c r="BD142" s="239">
        <f t="shared" si="318"/>
        <v>50436.57056</v>
      </c>
      <c r="BE142" s="243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  <c r="FP142" s="242"/>
      <c r="FQ142" s="242"/>
      <c r="FR142" s="242"/>
      <c r="FS142" s="242"/>
      <c r="FT142" s="242"/>
      <c r="FU142" s="242"/>
      <c r="FV142" s="242"/>
      <c r="FW142" s="242"/>
      <c r="FX142" s="242"/>
      <c r="FY142" s="242"/>
      <c r="FZ142" s="242"/>
      <c r="GA142" s="242"/>
      <c r="GB142" s="242"/>
      <c r="GC142" s="242"/>
      <c r="GD142" s="242"/>
      <c r="GE142" s="242"/>
      <c r="GF142" s="242"/>
      <c r="GG142" s="242"/>
      <c r="GH142" s="242"/>
      <c r="GI142" s="242"/>
      <c r="GJ142" s="242"/>
      <c r="GK142" s="242"/>
      <c r="GL142" s="242"/>
      <c r="GM142" s="242"/>
      <c r="GN142" s="242"/>
      <c r="GO142" s="242"/>
      <c r="GP142" s="242"/>
      <c r="GQ142" s="242"/>
      <c r="GR142" s="242"/>
      <c r="GS142" s="242"/>
      <c r="GT142" s="242"/>
    </row>
    <row r="143" spans="1:202" s="79" customFormat="1" ht="22.5" customHeight="1">
      <c r="A143" s="190" t="s">
        <v>26</v>
      </c>
      <c r="B143" s="180" t="s">
        <v>41</v>
      </c>
      <c r="C143" s="220" t="s">
        <v>404</v>
      </c>
      <c r="D143" s="143">
        <v>2910004882</v>
      </c>
      <c r="E143" s="213"/>
      <c r="F143" s="147"/>
      <c r="G143" s="177"/>
      <c r="H143" s="213"/>
      <c r="I143" s="147"/>
      <c r="J143" s="210"/>
      <c r="K143" s="251">
        <f>K144</f>
        <v>2502.6849999999999</v>
      </c>
      <c r="L143" s="251">
        <f>L144</f>
        <v>2465.3240000000001</v>
      </c>
      <c r="M143" s="251">
        <f>M144</f>
        <v>0</v>
      </c>
      <c r="N143" s="284">
        <f t="shared" si="320"/>
        <v>4968.009</v>
      </c>
      <c r="O143" s="272">
        <f>O144</f>
        <v>0</v>
      </c>
      <c r="P143" s="272">
        <f>P144</f>
        <v>0</v>
      </c>
      <c r="Q143" s="272">
        <f>Q144</f>
        <v>0</v>
      </c>
      <c r="R143" s="284">
        <f>O143+P143+Q143</f>
        <v>0</v>
      </c>
      <c r="S143" s="289">
        <f t="shared" ref="S143:X143" si="336">S144</f>
        <v>0</v>
      </c>
      <c r="T143" s="289">
        <f t="shared" si="336"/>
        <v>0</v>
      </c>
      <c r="U143" s="289">
        <f t="shared" si="336"/>
        <v>0</v>
      </c>
      <c r="V143" s="289">
        <f t="shared" si="336"/>
        <v>0</v>
      </c>
      <c r="W143" s="289">
        <f t="shared" si="336"/>
        <v>0</v>
      </c>
      <c r="X143" s="289">
        <f t="shared" si="336"/>
        <v>0</v>
      </c>
      <c r="Y143" s="284">
        <f>SUM(S143:X143)</f>
        <v>0</v>
      </c>
      <c r="Z143" s="272">
        <f t="shared" ref="Z143:AE143" si="337">Z144</f>
        <v>0</v>
      </c>
      <c r="AA143" s="272">
        <f t="shared" si="337"/>
        <v>0</v>
      </c>
      <c r="AB143" s="272">
        <f t="shared" si="337"/>
        <v>0</v>
      </c>
      <c r="AC143" s="272">
        <f t="shared" si="337"/>
        <v>0</v>
      </c>
      <c r="AD143" s="272">
        <f t="shared" si="337"/>
        <v>0</v>
      </c>
      <c r="AE143" s="272">
        <f t="shared" si="337"/>
        <v>0</v>
      </c>
      <c r="AF143" s="284">
        <f t="shared" si="334"/>
        <v>0</v>
      </c>
      <c r="AG143" s="282">
        <f t="shared" si="319"/>
        <v>4968.009</v>
      </c>
      <c r="AH143" s="227">
        <f>AH144</f>
        <v>8222997.0239500003</v>
      </c>
      <c r="AI143" s="227">
        <f>AI144</f>
        <v>8100241.1070800005</v>
      </c>
      <c r="AJ143" s="227">
        <f>AJ144</f>
        <v>0</v>
      </c>
      <c r="AK143" s="260">
        <f t="shared" ref="AK143:AK154" si="338">AH143+AI143+AJ143</f>
        <v>16323238.131030001</v>
      </c>
      <c r="AL143" s="227">
        <f>AL144</f>
        <v>0</v>
      </c>
      <c r="AM143" s="227">
        <f>AM144</f>
        <v>0</v>
      </c>
      <c r="AN143" s="227">
        <f>AN144</f>
        <v>0</v>
      </c>
      <c r="AO143" s="260">
        <f>SUM(AL143:AN143)</f>
        <v>0</v>
      </c>
      <c r="AP143" s="227">
        <f t="shared" ref="AP143:AU143" si="339">AP144</f>
        <v>0</v>
      </c>
      <c r="AQ143" s="227">
        <f t="shared" si="339"/>
        <v>0</v>
      </c>
      <c r="AR143" s="227">
        <f t="shared" si="339"/>
        <v>0</v>
      </c>
      <c r="AS143" s="227">
        <f t="shared" si="339"/>
        <v>0</v>
      </c>
      <c r="AT143" s="227">
        <f t="shared" si="339"/>
        <v>0</v>
      </c>
      <c r="AU143" s="227">
        <f t="shared" si="339"/>
        <v>0</v>
      </c>
      <c r="AV143" s="260">
        <f>SUM(AP143:AU143)</f>
        <v>0</v>
      </c>
      <c r="AW143" s="227">
        <f t="shared" ref="AW143:BB143" si="340">AW144</f>
        <v>0</v>
      </c>
      <c r="AX143" s="227">
        <f t="shared" si="340"/>
        <v>0</v>
      </c>
      <c r="AY143" s="227">
        <f t="shared" si="340"/>
        <v>0</v>
      </c>
      <c r="AZ143" s="227">
        <f t="shared" si="340"/>
        <v>0</v>
      </c>
      <c r="BA143" s="227">
        <f t="shared" si="340"/>
        <v>0</v>
      </c>
      <c r="BB143" s="227">
        <f t="shared" si="340"/>
        <v>0</v>
      </c>
      <c r="BC143" s="260">
        <f t="shared" si="335"/>
        <v>0</v>
      </c>
      <c r="BD143" s="238">
        <f t="shared" si="318"/>
        <v>16323238.131030001</v>
      </c>
      <c r="BE143" s="247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  <c r="FF143" s="243"/>
      <c r="FG143" s="243"/>
      <c r="FH143" s="243"/>
      <c r="FI143" s="243"/>
      <c r="FJ143" s="243"/>
      <c r="FK143" s="243"/>
      <c r="FL143" s="243"/>
      <c r="FM143" s="243"/>
      <c r="FN143" s="243"/>
      <c r="FO143" s="243"/>
      <c r="FP143" s="243"/>
      <c r="FQ143" s="243"/>
      <c r="FR143" s="243"/>
      <c r="FS143" s="243"/>
      <c r="FT143" s="243"/>
      <c r="FU143" s="243"/>
      <c r="FV143" s="243"/>
      <c r="FW143" s="243"/>
      <c r="FX143" s="243"/>
      <c r="FY143" s="243"/>
      <c r="FZ143" s="243"/>
      <c r="GA143" s="243"/>
      <c r="GB143" s="243"/>
      <c r="GC143" s="243"/>
      <c r="GD143" s="243"/>
      <c r="GE143" s="243"/>
      <c r="GF143" s="243"/>
      <c r="GG143" s="243"/>
      <c r="GH143" s="243"/>
      <c r="GI143" s="243"/>
      <c r="GJ143" s="243"/>
      <c r="GK143" s="243"/>
      <c r="GL143" s="243"/>
      <c r="GM143" s="243"/>
      <c r="GN143" s="243"/>
      <c r="GO143" s="243"/>
      <c r="GP143" s="243"/>
      <c r="GQ143" s="243"/>
      <c r="GR143" s="243"/>
      <c r="GS143" s="243"/>
      <c r="GT143" s="243"/>
    </row>
    <row r="144" spans="1:202" s="3" customFormat="1" ht="15" customHeight="1">
      <c r="A144" s="188"/>
      <c r="B144" s="172"/>
      <c r="C144" s="217"/>
      <c r="D144" s="140"/>
      <c r="E144" s="175">
        <v>5159.67</v>
      </c>
      <c r="F144" s="176">
        <v>1874</v>
      </c>
      <c r="G144" s="177">
        <f>E144-F144</f>
        <v>3285.67</v>
      </c>
      <c r="H144" s="175">
        <v>5159.67</v>
      </c>
      <c r="I144" s="176">
        <v>1874</v>
      </c>
      <c r="J144" s="177">
        <f>H144-I144</f>
        <v>3285.67</v>
      </c>
      <c r="K144" s="253">
        <v>2502.6849999999999</v>
      </c>
      <c r="L144" s="253">
        <v>2465.3240000000001</v>
      </c>
      <c r="M144" s="253"/>
      <c r="N144" s="287">
        <f t="shared" si="320"/>
        <v>4968.009</v>
      </c>
      <c r="O144" s="274"/>
      <c r="P144" s="274"/>
      <c r="Q144" s="291"/>
      <c r="R144" s="287"/>
      <c r="S144" s="291"/>
      <c r="T144" s="265"/>
      <c r="U144" s="274"/>
      <c r="V144" s="274"/>
      <c r="W144" s="291"/>
      <c r="X144" s="274"/>
      <c r="Y144" s="142">
        <f>SUM(S144:X144)</f>
        <v>0</v>
      </c>
      <c r="Z144" s="274"/>
      <c r="AA144" s="274"/>
      <c r="AB144" s="274"/>
      <c r="AC144" s="274"/>
      <c r="AD144" s="274"/>
      <c r="AE144" s="274"/>
      <c r="AF144" s="287">
        <f t="shared" si="334"/>
        <v>0</v>
      </c>
      <c r="AG144" s="283">
        <f t="shared" si="319"/>
        <v>4968.009</v>
      </c>
      <c r="AH144" s="229">
        <f>K144*$G144</f>
        <v>8222997.0239500003</v>
      </c>
      <c r="AI144" s="229">
        <f>L144*$G144</f>
        <v>8100241.1070800005</v>
      </c>
      <c r="AJ144" s="229">
        <f>M144*$G144</f>
        <v>0</v>
      </c>
      <c r="AK144" s="261">
        <f t="shared" si="338"/>
        <v>16323238.131030001</v>
      </c>
      <c r="AL144" s="229">
        <f>O144*$G144</f>
        <v>0</v>
      </c>
      <c r="AM144" s="229">
        <f>P144*$G144</f>
        <v>0</v>
      </c>
      <c r="AN144" s="229">
        <f>Q144*$G144</f>
        <v>0</v>
      </c>
      <c r="AO144" s="261"/>
      <c r="AP144" s="229">
        <f t="shared" ref="AP144:AU144" si="341">S144*$J144</f>
        <v>0</v>
      </c>
      <c r="AQ144" s="229">
        <f t="shared" si="341"/>
        <v>0</v>
      </c>
      <c r="AR144" s="229">
        <f t="shared" si="341"/>
        <v>0</v>
      </c>
      <c r="AS144" s="229">
        <f t="shared" si="341"/>
        <v>0</v>
      </c>
      <c r="AT144" s="229">
        <f t="shared" si="341"/>
        <v>0</v>
      </c>
      <c r="AU144" s="229">
        <f t="shared" si="341"/>
        <v>0</v>
      </c>
      <c r="AV144" s="261"/>
      <c r="AW144" s="229">
        <f t="shared" ref="AW144:BB144" si="342">Z144*$J144</f>
        <v>0</v>
      </c>
      <c r="AX144" s="229">
        <f t="shared" si="342"/>
        <v>0</v>
      </c>
      <c r="AY144" s="229">
        <f t="shared" si="342"/>
        <v>0</v>
      </c>
      <c r="AZ144" s="229">
        <f t="shared" si="342"/>
        <v>0</v>
      </c>
      <c r="BA144" s="229">
        <f t="shared" si="342"/>
        <v>0</v>
      </c>
      <c r="BB144" s="229">
        <f t="shared" si="342"/>
        <v>0</v>
      </c>
      <c r="BC144" s="261">
        <f t="shared" si="335"/>
        <v>0</v>
      </c>
      <c r="BD144" s="239">
        <f t="shared" si="318"/>
        <v>16323238.131030001</v>
      </c>
      <c r="BE144" s="243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  <c r="FP144" s="242"/>
      <c r="FQ144" s="242"/>
      <c r="FR144" s="242"/>
      <c r="FS144" s="242"/>
      <c r="FT144" s="242"/>
      <c r="FU144" s="242"/>
      <c r="FV144" s="242"/>
      <c r="FW144" s="242"/>
      <c r="FX144" s="242"/>
      <c r="FY144" s="242"/>
      <c r="FZ144" s="242"/>
      <c r="GA144" s="242"/>
      <c r="GB144" s="242"/>
      <c r="GC144" s="242"/>
      <c r="GD144" s="242"/>
      <c r="GE144" s="242"/>
      <c r="GF144" s="242"/>
      <c r="GG144" s="242"/>
      <c r="GH144" s="242"/>
      <c r="GI144" s="242"/>
      <c r="GJ144" s="242"/>
      <c r="GK144" s="242"/>
      <c r="GL144" s="242"/>
      <c r="GM144" s="242"/>
      <c r="GN144" s="242"/>
      <c r="GO144" s="242"/>
      <c r="GP144" s="242"/>
      <c r="GQ144" s="242"/>
      <c r="GR144" s="242"/>
      <c r="GS144" s="242"/>
      <c r="GT144" s="242"/>
    </row>
    <row r="145" spans="1:202" s="79" customFormat="1" ht="11.25" customHeight="1">
      <c r="A145" s="187" t="s">
        <v>26</v>
      </c>
      <c r="B145" s="170" t="s">
        <v>169</v>
      </c>
      <c r="C145" s="216" t="s">
        <v>216</v>
      </c>
      <c r="D145" s="138">
        <v>2907016905</v>
      </c>
      <c r="E145" s="147"/>
      <c r="F145" s="147"/>
      <c r="G145" s="177"/>
      <c r="H145" s="147"/>
      <c r="I145" s="147"/>
      <c r="J145" s="210"/>
      <c r="K145" s="251">
        <f>K146</f>
        <v>117.91</v>
      </c>
      <c r="L145" s="251">
        <f>L146</f>
        <v>97.59</v>
      </c>
      <c r="M145" s="251">
        <f>M146</f>
        <v>0</v>
      </c>
      <c r="N145" s="284">
        <f t="shared" si="320"/>
        <v>215.5</v>
      </c>
      <c r="O145" s="272">
        <f>O146</f>
        <v>0</v>
      </c>
      <c r="P145" s="272">
        <f>P146</f>
        <v>0</v>
      </c>
      <c r="Q145" s="272">
        <f>Q146</f>
        <v>0</v>
      </c>
      <c r="R145" s="284">
        <f>O145+P145+Q145</f>
        <v>0</v>
      </c>
      <c r="S145" s="289">
        <f t="shared" ref="S145:X145" si="343">S146</f>
        <v>0</v>
      </c>
      <c r="T145" s="289">
        <f t="shared" si="343"/>
        <v>0</v>
      </c>
      <c r="U145" s="289">
        <f t="shared" si="343"/>
        <v>0</v>
      </c>
      <c r="V145" s="289">
        <f t="shared" si="343"/>
        <v>0</v>
      </c>
      <c r="W145" s="289">
        <f t="shared" si="343"/>
        <v>0</v>
      </c>
      <c r="X145" s="289">
        <f t="shared" si="343"/>
        <v>0</v>
      </c>
      <c r="Y145" s="284">
        <f>SUM(S145:X145)</f>
        <v>0</v>
      </c>
      <c r="Z145" s="272">
        <f t="shared" ref="Z145:AE145" si="344">Z146</f>
        <v>0</v>
      </c>
      <c r="AA145" s="272">
        <f t="shared" si="344"/>
        <v>0</v>
      </c>
      <c r="AB145" s="272">
        <f t="shared" si="344"/>
        <v>0</v>
      </c>
      <c r="AC145" s="272">
        <f t="shared" si="344"/>
        <v>0</v>
      </c>
      <c r="AD145" s="272">
        <f t="shared" si="344"/>
        <v>0</v>
      </c>
      <c r="AE145" s="272">
        <f t="shared" si="344"/>
        <v>0</v>
      </c>
      <c r="AF145" s="284">
        <f t="shared" si="334"/>
        <v>0</v>
      </c>
      <c r="AG145" s="282">
        <f t="shared" si="319"/>
        <v>215.5</v>
      </c>
      <c r="AH145" s="227">
        <f>AH146</f>
        <v>153471.65599999999</v>
      </c>
      <c r="AI145" s="227">
        <f>AI146</f>
        <v>127023.144</v>
      </c>
      <c r="AJ145" s="227">
        <f>AJ146</f>
        <v>0</v>
      </c>
      <c r="AK145" s="260">
        <f t="shared" si="338"/>
        <v>280494.8</v>
      </c>
      <c r="AL145" s="227">
        <f>AL146</f>
        <v>0</v>
      </c>
      <c r="AM145" s="227">
        <f>AM146</f>
        <v>0</v>
      </c>
      <c r="AN145" s="227">
        <f>AN146</f>
        <v>0</v>
      </c>
      <c r="AO145" s="260">
        <f>SUM(AL145:AN145)</f>
        <v>0</v>
      </c>
      <c r="AP145" s="227">
        <f t="shared" ref="AP145:AU145" si="345">AP146</f>
        <v>0</v>
      </c>
      <c r="AQ145" s="227">
        <f t="shared" si="345"/>
        <v>0</v>
      </c>
      <c r="AR145" s="227">
        <f t="shared" si="345"/>
        <v>0</v>
      </c>
      <c r="AS145" s="227">
        <f t="shared" si="345"/>
        <v>0</v>
      </c>
      <c r="AT145" s="227">
        <f t="shared" si="345"/>
        <v>0</v>
      </c>
      <c r="AU145" s="227">
        <f t="shared" si="345"/>
        <v>0</v>
      </c>
      <c r="AV145" s="260">
        <f>SUM(AP145:AU145)</f>
        <v>0</v>
      </c>
      <c r="AW145" s="227">
        <f t="shared" ref="AW145:BB145" si="346">AW146</f>
        <v>0</v>
      </c>
      <c r="AX145" s="227">
        <f t="shared" si="346"/>
        <v>0</v>
      </c>
      <c r="AY145" s="227">
        <f t="shared" si="346"/>
        <v>0</v>
      </c>
      <c r="AZ145" s="227">
        <f t="shared" si="346"/>
        <v>0</v>
      </c>
      <c r="BA145" s="227">
        <f t="shared" si="346"/>
        <v>0</v>
      </c>
      <c r="BB145" s="227">
        <f t="shared" si="346"/>
        <v>0</v>
      </c>
      <c r="BC145" s="260">
        <f t="shared" si="335"/>
        <v>0</v>
      </c>
      <c r="BD145" s="238">
        <f t="shared" si="318"/>
        <v>280494.8</v>
      </c>
      <c r="BE145" s="1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  <c r="FF145" s="243"/>
      <c r="FG145" s="243"/>
      <c r="FH145" s="243"/>
      <c r="FI145" s="243"/>
      <c r="FJ145" s="243"/>
      <c r="FK145" s="243"/>
      <c r="FL145" s="243"/>
      <c r="FM145" s="243"/>
      <c r="FN145" s="243"/>
      <c r="FO145" s="243"/>
      <c r="FP145" s="243"/>
      <c r="FQ145" s="243"/>
      <c r="FR145" s="243"/>
      <c r="FS145" s="243"/>
      <c r="FT145" s="243"/>
      <c r="FU145" s="243"/>
      <c r="FV145" s="243"/>
      <c r="FW145" s="243"/>
      <c r="FX145" s="243"/>
      <c r="FY145" s="243"/>
      <c r="FZ145" s="243"/>
      <c r="GA145" s="243"/>
      <c r="GB145" s="243"/>
      <c r="GC145" s="243"/>
      <c r="GD145" s="243"/>
      <c r="GE145" s="243"/>
      <c r="GF145" s="243"/>
      <c r="GG145" s="243"/>
      <c r="GH145" s="243"/>
      <c r="GI145" s="243"/>
      <c r="GJ145" s="243"/>
      <c r="GK145" s="243"/>
      <c r="GL145" s="243"/>
      <c r="GM145" s="243"/>
      <c r="GN145" s="243"/>
      <c r="GO145" s="243"/>
      <c r="GP145" s="243"/>
      <c r="GQ145" s="243"/>
      <c r="GR145" s="243"/>
      <c r="GS145" s="243"/>
      <c r="GT145" s="243"/>
    </row>
    <row r="146" spans="1:202" s="79" customFormat="1" ht="11.25" customHeight="1">
      <c r="A146" s="191"/>
      <c r="B146" s="145"/>
      <c r="C146" s="216"/>
      <c r="D146" s="141"/>
      <c r="E146" s="178">
        <v>3241.6</v>
      </c>
      <c r="F146" s="147">
        <v>1940</v>
      </c>
      <c r="G146" s="177">
        <f>E146-F146</f>
        <v>1301.5999999999999</v>
      </c>
      <c r="H146" s="178">
        <v>3241.6</v>
      </c>
      <c r="I146" s="147">
        <v>1940</v>
      </c>
      <c r="J146" s="210">
        <f>H146-I146</f>
        <v>1301.5999999999999</v>
      </c>
      <c r="K146" s="252">
        <v>117.91</v>
      </c>
      <c r="L146" s="252">
        <v>97.59</v>
      </c>
      <c r="M146" s="252"/>
      <c r="N146" s="287">
        <f t="shared" si="320"/>
        <v>215.5</v>
      </c>
      <c r="O146" s="273"/>
      <c r="P146" s="273"/>
      <c r="Q146" s="290"/>
      <c r="R146" s="287"/>
      <c r="S146" s="290"/>
      <c r="T146" s="273"/>
      <c r="U146" s="273"/>
      <c r="V146" s="273"/>
      <c r="W146" s="290"/>
      <c r="X146" s="273"/>
      <c r="Y146" s="142"/>
      <c r="Z146" s="273"/>
      <c r="AA146" s="273"/>
      <c r="AB146" s="273"/>
      <c r="AC146" s="273"/>
      <c r="AD146" s="273"/>
      <c r="AE146" s="273"/>
      <c r="AF146" s="287">
        <f t="shared" si="334"/>
        <v>0</v>
      </c>
      <c r="AG146" s="283">
        <f t="shared" si="319"/>
        <v>215.5</v>
      </c>
      <c r="AH146" s="228">
        <f>K146*$G146</f>
        <v>153471.65599999999</v>
      </c>
      <c r="AI146" s="228">
        <f>L146*$G146</f>
        <v>127023.144</v>
      </c>
      <c r="AJ146" s="228">
        <f>M146*$G146</f>
        <v>0</v>
      </c>
      <c r="AK146" s="261">
        <f t="shared" si="338"/>
        <v>280494.8</v>
      </c>
      <c r="AL146" s="228">
        <f>O146*$G146</f>
        <v>0</v>
      </c>
      <c r="AM146" s="228">
        <f>P146*$G146</f>
        <v>0</v>
      </c>
      <c r="AN146" s="228">
        <f>Q146*$G146</f>
        <v>0</v>
      </c>
      <c r="AO146" s="261"/>
      <c r="AP146" s="228">
        <f t="shared" ref="AP146:AU146" si="347">S146*$J146</f>
        <v>0</v>
      </c>
      <c r="AQ146" s="228">
        <f t="shared" si="347"/>
        <v>0</v>
      </c>
      <c r="AR146" s="228">
        <f t="shared" si="347"/>
        <v>0</v>
      </c>
      <c r="AS146" s="228">
        <f t="shared" si="347"/>
        <v>0</v>
      </c>
      <c r="AT146" s="228">
        <f t="shared" si="347"/>
        <v>0</v>
      </c>
      <c r="AU146" s="228">
        <f t="shared" si="347"/>
        <v>0</v>
      </c>
      <c r="AV146" s="261">
        <f>SUM(AP146:AU146)</f>
        <v>0</v>
      </c>
      <c r="AW146" s="228">
        <f t="shared" ref="AW146:BB146" si="348">Z146*$J146</f>
        <v>0</v>
      </c>
      <c r="AX146" s="228">
        <f t="shared" si="348"/>
        <v>0</v>
      </c>
      <c r="AY146" s="228">
        <f t="shared" si="348"/>
        <v>0</v>
      </c>
      <c r="AZ146" s="228">
        <f t="shared" si="348"/>
        <v>0</v>
      </c>
      <c r="BA146" s="228">
        <f t="shared" si="348"/>
        <v>0</v>
      </c>
      <c r="BB146" s="228">
        <f t="shared" si="348"/>
        <v>0</v>
      </c>
      <c r="BC146" s="261">
        <f t="shared" si="335"/>
        <v>0</v>
      </c>
      <c r="BD146" s="239">
        <f t="shared" si="318"/>
        <v>280494.8</v>
      </c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  <c r="FF146" s="243"/>
      <c r="FG146" s="243"/>
      <c r="FH146" s="243"/>
      <c r="FI146" s="243"/>
      <c r="FJ146" s="243"/>
      <c r="FK146" s="243"/>
      <c r="FL146" s="243"/>
      <c r="FM146" s="243"/>
      <c r="FN146" s="243"/>
      <c r="FO146" s="243"/>
      <c r="FP146" s="243"/>
      <c r="FQ146" s="243"/>
      <c r="FR146" s="243"/>
      <c r="FS146" s="243"/>
      <c r="FT146" s="243"/>
      <c r="FU146" s="243"/>
      <c r="FV146" s="243"/>
      <c r="FW146" s="243"/>
      <c r="FX146" s="243"/>
      <c r="FY146" s="243"/>
      <c r="FZ146" s="243"/>
      <c r="GA146" s="243"/>
      <c r="GB146" s="243"/>
      <c r="GC146" s="243"/>
      <c r="GD146" s="243"/>
      <c r="GE146" s="243"/>
      <c r="GF146" s="243"/>
      <c r="GG146" s="243"/>
      <c r="GH146" s="243"/>
      <c r="GI146" s="243"/>
      <c r="GJ146" s="243"/>
      <c r="GK146" s="243"/>
      <c r="GL146" s="243"/>
      <c r="GM146" s="243"/>
      <c r="GN146" s="243"/>
      <c r="GO146" s="243"/>
      <c r="GP146" s="243"/>
      <c r="GQ146" s="243"/>
      <c r="GR146" s="243"/>
      <c r="GS146" s="243"/>
      <c r="GT146" s="243"/>
    </row>
    <row r="147" spans="1:202" s="79" customFormat="1" ht="22.5" customHeight="1">
      <c r="A147" s="187" t="s">
        <v>26</v>
      </c>
      <c r="B147" s="170" t="s">
        <v>392</v>
      </c>
      <c r="C147" s="216"/>
      <c r="D147" s="138">
        <v>2918012331</v>
      </c>
      <c r="E147" s="147"/>
      <c r="F147" s="147"/>
      <c r="G147" s="177"/>
      <c r="H147" s="147"/>
      <c r="I147" s="147"/>
      <c r="J147" s="210"/>
      <c r="K147" s="251">
        <f>K148</f>
        <v>455.99900000000002</v>
      </c>
      <c r="L147" s="251">
        <f>L148</f>
        <v>446.78500000000003</v>
      </c>
      <c r="M147" s="251">
        <f>M148</f>
        <v>0</v>
      </c>
      <c r="N147" s="284">
        <f t="shared" si="320"/>
        <v>902.78400000000011</v>
      </c>
      <c r="O147" s="272">
        <f>O148</f>
        <v>0</v>
      </c>
      <c r="P147" s="272">
        <f>P148</f>
        <v>0</v>
      </c>
      <c r="Q147" s="272">
        <f>Q148</f>
        <v>0</v>
      </c>
      <c r="R147" s="284">
        <f>O147+P147+Q147</f>
        <v>0</v>
      </c>
      <c r="S147" s="289">
        <f t="shared" ref="S147:X147" si="349">S148</f>
        <v>0</v>
      </c>
      <c r="T147" s="289">
        <f t="shared" si="349"/>
        <v>0</v>
      </c>
      <c r="U147" s="289">
        <f t="shared" si="349"/>
        <v>0</v>
      </c>
      <c r="V147" s="289">
        <f t="shared" si="349"/>
        <v>0</v>
      </c>
      <c r="W147" s="289">
        <f t="shared" si="349"/>
        <v>0</v>
      </c>
      <c r="X147" s="289">
        <f t="shared" si="349"/>
        <v>0</v>
      </c>
      <c r="Y147" s="284">
        <f>SUM(S147:X147)</f>
        <v>0</v>
      </c>
      <c r="Z147" s="272">
        <f t="shared" ref="Z147:AE147" si="350">Z148</f>
        <v>0</v>
      </c>
      <c r="AA147" s="272">
        <f t="shared" si="350"/>
        <v>0</v>
      </c>
      <c r="AB147" s="272">
        <f t="shared" si="350"/>
        <v>0</v>
      </c>
      <c r="AC147" s="272">
        <f t="shared" si="350"/>
        <v>0</v>
      </c>
      <c r="AD147" s="272">
        <f t="shared" si="350"/>
        <v>0</v>
      </c>
      <c r="AE147" s="272">
        <f t="shared" si="350"/>
        <v>0</v>
      </c>
      <c r="AF147" s="284">
        <f t="shared" si="334"/>
        <v>0</v>
      </c>
      <c r="AG147" s="282">
        <f t="shared" si="319"/>
        <v>902.78400000000011</v>
      </c>
      <c r="AH147" s="227">
        <f>AH148</f>
        <v>4019188.8659700006</v>
      </c>
      <c r="AI147" s="227">
        <f>AI148</f>
        <v>3937976.3935500006</v>
      </c>
      <c r="AJ147" s="227">
        <f>AJ148</f>
        <v>0</v>
      </c>
      <c r="AK147" s="260">
        <f t="shared" si="338"/>
        <v>7957165.2595200017</v>
      </c>
      <c r="AL147" s="227">
        <f>AL148</f>
        <v>0</v>
      </c>
      <c r="AM147" s="227">
        <f>AM148</f>
        <v>0</v>
      </c>
      <c r="AN147" s="227">
        <f>AN148</f>
        <v>0</v>
      </c>
      <c r="AO147" s="260">
        <f>SUM(AL147:AN147)</f>
        <v>0</v>
      </c>
      <c r="AP147" s="227">
        <f t="shared" ref="AP147:AU147" si="351">AP148</f>
        <v>0</v>
      </c>
      <c r="AQ147" s="227">
        <f t="shared" si="351"/>
        <v>0</v>
      </c>
      <c r="AR147" s="227">
        <f t="shared" si="351"/>
        <v>0</v>
      </c>
      <c r="AS147" s="227">
        <f t="shared" si="351"/>
        <v>0</v>
      </c>
      <c r="AT147" s="227">
        <f t="shared" si="351"/>
        <v>0</v>
      </c>
      <c r="AU147" s="227">
        <f t="shared" si="351"/>
        <v>0</v>
      </c>
      <c r="AV147" s="260">
        <f>SUM(AP147:AU147)</f>
        <v>0</v>
      </c>
      <c r="AW147" s="227">
        <f t="shared" ref="AW147:BB147" si="352">AW148</f>
        <v>0</v>
      </c>
      <c r="AX147" s="227">
        <f t="shared" si="352"/>
        <v>0</v>
      </c>
      <c r="AY147" s="227">
        <f t="shared" si="352"/>
        <v>0</v>
      </c>
      <c r="AZ147" s="227">
        <f t="shared" si="352"/>
        <v>0</v>
      </c>
      <c r="BA147" s="227">
        <f t="shared" si="352"/>
        <v>0</v>
      </c>
      <c r="BB147" s="227">
        <f t="shared" si="352"/>
        <v>0</v>
      </c>
      <c r="BC147" s="260">
        <f t="shared" si="335"/>
        <v>0</v>
      </c>
      <c r="BD147" s="238">
        <f t="shared" si="318"/>
        <v>7957165.2595200017</v>
      </c>
      <c r="BE147" s="1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  <c r="FF147" s="243"/>
      <c r="FG147" s="243"/>
      <c r="FH147" s="243"/>
      <c r="FI147" s="243"/>
      <c r="FJ147" s="243"/>
      <c r="FK147" s="243"/>
      <c r="FL147" s="243"/>
      <c r="FM147" s="243"/>
      <c r="FN147" s="243"/>
      <c r="FO147" s="243"/>
      <c r="FP147" s="243"/>
      <c r="FQ147" s="243"/>
      <c r="FR147" s="243"/>
      <c r="FS147" s="243"/>
      <c r="FT147" s="243"/>
      <c r="FU147" s="243"/>
      <c r="FV147" s="243"/>
      <c r="FW147" s="243"/>
      <c r="FX147" s="243"/>
      <c r="FY147" s="243"/>
      <c r="FZ147" s="243"/>
      <c r="GA147" s="243"/>
      <c r="GB147" s="243"/>
      <c r="GC147" s="243"/>
      <c r="GD147" s="243"/>
      <c r="GE147" s="243"/>
      <c r="GF147" s="243"/>
      <c r="GG147" s="243"/>
      <c r="GH147" s="243"/>
      <c r="GI147" s="243"/>
      <c r="GJ147" s="243"/>
      <c r="GK147" s="243"/>
      <c r="GL147" s="243"/>
      <c r="GM147" s="243"/>
      <c r="GN147" s="243"/>
      <c r="GO147" s="243"/>
      <c r="GP147" s="243"/>
      <c r="GQ147" s="243"/>
      <c r="GR147" s="243"/>
      <c r="GS147" s="243"/>
      <c r="GT147" s="243"/>
    </row>
    <row r="148" spans="1:202" s="79" customFormat="1" ht="11.25" customHeight="1">
      <c r="A148" s="191"/>
      <c r="B148" s="145"/>
      <c r="C148" s="216" t="s">
        <v>573</v>
      </c>
      <c r="D148" s="141"/>
      <c r="E148" s="178">
        <v>10163.780000000001</v>
      </c>
      <c r="F148" s="147">
        <v>1349.75</v>
      </c>
      <c r="G148" s="177">
        <f>E148-F148</f>
        <v>8814.0300000000007</v>
      </c>
      <c r="H148" s="178">
        <v>10163.780000000001</v>
      </c>
      <c r="I148" s="147">
        <v>1349.75</v>
      </c>
      <c r="J148" s="210">
        <f>H148-I148</f>
        <v>8814.0300000000007</v>
      </c>
      <c r="K148" s="252">
        <v>455.99900000000002</v>
      </c>
      <c r="L148" s="252">
        <v>446.78500000000003</v>
      </c>
      <c r="M148" s="252"/>
      <c r="N148" s="287">
        <f t="shared" si="320"/>
        <v>902.78400000000011</v>
      </c>
      <c r="O148" s="273"/>
      <c r="P148" s="273"/>
      <c r="Q148" s="290"/>
      <c r="R148" s="287"/>
      <c r="S148" s="290"/>
      <c r="T148" s="273"/>
      <c r="U148" s="273"/>
      <c r="V148" s="273"/>
      <c r="W148" s="290"/>
      <c r="X148" s="273"/>
      <c r="Y148" s="142"/>
      <c r="Z148" s="273"/>
      <c r="AA148" s="273"/>
      <c r="AB148" s="273"/>
      <c r="AC148" s="273"/>
      <c r="AD148" s="273"/>
      <c r="AE148" s="273"/>
      <c r="AF148" s="287">
        <f t="shared" si="334"/>
        <v>0</v>
      </c>
      <c r="AG148" s="283">
        <f t="shared" si="319"/>
        <v>902.78400000000011</v>
      </c>
      <c r="AH148" s="228">
        <f>K148*$G148</f>
        <v>4019188.8659700006</v>
      </c>
      <c r="AI148" s="228">
        <f>L148*$G148</f>
        <v>3937976.3935500006</v>
      </c>
      <c r="AJ148" s="228">
        <f>M148*$G148</f>
        <v>0</v>
      </c>
      <c r="AK148" s="261">
        <f t="shared" si="338"/>
        <v>7957165.2595200017</v>
      </c>
      <c r="AL148" s="228">
        <f>O148*$G148</f>
        <v>0</v>
      </c>
      <c r="AM148" s="228">
        <f>P148*$G148</f>
        <v>0</v>
      </c>
      <c r="AN148" s="228">
        <f>Q148*$G148</f>
        <v>0</v>
      </c>
      <c r="AO148" s="261"/>
      <c r="AP148" s="228">
        <f t="shared" ref="AP148:AU148" si="353">S148*$J148</f>
        <v>0</v>
      </c>
      <c r="AQ148" s="228">
        <f t="shared" si="353"/>
        <v>0</v>
      </c>
      <c r="AR148" s="228">
        <f t="shared" si="353"/>
        <v>0</v>
      </c>
      <c r="AS148" s="228">
        <f t="shared" si="353"/>
        <v>0</v>
      </c>
      <c r="AT148" s="228">
        <f t="shared" si="353"/>
        <v>0</v>
      </c>
      <c r="AU148" s="228">
        <f t="shared" si="353"/>
        <v>0</v>
      </c>
      <c r="AV148" s="261"/>
      <c r="AW148" s="228">
        <f t="shared" ref="AW148:BB148" si="354">Z148*$J148</f>
        <v>0</v>
      </c>
      <c r="AX148" s="228">
        <f t="shared" si="354"/>
        <v>0</v>
      </c>
      <c r="AY148" s="228">
        <f t="shared" si="354"/>
        <v>0</v>
      </c>
      <c r="AZ148" s="228">
        <f t="shared" si="354"/>
        <v>0</v>
      </c>
      <c r="BA148" s="228">
        <f t="shared" si="354"/>
        <v>0</v>
      </c>
      <c r="BB148" s="228">
        <f t="shared" si="354"/>
        <v>0</v>
      </c>
      <c r="BC148" s="261">
        <f t="shared" si="335"/>
        <v>0</v>
      </c>
      <c r="BD148" s="239">
        <f t="shared" si="318"/>
        <v>7957165.2595200017</v>
      </c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  <c r="FF148" s="243"/>
      <c r="FG148" s="243"/>
      <c r="FH148" s="243"/>
      <c r="FI148" s="243"/>
      <c r="FJ148" s="243"/>
      <c r="FK148" s="243"/>
      <c r="FL148" s="243"/>
      <c r="FM148" s="243"/>
      <c r="FN148" s="243"/>
      <c r="FO148" s="243"/>
      <c r="FP148" s="243"/>
      <c r="FQ148" s="243"/>
      <c r="FR148" s="243"/>
      <c r="FS148" s="243"/>
      <c r="FT148" s="243"/>
      <c r="FU148" s="243"/>
      <c r="FV148" s="243"/>
      <c r="FW148" s="243"/>
      <c r="FX148" s="243"/>
      <c r="FY148" s="243"/>
      <c r="FZ148" s="243"/>
      <c r="GA148" s="243"/>
      <c r="GB148" s="243"/>
      <c r="GC148" s="243"/>
      <c r="GD148" s="243"/>
      <c r="GE148" s="243"/>
      <c r="GF148" s="243"/>
      <c r="GG148" s="243"/>
      <c r="GH148" s="243"/>
      <c r="GI148" s="243"/>
      <c r="GJ148" s="243"/>
      <c r="GK148" s="243"/>
      <c r="GL148" s="243"/>
      <c r="GM148" s="243"/>
      <c r="GN148" s="243"/>
      <c r="GO148" s="243"/>
      <c r="GP148" s="243"/>
      <c r="GQ148" s="243"/>
      <c r="GR148" s="243"/>
      <c r="GS148" s="243"/>
      <c r="GT148" s="243"/>
    </row>
    <row r="149" spans="1:202" s="79" customFormat="1" ht="11.25" customHeight="1">
      <c r="A149" s="187" t="s">
        <v>26</v>
      </c>
      <c r="B149" s="170" t="s">
        <v>692</v>
      </c>
      <c r="C149" s="216"/>
      <c r="D149" s="138"/>
      <c r="E149" s="142"/>
      <c r="F149" s="142"/>
      <c r="G149" s="177"/>
      <c r="H149" s="142"/>
      <c r="I149" s="142"/>
      <c r="J149" s="210"/>
      <c r="K149" s="251">
        <f>K150+K151</f>
        <v>1853.7930000000001</v>
      </c>
      <c r="L149" s="251">
        <f>L150+L151</f>
        <v>2111.2800000000002</v>
      </c>
      <c r="M149" s="251">
        <f>M150+M151</f>
        <v>0</v>
      </c>
      <c r="N149" s="284">
        <f t="shared" si="320"/>
        <v>3965.0730000000003</v>
      </c>
      <c r="O149" s="272"/>
      <c r="P149" s="272"/>
      <c r="Q149" s="289"/>
      <c r="R149" s="284"/>
      <c r="S149" s="289"/>
      <c r="T149" s="289"/>
      <c r="U149" s="289"/>
      <c r="V149" s="289"/>
      <c r="W149" s="289"/>
      <c r="X149" s="289"/>
      <c r="Y149" s="284"/>
      <c r="Z149" s="272"/>
      <c r="AA149" s="272"/>
      <c r="AB149" s="272"/>
      <c r="AC149" s="272"/>
      <c r="AD149" s="272"/>
      <c r="AE149" s="272"/>
      <c r="AF149" s="284"/>
      <c r="AG149" s="282">
        <f t="shared" si="319"/>
        <v>3965.0730000000003</v>
      </c>
      <c r="AH149" s="227">
        <f>AH150+AH151</f>
        <v>6038285.7871800009</v>
      </c>
      <c r="AI149" s="227">
        <f>AI150+AI151</f>
        <v>6876987.8928000005</v>
      </c>
      <c r="AJ149" s="227">
        <f>AJ150+AJ151</f>
        <v>0</v>
      </c>
      <c r="AK149" s="260">
        <f t="shared" si="338"/>
        <v>12915273.679980002</v>
      </c>
      <c r="AL149" s="227"/>
      <c r="AM149" s="227"/>
      <c r="AN149" s="227"/>
      <c r="AO149" s="260"/>
      <c r="AP149" s="227"/>
      <c r="AQ149" s="227"/>
      <c r="AR149" s="227"/>
      <c r="AS149" s="227"/>
      <c r="AT149" s="227"/>
      <c r="AU149" s="227"/>
      <c r="AV149" s="260"/>
      <c r="AW149" s="227"/>
      <c r="AX149" s="227"/>
      <c r="AY149" s="227"/>
      <c r="AZ149" s="227"/>
      <c r="BA149" s="227"/>
      <c r="BB149" s="227"/>
      <c r="BC149" s="260"/>
      <c r="BD149" s="238">
        <f t="shared" si="318"/>
        <v>12915273.679980002</v>
      </c>
      <c r="BE149" s="1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  <c r="FF149" s="243"/>
      <c r="FG149" s="243"/>
      <c r="FH149" s="243"/>
      <c r="FI149" s="243"/>
      <c r="FJ149" s="243"/>
      <c r="FK149" s="243"/>
      <c r="FL149" s="243"/>
      <c r="FM149" s="243"/>
      <c r="FN149" s="243"/>
      <c r="FO149" s="243"/>
      <c r="FP149" s="243"/>
      <c r="FQ149" s="243"/>
      <c r="FR149" s="243"/>
      <c r="FS149" s="243"/>
      <c r="FT149" s="243"/>
      <c r="FU149" s="243"/>
      <c r="FV149" s="243"/>
      <c r="FW149" s="243"/>
      <c r="FX149" s="243"/>
      <c r="FY149" s="243"/>
      <c r="FZ149" s="243"/>
      <c r="GA149" s="243"/>
      <c r="GB149" s="243"/>
      <c r="GC149" s="243"/>
      <c r="GD149" s="243"/>
      <c r="GE149" s="243"/>
      <c r="GF149" s="243"/>
      <c r="GG149" s="243"/>
      <c r="GH149" s="243"/>
      <c r="GI149" s="243"/>
      <c r="GJ149" s="243"/>
      <c r="GK149" s="243"/>
      <c r="GL149" s="243"/>
      <c r="GM149" s="243"/>
      <c r="GN149" s="243"/>
      <c r="GO149" s="243"/>
      <c r="GP149" s="243"/>
      <c r="GQ149" s="243"/>
      <c r="GR149" s="243"/>
      <c r="GS149" s="243"/>
      <c r="GT149" s="243"/>
    </row>
    <row r="150" spans="1:202" s="79" customFormat="1" ht="11.25" customHeight="1">
      <c r="A150" s="198"/>
      <c r="B150" s="172" t="s">
        <v>695</v>
      </c>
      <c r="C150" s="217"/>
      <c r="D150" s="140"/>
      <c r="E150" s="175">
        <v>5557.26</v>
      </c>
      <c r="F150" s="176">
        <v>2300</v>
      </c>
      <c r="G150" s="177">
        <f>E150-F150</f>
        <v>3257.26</v>
      </c>
      <c r="H150" s="175">
        <v>5557.26</v>
      </c>
      <c r="I150" s="176">
        <v>2300</v>
      </c>
      <c r="J150" s="210">
        <f>H150-I150</f>
        <v>3257.26</v>
      </c>
      <c r="K150" s="253">
        <v>1813.5250000000001</v>
      </c>
      <c r="L150" s="253">
        <v>2062.6390000000001</v>
      </c>
      <c r="M150" s="253"/>
      <c r="N150" s="287">
        <f t="shared" si="320"/>
        <v>3876.1640000000002</v>
      </c>
      <c r="O150" s="274"/>
      <c r="P150" s="274"/>
      <c r="Q150" s="291"/>
      <c r="R150" s="287"/>
      <c r="S150" s="291"/>
      <c r="T150" s="274"/>
      <c r="U150" s="274"/>
      <c r="V150" s="274"/>
      <c r="W150" s="291"/>
      <c r="X150" s="274"/>
      <c r="Y150" s="142"/>
      <c r="Z150" s="274"/>
      <c r="AA150" s="274"/>
      <c r="AB150" s="274"/>
      <c r="AC150" s="274"/>
      <c r="AD150" s="274"/>
      <c r="AE150" s="274"/>
      <c r="AF150" s="287"/>
      <c r="AG150" s="283">
        <f t="shared" si="319"/>
        <v>3876.1640000000002</v>
      </c>
      <c r="AH150" s="228">
        <f>K150*$G150</f>
        <v>5907122.4415000007</v>
      </c>
      <c r="AI150" s="228">
        <f>L150*$G150</f>
        <v>6718551.5091400007</v>
      </c>
      <c r="AJ150" s="228"/>
      <c r="AK150" s="261">
        <f t="shared" si="338"/>
        <v>12625673.95064</v>
      </c>
      <c r="AL150" s="229"/>
      <c r="AM150" s="229"/>
      <c r="AN150" s="229"/>
      <c r="AO150" s="261"/>
      <c r="AP150" s="229"/>
      <c r="AQ150" s="229"/>
      <c r="AR150" s="229"/>
      <c r="AS150" s="229"/>
      <c r="AT150" s="229"/>
      <c r="AU150" s="229"/>
      <c r="AV150" s="261"/>
      <c r="AW150" s="229"/>
      <c r="AX150" s="229"/>
      <c r="AY150" s="229"/>
      <c r="AZ150" s="229"/>
      <c r="BA150" s="229"/>
      <c r="BB150" s="229"/>
      <c r="BC150" s="261"/>
      <c r="BD150" s="239">
        <f t="shared" si="318"/>
        <v>12625673.95064</v>
      </c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  <c r="FF150" s="243"/>
      <c r="FG150" s="243"/>
      <c r="FH150" s="243"/>
      <c r="FI150" s="243"/>
      <c r="FJ150" s="243"/>
      <c r="FK150" s="243"/>
      <c r="FL150" s="243"/>
      <c r="FM150" s="243"/>
      <c r="FN150" s="243"/>
      <c r="FO150" s="243"/>
      <c r="FP150" s="243"/>
      <c r="FQ150" s="243"/>
      <c r="FR150" s="243"/>
      <c r="FS150" s="243"/>
      <c r="FT150" s="243"/>
      <c r="FU150" s="243"/>
      <c r="FV150" s="243"/>
      <c r="FW150" s="243"/>
      <c r="FX150" s="243"/>
      <c r="FY150" s="243"/>
      <c r="FZ150" s="243"/>
      <c r="GA150" s="243"/>
      <c r="GB150" s="243"/>
      <c r="GC150" s="243"/>
      <c r="GD150" s="243"/>
      <c r="GE150" s="243"/>
      <c r="GF150" s="243"/>
      <c r="GG150" s="243"/>
      <c r="GH150" s="243"/>
      <c r="GI150" s="243"/>
      <c r="GJ150" s="243"/>
      <c r="GK150" s="243"/>
      <c r="GL150" s="243"/>
      <c r="GM150" s="243"/>
      <c r="GN150" s="243"/>
      <c r="GO150" s="243"/>
      <c r="GP150" s="243"/>
      <c r="GQ150" s="243"/>
      <c r="GR150" s="243"/>
      <c r="GS150" s="243"/>
      <c r="GT150" s="243"/>
    </row>
    <row r="151" spans="1:202" s="79" customFormat="1" ht="11.25" customHeight="1">
      <c r="A151" s="198"/>
      <c r="B151" s="172" t="s">
        <v>696</v>
      </c>
      <c r="C151" s="217"/>
      <c r="D151" s="140"/>
      <c r="E151" s="175">
        <v>5557.26</v>
      </c>
      <c r="F151" s="176">
        <v>2300</v>
      </c>
      <c r="G151" s="177">
        <f>E151-F151</f>
        <v>3257.26</v>
      </c>
      <c r="H151" s="175">
        <v>5557.26</v>
      </c>
      <c r="I151" s="176">
        <v>2300</v>
      </c>
      <c r="J151" s="210">
        <f>H151-I151</f>
        <v>3257.26</v>
      </c>
      <c r="K151" s="253">
        <v>40.268000000000001</v>
      </c>
      <c r="L151" s="253">
        <v>48.640999999999998</v>
      </c>
      <c r="M151" s="253"/>
      <c r="N151" s="287">
        <f t="shared" si="320"/>
        <v>88.908999999999992</v>
      </c>
      <c r="O151" s="274"/>
      <c r="P151" s="274"/>
      <c r="Q151" s="291"/>
      <c r="R151" s="287"/>
      <c r="S151" s="291"/>
      <c r="T151" s="274"/>
      <c r="U151" s="274"/>
      <c r="V151" s="274"/>
      <c r="W151" s="291"/>
      <c r="X151" s="274"/>
      <c r="Y151" s="142"/>
      <c r="Z151" s="274"/>
      <c r="AA151" s="274"/>
      <c r="AB151" s="274"/>
      <c r="AC151" s="274"/>
      <c r="AD151" s="274"/>
      <c r="AE151" s="274"/>
      <c r="AF151" s="287"/>
      <c r="AG151" s="283">
        <f t="shared" si="319"/>
        <v>88.908999999999992</v>
      </c>
      <c r="AH151" s="228">
        <f>K151*$G151</f>
        <v>131163.34568</v>
      </c>
      <c r="AI151" s="228">
        <f>L151*$G151</f>
        <v>158436.38365999999</v>
      </c>
      <c r="AJ151" s="228"/>
      <c r="AK151" s="261">
        <f t="shared" si="338"/>
        <v>289599.72933999996</v>
      </c>
      <c r="AL151" s="229"/>
      <c r="AM151" s="229"/>
      <c r="AN151" s="229"/>
      <c r="AO151" s="261"/>
      <c r="AP151" s="229"/>
      <c r="AQ151" s="229"/>
      <c r="AR151" s="229"/>
      <c r="AS151" s="229"/>
      <c r="AT151" s="229"/>
      <c r="AU151" s="229"/>
      <c r="AV151" s="261"/>
      <c r="AW151" s="229"/>
      <c r="AX151" s="229"/>
      <c r="AY151" s="229"/>
      <c r="AZ151" s="229"/>
      <c r="BA151" s="229"/>
      <c r="BB151" s="229"/>
      <c r="BC151" s="261"/>
      <c r="BD151" s="239">
        <f t="shared" si="318"/>
        <v>289599.72933999996</v>
      </c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  <c r="FF151" s="243"/>
      <c r="FG151" s="243"/>
      <c r="FH151" s="243"/>
      <c r="FI151" s="243"/>
      <c r="FJ151" s="243"/>
      <c r="FK151" s="243"/>
      <c r="FL151" s="243"/>
      <c r="FM151" s="243"/>
      <c r="FN151" s="243"/>
      <c r="FO151" s="243"/>
      <c r="FP151" s="243"/>
      <c r="FQ151" s="243"/>
      <c r="FR151" s="243"/>
      <c r="FS151" s="243"/>
      <c r="FT151" s="243"/>
      <c r="FU151" s="243"/>
      <c r="FV151" s="243"/>
      <c r="FW151" s="243"/>
      <c r="FX151" s="243"/>
      <c r="FY151" s="243"/>
      <c r="FZ151" s="243"/>
      <c r="GA151" s="243"/>
      <c r="GB151" s="243"/>
      <c r="GC151" s="243"/>
      <c r="GD151" s="243"/>
      <c r="GE151" s="243"/>
      <c r="GF151" s="243"/>
      <c r="GG151" s="243"/>
      <c r="GH151" s="243"/>
      <c r="GI151" s="243"/>
      <c r="GJ151" s="243"/>
      <c r="GK151" s="243"/>
      <c r="GL151" s="243"/>
      <c r="GM151" s="243"/>
      <c r="GN151" s="243"/>
      <c r="GO151" s="243"/>
      <c r="GP151" s="243"/>
      <c r="GQ151" s="243"/>
      <c r="GR151" s="243"/>
      <c r="GS151" s="243"/>
      <c r="GT151" s="243"/>
    </row>
    <row r="152" spans="1:202" s="79" customFormat="1" ht="11.25" customHeight="1">
      <c r="A152" s="187" t="s">
        <v>26</v>
      </c>
      <c r="B152" s="170" t="s">
        <v>44</v>
      </c>
      <c r="C152" s="216" t="s">
        <v>232</v>
      </c>
      <c r="D152" s="138">
        <v>2909003034</v>
      </c>
      <c r="E152" s="147"/>
      <c r="F152" s="147"/>
      <c r="G152" s="177"/>
      <c r="H152" s="147"/>
      <c r="I152" s="147"/>
      <c r="J152" s="210"/>
      <c r="K152" s="251">
        <f>K153</f>
        <v>103.5</v>
      </c>
      <c r="L152" s="251">
        <f>L153</f>
        <v>103.5</v>
      </c>
      <c r="M152" s="251">
        <f>M153</f>
        <v>0</v>
      </c>
      <c r="N152" s="284">
        <f t="shared" si="320"/>
        <v>207</v>
      </c>
      <c r="O152" s="272">
        <f>O153</f>
        <v>0</v>
      </c>
      <c r="P152" s="272">
        <f>P153</f>
        <v>0</v>
      </c>
      <c r="Q152" s="272">
        <f>Q153</f>
        <v>0</v>
      </c>
      <c r="R152" s="284">
        <f>O152+P152+Q152</f>
        <v>0</v>
      </c>
      <c r="S152" s="289">
        <f t="shared" ref="S152:X152" si="355">S153</f>
        <v>0</v>
      </c>
      <c r="T152" s="289">
        <f t="shared" si="355"/>
        <v>0</v>
      </c>
      <c r="U152" s="289">
        <f t="shared" si="355"/>
        <v>0</v>
      </c>
      <c r="V152" s="289">
        <f t="shared" si="355"/>
        <v>0</v>
      </c>
      <c r="W152" s="289">
        <f t="shared" si="355"/>
        <v>0</v>
      </c>
      <c r="X152" s="289">
        <f t="shared" si="355"/>
        <v>0</v>
      </c>
      <c r="Y152" s="284">
        <f>SUM(S152:X152)</f>
        <v>0</v>
      </c>
      <c r="Z152" s="272">
        <f t="shared" ref="Z152:AE152" si="356">Z153</f>
        <v>0</v>
      </c>
      <c r="AA152" s="272">
        <f t="shared" si="356"/>
        <v>0</v>
      </c>
      <c r="AB152" s="272">
        <f t="shared" si="356"/>
        <v>0</v>
      </c>
      <c r="AC152" s="272">
        <f t="shared" si="356"/>
        <v>0</v>
      </c>
      <c r="AD152" s="272">
        <f t="shared" si="356"/>
        <v>0</v>
      </c>
      <c r="AE152" s="272">
        <f t="shared" si="356"/>
        <v>0</v>
      </c>
      <c r="AF152" s="284">
        <f>SUM(Z152:AE152)</f>
        <v>0</v>
      </c>
      <c r="AG152" s="282">
        <f t="shared" si="319"/>
        <v>207</v>
      </c>
      <c r="AH152" s="227">
        <f>AH153</f>
        <v>144307.98000000001</v>
      </c>
      <c r="AI152" s="227">
        <f>AI153</f>
        <v>144307.98000000001</v>
      </c>
      <c r="AJ152" s="227">
        <f>AJ153</f>
        <v>0</v>
      </c>
      <c r="AK152" s="260">
        <f t="shared" si="338"/>
        <v>288615.96000000002</v>
      </c>
      <c r="AL152" s="227">
        <f>AL153</f>
        <v>0</v>
      </c>
      <c r="AM152" s="227">
        <f>AM153</f>
        <v>0</v>
      </c>
      <c r="AN152" s="227">
        <f>AN153</f>
        <v>0</v>
      </c>
      <c r="AO152" s="260">
        <f>SUM(AL152:AN152)</f>
        <v>0</v>
      </c>
      <c r="AP152" s="227">
        <f t="shared" ref="AP152:AU152" si="357">AP153</f>
        <v>0</v>
      </c>
      <c r="AQ152" s="227">
        <f t="shared" si="357"/>
        <v>0</v>
      </c>
      <c r="AR152" s="227">
        <f t="shared" si="357"/>
        <v>0</v>
      </c>
      <c r="AS152" s="227">
        <f t="shared" si="357"/>
        <v>0</v>
      </c>
      <c r="AT152" s="227">
        <f t="shared" si="357"/>
        <v>0</v>
      </c>
      <c r="AU152" s="227">
        <f t="shared" si="357"/>
        <v>0</v>
      </c>
      <c r="AV152" s="260">
        <f>SUM(AP152:AU152)</f>
        <v>0</v>
      </c>
      <c r="AW152" s="227">
        <f t="shared" ref="AW152:BB152" si="358">AW153</f>
        <v>0</v>
      </c>
      <c r="AX152" s="227">
        <f t="shared" si="358"/>
        <v>0</v>
      </c>
      <c r="AY152" s="227">
        <f t="shared" si="358"/>
        <v>0</v>
      </c>
      <c r="AZ152" s="227">
        <f t="shared" si="358"/>
        <v>0</v>
      </c>
      <c r="BA152" s="227">
        <f t="shared" si="358"/>
        <v>0</v>
      </c>
      <c r="BB152" s="227">
        <f t="shared" si="358"/>
        <v>0</v>
      </c>
      <c r="BC152" s="260">
        <f>SUM(AW152:BB152)</f>
        <v>0</v>
      </c>
      <c r="BD152" s="238">
        <f t="shared" si="318"/>
        <v>288615.96000000002</v>
      </c>
      <c r="BE152" s="1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  <c r="FF152" s="243"/>
      <c r="FG152" s="243"/>
      <c r="FH152" s="243"/>
      <c r="FI152" s="243"/>
      <c r="FJ152" s="243"/>
      <c r="FK152" s="243"/>
      <c r="FL152" s="243"/>
      <c r="FM152" s="243"/>
      <c r="FN152" s="243"/>
      <c r="FO152" s="243"/>
      <c r="FP152" s="243"/>
      <c r="FQ152" s="243"/>
      <c r="FR152" s="243"/>
      <c r="FS152" s="243"/>
      <c r="FT152" s="243"/>
      <c r="FU152" s="243"/>
      <c r="FV152" s="243"/>
      <c r="FW152" s="243"/>
      <c r="FX152" s="243"/>
      <c r="FY152" s="243"/>
      <c r="FZ152" s="243"/>
      <c r="GA152" s="243"/>
      <c r="GB152" s="243"/>
      <c r="GC152" s="243"/>
      <c r="GD152" s="243"/>
      <c r="GE152" s="243"/>
      <c r="GF152" s="243"/>
      <c r="GG152" s="243"/>
      <c r="GH152" s="243"/>
      <c r="GI152" s="243"/>
      <c r="GJ152" s="243"/>
      <c r="GK152" s="243"/>
      <c r="GL152" s="243"/>
      <c r="GM152" s="243"/>
      <c r="GN152" s="243"/>
      <c r="GO152" s="243"/>
      <c r="GP152" s="243"/>
      <c r="GQ152" s="243"/>
      <c r="GR152" s="243"/>
      <c r="GS152" s="243"/>
      <c r="GT152" s="243"/>
    </row>
    <row r="153" spans="1:202" s="79" customFormat="1" ht="11.25" customHeight="1">
      <c r="A153" s="191"/>
      <c r="B153" s="145"/>
      <c r="C153" s="216"/>
      <c r="D153" s="141"/>
      <c r="E153" s="178">
        <v>3578.28</v>
      </c>
      <c r="F153" s="147">
        <v>2184</v>
      </c>
      <c r="G153" s="177">
        <f>E153-F153</f>
        <v>1394.2800000000002</v>
      </c>
      <c r="H153" s="178">
        <v>3578.28</v>
      </c>
      <c r="I153" s="147">
        <v>2184</v>
      </c>
      <c r="J153" s="210">
        <f>H153-I153</f>
        <v>1394.2800000000002</v>
      </c>
      <c r="K153" s="252">
        <v>103.5</v>
      </c>
      <c r="L153" s="252">
        <v>103.5</v>
      </c>
      <c r="M153" s="252"/>
      <c r="N153" s="287">
        <f t="shared" si="320"/>
        <v>207</v>
      </c>
      <c r="O153" s="273"/>
      <c r="P153" s="273"/>
      <c r="Q153" s="290"/>
      <c r="R153" s="287"/>
      <c r="S153" s="290"/>
      <c r="T153" s="273"/>
      <c r="U153" s="273"/>
      <c r="V153" s="273"/>
      <c r="W153" s="290"/>
      <c r="X153" s="273"/>
      <c r="Y153" s="142"/>
      <c r="Z153" s="273"/>
      <c r="AA153" s="273"/>
      <c r="AB153" s="273"/>
      <c r="AC153" s="273"/>
      <c r="AD153" s="273"/>
      <c r="AE153" s="273"/>
      <c r="AF153" s="287">
        <f>SUM(Z153:AE153)</f>
        <v>0</v>
      </c>
      <c r="AG153" s="283">
        <f t="shared" si="319"/>
        <v>207</v>
      </c>
      <c r="AH153" s="228">
        <f>K153*$G153</f>
        <v>144307.98000000001</v>
      </c>
      <c r="AI153" s="228">
        <f>L153*$G153</f>
        <v>144307.98000000001</v>
      </c>
      <c r="AJ153" s="228">
        <f>M153*$G153</f>
        <v>0</v>
      </c>
      <c r="AK153" s="261">
        <f t="shared" si="338"/>
        <v>288615.96000000002</v>
      </c>
      <c r="AL153" s="228">
        <f>O153*$G153</f>
        <v>0</v>
      </c>
      <c r="AM153" s="228">
        <f>P153*$G153</f>
        <v>0</v>
      </c>
      <c r="AN153" s="228">
        <f>Q153*$G153</f>
        <v>0</v>
      </c>
      <c r="AO153" s="261"/>
      <c r="AP153" s="228">
        <f t="shared" ref="AP153:AU153" si="359">S153*$J153</f>
        <v>0</v>
      </c>
      <c r="AQ153" s="228">
        <f t="shared" si="359"/>
        <v>0</v>
      </c>
      <c r="AR153" s="228">
        <f t="shared" si="359"/>
        <v>0</v>
      </c>
      <c r="AS153" s="228">
        <f t="shared" si="359"/>
        <v>0</v>
      </c>
      <c r="AT153" s="228">
        <f t="shared" si="359"/>
        <v>0</v>
      </c>
      <c r="AU153" s="228">
        <f t="shared" si="359"/>
        <v>0</v>
      </c>
      <c r="AV153" s="261"/>
      <c r="AW153" s="228">
        <f t="shared" ref="AW153:BB153" si="360">Z153*$J153</f>
        <v>0</v>
      </c>
      <c r="AX153" s="228">
        <f t="shared" si="360"/>
        <v>0</v>
      </c>
      <c r="AY153" s="228">
        <f t="shared" si="360"/>
        <v>0</v>
      </c>
      <c r="AZ153" s="228">
        <f t="shared" si="360"/>
        <v>0</v>
      </c>
      <c r="BA153" s="228">
        <f t="shared" si="360"/>
        <v>0</v>
      </c>
      <c r="BB153" s="228">
        <f t="shared" si="360"/>
        <v>0</v>
      </c>
      <c r="BC153" s="261">
        <f>SUM(AW153:BB153)</f>
        <v>0</v>
      </c>
      <c r="BD153" s="239">
        <f t="shared" si="318"/>
        <v>288615.96000000002</v>
      </c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  <c r="FF153" s="243"/>
      <c r="FG153" s="243"/>
      <c r="FH153" s="243"/>
      <c r="FI153" s="243"/>
      <c r="FJ153" s="243"/>
      <c r="FK153" s="243"/>
      <c r="FL153" s="243"/>
      <c r="FM153" s="243"/>
      <c r="FN153" s="243"/>
      <c r="FO153" s="243"/>
      <c r="FP153" s="243"/>
      <c r="FQ153" s="243"/>
      <c r="FR153" s="243"/>
      <c r="FS153" s="243"/>
      <c r="FT153" s="243"/>
      <c r="FU153" s="243"/>
      <c r="FV153" s="243"/>
      <c r="FW153" s="243"/>
      <c r="FX153" s="243"/>
      <c r="FY153" s="243"/>
      <c r="FZ153" s="243"/>
      <c r="GA153" s="243"/>
      <c r="GB153" s="243"/>
      <c r="GC153" s="243"/>
      <c r="GD153" s="243"/>
      <c r="GE153" s="243"/>
      <c r="GF153" s="243"/>
      <c r="GG153" s="243"/>
      <c r="GH153" s="243"/>
      <c r="GI153" s="243"/>
      <c r="GJ153" s="243"/>
      <c r="GK153" s="243"/>
      <c r="GL153" s="243"/>
      <c r="GM153" s="243"/>
      <c r="GN153" s="243"/>
      <c r="GO153" s="243"/>
      <c r="GP153" s="243"/>
      <c r="GQ153" s="243"/>
      <c r="GR153" s="243"/>
      <c r="GS153" s="243"/>
      <c r="GT153" s="243"/>
    </row>
    <row r="154" spans="1:202" s="79" customFormat="1" ht="22.5" customHeight="1">
      <c r="A154" s="187" t="s">
        <v>26</v>
      </c>
      <c r="B154" s="170" t="s">
        <v>215</v>
      </c>
      <c r="C154" s="216" t="s">
        <v>408</v>
      </c>
      <c r="D154" s="138">
        <v>2907017610</v>
      </c>
      <c r="E154" s="147"/>
      <c r="F154" s="144"/>
      <c r="G154" s="177"/>
      <c r="H154" s="147"/>
      <c r="I154" s="144"/>
      <c r="J154" s="210"/>
      <c r="K154" s="251"/>
      <c r="L154" s="251"/>
      <c r="M154" s="251"/>
      <c r="N154" s="284">
        <f t="shared" si="320"/>
        <v>0</v>
      </c>
      <c r="O154" s="272"/>
      <c r="P154" s="272"/>
      <c r="Q154" s="289"/>
      <c r="R154" s="284">
        <f>O154+P154+Q154</f>
        <v>0</v>
      </c>
      <c r="S154" s="289">
        <f t="shared" ref="S154:X154" si="361">S155</f>
        <v>0</v>
      </c>
      <c r="T154" s="289">
        <f t="shared" si="361"/>
        <v>0</v>
      </c>
      <c r="U154" s="289">
        <f t="shared" si="361"/>
        <v>0</v>
      </c>
      <c r="V154" s="289">
        <f t="shared" si="361"/>
        <v>0</v>
      </c>
      <c r="W154" s="289">
        <f t="shared" si="361"/>
        <v>0</v>
      </c>
      <c r="X154" s="289">
        <f t="shared" si="361"/>
        <v>0</v>
      </c>
      <c r="Y154" s="284">
        <f>SUM(S154:X154)</f>
        <v>0</v>
      </c>
      <c r="Z154" s="272">
        <f t="shared" ref="Z154:AE154" si="362">Z155</f>
        <v>0</v>
      </c>
      <c r="AA154" s="272">
        <f t="shared" si="362"/>
        <v>0</v>
      </c>
      <c r="AB154" s="272">
        <f t="shared" si="362"/>
        <v>0</v>
      </c>
      <c r="AC154" s="272">
        <f t="shared" si="362"/>
        <v>0</v>
      </c>
      <c r="AD154" s="272">
        <f t="shared" si="362"/>
        <v>0</v>
      </c>
      <c r="AE154" s="272">
        <f t="shared" si="362"/>
        <v>0</v>
      </c>
      <c r="AF154" s="284">
        <f>SUM(Z154:AE154)</f>
        <v>0</v>
      </c>
      <c r="AG154" s="282">
        <f t="shared" si="319"/>
        <v>0</v>
      </c>
      <c r="AH154" s="227">
        <f>AH155</f>
        <v>0</v>
      </c>
      <c r="AI154" s="227">
        <f>AI155</f>
        <v>0</v>
      </c>
      <c r="AJ154" s="227">
        <f>AJ155</f>
        <v>0</v>
      </c>
      <c r="AK154" s="260">
        <f t="shared" si="338"/>
        <v>0</v>
      </c>
      <c r="AL154" s="227">
        <f>AL155</f>
        <v>0</v>
      </c>
      <c r="AM154" s="227">
        <f>AM155</f>
        <v>0</v>
      </c>
      <c r="AN154" s="227">
        <f>AN155</f>
        <v>0</v>
      </c>
      <c r="AO154" s="260">
        <f>SUM(AL154:AN154)</f>
        <v>0</v>
      </c>
      <c r="AP154" s="227">
        <f t="shared" ref="AP154:AU154" si="363">AP155</f>
        <v>0</v>
      </c>
      <c r="AQ154" s="227">
        <f t="shared" si="363"/>
        <v>0</v>
      </c>
      <c r="AR154" s="227">
        <f t="shared" si="363"/>
        <v>0</v>
      </c>
      <c r="AS154" s="227">
        <f t="shared" si="363"/>
        <v>0</v>
      </c>
      <c r="AT154" s="227">
        <f t="shared" si="363"/>
        <v>0</v>
      </c>
      <c r="AU154" s="227">
        <f t="shared" si="363"/>
        <v>0</v>
      </c>
      <c r="AV154" s="260">
        <f t="shared" ref="AV154:AV187" si="364">SUM(AP154:AU154)</f>
        <v>0</v>
      </c>
      <c r="AW154" s="227">
        <f t="shared" ref="AW154:BB154" si="365">AW155</f>
        <v>0</v>
      </c>
      <c r="AX154" s="227">
        <f t="shared" si="365"/>
        <v>0</v>
      </c>
      <c r="AY154" s="227">
        <f t="shared" si="365"/>
        <v>0</v>
      </c>
      <c r="AZ154" s="227">
        <f t="shared" si="365"/>
        <v>0</v>
      </c>
      <c r="BA154" s="227">
        <f t="shared" si="365"/>
        <v>0</v>
      </c>
      <c r="BB154" s="227">
        <f t="shared" si="365"/>
        <v>0</v>
      </c>
      <c r="BC154" s="260">
        <f>SUM(AW154:BB154)</f>
        <v>0</v>
      </c>
      <c r="BD154" s="238">
        <f t="shared" si="318"/>
        <v>0</v>
      </c>
      <c r="BE154" s="1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  <c r="FF154" s="243"/>
      <c r="FG154" s="243"/>
      <c r="FH154" s="243"/>
      <c r="FI154" s="243"/>
      <c r="FJ154" s="243"/>
      <c r="FK154" s="243"/>
      <c r="FL154" s="243"/>
      <c r="FM154" s="243"/>
      <c r="FN154" s="243"/>
      <c r="FO154" s="243"/>
      <c r="FP154" s="243"/>
      <c r="FQ154" s="243"/>
      <c r="FR154" s="243"/>
      <c r="FS154" s="243"/>
      <c r="FT154" s="243"/>
      <c r="FU154" s="243"/>
      <c r="FV154" s="243"/>
      <c r="FW154" s="243"/>
      <c r="FX154" s="243"/>
      <c r="FY154" s="243"/>
      <c r="FZ154" s="243"/>
      <c r="GA154" s="243"/>
      <c r="GB154" s="243"/>
      <c r="GC154" s="243"/>
      <c r="GD154" s="243"/>
      <c r="GE154" s="243"/>
      <c r="GF154" s="243"/>
      <c r="GG154" s="243"/>
      <c r="GH154" s="243"/>
      <c r="GI154" s="243"/>
      <c r="GJ154" s="243"/>
      <c r="GK154" s="243"/>
      <c r="GL154" s="243"/>
      <c r="GM154" s="243"/>
      <c r="GN154" s="243"/>
      <c r="GO154" s="243"/>
      <c r="GP154" s="243"/>
      <c r="GQ154" s="243"/>
      <c r="GR154" s="243"/>
      <c r="GS154" s="243"/>
      <c r="GT154" s="243"/>
    </row>
    <row r="155" spans="1:202" s="79" customFormat="1" ht="22.5" customHeight="1">
      <c r="A155" s="187"/>
      <c r="B155" s="170"/>
      <c r="C155" s="216"/>
      <c r="D155" s="138"/>
      <c r="E155" s="147"/>
      <c r="F155" s="144"/>
      <c r="G155" s="177"/>
      <c r="H155" s="147"/>
      <c r="I155" s="144"/>
      <c r="J155" s="210"/>
      <c r="K155" s="251"/>
      <c r="L155" s="251"/>
      <c r="M155" s="251"/>
      <c r="N155" s="284"/>
      <c r="O155" s="272"/>
      <c r="P155" s="272"/>
      <c r="Q155" s="289"/>
      <c r="R155" s="284"/>
      <c r="S155" s="289"/>
      <c r="T155" s="272"/>
      <c r="U155" s="272"/>
      <c r="V155" s="272"/>
      <c r="W155" s="289"/>
      <c r="X155" s="263"/>
      <c r="Y155" s="284"/>
      <c r="Z155" s="272"/>
      <c r="AA155" s="272"/>
      <c r="AB155" s="272"/>
      <c r="AC155" s="272"/>
      <c r="AD155" s="272"/>
      <c r="AE155" s="272"/>
      <c r="AF155" s="284"/>
      <c r="AG155" s="282"/>
      <c r="AH155" s="227">
        <f>K155*$G155</f>
        <v>0</v>
      </c>
      <c r="AI155" s="227">
        <f>L155*$G155</f>
        <v>0</v>
      </c>
      <c r="AJ155" s="227">
        <f>M155*$G155</f>
        <v>0</v>
      </c>
      <c r="AK155" s="260"/>
      <c r="AL155" s="227">
        <f>O155*$G155</f>
        <v>0</v>
      </c>
      <c r="AM155" s="227">
        <f>P155*$G155</f>
        <v>0</v>
      </c>
      <c r="AN155" s="227">
        <f>Q155*$G155</f>
        <v>0</v>
      </c>
      <c r="AO155" s="260"/>
      <c r="AP155" s="228">
        <f t="shared" ref="AP155:AU155" si="366">S155*$J155</f>
        <v>0</v>
      </c>
      <c r="AQ155" s="228">
        <f t="shared" si="366"/>
        <v>0</v>
      </c>
      <c r="AR155" s="228">
        <f t="shared" si="366"/>
        <v>0</v>
      </c>
      <c r="AS155" s="228">
        <f t="shared" si="366"/>
        <v>0</v>
      </c>
      <c r="AT155" s="228">
        <f t="shared" si="366"/>
        <v>0</v>
      </c>
      <c r="AU155" s="228">
        <f t="shared" si="366"/>
        <v>0</v>
      </c>
      <c r="AV155" s="260"/>
      <c r="AW155" s="227">
        <f t="shared" ref="AW155:BB155" si="367">Z155*$J155</f>
        <v>0</v>
      </c>
      <c r="AX155" s="227">
        <f t="shared" si="367"/>
        <v>0</v>
      </c>
      <c r="AY155" s="227">
        <f t="shared" si="367"/>
        <v>0</v>
      </c>
      <c r="AZ155" s="227">
        <f t="shared" si="367"/>
        <v>0</v>
      </c>
      <c r="BA155" s="227">
        <f t="shared" si="367"/>
        <v>0</v>
      </c>
      <c r="BB155" s="227">
        <f t="shared" si="367"/>
        <v>0</v>
      </c>
      <c r="BC155" s="260"/>
      <c r="BD155" s="238"/>
      <c r="BE155" s="1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  <c r="FF155" s="243"/>
      <c r="FG155" s="243"/>
      <c r="FH155" s="243"/>
      <c r="FI155" s="243"/>
      <c r="FJ155" s="243"/>
      <c r="FK155" s="243"/>
      <c r="FL155" s="243"/>
      <c r="FM155" s="243"/>
      <c r="FN155" s="243"/>
      <c r="FO155" s="243"/>
      <c r="FP155" s="243"/>
      <c r="FQ155" s="243"/>
      <c r="FR155" s="243"/>
      <c r="FS155" s="243"/>
      <c r="FT155" s="243"/>
      <c r="FU155" s="243"/>
      <c r="FV155" s="243"/>
      <c r="FW155" s="243"/>
      <c r="FX155" s="243"/>
      <c r="FY155" s="243"/>
      <c r="FZ155" s="243"/>
      <c r="GA155" s="243"/>
      <c r="GB155" s="243"/>
      <c r="GC155" s="243"/>
      <c r="GD155" s="243"/>
      <c r="GE155" s="243"/>
      <c r="GF155" s="243"/>
      <c r="GG155" s="243"/>
      <c r="GH155" s="243"/>
      <c r="GI155" s="243"/>
      <c r="GJ155" s="243"/>
      <c r="GK155" s="243"/>
      <c r="GL155" s="243"/>
      <c r="GM155" s="243"/>
      <c r="GN155" s="243"/>
      <c r="GO155" s="243"/>
      <c r="GP155" s="243"/>
      <c r="GQ155" s="243"/>
      <c r="GR155" s="243"/>
      <c r="GS155" s="243"/>
      <c r="GT155" s="243"/>
    </row>
    <row r="156" spans="1:202" s="79" customFormat="1" ht="11.25" customHeight="1">
      <c r="A156" s="187" t="s">
        <v>26</v>
      </c>
      <c r="B156" s="170" t="s">
        <v>38</v>
      </c>
      <c r="C156" s="216" t="s">
        <v>223</v>
      </c>
      <c r="D156" s="138">
        <v>2901252021</v>
      </c>
      <c r="E156" s="142"/>
      <c r="F156" s="142"/>
      <c r="G156" s="177"/>
      <c r="H156" s="142"/>
      <c r="I156" s="142"/>
      <c r="J156" s="210"/>
      <c r="K156" s="251">
        <f>SUM(K157:K161)</f>
        <v>3605.8779999999997</v>
      </c>
      <c r="L156" s="251">
        <f>SUM(L157:L161)</f>
        <v>3275.5709999999999</v>
      </c>
      <c r="M156" s="251">
        <f>SUM(M158:M161)</f>
        <v>0</v>
      </c>
      <c r="N156" s="284">
        <f>SUM(K156:M156)</f>
        <v>6881.4489999999996</v>
      </c>
      <c r="O156" s="272">
        <f t="shared" ref="O156:AF156" si="368">SUM(O158:O161)</f>
        <v>0</v>
      </c>
      <c r="P156" s="272">
        <f t="shared" si="368"/>
        <v>0</v>
      </c>
      <c r="Q156" s="289">
        <f t="shared" si="368"/>
        <v>0</v>
      </c>
      <c r="R156" s="284">
        <f t="shared" si="368"/>
        <v>0</v>
      </c>
      <c r="S156" s="289">
        <f t="shared" si="368"/>
        <v>0</v>
      </c>
      <c r="T156" s="289">
        <f t="shared" si="368"/>
        <v>0</v>
      </c>
      <c r="U156" s="289">
        <f t="shared" si="368"/>
        <v>0</v>
      </c>
      <c r="V156" s="289">
        <f t="shared" si="368"/>
        <v>0</v>
      </c>
      <c r="W156" s="289">
        <f t="shared" si="368"/>
        <v>0</v>
      </c>
      <c r="X156" s="289">
        <f t="shared" si="368"/>
        <v>0</v>
      </c>
      <c r="Y156" s="284">
        <f t="shared" si="368"/>
        <v>0</v>
      </c>
      <c r="Z156" s="272">
        <f t="shared" si="368"/>
        <v>0</v>
      </c>
      <c r="AA156" s="272">
        <f t="shared" si="368"/>
        <v>0</v>
      </c>
      <c r="AB156" s="272">
        <f t="shared" si="368"/>
        <v>0</v>
      </c>
      <c r="AC156" s="272">
        <f t="shared" si="368"/>
        <v>0</v>
      </c>
      <c r="AD156" s="272">
        <f t="shared" si="368"/>
        <v>0</v>
      </c>
      <c r="AE156" s="272">
        <f t="shared" si="368"/>
        <v>0</v>
      </c>
      <c r="AF156" s="284">
        <f t="shared" si="368"/>
        <v>0</v>
      </c>
      <c r="AG156" s="282">
        <f t="shared" ref="AG156:AG187" si="369">AF156+Y156+R156+N156</f>
        <v>6881.4489999999996</v>
      </c>
      <c r="AH156" s="227">
        <f>SUM(AH157:AH161)</f>
        <v>1619834.3834200001</v>
      </c>
      <c r="AI156" s="227">
        <f>SUM(AI157:AI161)</f>
        <v>1410912.3306300002</v>
      </c>
      <c r="AJ156" s="227">
        <f>SUM(AJ158:AJ161)</f>
        <v>0</v>
      </c>
      <c r="AK156" s="260">
        <f t="shared" ref="AK156:AK161" si="370">SUM(AH156:AJ156)</f>
        <v>3030746.7140500005</v>
      </c>
      <c r="AL156" s="227">
        <f>SUM(AL158:AL161)</f>
        <v>0</v>
      </c>
      <c r="AM156" s="227">
        <f>SUM(AM158:AM161)</f>
        <v>0</v>
      </c>
      <c r="AN156" s="227">
        <f>SUM(AN158:AN161)</f>
        <v>0</v>
      </c>
      <c r="AO156" s="260">
        <f>SUM(AL156:AN156)</f>
        <v>0</v>
      </c>
      <c r="AP156" s="227">
        <f t="shared" ref="AP156:AU156" si="371">SUM(AP158:AP161)</f>
        <v>0</v>
      </c>
      <c r="AQ156" s="227">
        <f t="shared" si="371"/>
        <v>0</v>
      </c>
      <c r="AR156" s="227">
        <f t="shared" si="371"/>
        <v>0</v>
      </c>
      <c r="AS156" s="227">
        <f t="shared" si="371"/>
        <v>0</v>
      </c>
      <c r="AT156" s="227">
        <f t="shared" si="371"/>
        <v>0</v>
      </c>
      <c r="AU156" s="227">
        <f t="shared" si="371"/>
        <v>0</v>
      </c>
      <c r="AV156" s="260">
        <f t="shared" si="364"/>
        <v>0</v>
      </c>
      <c r="AW156" s="227">
        <f t="shared" ref="AW156:BB156" si="372">SUM(AW158:AW161)</f>
        <v>0</v>
      </c>
      <c r="AX156" s="227">
        <f t="shared" si="372"/>
        <v>0</v>
      </c>
      <c r="AY156" s="227">
        <f t="shared" si="372"/>
        <v>0</v>
      </c>
      <c r="AZ156" s="227">
        <f t="shared" si="372"/>
        <v>0</v>
      </c>
      <c r="BA156" s="227">
        <f t="shared" si="372"/>
        <v>0</v>
      </c>
      <c r="BB156" s="227">
        <f t="shared" si="372"/>
        <v>0</v>
      </c>
      <c r="BC156" s="260">
        <f>SUM(AW156:BB156)</f>
        <v>0</v>
      </c>
      <c r="BD156" s="238">
        <f t="shared" ref="BD156:BD220" si="373">BC156+AV156+AO156+AK156</f>
        <v>3030746.7140500005</v>
      </c>
      <c r="BE156" s="1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  <c r="FF156" s="243"/>
      <c r="FG156" s="243"/>
      <c r="FH156" s="243"/>
      <c r="FI156" s="243"/>
      <c r="FJ156" s="243"/>
      <c r="FK156" s="243"/>
      <c r="FL156" s="243"/>
      <c r="FM156" s="243"/>
      <c r="FN156" s="243"/>
      <c r="FO156" s="243"/>
      <c r="FP156" s="243"/>
      <c r="FQ156" s="243"/>
      <c r="FR156" s="243"/>
      <c r="FS156" s="243"/>
      <c r="FT156" s="243"/>
      <c r="FU156" s="243"/>
      <c r="FV156" s="243"/>
      <c r="FW156" s="243"/>
      <c r="FX156" s="243"/>
      <c r="FY156" s="243"/>
      <c r="FZ156" s="243"/>
      <c r="GA156" s="243"/>
      <c r="GB156" s="243"/>
      <c r="GC156" s="243"/>
      <c r="GD156" s="243"/>
      <c r="GE156" s="243"/>
      <c r="GF156" s="243"/>
      <c r="GG156" s="243"/>
      <c r="GH156" s="243"/>
      <c r="GI156" s="243"/>
      <c r="GJ156" s="243"/>
      <c r="GK156" s="243"/>
      <c r="GL156" s="243"/>
      <c r="GM156" s="243"/>
      <c r="GN156" s="243"/>
      <c r="GO156" s="243"/>
      <c r="GP156" s="243"/>
      <c r="GQ156" s="243"/>
      <c r="GR156" s="243"/>
      <c r="GS156" s="243"/>
      <c r="GT156" s="243"/>
    </row>
    <row r="157" spans="1:202" s="79" customFormat="1" ht="11.25" customHeight="1">
      <c r="A157" s="198"/>
      <c r="B157" s="172" t="s">
        <v>36</v>
      </c>
      <c r="C157" s="217"/>
      <c r="D157" s="140"/>
      <c r="E157" s="175">
        <v>2084.5</v>
      </c>
      <c r="F157" s="176">
        <v>1980</v>
      </c>
      <c r="G157" s="177">
        <f>E157-F157</f>
        <v>104.5</v>
      </c>
      <c r="H157" s="175">
        <v>2084.5</v>
      </c>
      <c r="I157" s="176">
        <v>1980</v>
      </c>
      <c r="J157" s="210">
        <f>H157-I157</f>
        <v>104.5</v>
      </c>
      <c r="K157" s="253">
        <v>1999.5989999999999</v>
      </c>
      <c r="L157" s="253">
        <v>1846.6759999999999</v>
      </c>
      <c r="M157" s="253"/>
      <c r="N157" s="287">
        <f>SUM(K157:M157)</f>
        <v>3846.2749999999996</v>
      </c>
      <c r="O157" s="274"/>
      <c r="P157" s="274"/>
      <c r="Q157" s="291"/>
      <c r="R157" s="287"/>
      <c r="S157" s="291"/>
      <c r="T157" s="274"/>
      <c r="U157" s="274"/>
      <c r="V157" s="274"/>
      <c r="W157" s="291"/>
      <c r="X157" s="274"/>
      <c r="Y157" s="142"/>
      <c r="Z157" s="274"/>
      <c r="AA157" s="274"/>
      <c r="AB157" s="274"/>
      <c r="AC157" s="274"/>
      <c r="AD157" s="274"/>
      <c r="AE157" s="274"/>
      <c r="AF157" s="287">
        <f>SUM(Z157:AE157)</f>
        <v>0</v>
      </c>
      <c r="AG157" s="283">
        <f t="shared" si="369"/>
        <v>3846.2749999999996</v>
      </c>
      <c r="AH157" s="228">
        <f t="shared" ref="AH157:AJ161" si="374">K157*$G157</f>
        <v>208958.0955</v>
      </c>
      <c r="AI157" s="228">
        <f t="shared" si="374"/>
        <v>192977.64199999999</v>
      </c>
      <c r="AJ157" s="228">
        <f t="shared" si="374"/>
        <v>0</v>
      </c>
      <c r="AK157" s="261">
        <f t="shared" si="370"/>
        <v>401935.73749999999</v>
      </c>
      <c r="AL157" s="229">
        <f t="shared" ref="AL157:AN161" si="375">O157*$G157</f>
        <v>0</v>
      </c>
      <c r="AM157" s="229">
        <f t="shared" si="375"/>
        <v>0</v>
      </c>
      <c r="AN157" s="229">
        <f t="shared" si="375"/>
        <v>0</v>
      </c>
      <c r="AO157" s="261"/>
      <c r="AP157" s="229">
        <f t="shared" ref="AP157:AU161" si="376">S157*$J157</f>
        <v>0</v>
      </c>
      <c r="AQ157" s="229">
        <f t="shared" si="376"/>
        <v>0</v>
      </c>
      <c r="AR157" s="229">
        <f t="shared" si="376"/>
        <v>0</v>
      </c>
      <c r="AS157" s="229">
        <f t="shared" si="376"/>
        <v>0</v>
      </c>
      <c r="AT157" s="229">
        <f t="shared" si="376"/>
        <v>0</v>
      </c>
      <c r="AU157" s="229">
        <f t="shared" si="376"/>
        <v>0</v>
      </c>
      <c r="AV157" s="261"/>
      <c r="AW157" s="229">
        <f t="shared" ref="AW157:BB161" si="377">Z157*$J157</f>
        <v>0</v>
      </c>
      <c r="AX157" s="229">
        <f t="shared" si="377"/>
        <v>0</v>
      </c>
      <c r="AY157" s="229">
        <f t="shared" si="377"/>
        <v>0</v>
      </c>
      <c r="AZ157" s="229">
        <f t="shared" si="377"/>
        <v>0</v>
      </c>
      <c r="BA157" s="229">
        <f t="shared" si="377"/>
        <v>0</v>
      </c>
      <c r="BB157" s="229">
        <f t="shared" si="377"/>
        <v>0</v>
      </c>
      <c r="BC157" s="261"/>
      <c r="BD157" s="239">
        <f t="shared" si="373"/>
        <v>401935.73749999999</v>
      </c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  <c r="FF157" s="243"/>
      <c r="FG157" s="243"/>
      <c r="FH157" s="243"/>
      <c r="FI157" s="243"/>
      <c r="FJ157" s="243"/>
      <c r="FK157" s="243"/>
      <c r="FL157" s="243"/>
      <c r="FM157" s="243"/>
      <c r="FN157" s="243"/>
      <c r="FO157" s="243"/>
      <c r="FP157" s="243"/>
      <c r="FQ157" s="243"/>
      <c r="FR157" s="243"/>
      <c r="FS157" s="243"/>
      <c r="FT157" s="243"/>
      <c r="FU157" s="243"/>
      <c r="FV157" s="243"/>
      <c r="FW157" s="243"/>
      <c r="FX157" s="243"/>
      <c r="FY157" s="243"/>
      <c r="FZ157" s="243"/>
      <c r="GA157" s="243"/>
      <c r="GB157" s="243"/>
      <c r="GC157" s="243"/>
      <c r="GD157" s="243"/>
      <c r="GE157" s="243"/>
      <c r="GF157" s="243"/>
      <c r="GG157" s="243"/>
      <c r="GH157" s="243"/>
      <c r="GI157" s="243"/>
      <c r="GJ157" s="243"/>
      <c r="GK157" s="243"/>
      <c r="GL157" s="243"/>
      <c r="GM157" s="243"/>
      <c r="GN157" s="243"/>
      <c r="GO157" s="243"/>
      <c r="GP157" s="243"/>
      <c r="GQ157" s="243"/>
      <c r="GR157" s="243"/>
      <c r="GS157" s="243"/>
      <c r="GT157" s="243"/>
    </row>
    <row r="158" spans="1:202" s="79" customFormat="1" ht="11.25" customHeight="1">
      <c r="A158" s="198"/>
      <c r="B158" s="172" t="s">
        <v>37</v>
      </c>
      <c r="C158" s="217"/>
      <c r="D158" s="140"/>
      <c r="E158" s="175">
        <v>3030.61</v>
      </c>
      <c r="F158" s="176">
        <v>1980</v>
      </c>
      <c r="G158" s="177">
        <f>E158-F158</f>
        <v>1050.6100000000001</v>
      </c>
      <c r="H158" s="175">
        <v>3030.61</v>
      </c>
      <c r="I158" s="176">
        <v>1980</v>
      </c>
      <c r="J158" s="210">
        <f>H158-I158</f>
        <v>1050.6100000000001</v>
      </c>
      <c r="K158" s="253">
        <v>1128.7149999999999</v>
      </c>
      <c r="L158" s="253">
        <v>933.17700000000002</v>
      </c>
      <c r="M158" s="253"/>
      <c r="N158" s="287">
        <f>SUM(K158:M158)</f>
        <v>2061.8919999999998</v>
      </c>
      <c r="O158" s="274"/>
      <c r="P158" s="274"/>
      <c r="Q158" s="291"/>
      <c r="R158" s="287"/>
      <c r="S158" s="291"/>
      <c r="T158" s="274"/>
      <c r="U158" s="274"/>
      <c r="V158" s="274"/>
      <c r="W158" s="291"/>
      <c r="X158" s="274"/>
      <c r="Y158" s="142"/>
      <c r="Z158" s="274"/>
      <c r="AA158" s="274"/>
      <c r="AB158" s="274"/>
      <c r="AC158" s="274"/>
      <c r="AD158" s="274"/>
      <c r="AE158" s="274"/>
      <c r="AF158" s="287">
        <f>SUM(Z158:AE158)</f>
        <v>0</v>
      </c>
      <c r="AG158" s="283">
        <f t="shared" si="369"/>
        <v>2061.8919999999998</v>
      </c>
      <c r="AH158" s="228">
        <f t="shared" si="374"/>
        <v>1185839.26615</v>
      </c>
      <c r="AI158" s="228">
        <f t="shared" si="374"/>
        <v>980405.08797000011</v>
      </c>
      <c r="AJ158" s="228">
        <f t="shared" si="374"/>
        <v>0</v>
      </c>
      <c r="AK158" s="261">
        <f t="shared" si="370"/>
        <v>2166244.3541200003</v>
      </c>
      <c r="AL158" s="229">
        <f t="shared" si="375"/>
        <v>0</v>
      </c>
      <c r="AM158" s="229">
        <f t="shared" si="375"/>
        <v>0</v>
      </c>
      <c r="AN158" s="229">
        <f t="shared" si="375"/>
        <v>0</v>
      </c>
      <c r="AO158" s="261"/>
      <c r="AP158" s="229">
        <f t="shared" si="376"/>
        <v>0</v>
      </c>
      <c r="AQ158" s="229">
        <f t="shared" si="376"/>
        <v>0</v>
      </c>
      <c r="AR158" s="229">
        <f t="shared" si="376"/>
        <v>0</v>
      </c>
      <c r="AS158" s="229">
        <f t="shared" si="376"/>
        <v>0</v>
      </c>
      <c r="AT158" s="229">
        <f t="shared" si="376"/>
        <v>0</v>
      </c>
      <c r="AU158" s="229">
        <f t="shared" si="376"/>
        <v>0</v>
      </c>
      <c r="AV158" s="261"/>
      <c r="AW158" s="229">
        <f t="shared" si="377"/>
        <v>0</v>
      </c>
      <c r="AX158" s="229">
        <f t="shared" si="377"/>
        <v>0</v>
      </c>
      <c r="AY158" s="229">
        <f t="shared" si="377"/>
        <v>0</v>
      </c>
      <c r="AZ158" s="229">
        <f t="shared" si="377"/>
        <v>0</v>
      </c>
      <c r="BA158" s="229">
        <f t="shared" si="377"/>
        <v>0</v>
      </c>
      <c r="BB158" s="229">
        <f t="shared" si="377"/>
        <v>0</v>
      </c>
      <c r="BC158" s="261"/>
      <c r="BD158" s="239">
        <f t="shared" si="373"/>
        <v>2166244.3541200003</v>
      </c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  <c r="FF158" s="243"/>
      <c r="FG158" s="243"/>
      <c r="FH158" s="243"/>
      <c r="FI158" s="243"/>
      <c r="FJ158" s="243"/>
      <c r="FK158" s="243"/>
      <c r="FL158" s="243"/>
      <c r="FM158" s="243"/>
      <c r="FN158" s="243"/>
      <c r="FO158" s="243"/>
      <c r="FP158" s="243"/>
      <c r="FQ158" s="243"/>
      <c r="FR158" s="243"/>
      <c r="FS158" s="243"/>
      <c r="FT158" s="243"/>
      <c r="FU158" s="243"/>
      <c r="FV158" s="243"/>
      <c r="FW158" s="243"/>
      <c r="FX158" s="243"/>
      <c r="FY158" s="243"/>
      <c r="FZ158" s="243"/>
      <c r="GA158" s="243"/>
      <c r="GB158" s="243"/>
      <c r="GC158" s="243"/>
      <c r="GD158" s="243"/>
      <c r="GE158" s="243"/>
      <c r="GF158" s="243"/>
      <c r="GG158" s="243"/>
      <c r="GH158" s="243"/>
      <c r="GI158" s="243"/>
      <c r="GJ158" s="243"/>
      <c r="GK158" s="243"/>
      <c r="GL158" s="243"/>
      <c r="GM158" s="243"/>
      <c r="GN158" s="243"/>
      <c r="GO158" s="243"/>
      <c r="GP158" s="243"/>
      <c r="GQ158" s="243"/>
      <c r="GR158" s="243"/>
      <c r="GS158" s="243"/>
      <c r="GT158" s="243"/>
    </row>
    <row r="159" spans="1:202" s="79" customFormat="1" ht="11.25" customHeight="1">
      <c r="A159" s="198"/>
      <c r="B159" s="172" t="s">
        <v>633</v>
      </c>
      <c r="C159" s="217"/>
      <c r="D159" s="140"/>
      <c r="E159" s="175">
        <v>2084.5</v>
      </c>
      <c r="F159" s="176">
        <v>1980</v>
      </c>
      <c r="G159" s="177">
        <f>E159-F159</f>
        <v>104.5</v>
      </c>
      <c r="H159" s="175">
        <v>2084.5</v>
      </c>
      <c r="I159" s="176">
        <v>1980</v>
      </c>
      <c r="J159" s="210">
        <f>H159-I159</f>
        <v>104.5</v>
      </c>
      <c r="K159" s="253">
        <v>292.45699999999999</v>
      </c>
      <c r="L159" s="253">
        <v>299.41199999999998</v>
      </c>
      <c r="M159" s="253"/>
      <c r="N159" s="287">
        <f>SUM(K159:M159)</f>
        <v>591.86899999999991</v>
      </c>
      <c r="O159" s="274"/>
      <c r="P159" s="274"/>
      <c r="Q159" s="291"/>
      <c r="R159" s="287"/>
      <c r="S159" s="291"/>
      <c r="T159" s="274"/>
      <c r="U159" s="274"/>
      <c r="V159" s="274"/>
      <c r="W159" s="291"/>
      <c r="X159" s="274"/>
      <c r="Y159" s="142"/>
      <c r="Z159" s="274"/>
      <c r="AA159" s="274"/>
      <c r="AB159" s="274"/>
      <c r="AC159" s="274"/>
      <c r="AD159" s="274"/>
      <c r="AE159" s="274"/>
      <c r="AF159" s="287">
        <f>SUM(Z159:AE159)</f>
        <v>0</v>
      </c>
      <c r="AG159" s="283">
        <f t="shared" si="369"/>
        <v>591.86899999999991</v>
      </c>
      <c r="AH159" s="228">
        <f t="shared" si="374"/>
        <v>30561.7565</v>
      </c>
      <c r="AI159" s="228">
        <f t="shared" si="374"/>
        <v>31288.553999999996</v>
      </c>
      <c r="AJ159" s="228">
        <f t="shared" si="374"/>
        <v>0</v>
      </c>
      <c r="AK159" s="261">
        <f t="shared" si="370"/>
        <v>61850.310499999992</v>
      </c>
      <c r="AL159" s="229">
        <f t="shared" si="375"/>
        <v>0</v>
      </c>
      <c r="AM159" s="229">
        <f t="shared" si="375"/>
        <v>0</v>
      </c>
      <c r="AN159" s="229">
        <f t="shared" si="375"/>
        <v>0</v>
      </c>
      <c r="AO159" s="261"/>
      <c r="AP159" s="229">
        <f t="shared" si="376"/>
        <v>0</v>
      </c>
      <c r="AQ159" s="229">
        <f t="shared" si="376"/>
        <v>0</v>
      </c>
      <c r="AR159" s="229">
        <f t="shared" si="376"/>
        <v>0</v>
      </c>
      <c r="AS159" s="229">
        <f t="shared" si="376"/>
        <v>0</v>
      </c>
      <c r="AT159" s="229">
        <f t="shared" si="376"/>
        <v>0</v>
      </c>
      <c r="AU159" s="229">
        <f t="shared" si="376"/>
        <v>0</v>
      </c>
      <c r="AV159" s="261"/>
      <c r="AW159" s="229">
        <f t="shared" si="377"/>
        <v>0</v>
      </c>
      <c r="AX159" s="229">
        <f t="shared" si="377"/>
        <v>0</v>
      </c>
      <c r="AY159" s="229">
        <f t="shared" si="377"/>
        <v>0</v>
      </c>
      <c r="AZ159" s="229">
        <f t="shared" si="377"/>
        <v>0</v>
      </c>
      <c r="BA159" s="229">
        <f t="shared" si="377"/>
        <v>0</v>
      </c>
      <c r="BB159" s="229">
        <f t="shared" si="377"/>
        <v>0</v>
      </c>
      <c r="BC159" s="261"/>
      <c r="BD159" s="239">
        <f t="shared" si="373"/>
        <v>61850.310499999992</v>
      </c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  <c r="FF159" s="243"/>
      <c r="FG159" s="243"/>
      <c r="FH159" s="243"/>
      <c r="FI159" s="243"/>
      <c r="FJ159" s="243"/>
      <c r="FK159" s="243"/>
      <c r="FL159" s="243"/>
      <c r="FM159" s="243"/>
      <c r="FN159" s="243"/>
      <c r="FO159" s="243"/>
      <c r="FP159" s="243"/>
      <c r="FQ159" s="243"/>
      <c r="FR159" s="243"/>
      <c r="FS159" s="243"/>
      <c r="FT159" s="243"/>
      <c r="FU159" s="243"/>
      <c r="FV159" s="243"/>
      <c r="FW159" s="243"/>
      <c r="FX159" s="243"/>
      <c r="FY159" s="243"/>
      <c r="FZ159" s="243"/>
      <c r="GA159" s="243"/>
      <c r="GB159" s="243"/>
      <c r="GC159" s="243"/>
      <c r="GD159" s="243"/>
      <c r="GE159" s="243"/>
      <c r="GF159" s="243"/>
      <c r="GG159" s="243"/>
      <c r="GH159" s="243"/>
      <c r="GI159" s="243"/>
      <c r="GJ159" s="243"/>
      <c r="GK159" s="243"/>
      <c r="GL159" s="243"/>
      <c r="GM159" s="243"/>
      <c r="GN159" s="243"/>
      <c r="GO159" s="243"/>
      <c r="GP159" s="243"/>
      <c r="GQ159" s="243"/>
      <c r="GR159" s="243"/>
      <c r="GS159" s="243"/>
      <c r="GT159" s="243"/>
    </row>
    <row r="160" spans="1:202" s="79" customFormat="1" ht="11.25" customHeight="1">
      <c r="A160" s="198"/>
      <c r="B160" s="172" t="s">
        <v>634</v>
      </c>
      <c r="C160" s="217"/>
      <c r="D160" s="140"/>
      <c r="E160" s="175">
        <v>3030.61</v>
      </c>
      <c r="F160" s="176">
        <v>1980</v>
      </c>
      <c r="G160" s="177">
        <f>E160-F160</f>
        <v>1050.6100000000001</v>
      </c>
      <c r="H160" s="175">
        <v>3030.61</v>
      </c>
      <c r="I160" s="176">
        <v>1980</v>
      </c>
      <c r="J160" s="210">
        <f>H160-I160</f>
        <v>1050.6100000000001</v>
      </c>
      <c r="K160" s="253">
        <v>185.107</v>
      </c>
      <c r="L160" s="253">
        <v>196.30600000000001</v>
      </c>
      <c r="M160" s="253"/>
      <c r="N160" s="287">
        <f>SUM(K160:M160)</f>
        <v>381.41300000000001</v>
      </c>
      <c r="O160" s="274"/>
      <c r="P160" s="274"/>
      <c r="Q160" s="291"/>
      <c r="R160" s="287"/>
      <c r="S160" s="291"/>
      <c r="T160" s="274"/>
      <c r="U160" s="274"/>
      <c r="V160" s="274"/>
      <c r="W160" s="291"/>
      <c r="X160" s="274"/>
      <c r="Y160" s="142"/>
      <c r="Z160" s="274"/>
      <c r="AA160" s="274"/>
      <c r="AB160" s="274"/>
      <c r="AC160" s="274"/>
      <c r="AD160" s="274"/>
      <c r="AE160" s="274"/>
      <c r="AF160" s="287">
        <f>SUM(Z160:AE160)</f>
        <v>0</v>
      </c>
      <c r="AG160" s="283">
        <f t="shared" si="369"/>
        <v>381.41300000000001</v>
      </c>
      <c r="AH160" s="228">
        <f t="shared" si="374"/>
        <v>194475.26527000003</v>
      </c>
      <c r="AI160" s="228">
        <f t="shared" si="374"/>
        <v>206241.04666000005</v>
      </c>
      <c r="AJ160" s="228">
        <f t="shared" si="374"/>
        <v>0</v>
      </c>
      <c r="AK160" s="261">
        <f t="shared" si="370"/>
        <v>400716.31193000008</v>
      </c>
      <c r="AL160" s="229">
        <f t="shared" si="375"/>
        <v>0</v>
      </c>
      <c r="AM160" s="229">
        <f t="shared" si="375"/>
        <v>0</v>
      </c>
      <c r="AN160" s="229">
        <f t="shared" si="375"/>
        <v>0</v>
      </c>
      <c r="AO160" s="261"/>
      <c r="AP160" s="229">
        <f t="shared" si="376"/>
        <v>0</v>
      </c>
      <c r="AQ160" s="229">
        <f t="shared" si="376"/>
        <v>0</v>
      </c>
      <c r="AR160" s="229">
        <f t="shared" si="376"/>
        <v>0</v>
      </c>
      <c r="AS160" s="229">
        <f t="shared" si="376"/>
        <v>0</v>
      </c>
      <c r="AT160" s="229">
        <f t="shared" si="376"/>
        <v>0</v>
      </c>
      <c r="AU160" s="229">
        <f t="shared" si="376"/>
        <v>0</v>
      </c>
      <c r="AV160" s="261"/>
      <c r="AW160" s="229">
        <f t="shared" si="377"/>
        <v>0</v>
      </c>
      <c r="AX160" s="229">
        <f t="shared" si="377"/>
        <v>0</v>
      </c>
      <c r="AY160" s="229">
        <f t="shared" si="377"/>
        <v>0</v>
      </c>
      <c r="AZ160" s="229">
        <f t="shared" si="377"/>
        <v>0</v>
      </c>
      <c r="BA160" s="229">
        <f t="shared" si="377"/>
        <v>0</v>
      </c>
      <c r="BB160" s="229">
        <f t="shared" si="377"/>
        <v>0</v>
      </c>
      <c r="BC160" s="261"/>
      <c r="BD160" s="239">
        <f t="shared" si="373"/>
        <v>400716.31193000008</v>
      </c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  <c r="FF160" s="243"/>
      <c r="FG160" s="243"/>
      <c r="FH160" s="243"/>
      <c r="FI160" s="243"/>
      <c r="FJ160" s="243"/>
      <c r="FK160" s="243"/>
      <c r="FL160" s="243"/>
      <c r="FM160" s="243"/>
      <c r="FN160" s="243"/>
      <c r="FO160" s="243"/>
      <c r="FP160" s="243"/>
      <c r="FQ160" s="243"/>
      <c r="FR160" s="243"/>
      <c r="FS160" s="243"/>
      <c r="FT160" s="243"/>
      <c r="FU160" s="243"/>
      <c r="FV160" s="243"/>
      <c r="FW160" s="243"/>
      <c r="FX160" s="243"/>
      <c r="FY160" s="243"/>
      <c r="FZ160" s="243"/>
      <c r="GA160" s="243"/>
      <c r="GB160" s="243"/>
      <c r="GC160" s="243"/>
      <c r="GD160" s="243"/>
      <c r="GE160" s="243"/>
      <c r="GF160" s="243"/>
      <c r="GG160" s="243"/>
      <c r="GH160" s="243"/>
      <c r="GI160" s="243"/>
      <c r="GJ160" s="243"/>
      <c r="GK160" s="243"/>
      <c r="GL160" s="243"/>
      <c r="GM160" s="243"/>
      <c r="GN160" s="243"/>
      <c r="GO160" s="243"/>
      <c r="GP160" s="243"/>
      <c r="GQ160" s="243"/>
      <c r="GR160" s="243"/>
      <c r="GS160" s="243"/>
      <c r="GT160" s="243"/>
    </row>
    <row r="161" spans="1:202" s="79" customFormat="1" ht="11.25" customHeight="1">
      <c r="A161" s="188"/>
      <c r="B161" s="172" t="s">
        <v>324</v>
      </c>
      <c r="C161" s="217"/>
      <c r="D161" s="140"/>
      <c r="E161" s="175"/>
      <c r="F161" s="176"/>
      <c r="G161" s="177"/>
      <c r="H161" s="175"/>
      <c r="I161" s="176"/>
      <c r="J161" s="210"/>
      <c r="K161" s="253"/>
      <c r="L161" s="253"/>
      <c r="M161" s="253"/>
      <c r="N161" s="287">
        <f>K161+L161+M161</f>
        <v>0</v>
      </c>
      <c r="O161" s="274"/>
      <c r="P161" s="274"/>
      <c r="Q161" s="291"/>
      <c r="R161" s="287">
        <f>O161+P161+Q161</f>
        <v>0</v>
      </c>
      <c r="S161" s="291"/>
      <c r="T161" s="274"/>
      <c r="U161" s="274"/>
      <c r="V161" s="274"/>
      <c r="W161" s="291"/>
      <c r="X161" s="265"/>
      <c r="Y161" s="142">
        <f>SUM(S161:X161)</f>
        <v>0</v>
      </c>
      <c r="Z161" s="274"/>
      <c r="AA161" s="274"/>
      <c r="AB161" s="274"/>
      <c r="AC161" s="274"/>
      <c r="AD161" s="274"/>
      <c r="AE161" s="274"/>
      <c r="AF161" s="287">
        <f>SUM(Z161:AE161)</f>
        <v>0</v>
      </c>
      <c r="AG161" s="283">
        <f t="shared" si="369"/>
        <v>0</v>
      </c>
      <c r="AH161" s="228">
        <f t="shared" si="374"/>
        <v>0</v>
      </c>
      <c r="AI161" s="228">
        <f t="shared" si="374"/>
        <v>0</v>
      </c>
      <c r="AJ161" s="228">
        <f t="shared" si="374"/>
        <v>0</v>
      </c>
      <c r="AK161" s="261">
        <f t="shared" si="370"/>
        <v>0</v>
      </c>
      <c r="AL161" s="229">
        <f t="shared" si="375"/>
        <v>0</v>
      </c>
      <c r="AM161" s="229">
        <f t="shared" si="375"/>
        <v>0</v>
      </c>
      <c r="AN161" s="229">
        <f t="shared" si="375"/>
        <v>0</v>
      </c>
      <c r="AO161" s="261">
        <f>SUM(AL161:AN161)</f>
        <v>0</v>
      </c>
      <c r="AP161" s="229">
        <f t="shared" si="376"/>
        <v>0</v>
      </c>
      <c r="AQ161" s="229">
        <f t="shared" si="376"/>
        <v>0</v>
      </c>
      <c r="AR161" s="229">
        <f t="shared" si="376"/>
        <v>0</v>
      </c>
      <c r="AS161" s="229">
        <f t="shared" si="376"/>
        <v>0</v>
      </c>
      <c r="AT161" s="229">
        <f t="shared" si="376"/>
        <v>0</v>
      </c>
      <c r="AU161" s="229">
        <f t="shared" si="376"/>
        <v>0</v>
      </c>
      <c r="AV161" s="261">
        <f t="shared" si="364"/>
        <v>0</v>
      </c>
      <c r="AW161" s="229">
        <f t="shared" si="377"/>
        <v>0</v>
      </c>
      <c r="AX161" s="229">
        <f t="shared" si="377"/>
        <v>0</v>
      </c>
      <c r="AY161" s="229">
        <f t="shared" si="377"/>
        <v>0</v>
      </c>
      <c r="AZ161" s="229">
        <f t="shared" si="377"/>
        <v>0</v>
      </c>
      <c r="BA161" s="229">
        <f t="shared" si="377"/>
        <v>0</v>
      </c>
      <c r="BB161" s="229">
        <f t="shared" si="377"/>
        <v>0</v>
      </c>
      <c r="BC161" s="261">
        <f t="shared" ref="BC161:BC166" si="378">SUM(AW161:BB161)</f>
        <v>0</v>
      </c>
      <c r="BD161" s="239">
        <f t="shared" si="373"/>
        <v>0</v>
      </c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  <c r="FF161" s="243"/>
      <c r="FG161" s="243"/>
      <c r="FH161" s="243"/>
      <c r="FI161" s="243"/>
      <c r="FJ161" s="243"/>
      <c r="FK161" s="243"/>
      <c r="FL161" s="243"/>
      <c r="FM161" s="243"/>
      <c r="FN161" s="243"/>
      <c r="FO161" s="243"/>
      <c r="FP161" s="243"/>
      <c r="FQ161" s="243"/>
      <c r="FR161" s="243"/>
      <c r="FS161" s="243"/>
      <c r="FT161" s="243"/>
      <c r="FU161" s="243"/>
      <c r="FV161" s="243"/>
      <c r="FW161" s="243"/>
      <c r="FX161" s="243"/>
      <c r="FY161" s="243"/>
      <c r="FZ161" s="243"/>
      <c r="GA161" s="243"/>
      <c r="GB161" s="243"/>
      <c r="GC161" s="243"/>
      <c r="GD161" s="243"/>
      <c r="GE161" s="243"/>
      <c r="GF161" s="243"/>
      <c r="GG161" s="243"/>
      <c r="GH161" s="243"/>
      <c r="GI161" s="243"/>
      <c r="GJ161" s="243"/>
      <c r="GK161" s="243"/>
      <c r="GL161" s="243"/>
      <c r="GM161" s="243"/>
      <c r="GN161" s="243"/>
      <c r="GO161" s="243"/>
      <c r="GP161" s="243"/>
      <c r="GQ161" s="243"/>
      <c r="GR161" s="243"/>
      <c r="GS161" s="243"/>
      <c r="GT161" s="243"/>
    </row>
    <row r="162" spans="1:202" s="79" customFormat="1" ht="11.25" customHeight="1">
      <c r="A162" s="187" t="s">
        <v>26</v>
      </c>
      <c r="B162" s="170" t="s">
        <v>30</v>
      </c>
      <c r="C162" s="216" t="s">
        <v>236</v>
      </c>
      <c r="D162" s="138">
        <v>2920011913</v>
      </c>
      <c r="E162" s="142"/>
      <c r="F162" s="142"/>
      <c r="G162" s="177"/>
      <c r="H162" s="142"/>
      <c r="I162" s="142"/>
      <c r="J162" s="210"/>
      <c r="K162" s="251">
        <f t="shared" ref="K162:Q162" si="379">SUM(K163:K164)</f>
        <v>0</v>
      </c>
      <c r="L162" s="251">
        <f t="shared" si="379"/>
        <v>0</v>
      </c>
      <c r="M162" s="251">
        <f t="shared" si="379"/>
        <v>0</v>
      </c>
      <c r="N162" s="284">
        <f t="shared" si="379"/>
        <v>0</v>
      </c>
      <c r="O162" s="272">
        <f t="shared" si="379"/>
        <v>0</v>
      </c>
      <c r="P162" s="272">
        <f t="shared" si="379"/>
        <v>0</v>
      </c>
      <c r="Q162" s="289">
        <f t="shared" si="379"/>
        <v>0</v>
      </c>
      <c r="R162" s="284">
        <f t="shared" ref="R162:AF162" si="380">SUM(R163:R164)</f>
        <v>0</v>
      </c>
      <c r="S162" s="289">
        <f t="shared" si="380"/>
        <v>0</v>
      </c>
      <c r="T162" s="289">
        <f t="shared" si="380"/>
        <v>0</v>
      </c>
      <c r="U162" s="289">
        <f t="shared" si="380"/>
        <v>0</v>
      </c>
      <c r="V162" s="289">
        <f t="shared" si="380"/>
        <v>0</v>
      </c>
      <c r="W162" s="289">
        <f t="shared" si="380"/>
        <v>0</v>
      </c>
      <c r="X162" s="289">
        <f t="shared" si="380"/>
        <v>0</v>
      </c>
      <c r="Y162" s="262">
        <f t="shared" si="380"/>
        <v>0</v>
      </c>
      <c r="Z162" s="272">
        <f t="shared" si="380"/>
        <v>0</v>
      </c>
      <c r="AA162" s="272">
        <f t="shared" si="380"/>
        <v>0</v>
      </c>
      <c r="AB162" s="272">
        <f t="shared" si="380"/>
        <v>0</v>
      </c>
      <c r="AC162" s="272">
        <f t="shared" si="380"/>
        <v>0</v>
      </c>
      <c r="AD162" s="272">
        <f t="shared" si="380"/>
        <v>0</v>
      </c>
      <c r="AE162" s="272">
        <f t="shared" si="380"/>
        <v>0</v>
      </c>
      <c r="AF162" s="284">
        <f t="shared" si="380"/>
        <v>0</v>
      </c>
      <c r="AG162" s="282">
        <f t="shared" si="369"/>
        <v>0</v>
      </c>
      <c r="AH162" s="227">
        <f t="shared" ref="AH162:AN162" si="381">SUM(AH163:AH164)</f>
        <v>0</v>
      </c>
      <c r="AI162" s="227">
        <f t="shared" si="381"/>
        <v>0</v>
      </c>
      <c r="AJ162" s="227">
        <f t="shared" si="381"/>
        <v>0</v>
      </c>
      <c r="AK162" s="260">
        <f t="shared" si="381"/>
        <v>0</v>
      </c>
      <c r="AL162" s="227">
        <f t="shared" si="381"/>
        <v>0</v>
      </c>
      <c r="AM162" s="227">
        <f t="shared" si="381"/>
        <v>0</v>
      </c>
      <c r="AN162" s="227">
        <f t="shared" si="381"/>
        <v>0</v>
      </c>
      <c r="AO162" s="260">
        <f>SUM(AL162:AN162)</f>
        <v>0</v>
      </c>
      <c r="AP162" s="227">
        <f t="shared" ref="AP162:AU162" si="382">SUM(AP163:AP164)</f>
        <v>0</v>
      </c>
      <c r="AQ162" s="227">
        <f t="shared" si="382"/>
        <v>0</v>
      </c>
      <c r="AR162" s="227">
        <f t="shared" si="382"/>
        <v>0</v>
      </c>
      <c r="AS162" s="227">
        <f t="shared" si="382"/>
        <v>0</v>
      </c>
      <c r="AT162" s="227">
        <f t="shared" si="382"/>
        <v>0</v>
      </c>
      <c r="AU162" s="227">
        <f t="shared" si="382"/>
        <v>0</v>
      </c>
      <c r="AV162" s="260">
        <f t="shared" si="364"/>
        <v>0</v>
      </c>
      <c r="AW162" s="227">
        <f t="shared" ref="AW162:BB162" si="383">SUM(AW163:AW164)</f>
        <v>0</v>
      </c>
      <c r="AX162" s="227">
        <f t="shared" si="383"/>
        <v>0</v>
      </c>
      <c r="AY162" s="227">
        <f t="shared" si="383"/>
        <v>0</v>
      </c>
      <c r="AZ162" s="227">
        <f t="shared" si="383"/>
        <v>0</v>
      </c>
      <c r="BA162" s="227">
        <f t="shared" si="383"/>
        <v>0</v>
      </c>
      <c r="BB162" s="227">
        <f t="shared" si="383"/>
        <v>0</v>
      </c>
      <c r="BC162" s="260">
        <f t="shared" si="378"/>
        <v>0</v>
      </c>
      <c r="BD162" s="238">
        <f t="shared" si="373"/>
        <v>0</v>
      </c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  <c r="FF162" s="243"/>
      <c r="FG162" s="243"/>
      <c r="FH162" s="243"/>
      <c r="FI162" s="243"/>
      <c r="FJ162" s="243"/>
      <c r="FK162" s="243"/>
      <c r="FL162" s="243"/>
      <c r="FM162" s="243"/>
      <c r="FN162" s="243"/>
      <c r="FO162" s="243"/>
      <c r="FP162" s="243"/>
      <c r="FQ162" s="243"/>
      <c r="FR162" s="243"/>
      <c r="FS162" s="243"/>
      <c r="FT162" s="243"/>
      <c r="FU162" s="243"/>
      <c r="FV162" s="243"/>
      <c r="FW162" s="243"/>
      <c r="FX162" s="243"/>
      <c r="FY162" s="243"/>
      <c r="FZ162" s="243"/>
      <c r="GA162" s="243"/>
      <c r="GB162" s="243"/>
      <c r="GC162" s="243"/>
      <c r="GD162" s="243"/>
      <c r="GE162" s="243"/>
      <c r="GF162" s="243"/>
      <c r="GG162" s="243"/>
      <c r="GH162" s="243"/>
      <c r="GI162" s="243"/>
      <c r="GJ162" s="243"/>
      <c r="GK162" s="243"/>
      <c r="GL162" s="243"/>
      <c r="GM162" s="243"/>
      <c r="GN162" s="243"/>
      <c r="GO162" s="243"/>
      <c r="GP162" s="243"/>
      <c r="GQ162" s="243"/>
      <c r="GR162" s="243"/>
      <c r="GS162" s="243"/>
      <c r="GT162" s="243"/>
    </row>
    <row r="163" spans="1:202" s="79" customFormat="1" ht="11.25" customHeight="1">
      <c r="A163" s="188"/>
      <c r="B163" s="172" t="s">
        <v>323</v>
      </c>
      <c r="C163" s="217"/>
      <c r="D163" s="140"/>
      <c r="E163" s="175"/>
      <c r="F163" s="176"/>
      <c r="G163" s="177"/>
      <c r="H163" s="175"/>
      <c r="I163" s="176"/>
      <c r="J163" s="210"/>
      <c r="K163" s="253"/>
      <c r="L163" s="253"/>
      <c r="M163" s="253"/>
      <c r="N163" s="287">
        <f>K163+L163+M163</f>
        <v>0</v>
      </c>
      <c r="O163" s="274"/>
      <c r="P163" s="274"/>
      <c r="Q163" s="291"/>
      <c r="R163" s="287">
        <f>O163+P163+Q163</f>
        <v>0</v>
      </c>
      <c r="S163" s="291"/>
      <c r="T163" s="274"/>
      <c r="U163" s="274"/>
      <c r="V163" s="274"/>
      <c r="W163" s="291"/>
      <c r="X163" s="265"/>
      <c r="Y163" s="142">
        <f>SUM(S163:X163)</f>
        <v>0</v>
      </c>
      <c r="Z163" s="274"/>
      <c r="AA163" s="274"/>
      <c r="AB163" s="274"/>
      <c r="AC163" s="274"/>
      <c r="AD163" s="274"/>
      <c r="AE163" s="274"/>
      <c r="AF163" s="287">
        <f>SUM(Z163:AE163)</f>
        <v>0</v>
      </c>
      <c r="AG163" s="283">
        <f t="shared" si="369"/>
        <v>0</v>
      </c>
      <c r="AH163" s="229">
        <f t="shared" ref="AH163:AJ164" si="384">K163*$G163</f>
        <v>0</v>
      </c>
      <c r="AI163" s="229">
        <f t="shared" si="384"/>
        <v>0</v>
      </c>
      <c r="AJ163" s="229">
        <f t="shared" si="384"/>
        <v>0</v>
      </c>
      <c r="AK163" s="261">
        <f>AH163+AI163+AJ163</f>
        <v>0</v>
      </c>
      <c r="AL163" s="229">
        <f t="shared" ref="AL163:AN164" si="385">O163*$G163</f>
        <v>0</v>
      </c>
      <c r="AM163" s="229">
        <f t="shared" si="385"/>
        <v>0</v>
      </c>
      <c r="AN163" s="229">
        <f t="shared" si="385"/>
        <v>0</v>
      </c>
      <c r="AO163" s="261">
        <f>SUM(AL163:AN163)</f>
        <v>0</v>
      </c>
      <c r="AP163" s="229">
        <f t="shared" ref="AP163:AU164" si="386">S163*$J163</f>
        <v>0</v>
      </c>
      <c r="AQ163" s="229">
        <f t="shared" si="386"/>
        <v>0</v>
      </c>
      <c r="AR163" s="229">
        <f t="shared" si="386"/>
        <v>0</v>
      </c>
      <c r="AS163" s="229">
        <f t="shared" si="386"/>
        <v>0</v>
      </c>
      <c r="AT163" s="229">
        <f t="shared" si="386"/>
        <v>0</v>
      </c>
      <c r="AU163" s="229">
        <f t="shared" si="386"/>
        <v>0</v>
      </c>
      <c r="AV163" s="261">
        <f t="shared" si="364"/>
        <v>0</v>
      </c>
      <c r="AW163" s="229">
        <f t="shared" ref="AW163:BB164" si="387">Z163*$J163</f>
        <v>0</v>
      </c>
      <c r="AX163" s="229">
        <f t="shared" si="387"/>
        <v>0</v>
      </c>
      <c r="AY163" s="229">
        <f t="shared" si="387"/>
        <v>0</v>
      </c>
      <c r="AZ163" s="229">
        <f t="shared" si="387"/>
        <v>0</v>
      </c>
      <c r="BA163" s="229">
        <f t="shared" si="387"/>
        <v>0</v>
      </c>
      <c r="BB163" s="229">
        <f t="shared" si="387"/>
        <v>0</v>
      </c>
      <c r="BC163" s="261">
        <f t="shared" si="378"/>
        <v>0</v>
      </c>
      <c r="BD163" s="239">
        <f t="shared" si="373"/>
        <v>0</v>
      </c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  <c r="FB163" s="243"/>
      <c r="FC163" s="243"/>
      <c r="FD163" s="243"/>
      <c r="FE163" s="243"/>
      <c r="FF163" s="243"/>
      <c r="FG163" s="243"/>
      <c r="FH163" s="243"/>
      <c r="FI163" s="243"/>
      <c r="FJ163" s="243"/>
      <c r="FK163" s="243"/>
      <c r="FL163" s="243"/>
      <c r="FM163" s="243"/>
      <c r="FN163" s="243"/>
      <c r="FO163" s="243"/>
      <c r="FP163" s="243"/>
      <c r="FQ163" s="243"/>
      <c r="FR163" s="243"/>
      <c r="FS163" s="243"/>
      <c r="FT163" s="243"/>
      <c r="FU163" s="243"/>
      <c r="FV163" s="243"/>
      <c r="FW163" s="243"/>
      <c r="FX163" s="243"/>
      <c r="FY163" s="243"/>
      <c r="FZ163" s="243"/>
      <c r="GA163" s="243"/>
      <c r="GB163" s="243"/>
      <c r="GC163" s="243"/>
      <c r="GD163" s="243"/>
      <c r="GE163" s="243"/>
      <c r="GF163" s="243"/>
      <c r="GG163" s="243"/>
      <c r="GH163" s="243"/>
      <c r="GI163" s="243"/>
      <c r="GJ163" s="243"/>
      <c r="GK163" s="243"/>
      <c r="GL163" s="243"/>
      <c r="GM163" s="243"/>
      <c r="GN163" s="243"/>
      <c r="GO163" s="243"/>
      <c r="GP163" s="243"/>
      <c r="GQ163" s="243"/>
      <c r="GR163" s="243"/>
      <c r="GS163" s="243"/>
      <c r="GT163" s="243"/>
    </row>
    <row r="164" spans="1:202" s="79" customFormat="1" ht="11.25" customHeight="1">
      <c r="A164" s="188"/>
      <c r="B164" s="172" t="s">
        <v>324</v>
      </c>
      <c r="C164" s="217"/>
      <c r="D164" s="140"/>
      <c r="E164" s="175"/>
      <c r="F164" s="176"/>
      <c r="G164" s="177"/>
      <c r="H164" s="175"/>
      <c r="I164" s="176"/>
      <c r="J164" s="210"/>
      <c r="K164" s="253"/>
      <c r="L164" s="253"/>
      <c r="M164" s="253"/>
      <c r="N164" s="287">
        <f>K164+L164+M164</f>
        <v>0</v>
      </c>
      <c r="O164" s="274"/>
      <c r="P164" s="274"/>
      <c r="Q164" s="291"/>
      <c r="R164" s="287">
        <f>O164+P164+Q164</f>
        <v>0</v>
      </c>
      <c r="S164" s="291"/>
      <c r="T164" s="274"/>
      <c r="U164" s="274"/>
      <c r="V164" s="274"/>
      <c r="W164" s="291"/>
      <c r="X164" s="265"/>
      <c r="Y164" s="142">
        <f>SUM(S164:X164)</f>
        <v>0</v>
      </c>
      <c r="Z164" s="274"/>
      <c r="AA164" s="274"/>
      <c r="AB164" s="274"/>
      <c r="AC164" s="274"/>
      <c r="AD164" s="274"/>
      <c r="AE164" s="274"/>
      <c r="AF164" s="287">
        <f>SUM(Z164:AE164)</f>
        <v>0</v>
      </c>
      <c r="AG164" s="283">
        <f t="shared" si="369"/>
        <v>0</v>
      </c>
      <c r="AH164" s="229">
        <f t="shared" si="384"/>
        <v>0</v>
      </c>
      <c r="AI164" s="229">
        <f t="shared" si="384"/>
        <v>0</v>
      </c>
      <c r="AJ164" s="229">
        <f t="shared" si="384"/>
        <v>0</v>
      </c>
      <c r="AK164" s="261">
        <f>AH164+AI164+AJ164</f>
        <v>0</v>
      </c>
      <c r="AL164" s="229">
        <f t="shared" si="385"/>
        <v>0</v>
      </c>
      <c r="AM164" s="229">
        <f t="shared" si="385"/>
        <v>0</v>
      </c>
      <c r="AN164" s="229">
        <f t="shared" si="385"/>
        <v>0</v>
      </c>
      <c r="AO164" s="261">
        <f>SUM(AL164:AN164)</f>
        <v>0</v>
      </c>
      <c r="AP164" s="229">
        <f t="shared" si="386"/>
        <v>0</v>
      </c>
      <c r="AQ164" s="229">
        <f t="shared" si="386"/>
        <v>0</v>
      </c>
      <c r="AR164" s="229">
        <f t="shared" si="386"/>
        <v>0</v>
      </c>
      <c r="AS164" s="229">
        <f t="shared" si="386"/>
        <v>0</v>
      </c>
      <c r="AT164" s="229">
        <f t="shared" si="386"/>
        <v>0</v>
      </c>
      <c r="AU164" s="229">
        <f t="shared" si="386"/>
        <v>0</v>
      </c>
      <c r="AV164" s="261">
        <f t="shared" si="364"/>
        <v>0</v>
      </c>
      <c r="AW164" s="229">
        <f t="shared" si="387"/>
        <v>0</v>
      </c>
      <c r="AX164" s="229">
        <f t="shared" si="387"/>
        <v>0</v>
      </c>
      <c r="AY164" s="229">
        <f t="shared" si="387"/>
        <v>0</v>
      </c>
      <c r="AZ164" s="229">
        <f t="shared" si="387"/>
        <v>0</v>
      </c>
      <c r="BA164" s="229">
        <f t="shared" si="387"/>
        <v>0</v>
      </c>
      <c r="BB164" s="229">
        <f t="shared" si="387"/>
        <v>0</v>
      </c>
      <c r="BC164" s="261">
        <f t="shared" si="378"/>
        <v>0</v>
      </c>
      <c r="BD164" s="239">
        <f t="shared" si="373"/>
        <v>0</v>
      </c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  <c r="FF164" s="243"/>
      <c r="FG164" s="243"/>
      <c r="FH164" s="243"/>
      <c r="FI164" s="243"/>
      <c r="FJ164" s="243"/>
      <c r="FK164" s="243"/>
      <c r="FL164" s="243"/>
      <c r="FM164" s="243"/>
      <c r="FN164" s="243"/>
      <c r="FO164" s="243"/>
      <c r="FP164" s="243"/>
      <c r="FQ164" s="243"/>
      <c r="FR164" s="243"/>
      <c r="FS164" s="243"/>
      <c r="FT164" s="243"/>
      <c r="FU164" s="243"/>
      <c r="FV164" s="243"/>
      <c r="FW164" s="243"/>
      <c r="FX164" s="243"/>
      <c r="FY164" s="243"/>
      <c r="FZ164" s="243"/>
      <c r="GA164" s="243"/>
      <c r="GB164" s="243"/>
      <c r="GC164" s="243"/>
      <c r="GD164" s="243"/>
      <c r="GE164" s="243"/>
      <c r="GF164" s="243"/>
      <c r="GG164" s="243"/>
      <c r="GH164" s="243"/>
      <c r="GI164" s="243"/>
      <c r="GJ164" s="243"/>
      <c r="GK164" s="243"/>
      <c r="GL164" s="243"/>
      <c r="GM164" s="243"/>
      <c r="GN164" s="243"/>
      <c r="GO164" s="243"/>
      <c r="GP164" s="243"/>
      <c r="GQ164" s="243"/>
      <c r="GR164" s="243"/>
      <c r="GS164" s="243"/>
      <c r="GT164" s="243"/>
    </row>
    <row r="165" spans="1:202" s="79" customFormat="1" ht="11.25" customHeight="1">
      <c r="A165" s="187" t="s">
        <v>56</v>
      </c>
      <c r="B165" s="170" t="s">
        <v>137</v>
      </c>
      <c r="C165" s="216" t="s">
        <v>355</v>
      </c>
      <c r="D165" s="138">
        <v>7736186950</v>
      </c>
      <c r="E165" s="147"/>
      <c r="F165" s="147"/>
      <c r="G165" s="177"/>
      <c r="H165" s="147"/>
      <c r="I165" s="147"/>
      <c r="J165" s="210"/>
      <c r="K165" s="251">
        <f>K166</f>
        <v>0</v>
      </c>
      <c r="L165" s="251">
        <f>L166</f>
        <v>0</v>
      </c>
      <c r="M165" s="251">
        <f>M166</f>
        <v>0</v>
      </c>
      <c r="N165" s="284">
        <f>K165+L165+M165</f>
        <v>0</v>
      </c>
      <c r="O165" s="272">
        <f>O166</f>
        <v>0</v>
      </c>
      <c r="P165" s="272">
        <f>P166</f>
        <v>0</v>
      </c>
      <c r="Q165" s="272">
        <f>Q166</f>
        <v>0</v>
      </c>
      <c r="R165" s="284">
        <f>O165+P165+Q165</f>
        <v>0</v>
      </c>
      <c r="S165" s="289">
        <f t="shared" ref="S165:X165" si="388">S166</f>
        <v>0</v>
      </c>
      <c r="T165" s="289">
        <f t="shared" si="388"/>
        <v>0</v>
      </c>
      <c r="U165" s="289">
        <f t="shared" si="388"/>
        <v>0</v>
      </c>
      <c r="V165" s="289">
        <f t="shared" si="388"/>
        <v>0</v>
      </c>
      <c r="W165" s="289">
        <f t="shared" si="388"/>
        <v>0</v>
      </c>
      <c r="X165" s="289">
        <f t="shared" si="388"/>
        <v>0</v>
      </c>
      <c r="Y165" s="262">
        <f>SUM(S165:X165)</f>
        <v>0</v>
      </c>
      <c r="Z165" s="272">
        <f t="shared" ref="Z165:AE165" si="389">Z166</f>
        <v>0</v>
      </c>
      <c r="AA165" s="272">
        <f t="shared" si="389"/>
        <v>0</v>
      </c>
      <c r="AB165" s="272">
        <f t="shared" si="389"/>
        <v>0</v>
      </c>
      <c r="AC165" s="272">
        <f t="shared" si="389"/>
        <v>0</v>
      </c>
      <c r="AD165" s="272">
        <f t="shared" si="389"/>
        <v>0</v>
      </c>
      <c r="AE165" s="272">
        <f t="shared" si="389"/>
        <v>0</v>
      </c>
      <c r="AF165" s="284">
        <f>SUM(Z165:AE165)</f>
        <v>0</v>
      </c>
      <c r="AG165" s="282">
        <f t="shared" si="369"/>
        <v>0</v>
      </c>
      <c r="AH165" s="227">
        <f>AH166</f>
        <v>0</v>
      </c>
      <c r="AI165" s="227">
        <f>AI166</f>
        <v>0</v>
      </c>
      <c r="AJ165" s="227">
        <f>AJ166</f>
        <v>0</v>
      </c>
      <c r="AK165" s="260">
        <f>AH165+AI165+AJ165</f>
        <v>0</v>
      </c>
      <c r="AL165" s="227">
        <f>AL166</f>
        <v>0</v>
      </c>
      <c r="AM165" s="227">
        <f>AM166</f>
        <v>0</v>
      </c>
      <c r="AN165" s="227">
        <f>AN166</f>
        <v>0</v>
      </c>
      <c r="AO165" s="260">
        <f>SUM(AL165:AN165)</f>
        <v>0</v>
      </c>
      <c r="AP165" s="227">
        <f t="shared" ref="AP165:AU165" si="390">AP166</f>
        <v>0</v>
      </c>
      <c r="AQ165" s="227">
        <f t="shared" si="390"/>
        <v>0</v>
      </c>
      <c r="AR165" s="227">
        <f t="shared" si="390"/>
        <v>0</v>
      </c>
      <c r="AS165" s="227">
        <f t="shared" si="390"/>
        <v>0</v>
      </c>
      <c r="AT165" s="227">
        <f t="shared" si="390"/>
        <v>0</v>
      </c>
      <c r="AU165" s="227">
        <f t="shared" si="390"/>
        <v>0</v>
      </c>
      <c r="AV165" s="260">
        <f t="shared" si="364"/>
        <v>0</v>
      </c>
      <c r="AW165" s="227">
        <f t="shared" ref="AW165:BB165" si="391">AW166</f>
        <v>0</v>
      </c>
      <c r="AX165" s="227">
        <f t="shared" si="391"/>
        <v>0</v>
      </c>
      <c r="AY165" s="227">
        <f t="shared" si="391"/>
        <v>0</v>
      </c>
      <c r="AZ165" s="227">
        <f t="shared" si="391"/>
        <v>0</v>
      </c>
      <c r="BA165" s="227">
        <f t="shared" si="391"/>
        <v>0</v>
      </c>
      <c r="BB165" s="227">
        <f t="shared" si="391"/>
        <v>0</v>
      </c>
      <c r="BC165" s="260">
        <f t="shared" si="378"/>
        <v>0</v>
      </c>
      <c r="BD165" s="238">
        <f t="shared" si="373"/>
        <v>0</v>
      </c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  <c r="FF165" s="243"/>
      <c r="FG165" s="243"/>
      <c r="FH165" s="243"/>
      <c r="FI165" s="243"/>
      <c r="FJ165" s="243"/>
      <c r="FK165" s="243"/>
      <c r="FL165" s="243"/>
      <c r="FM165" s="243"/>
      <c r="FN165" s="243"/>
      <c r="FO165" s="243"/>
      <c r="FP165" s="243"/>
      <c r="FQ165" s="243"/>
      <c r="FR165" s="243"/>
      <c r="FS165" s="243"/>
      <c r="FT165" s="243"/>
      <c r="FU165" s="243"/>
      <c r="FV165" s="243"/>
      <c r="FW165" s="243"/>
      <c r="FX165" s="243"/>
      <c r="FY165" s="243"/>
      <c r="FZ165" s="243"/>
      <c r="GA165" s="243"/>
      <c r="GB165" s="243"/>
      <c r="GC165" s="243"/>
      <c r="GD165" s="243"/>
      <c r="GE165" s="243"/>
      <c r="GF165" s="243"/>
      <c r="GG165" s="243"/>
      <c r="GH165" s="243"/>
      <c r="GI165" s="243"/>
      <c r="GJ165" s="243"/>
      <c r="GK165" s="243"/>
      <c r="GL165" s="243"/>
      <c r="GM165" s="243"/>
      <c r="GN165" s="243"/>
      <c r="GO165" s="243"/>
      <c r="GP165" s="243"/>
      <c r="GQ165" s="243"/>
      <c r="GR165" s="243"/>
      <c r="GS165" s="243"/>
      <c r="GT165" s="243"/>
    </row>
    <row r="166" spans="1:202" s="79" customFormat="1" ht="11.25" customHeight="1">
      <c r="A166" s="189"/>
      <c r="B166" s="144"/>
      <c r="C166" s="216"/>
      <c r="D166" s="146"/>
      <c r="E166" s="147">
        <v>1257.49</v>
      </c>
      <c r="F166" s="144">
        <v>841.67</v>
      </c>
      <c r="G166" s="177">
        <f>E166-F166</f>
        <v>415.82000000000005</v>
      </c>
      <c r="H166" s="147">
        <v>1257.49</v>
      </c>
      <c r="I166" s="144">
        <v>841.67</v>
      </c>
      <c r="J166" s="210">
        <f>H166-I166</f>
        <v>415.82000000000005</v>
      </c>
      <c r="K166" s="252"/>
      <c r="L166" s="252"/>
      <c r="M166" s="252"/>
      <c r="N166" s="287"/>
      <c r="O166" s="273"/>
      <c r="P166" s="273"/>
      <c r="Q166" s="290"/>
      <c r="R166" s="287"/>
      <c r="S166" s="290"/>
      <c r="T166" s="264"/>
      <c r="U166" s="273"/>
      <c r="V166" s="273"/>
      <c r="W166" s="290"/>
      <c r="X166" s="264"/>
      <c r="Y166" s="142"/>
      <c r="Z166" s="273"/>
      <c r="AA166" s="273"/>
      <c r="AB166" s="273"/>
      <c r="AC166" s="273"/>
      <c r="AD166" s="273"/>
      <c r="AE166" s="273"/>
      <c r="AF166" s="287">
        <f>SUM(Z166:AE166)</f>
        <v>0</v>
      </c>
      <c r="AG166" s="283">
        <f t="shared" si="369"/>
        <v>0</v>
      </c>
      <c r="AH166" s="228">
        <f>K166*$G166</f>
        <v>0</v>
      </c>
      <c r="AI166" s="228">
        <f>L166*$G166</f>
        <v>0</v>
      </c>
      <c r="AJ166" s="228">
        <f>M166*$G166</f>
        <v>0</v>
      </c>
      <c r="AK166" s="261"/>
      <c r="AL166" s="228">
        <f>O166*$G166</f>
        <v>0</v>
      </c>
      <c r="AM166" s="228">
        <f>P166*$G166</f>
        <v>0</v>
      </c>
      <c r="AN166" s="228">
        <f>Q166*$G166</f>
        <v>0</v>
      </c>
      <c r="AO166" s="261"/>
      <c r="AP166" s="228">
        <f t="shared" ref="AP166:AU166" si="392">S166*$J166</f>
        <v>0</v>
      </c>
      <c r="AQ166" s="228">
        <f t="shared" si="392"/>
        <v>0</v>
      </c>
      <c r="AR166" s="228">
        <f t="shared" si="392"/>
        <v>0</v>
      </c>
      <c r="AS166" s="228">
        <f t="shared" si="392"/>
        <v>0</v>
      </c>
      <c r="AT166" s="228">
        <f t="shared" si="392"/>
        <v>0</v>
      </c>
      <c r="AU166" s="228">
        <f t="shared" si="392"/>
        <v>0</v>
      </c>
      <c r="AV166" s="261"/>
      <c r="AW166" s="228">
        <f t="shared" ref="AW166:BB166" si="393">Z166*$J166</f>
        <v>0</v>
      </c>
      <c r="AX166" s="228">
        <f t="shared" si="393"/>
        <v>0</v>
      </c>
      <c r="AY166" s="228">
        <f t="shared" si="393"/>
        <v>0</v>
      </c>
      <c r="AZ166" s="228">
        <f t="shared" si="393"/>
        <v>0</v>
      </c>
      <c r="BA166" s="228">
        <f t="shared" si="393"/>
        <v>0</v>
      </c>
      <c r="BB166" s="228">
        <f t="shared" si="393"/>
        <v>0</v>
      </c>
      <c r="BC166" s="261">
        <f t="shared" si="378"/>
        <v>0</v>
      </c>
      <c r="BD166" s="239">
        <f t="shared" si="373"/>
        <v>0</v>
      </c>
      <c r="BE166" s="244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  <c r="FB166" s="243"/>
      <c r="FC166" s="243"/>
      <c r="FD166" s="243"/>
      <c r="FE166" s="243"/>
      <c r="FF166" s="243"/>
      <c r="FG166" s="243"/>
      <c r="FH166" s="243"/>
      <c r="FI166" s="243"/>
      <c r="FJ166" s="243"/>
      <c r="FK166" s="243"/>
      <c r="FL166" s="243"/>
      <c r="FM166" s="243"/>
      <c r="FN166" s="243"/>
      <c r="FO166" s="243"/>
      <c r="FP166" s="243"/>
      <c r="FQ166" s="243"/>
      <c r="FR166" s="243"/>
      <c r="FS166" s="243"/>
      <c r="FT166" s="243"/>
      <c r="FU166" s="243"/>
      <c r="FV166" s="243"/>
      <c r="FW166" s="243"/>
      <c r="FX166" s="243"/>
      <c r="FY166" s="243"/>
      <c r="FZ166" s="243"/>
      <c r="GA166" s="243"/>
      <c r="GB166" s="243"/>
      <c r="GC166" s="243"/>
      <c r="GD166" s="243"/>
      <c r="GE166" s="243"/>
      <c r="GF166" s="243"/>
      <c r="GG166" s="243"/>
      <c r="GH166" s="243"/>
      <c r="GI166" s="243"/>
      <c r="GJ166" s="243"/>
      <c r="GK166" s="243"/>
      <c r="GL166" s="243"/>
      <c r="GM166" s="243"/>
      <c r="GN166" s="243"/>
      <c r="GO166" s="243"/>
      <c r="GP166" s="243"/>
      <c r="GQ166" s="243"/>
      <c r="GR166" s="243"/>
      <c r="GS166" s="243"/>
      <c r="GT166" s="243"/>
    </row>
    <row r="167" spans="1:202" s="79" customFormat="1" ht="11.25" customHeight="1">
      <c r="A167" s="187" t="s">
        <v>56</v>
      </c>
      <c r="B167" s="170" t="s">
        <v>580</v>
      </c>
      <c r="C167" s="216" t="s">
        <v>240</v>
      </c>
      <c r="D167" s="138">
        <v>2907018878</v>
      </c>
      <c r="E167" s="147"/>
      <c r="F167" s="144"/>
      <c r="G167" s="177"/>
      <c r="H167" s="147"/>
      <c r="I167" s="144"/>
      <c r="J167" s="210"/>
      <c r="K167" s="251">
        <f>K168</f>
        <v>693.11400000000003</v>
      </c>
      <c r="L167" s="251">
        <f>L168</f>
        <v>569.83600000000001</v>
      </c>
      <c r="M167" s="251"/>
      <c r="N167" s="284">
        <f>SUM(K167:M167)</f>
        <v>1262.95</v>
      </c>
      <c r="O167" s="272"/>
      <c r="P167" s="272"/>
      <c r="Q167" s="289"/>
      <c r="R167" s="284"/>
      <c r="S167" s="289"/>
      <c r="T167" s="263"/>
      <c r="U167" s="272"/>
      <c r="V167" s="272"/>
      <c r="W167" s="289"/>
      <c r="X167" s="263"/>
      <c r="Y167" s="262"/>
      <c r="Z167" s="272"/>
      <c r="AA167" s="272"/>
      <c r="AB167" s="272"/>
      <c r="AC167" s="272"/>
      <c r="AD167" s="272"/>
      <c r="AE167" s="272"/>
      <c r="AF167" s="284">
        <f>SUM(AF168:AF168)</f>
        <v>0</v>
      </c>
      <c r="AG167" s="282">
        <f t="shared" si="369"/>
        <v>1262.95</v>
      </c>
      <c r="AH167" s="227">
        <f>AH168</f>
        <v>2129468.0044800001</v>
      </c>
      <c r="AI167" s="227">
        <f>AI168</f>
        <v>1750718.5395199999</v>
      </c>
      <c r="AJ167" s="227">
        <f>AJ168</f>
        <v>0</v>
      </c>
      <c r="AK167" s="260">
        <f t="shared" ref="AK167:AK180" si="394">AH167+AI167+AJ167</f>
        <v>3880186.5439999998</v>
      </c>
      <c r="AL167" s="227">
        <f>AL168</f>
        <v>0</v>
      </c>
      <c r="AM167" s="227">
        <f>AM168</f>
        <v>0</v>
      </c>
      <c r="AN167" s="227">
        <f>AN168</f>
        <v>0</v>
      </c>
      <c r="AO167" s="260"/>
      <c r="AP167" s="227">
        <f t="shared" ref="AP167:AU167" si="395">AP168</f>
        <v>0</v>
      </c>
      <c r="AQ167" s="227">
        <f t="shared" si="395"/>
        <v>0</v>
      </c>
      <c r="AR167" s="227">
        <f t="shared" si="395"/>
        <v>0</v>
      </c>
      <c r="AS167" s="227">
        <f t="shared" si="395"/>
        <v>0</v>
      </c>
      <c r="AT167" s="227">
        <f t="shared" si="395"/>
        <v>0</v>
      </c>
      <c r="AU167" s="227">
        <f t="shared" si="395"/>
        <v>0</v>
      </c>
      <c r="AV167" s="260"/>
      <c r="AW167" s="227" t="e">
        <f>AW168+#REF!</f>
        <v>#REF!</v>
      </c>
      <c r="AX167" s="227" t="e">
        <f>AX168+#REF!</f>
        <v>#REF!</v>
      </c>
      <c r="AY167" s="227" t="e">
        <f>AY168+#REF!</f>
        <v>#REF!</v>
      </c>
      <c r="AZ167" s="227" t="e">
        <f>AZ168+#REF!</f>
        <v>#REF!</v>
      </c>
      <c r="BA167" s="227" t="e">
        <f>BA168+#REF!</f>
        <v>#REF!</v>
      </c>
      <c r="BB167" s="227" t="e">
        <f>BB168+#REF!</f>
        <v>#REF!</v>
      </c>
      <c r="BC167" s="260">
        <f>BC168</f>
        <v>0</v>
      </c>
      <c r="BD167" s="238">
        <f t="shared" si="373"/>
        <v>3880186.5439999998</v>
      </c>
      <c r="BE167" s="1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  <c r="FF167" s="243"/>
      <c r="FG167" s="243"/>
      <c r="FH167" s="243"/>
      <c r="FI167" s="243"/>
      <c r="FJ167" s="243"/>
      <c r="FK167" s="243"/>
      <c r="FL167" s="243"/>
      <c r="FM167" s="243"/>
      <c r="FN167" s="243"/>
      <c r="FO167" s="243"/>
      <c r="FP167" s="243"/>
      <c r="FQ167" s="243"/>
      <c r="FR167" s="243"/>
      <c r="FS167" s="243"/>
      <c r="FT167" s="243"/>
      <c r="FU167" s="243"/>
      <c r="FV167" s="243"/>
      <c r="FW167" s="243"/>
      <c r="FX167" s="243"/>
      <c r="FY167" s="243"/>
      <c r="FZ167" s="243"/>
      <c r="GA167" s="243"/>
      <c r="GB167" s="243"/>
      <c r="GC167" s="243"/>
      <c r="GD167" s="243"/>
      <c r="GE167" s="243"/>
      <c r="GF167" s="243"/>
      <c r="GG167" s="243"/>
      <c r="GH167" s="243"/>
      <c r="GI167" s="243"/>
      <c r="GJ167" s="243"/>
      <c r="GK167" s="243"/>
      <c r="GL167" s="243"/>
      <c r="GM167" s="243"/>
      <c r="GN167" s="243"/>
      <c r="GO167" s="243"/>
      <c r="GP167" s="243"/>
      <c r="GQ167" s="243"/>
      <c r="GR167" s="243"/>
      <c r="GS167" s="243"/>
      <c r="GT167" s="243"/>
    </row>
    <row r="168" spans="1:202" s="79" customFormat="1" ht="11.25" customHeight="1">
      <c r="A168" s="189"/>
      <c r="B168" s="144" t="s">
        <v>581</v>
      </c>
      <c r="C168" s="216"/>
      <c r="D168" s="146"/>
      <c r="E168" s="147">
        <v>4516.49</v>
      </c>
      <c r="F168" s="144">
        <v>1444.17</v>
      </c>
      <c r="G168" s="177">
        <f>E168-F168</f>
        <v>3072.3199999999997</v>
      </c>
      <c r="H168" s="147">
        <v>4516.49</v>
      </c>
      <c r="I168" s="144">
        <v>1444.17</v>
      </c>
      <c r="J168" s="210">
        <f>H168-I168</f>
        <v>3072.3199999999997</v>
      </c>
      <c r="K168" s="252">
        <v>693.11400000000003</v>
      </c>
      <c r="L168" s="252">
        <v>569.83600000000001</v>
      </c>
      <c r="M168" s="252"/>
      <c r="N168" s="287">
        <f>SUM(K168:M168)</f>
        <v>1262.95</v>
      </c>
      <c r="O168" s="273"/>
      <c r="P168" s="273"/>
      <c r="Q168" s="290"/>
      <c r="R168" s="287"/>
      <c r="S168" s="290"/>
      <c r="T168" s="273"/>
      <c r="U168" s="273"/>
      <c r="V168" s="273"/>
      <c r="W168" s="290"/>
      <c r="X168" s="264"/>
      <c r="Y168" s="142"/>
      <c r="Z168" s="273"/>
      <c r="AA168" s="273"/>
      <c r="AB168" s="273"/>
      <c r="AC168" s="273"/>
      <c r="AD168" s="273"/>
      <c r="AE168" s="273"/>
      <c r="AF168" s="287">
        <f>SUM(Z168:AE168)</f>
        <v>0</v>
      </c>
      <c r="AG168" s="283">
        <f t="shared" si="369"/>
        <v>1262.95</v>
      </c>
      <c r="AH168" s="228">
        <f>K168*$G168</f>
        <v>2129468.0044800001</v>
      </c>
      <c r="AI168" s="228">
        <f>L168*$G168</f>
        <v>1750718.5395199999</v>
      </c>
      <c r="AJ168" s="228">
        <f>M168*$G168</f>
        <v>0</v>
      </c>
      <c r="AK168" s="261">
        <f t="shared" si="394"/>
        <v>3880186.5439999998</v>
      </c>
      <c r="AL168" s="228">
        <f>O168*$G168</f>
        <v>0</v>
      </c>
      <c r="AM168" s="228">
        <f>P168*$G168</f>
        <v>0</v>
      </c>
      <c r="AN168" s="228">
        <f>Q168*$G168</f>
        <v>0</v>
      </c>
      <c r="AO168" s="261"/>
      <c r="AP168" s="228">
        <f t="shared" ref="AP168:AU168" si="396">S168*$J168</f>
        <v>0</v>
      </c>
      <c r="AQ168" s="228">
        <f t="shared" si="396"/>
        <v>0</v>
      </c>
      <c r="AR168" s="228">
        <f t="shared" si="396"/>
        <v>0</v>
      </c>
      <c r="AS168" s="228">
        <f t="shared" si="396"/>
        <v>0</v>
      </c>
      <c r="AT168" s="228">
        <f t="shared" si="396"/>
        <v>0</v>
      </c>
      <c r="AU168" s="228">
        <f t="shared" si="396"/>
        <v>0</v>
      </c>
      <c r="AV168" s="261"/>
      <c r="AW168" s="228">
        <f t="shared" ref="AW168:BB168" si="397">Z168*$J168</f>
        <v>0</v>
      </c>
      <c r="AX168" s="228">
        <f t="shared" si="397"/>
        <v>0</v>
      </c>
      <c r="AY168" s="228">
        <f t="shared" si="397"/>
        <v>0</v>
      </c>
      <c r="AZ168" s="228">
        <f t="shared" si="397"/>
        <v>0</v>
      </c>
      <c r="BA168" s="228">
        <f t="shared" si="397"/>
        <v>0</v>
      </c>
      <c r="BB168" s="228">
        <f t="shared" si="397"/>
        <v>0</v>
      </c>
      <c r="BC168" s="261">
        <f>SUM(AW168:BB168)</f>
        <v>0</v>
      </c>
      <c r="BD168" s="239">
        <f t="shared" si="373"/>
        <v>3880186.5439999998</v>
      </c>
      <c r="BE168" s="244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  <c r="FF168" s="243"/>
      <c r="FG168" s="243"/>
      <c r="FH168" s="243"/>
      <c r="FI168" s="243"/>
      <c r="FJ168" s="243"/>
      <c r="FK168" s="243"/>
      <c r="FL168" s="243"/>
      <c r="FM168" s="243"/>
      <c r="FN168" s="243"/>
      <c r="FO168" s="243"/>
      <c r="FP168" s="243"/>
      <c r="FQ168" s="243"/>
      <c r="FR168" s="243"/>
      <c r="FS168" s="243"/>
      <c r="FT168" s="243"/>
      <c r="FU168" s="243"/>
      <c r="FV168" s="243"/>
      <c r="FW168" s="243"/>
      <c r="FX168" s="243"/>
      <c r="FY168" s="243"/>
      <c r="FZ168" s="243"/>
      <c r="GA168" s="243"/>
      <c r="GB168" s="243"/>
      <c r="GC168" s="243"/>
      <c r="GD168" s="243"/>
      <c r="GE168" s="243"/>
      <c r="GF168" s="243"/>
      <c r="GG168" s="243"/>
      <c r="GH168" s="243"/>
      <c r="GI168" s="243"/>
      <c r="GJ168" s="243"/>
      <c r="GK168" s="243"/>
      <c r="GL168" s="243"/>
      <c r="GM168" s="243"/>
      <c r="GN168" s="243"/>
      <c r="GO168" s="243"/>
      <c r="GP168" s="243"/>
      <c r="GQ168" s="243"/>
      <c r="GR168" s="243"/>
      <c r="GS168" s="243"/>
      <c r="GT168" s="243"/>
    </row>
    <row r="169" spans="1:202" s="79" customFormat="1" ht="11.25" customHeight="1">
      <c r="A169" s="187" t="s">
        <v>26</v>
      </c>
      <c r="B169" s="170" t="s">
        <v>243</v>
      </c>
      <c r="C169" s="216" t="s">
        <v>240</v>
      </c>
      <c r="D169" s="138">
        <v>2922008546</v>
      </c>
      <c r="E169" s="147"/>
      <c r="F169" s="144"/>
      <c r="G169" s="177"/>
      <c r="H169" s="147"/>
      <c r="I169" s="144"/>
      <c r="J169" s="210"/>
      <c r="K169" s="251">
        <f>SUM(K170:K173)</f>
        <v>7373.42</v>
      </c>
      <c r="L169" s="251">
        <f>SUM(L170:L173)</f>
        <v>6654.9400000000005</v>
      </c>
      <c r="M169" s="251">
        <f>SUM(M170:M173)</f>
        <v>0</v>
      </c>
      <c r="N169" s="284">
        <f>SUM(N170:Q173)</f>
        <v>14028.359999999999</v>
      </c>
      <c r="O169" s="272">
        <f>SUM(O170:O172)</f>
        <v>0</v>
      </c>
      <c r="P169" s="272">
        <f>SUM(P170:P172)</f>
        <v>0</v>
      </c>
      <c r="Q169" s="272">
        <f>SUM(Q170:Q172)</f>
        <v>0</v>
      </c>
      <c r="R169" s="284">
        <f>O169+P169+Q169</f>
        <v>0</v>
      </c>
      <c r="S169" s="289">
        <f t="shared" ref="S169:X169" si="398">S170+S171+S172</f>
        <v>0</v>
      </c>
      <c r="T169" s="289">
        <f t="shared" si="398"/>
        <v>0</v>
      </c>
      <c r="U169" s="289">
        <f t="shared" si="398"/>
        <v>0</v>
      </c>
      <c r="V169" s="289">
        <f t="shared" si="398"/>
        <v>0</v>
      </c>
      <c r="W169" s="289">
        <f t="shared" si="398"/>
        <v>0</v>
      </c>
      <c r="X169" s="289">
        <f t="shared" si="398"/>
        <v>0</v>
      </c>
      <c r="Y169" s="262">
        <f>SUM(S169:X169)</f>
        <v>0</v>
      </c>
      <c r="Z169" s="272">
        <f t="shared" ref="Z169:AE169" si="399">Z170+Z171+Z172</f>
        <v>0</v>
      </c>
      <c r="AA169" s="272">
        <f t="shared" si="399"/>
        <v>0</v>
      </c>
      <c r="AB169" s="272">
        <f t="shared" si="399"/>
        <v>0</v>
      </c>
      <c r="AC169" s="272">
        <f t="shared" si="399"/>
        <v>0</v>
      </c>
      <c r="AD169" s="272">
        <f t="shared" si="399"/>
        <v>0</v>
      </c>
      <c r="AE169" s="272">
        <f t="shared" si="399"/>
        <v>0</v>
      </c>
      <c r="AF169" s="284">
        <f>SUM(AF170:AF172)</f>
        <v>0</v>
      </c>
      <c r="AG169" s="282">
        <f t="shared" si="369"/>
        <v>14028.359999999999</v>
      </c>
      <c r="AH169" s="227">
        <f>SUM(AH170:AH173)</f>
        <v>26264715.741999999</v>
      </c>
      <c r="AI169" s="227">
        <f>SUM(AI170:AI173)</f>
        <v>23822647.438500002</v>
      </c>
      <c r="AJ169" s="227">
        <f>SUM(AJ170:AJ172)</f>
        <v>0</v>
      </c>
      <c r="AK169" s="260">
        <f t="shared" si="394"/>
        <v>50087363.180500001</v>
      </c>
      <c r="AL169" s="227">
        <f>SUM(AL170:AL172)</f>
        <v>0</v>
      </c>
      <c r="AM169" s="227">
        <f>SUM(AM170:AM172)</f>
        <v>0</v>
      </c>
      <c r="AN169" s="227">
        <f>SUM(AN170:AN172)</f>
        <v>0</v>
      </c>
      <c r="AO169" s="260">
        <f>SUM(AL169:AN169)</f>
        <v>0</v>
      </c>
      <c r="AP169" s="227">
        <f t="shared" ref="AP169:AU169" si="400">SUM(AP170:AP172)</f>
        <v>0</v>
      </c>
      <c r="AQ169" s="227">
        <f t="shared" si="400"/>
        <v>0</v>
      </c>
      <c r="AR169" s="227">
        <f t="shared" si="400"/>
        <v>0</v>
      </c>
      <c r="AS169" s="227">
        <f t="shared" si="400"/>
        <v>0</v>
      </c>
      <c r="AT169" s="227">
        <f t="shared" si="400"/>
        <v>0</v>
      </c>
      <c r="AU169" s="227">
        <f t="shared" si="400"/>
        <v>0</v>
      </c>
      <c r="AV169" s="260">
        <f t="shared" si="364"/>
        <v>0</v>
      </c>
      <c r="AW169" s="227">
        <f t="shared" ref="AW169:BB169" si="401">SUM(AW170:AW172)</f>
        <v>0</v>
      </c>
      <c r="AX169" s="227">
        <f t="shared" si="401"/>
        <v>0</v>
      </c>
      <c r="AY169" s="227">
        <f t="shared" si="401"/>
        <v>0</v>
      </c>
      <c r="AZ169" s="227">
        <f t="shared" si="401"/>
        <v>0</v>
      </c>
      <c r="BA169" s="227">
        <f t="shared" si="401"/>
        <v>0</v>
      </c>
      <c r="BB169" s="227">
        <f t="shared" si="401"/>
        <v>0</v>
      </c>
      <c r="BC169" s="260">
        <f>SUM(AW169:BB169)</f>
        <v>0</v>
      </c>
      <c r="BD169" s="238">
        <f t="shared" si="373"/>
        <v>50087363.180500001</v>
      </c>
      <c r="BE169" s="1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  <c r="FF169" s="243"/>
      <c r="FG169" s="243"/>
      <c r="FH169" s="243"/>
      <c r="FI169" s="243"/>
      <c r="FJ169" s="243"/>
      <c r="FK169" s="243"/>
      <c r="FL169" s="243"/>
      <c r="FM169" s="243"/>
      <c r="FN169" s="243"/>
      <c r="FO169" s="243"/>
      <c r="FP169" s="243"/>
      <c r="FQ169" s="243"/>
      <c r="FR169" s="243"/>
      <c r="FS169" s="243"/>
      <c r="FT169" s="243"/>
      <c r="FU169" s="243"/>
      <c r="FV169" s="243"/>
      <c r="FW169" s="243"/>
      <c r="FX169" s="243"/>
      <c r="FY169" s="243"/>
      <c r="FZ169" s="243"/>
      <c r="GA169" s="243"/>
      <c r="GB169" s="243"/>
      <c r="GC169" s="243"/>
      <c r="GD169" s="243"/>
      <c r="GE169" s="243"/>
      <c r="GF169" s="243"/>
      <c r="GG169" s="243"/>
      <c r="GH169" s="243"/>
      <c r="GI169" s="243"/>
      <c r="GJ169" s="243"/>
      <c r="GK169" s="243"/>
      <c r="GL169" s="243"/>
      <c r="GM169" s="243"/>
      <c r="GN169" s="243"/>
      <c r="GO169" s="243"/>
      <c r="GP169" s="243"/>
      <c r="GQ169" s="243"/>
      <c r="GR169" s="243"/>
      <c r="GS169" s="243"/>
      <c r="GT169" s="243"/>
    </row>
    <row r="170" spans="1:202" s="79" customFormat="1" ht="11.25" customHeight="1">
      <c r="A170" s="192"/>
      <c r="B170" s="144" t="s">
        <v>281</v>
      </c>
      <c r="C170" s="216"/>
      <c r="D170" s="146"/>
      <c r="E170" s="147">
        <v>4936.83</v>
      </c>
      <c r="F170" s="147">
        <v>1787.5</v>
      </c>
      <c r="G170" s="177">
        <f t="shared" ref="G170:G185" si="402">E170-F170</f>
        <v>3149.33</v>
      </c>
      <c r="H170" s="147">
        <v>4936.83</v>
      </c>
      <c r="I170" s="144">
        <v>1787.5</v>
      </c>
      <c r="J170" s="210">
        <f>H170-I170</f>
        <v>3149.33</v>
      </c>
      <c r="K170" s="252">
        <v>5871.15</v>
      </c>
      <c r="L170" s="252">
        <v>5198.92</v>
      </c>
      <c r="M170" s="252"/>
      <c r="N170" s="287">
        <f>SUM(K170:M170)</f>
        <v>11070.07</v>
      </c>
      <c r="O170" s="273"/>
      <c r="P170" s="273"/>
      <c r="Q170" s="290"/>
      <c r="R170" s="287"/>
      <c r="S170" s="290"/>
      <c r="T170" s="264"/>
      <c r="U170" s="273"/>
      <c r="V170" s="273"/>
      <c r="W170" s="290"/>
      <c r="X170" s="264"/>
      <c r="Y170" s="142"/>
      <c r="Z170" s="273"/>
      <c r="AA170" s="273"/>
      <c r="AB170" s="273"/>
      <c r="AC170" s="273"/>
      <c r="AD170" s="273"/>
      <c r="AE170" s="273"/>
      <c r="AF170" s="287">
        <f>SUM(Z170:AE170)</f>
        <v>0</v>
      </c>
      <c r="AG170" s="283">
        <f t="shared" si="369"/>
        <v>11070.07</v>
      </c>
      <c r="AH170" s="228">
        <f t="shared" ref="AH170:AJ173" si="403">K170*$G170</f>
        <v>18490188.829499997</v>
      </c>
      <c r="AI170" s="228">
        <f t="shared" si="403"/>
        <v>16373114.7236</v>
      </c>
      <c r="AJ170" s="228">
        <f t="shared" si="403"/>
        <v>0</v>
      </c>
      <c r="AK170" s="261">
        <f t="shared" si="394"/>
        <v>34863303.553099997</v>
      </c>
      <c r="AL170" s="228">
        <f t="shared" ref="AL170:AN172" si="404">O170*$G170</f>
        <v>0</v>
      </c>
      <c r="AM170" s="228">
        <f t="shared" si="404"/>
        <v>0</v>
      </c>
      <c r="AN170" s="228">
        <f t="shared" si="404"/>
        <v>0</v>
      </c>
      <c r="AO170" s="261"/>
      <c r="AP170" s="228">
        <f t="shared" ref="AP170:AU172" si="405">S170*$J170</f>
        <v>0</v>
      </c>
      <c r="AQ170" s="228">
        <f t="shared" si="405"/>
        <v>0</v>
      </c>
      <c r="AR170" s="228">
        <f t="shared" si="405"/>
        <v>0</v>
      </c>
      <c r="AS170" s="228">
        <f t="shared" si="405"/>
        <v>0</v>
      </c>
      <c r="AT170" s="228">
        <f t="shared" si="405"/>
        <v>0</v>
      </c>
      <c r="AU170" s="228">
        <f t="shared" si="405"/>
        <v>0</v>
      </c>
      <c r="AV170" s="261"/>
      <c r="AW170" s="228">
        <f t="shared" ref="AW170:BB172" si="406">Z170*$J170</f>
        <v>0</v>
      </c>
      <c r="AX170" s="228">
        <f t="shared" si="406"/>
        <v>0</v>
      </c>
      <c r="AY170" s="228">
        <f t="shared" si="406"/>
        <v>0</v>
      </c>
      <c r="AZ170" s="228">
        <f t="shared" si="406"/>
        <v>0</v>
      </c>
      <c r="BA170" s="228">
        <f t="shared" si="406"/>
        <v>0</v>
      </c>
      <c r="BB170" s="228">
        <f t="shared" si="406"/>
        <v>0</v>
      </c>
      <c r="BC170" s="261">
        <f>SUM(AW170:BB170)</f>
        <v>0</v>
      </c>
      <c r="BD170" s="239">
        <f t="shared" si="373"/>
        <v>34863303.553099997</v>
      </c>
      <c r="BE170" s="244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  <c r="FF170" s="243"/>
      <c r="FG170" s="243"/>
      <c r="FH170" s="243"/>
      <c r="FI170" s="243"/>
      <c r="FJ170" s="243"/>
      <c r="FK170" s="243"/>
      <c r="FL170" s="243"/>
      <c r="FM170" s="243"/>
      <c r="FN170" s="243"/>
      <c r="FO170" s="243"/>
      <c r="FP170" s="243"/>
      <c r="FQ170" s="243"/>
      <c r="FR170" s="243"/>
      <c r="FS170" s="243"/>
      <c r="FT170" s="243"/>
      <c r="FU170" s="243"/>
      <c r="FV170" s="243"/>
      <c r="FW170" s="243"/>
      <c r="FX170" s="243"/>
      <c r="FY170" s="243"/>
      <c r="FZ170" s="243"/>
      <c r="GA170" s="243"/>
      <c r="GB170" s="243"/>
      <c r="GC170" s="243"/>
      <c r="GD170" s="243"/>
      <c r="GE170" s="243"/>
      <c r="GF170" s="243"/>
      <c r="GG170" s="243"/>
      <c r="GH170" s="243"/>
      <c r="GI170" s="243"/>
      <c r="GJ170" s="243"/>
      <c r="GK170" s="243"/>
      <c r="GL170" s="243"/>
      <c r="GM170" s="243"/>
      <c r="GN170" s="243"/>
      <c r="GO170" s="243"/>
      <c r="GP170" s="243"/>
      <c r="GQ170" s="243"/>
      <c r="GR170" s="243"/>
      <c r="GS170" s="243"/>
      <c r="GT170" s="243"/>
    </row>
    <row r="171" spans="1:202" s="79" customFormat="1" ht="11.25" customHeight="1">
      <c r="A171" s="192"/>
      <c r="B171" s="144" t="s">
        <v>537</v>
      </c>
      <c r="C171" s="216"/>
      <c r="D171" s="146"/>
      <c r="E171" s="147">
        <v>7402.22</v>
      </c>
      <c r="F171" s="147">
        <v>1395</v>
      </c>
      <c r="G171" s="177">
        <f t="shared" si="402"/>
        <v>6007.22</v>
      </c>
      <c r="H171" s="147">
        <v>7402.22</v>
      </c>
      <c r="I171" s="144">
        <v>1395</v>
      </c>
      <c r="J171" s="210">
        <f>H171-I171</f>
        <v>6007.22</v>
      </c>
      <c r="K171" s="252">
        <v>1058.69</v>
      </c>
      <c r="L171" s="252">
        <v>997.3</v>
      </c>
      <c r="M171" s="252"/>
      <c r="N171" s="287">
        <f>SUM(K171:M171)</f>
        <v>2055.9899999999998</v>
      </c>
      <c r="O171" s="273"/>
      <c r="P171" s="273"/>
      <c r="Q171" s="290"/>
      <c r="R171" s="287"/>
      <c r="S171" s="290"/>
      <c r="T171" s="264"/>
      <c r="U171" s="273"/>
      <c r="V171" s="273"/>
      <c r="W171" s="290"/>
      <c r="X171" s="264"/>
      <c r="Y171" s="142"/>
      <c r="Z171" s="273"/>
      <c r="AA171" s="273"/>
      <c r="AB171" s="273"/>
      <c r="AC171" s="273"/>
      <c r="AD171" s="273"/>
      <c r="AE171" s="273"/>
      <c r="AF171" s="287">
        <f>SUM(Z171:AE171)</f>
        <v>0</v>
      </c>
      <c r="AG171" s="283">
        <f t="shared" si="369"/>
        <v>2055.9899999999998</v>
      </c>
      <c r="AH171" s="228">
        <f t="shared" si="403"/>
        <v>6359783.7418000009</v>
      </c>
      <c r="AI171" s="228">
        <f t="shared" si="403"/>
        <v>5991000.5060000001</v>
      </c>
      <c r="AJ171" s="228">
        <f t="shared" si="403"/>
        <v>0</v>
      </c>
      <c r="AK171" s="261">
        <f t="shared" si="394"/>
        <v>12350784.2478</v>
      </c>
      <c r="AL171" s="228">
        <f t="shared" si="404"/>
        <v>0</v>
      </c>
      <c r="AM171" s="228">
        <f t="shared" si="404"/>
        <v>0</v>
      </c>
      <c r="AN171" s="228">
        <f t="shared" si="404"/>
        <v>0</v>
      </c>
      <c r="AO171" s="261"/>
      <c r="AP171" s="228">
        <f t="shared" si="405"/>
        <v>0</v>
      </c>
      <c r="AQ171" s="228">
        <f t="shared" si="405"/>
        <v>0</v>
      </c>
      <c r="AR171" s="228">
        <f t="shared" si="405"/>
        <v>0</v>
      </c>
      <c r="AS171" s="228">
        <f t="shared" si="405"/>
        <v>0</v>
      </c>
      <c r="AT171" s="228">
        <f t="shared" si="405"/>
        <v>0</v>
      </c>
      <c r="AU171" s="228">
        <f t="shared" si="405"/>
        <v>0</v>
      </c>
      <c r="AV171" s="261"/>
      <c r="AW171" s="228">
        <f t="shared" si="406"/>
        <v>0</v>
      </c>
      <c r="AX171" s="228">
        <f t="shared" si="406"/>
        <v>0</v>
      </c>
      <c r="AY171" s="228">
        <f t="shared" si="406"/>
        <v>0</v>
      </c>
      <c r="AZ171" s="228">
        <f t="shared" si="406"/>
        <v>0</v>
      </c>
      <c r="BA171" s="228">
        <f t="shared" si="406"/>
        <v>0</v>
      </c>
      <c r="BB171" s="228">
        <f t="shared" si="406"/>
        <v>0</v>
      </c>
      <c r="BC171" s="261">
        <f>SUM(AW171:BB171)</f>
        <v>0</v>
      </c>
      <c r="BD171" s="239">
        <f t="shared" si="373"/>
        <v>12350784.2478</v>
      </c>
      <c r="BE171" s="244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  <c r="FF171" s="243"/>
      <c r="FG171" s="243"/>
      <c r="FH171" s="243"/>
      <c r="FI171" s="243"/>
      <c r="FJ171" s="243"/>
      <c r="FK171" s="243"/>
      <c r="FL171" s="243"/>
      <c r="FM171" s="243"/>
      <c r="FN171" s="243"/>
      <c r="FO171" s="243"/>
      <c r="FP171" s="243"/>
      <c r="FQ171" s="243"/>
      <c r="FR171" s="243"/>
      <c r="FS171" s="243"/>
      <c r="FT171" s="243"/>
      <c r="FU171" s="243"/>
      <c r="FV171" s="243"/>
      <c r="FW171" s="243"/>
      <c r="FX171" s="243"/>
      <c r="FY171" s="243"/>
      <c r="FZ171" s="243"/>
      <c r="GA171" s="243"/>
      <c r="GB171" s="243"/>
      <c r="GC171" s="243"/>
      <c r="GD171" s="243"/>
      <c r="GE171" s="243"/>
      <c r="GF171" s="243"/>
      <c r="GG171" s="243"/>
      <c r="GH171" s="243"/>
      <c r="GI171" s="243"/>
      <c r="GJ171" s="243"/>
      <c r="GK171" s="243"/>
      <c r="GL171" s="243"/>
      <c r="GM171" s="243"/>
      <c r="GN171" s="243"/>
      <c r="GO171" s="243"/>
      <c r="GP171" s="243"/>
      <c r="GQ171" s="243"/>
      <c r="GR171" s="243"/>
      <c r="GS171" s="243"/>
      <c r="GT171" s="243"/>
    </row>
    <row r="172" spans="1:202" s="79" customFormat="1" ht="11.25" customHeight="1">
      <c r="A172" s="192"/>
      <c r="B172" s="144" t="s">
        <v>282</v>
      </c>
      <c r="C172" s="216"/>
      <c r="D172" s="146"/>
      <c r="E172" s="147">
        <v>7373.2</v>
      </c>
      <c r="F172" s="147">
        <v>1444</v>
      </c>
      <c r="G172" s="177">
        <f t="shared" si="402"/>
        <v>5929.2</v>
      </c>
      <c r="H172" s="147">
        <v>7373.2</v>
      </c>
      <c r="I172" s="144">
        <v>1444</v>
      </c>
      <c r="J172" s="210">
        <f>H172-I172</f>
        <v>5929.2</v>
      </c>
      <c r="K172" s="252">
        <v>6.39</v>
      </c>
      <c r="L172" s="252">
        <v>4.99</v>
      </c>
      <c r="M172" s="252"/>
      <c r="N172" s="287">
        <f>SUM(K172:M172)</f>
        <v>11.379999999999999</v>
      </c>
      <c r="O172" s="273"/>
      <c r="P172" s="273"/>
      <c r="Q172" s="290"/>
      <c r="R172" s="287"/>
      <c r="S172" s="290"/>
      <c r="T172" s="264"/>
      <c r="U172" s="273"/>
      <c r="V172" s="273"/>
      <c r="W172" s="290"/>
      <c r="X172" s="264"/>
      <c r="Y172" s="142"/>
      <c r="Z172" s="273"/>
      <c r="AA172" s="273"/>
      <c r="AB172" s="273"/>
      <c r="AC172" s="273"/>
      <c r="AD172" s="273"/>
      <c r="AE172" s="273"/>
      <c r="AF172" s="287">
        <f>SUM(Z172:AE172)</f>
        <v>0</v>
      </c>
      <c r="AG172" s="283">
        <f t="shared" si="369"/>
        <v>11.379999999999999</v>
      </c>
      <c r="AH172" s="228">
        <f t="shared" si="403"/>
        <v>37887.587999999996</v>
      </c>
      <c r="AI172" s="228">
        <f t="shared" si="403"/>
        <v>29586.707999999999</v>
      </c>
      <c r="AJ172" s="228">
        <f t="shared" si="403"/>
        <v>0</v>
      </c>
      <c r="AK172" s="261">
        <f t="shared" si="394"/>
        <v>67474.296000000002</v>
      </c>
      <c r="AL172" s="228">
        <f t="shared" si="404"/>
        <v>0</v>
      </c>
      <c r="AM172" s="228">
        <f t="shared" si="404"/>
        <v>0</v>
      </c>
      <c r="AN172" s="228">
        <f t="shared" si="404"/>
        <v>0</v>
      </c>
      <c r="AO172" s="261"/>
      <c r="AP172" s="228">
        <f t="shared" si="405"/>
        <v>0</v>
      </c>
      <c r="AQ172" s="228">
        <f t="shared" si="405"/>
        <v>0</v>
      </c>
      <c r="AR172" s="228">
        <f t="shared" si="405"/>
        <v>0</v>
      </c>
      <c r="AS172" s="228">
        <f t="shared" si="405"/>
        <v>0</v>
      </c>
      <c r="AT172" s="228">
        <f t="shared" si="405"/>
        <v>0</v>
      </c>
      <c r="AU172" s="228">
        <f t="shared" si="405"/>
        <v>0</v>
      </c>
      <c r="AV172" s="261"/>
      <c r="AW172" s="228">
        <f t="shared" si="406"/>
        <v>0</v>
      </c>
      <c r="AX172" s="228">
        <f t="shared" si="406"/>
        <v>0</v>
      </c>
      <c r="AY172" s="228">
        <f t="shared" si="406"/>
        <v>0</v>
      </c>
      <c r="AZ172" s="228">
        <f t="shared" si="406"/>
        <v>0</v>
      </c>
      <c r="BA172" s="228">
        <f t="shared" si="406"/>
        <v>0</v>
      </c>
      <c r="BB172" s="228">
        <f t="shared" si="406"/>
        <v>0</v>
      </c>
      <c r="BC172" s="261">
        <f>SUM(AW172:BB172)</f>
        <v>0</v>
      </c>
      <c r="BD172" s="239">
        <f t="shared" si="373"/>
        <v>67474.296000000002</v>
      </c>
      <c r="BE172" s="244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  <c r="FF172" s="243"/>
      <c r="FG172" s="243"/>
      <c r="FH172" s="243"/>
      <c r="FI172" s="243"/>
      <c r="FJ172" s="243"/>
      <c r="FK172" s="243"/>
      <c r="FL172" s="243"/>
      <c r="FM172" s="243"/>
      <c r="FN172" s="243"/>
      <c r="FO172" s="243"/>
      <c r="FP172" s="243"/>
      <c r="FQ172" s="243"/>
      <c r="FR172" s="243"/>
      <c r="FS172" s="243"/>
      <c r="FT172" s="243"/>
      <c r="FU172" s="243"/>
      <c r="FV172" s="243"/>
      <c r="FW172" s="243"/>
      <c r="FX172" s="243"/>
      <c r="FY172" s="243"/>
      <c r="FZ172" s="243"/>
      <c r="GA172" s="243"/>
      <c r="GB172" s="243"/>
      <c r="GC172" s="243"/>
      <c r="GD172" s="243"/>
      <c r="GE172" s="243"/>
      <c r="GF172" s="243"/>
      <c r="GG172" s="243"/>
      <c r="GH172" s="243"/>
      <c r="GI172" s="243"/>
      <c r="GJ172" s="243"/>
      <c r="GK172" s="243"/>
      <c r="GL172" s="243"/>
      <c r="GM172" s="243"/>
      <c r="GN172" s="243"/>
      <c r="GO172" s="243"/>
      <c r="GP172" s="243"/>
      <c r="GQ172" s="243"/>
      <c r="GR172" s="243"/>
      <c r="GS172" s="243"/>
      <c r="GT172" s="243"/>
    </row>
    <row r="173" spans="1:202" s="79" customFormat="1" ht="11.25" customHeight="1">
      <c r="A173" s="192"/>
      <c r="B173" s="144" t="s">
        <v>644</v>
      </c>
      <c r="C173" s="216"/>
      <c r="D173" s="146"/>
      <c r="E173" s="147">
        <v>4936.83</v>
      </c>
      <c r="F173" s="147">
        <v>1787.5</v>
      </c>
      <c r="G173" s="177">
        <f>E173-F173</f>
        <v>3149.33</v>
      </c>
      <c r="H173" s="147">
        <v>4936.83</v>
      </c>
      <c r="I173" s="144">
        <v>1787.5</v>
      </c>
      <c r="J173" s="210">
        <f>H173-I173</f>
        <v>3149.33</v>
      </c>
      <c r="K173" s="252">
        <v>437.19</v>
      </c>
      <c r="L173" s="252">
        <v>453.73</v>
      </c>
      <c r="M173" s="252"/>
      <c r="N173" s="287">
        <f>SUM(K173:M173)</f>
        <v>890.92000000000007</v>
      </c>
      <c r="O173" s="273"/>
      <c r="P173" s="273"/>
      <c r="Q173" s="290"/>
      <c r="R173" s="287"/>
      <c r="S173" s="290"/>
      <c r="T173" s="264"/>
      <c r="U173" s="273"/>
      <c r="V173" s="273"/>
      <c r="W173" s="290"/>
      <c r="X173" s="264"/>
      <c r="Y173" s="142"/>
      <c r="Z173" s="273"/>
      <c r="AA173" s="273"/>
      <c r="AB173" s="273"/>
      <c r="AC173" s="273"/>
      <c r="AD173" s="273"/>
      <c r="AE173" s="273"/>
      <c r="AF173" s="287"/>
      <c r="AG173" s="283">
        <f t="shared" si="369"/>
        <v>890.92000000000007</v>
      </c>
      <c r="AH173" s="228">
        <f>K173*$G173</f>
        <v>1376855.5826999999</v>
      </c>
      <c r="AI173" s="228">
        <f t="shared" si="403"/>
        <v>1428945.5009000001</v>
      </c>
      <c r="AJ173" s="228"/>
      <c r="AK173" s="261">
        <f t="shared" si="394"/>
        <v>2805801.0836</v>
      </c>
      <c r="AL173" s="228"/>
      <c r="AM173" s="228"/>
      <c r="AN173" s="228"/>
      <c r="AO173" s="261"/>
      <c r="AP173" s="228"/>
      <c r="AQ173" s="228"/>
      <c r="AR173" s="228"/>
      <c r="AS173" s="228"/>
      <c r="AT173" s="228"/>
      <c r="AU173" s="228"/>
      <c r="AV173" s="261"/>
      <c r="AW173" s="228"/>
      <c r="AX173" s="228"/>
      <c r="AY173" s="228"/>
      <c r="AZ173" s="228"/>
      <c r="BA173" s="228"/>
      <c r="BB173" s="228"/>
      <c r="BC173" s="261"/>
      <c r="BD173" s="239">
        <f t="shared" si="373"/>
        <v>2805801.0836</v>
      </c>
      <c r="BE173" s="244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  <c r="FF173" s="243"/>
      <c r="FG173" s="243"/>
      <c r="FH173" s="243"/>
      <c r="FI173" s="243"/>
      <c r="FJ173" s="243"/>
      <c r="FK173" s="243"/>
      <c r="FL173" s="243"/>
      <c r="FM173" s="243"/>
      <c r="FN173" s="243"/>
      <c r="FO173" s="243"/>
      <c r="FP173" s="243"/>
      <c r="FQ173" s="243"/>
      <c r="FR173" s="243"/>
      <c r="FS173" s="243"/>
      <c r="FT173" s="243"/>
      <c r="FU173" s="243"/>
      <c r="FV173" s="243"/>
      <c r="FW173" s="243"/>
      <c r="FX173" s="243"/>
      <c r="FY173" s="243"/>
      <c r="FZ173" s="243"/>
      <c r="GA173" s="243"/>
      <c r="GB173" s="243"/>
      <c r="GC173" s="243"/>
      <c r="GD173" s="243"/>
      <c r="GE173" s="243"/>
      <c r="GF173" s="243"/>
      <c r="GG173" s="243"/>
      <c r="GH173" s="243"/>
      <c r="GI173" s="243"/>
      <c r="GJ173" s="243"/>
      <c r="GK173" s="243"/>
      <c r="GL173" s="243"/>
      <c r="GM173" s="243"/>
      <c r="GN173" s="243"/>
      <c r="GO173" s="243"/>
      <c r="GP173" s="243"/>
      <c r="GQ173" s="243"/>
      <c r="GR173" s="243"/>
      <c r="GS173" s="243"/>
      <c r="GT173" s="243"/>
    </row>
    <row r="174" spans="1:202" s="79" customFormat="1" ht="11.25" customHeight="1">
      <c r="A174" s="187" t="s">
        <v>26</v>
      </c>
      <c r="B174" s="170" t="s">
        <v>222</v>
      </c>
      <c r="C174" s="216" t="s">
        <v>161</v>
      </c>
      <c r="D174" s="138">
        <v>2901284746</v>
      </c>
      <c r="E174" s="147"/>
      <c r="F174" s="144"/>
      <c r="G174" s="177"/>
      <c r="H174" s="147"/>
      <c r="I174" s="144"/>
      <c r="J174" s="210"/>
      <c r="K174" s="251"/>
      <c r="L174" s="251"/>
      <c r="M174" s="251"/>
      <c r="N174" s="284">
        <f t="shared" ref="N174:N180" si="407">K174+L174+M174</f>
        <v>0</v>
      </c>
      <c r="O174" s="272"/>
      <c r="P174" s="272"/>
      <c r="Q174" s="289"/>
      <c r="R174" s="284">
        <f>O174+P174+Q174</f>
        <v>0</v>
      </c>
      <c r="S174" s="289">
        <f t="shared" ref="S174:X174" si="408">S175+S176</f>
        <v>0</v>
      </c>
      <c r="T174" s="289">
        <f t="shared" si="408"/>
        <v>0</v>
      </c>
      <c r="U174" s="289">
        <f t="shared" si="408"/>
        <v>0</v>
      </c>
      <c r="V174" s="289">
        <f t="shared" si="408"/>
        <v>0</v>
      </c>
      <c r="W174" s="289">
        <f t="shared" si="408"/>
        <v>0</v>
      </c>
      <c r="X174" s="289">
        <f t="shared" si="408"/>
        <v>0</v>
      </c>
      <c r="Y174" s="262">
        <f>SUM(S174:X174)</f>
        <v>0</v>
      </c>
      <c r="Z174" s="272">
        <f t="shared" ref="Z174:AE174" si="409">Z175+Z176</f>
        <v>0</v>
      </c>
      <c r="AA174" s="272">
        <f t="shared" si="409"/>
        <v>0</v>
      </c>
      <c r="AB174" s="272">
        <f t="shared" si="409"/>
        <v>0</v>
      </c>
      <c r="AC174" s="272">
        <f t="shared" si="409"/>
        <v>0</v>
      </c>
      <c r="AD174" s="272">
        <f t="shared" si="409"/>
        <v>0</v>
      </c>
      <c r="AE174" s="272">
        <f t="shared" si="409"/>
        <v>0</v>
      </c>
      <c r="AF174" s="284">
        <f>SUM(Z174:AE174)</f>
        <v>0</v>
      </c>
      <c r="AG174" s="282">
        <f t="shared" si="369"/>
        <v>0</v>
      </c>
      <c r="AH174" s="227">
        <f>AH175+AH176</f>
        <v>0</v>
      </c>
      <c r="AI174" s="227">
        <f>AI175+AI176</f>
        <v>0</v>
      </c>
      <c r="AJ174" s="227">
        <f>AJ175+AJ176</f>
        <v>0</v>
      </c>
      <c r="AK174" s="260">
        <f t="shared" si="394"/>
        <v>0</v>
      </c>
      <c r="AL174" s="227">
        <f>AL175+AL176</f>
        <v>0</v>
      </c>
      <c r="AM174" s="227">
        <f>AM175+AM176</f>
        <v>0</v>
      </c>
      <c r="AN174" s="227">
        <f>AN175+AN176</f>
        <v>0</v>
      </c>
      <c r="AO174" s="260">
        <f>SUM(AL174:AN174)</f>
        <v>0</v>
      </c>
      <c r="AP174" s="227">
        <f t="shared" ref="AP174:AU174" si="410">AP175+AP176</f>
        <v>0</v>
      </c>
      <c r="AQ174" s="227">
        <f t="shared" si="410"/>
        <v>0</v>
      </c>
      <c r="AR174" s="227">
        <f t="shared" si="410"/>
        <v>0</v>
      </c>
      <c r="AS174" s="227">
        <f t="shared" si="410"/>
        <v>0</v>
      </c>
      <c r="AT174" s="227">
        <f t="shared" si="410"/>
        <v>0</v>
      </c>
      <c r="AU174" s="227">
        <f t="shared" si="410"/>
        <v>0</v>
      </c>
      <c r="AV174" s="260">
        <f t="shared" si="364"/>
        <v>0</v>
      </c>
      <c r="AW174" s="227">
        <f t="shared" ref="AW174:BB174" si="411">AW175+AW176</f>
        <v>0</v>
      </c>
      <c r="AX174" s="227">
        <f t="shared" si="411"/>
        <v>0</v>
      </c>
      <c r="AY174" s="227">
        <f t="shared" si="411"/>
        <v>0</v>
      </c>
      <c r="AZ174" s="227">
        <f t="shared" si="411"/>
        <v>0</v>
      </c>
      <c r="BA174" s="227">
        <f t="shared" si="411"/>
        <v>0</v>
      </c>
      <c r="BB174" s="227">
        <f t="shared" si="411"/>
        <v>0</v>
      </c>
      <c r="BC174" s="260">
        <f t="shared" ref="BC174:BC194" si="412">SUM(AW174:BB174)</f>
        <v>0</v>
      </c>
      <c r="BD174" s="238">
        <f t="shared" si="373"/>
        <v>0</v>
      </c>
      <c r="BE174" s="1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  <c r="FF174" s="243"/>
      <c r="FG174" s="243"/>
      <c r="FH174" s="243"/>
      <c r="FI174" s="243"/>
      <c r="FJ174" s="243"/>
      <c r="FK174" s="243"/>
      <c r="FL174" s="243"/>
      <c r="FM174" s="243"/>
      <c r="FN174" s="243"/>
      <c r="FO174" s="243"/>
      <c r="FP174" s="243"/>
      <c r="FQ174" s="243"/>
      <c r="FR174" s="243"/>
      <c r="FS174" s="243"/>
      <c r="FT174" s="243"/>
      <c r="FU174" s="243"/>
      <c r="FV174" s="243"/>
      <c r="FW174" s="243"/>
      <c r="FX174" s="243"/>
      <c r="FY174" s="243"/>
      <c r="FZ174" s="243"/>
      <c r="GA174" s="243"/>
      <c r="GB174" s="243"/>
      <c r="GC174" s="243"/>
      <c r="GD174" s="243"/>
      <c r="GE174" s="243"/>
      <c r="GF174" s="243"/>
      <c r="GG174" s="243"/>
      <c r="GH174" s="243"/>
      <c r="GI174" s="243"/>
      <c r="GJ174" s="243"/>
      <c r="GK174" s="243"/>
      <c r="GL174" s="243"/>
      <c r="GM174" s="243"/>
      <c r="GN174" s="243"/>
      <c r="GO174" s="243"/>
      <c r="GP174" s="243"/>
      <c r="GQ174" s="243"/>
      <c r="GR174" s="243"/>
      <c r="GS174" s="243"/>
      <c r="GT174" s="243"/>
    </row>
    <row r="175" spans="1:202" s="79" customFormat="1" ht="11.25" customHeight="1">
      <c r="A175" s="189"/>
      <c r="B175" s="144" t="s">
        <v>281</v>
      </c>
      <c r="C175" s="216"/>
      <c r="D175" s="146"/>
      <c r="E175" s="147"/>
      <c r="F175" s="144"/>
      <c r="G175" s="177"/>
      <c r="H175" s="147"/>
      <c r="I175" s="144"/>
      <c r="J175" s="210"/>
      <c r="K175" s="252"/>
      <c r="L175" s="252"/>
      <c r="M175" s="252"/>
      <c r="N175" s="287">
        <f t="shared" si="407"/>
        <v>0</v>
      </c>
      <c r="O175" s="273"/>
      <c r="P175" s="273"/>
      <c r="Q175" s="290"/>
      <c r="R175" s="287">
        <f>O175+P175+Q175</f>
        <v>0</v>
      </c>
      <c r="S175" s="290"/>
      <c r="T175" s="264"/>
      <c r="U175" s="273"/>
      <c r="V175" s="273"/>
      <c r="W175" s="290"/>
      <c r="X175" s="264"/>
      <c r="Y175" s="142">
        <f>SUM(S175:X175)</f>
        <v>0</v>
      </c>
      <c r="Z175" s="273"/>
      <c r="AA175" s="273"/>
      <c r="AB175" s="273"/>
      <c r="AC175" s="273"/>
      <c r="AD175" s="273"/>
      <c r="AE175" s="273"/>
      <c r="AF175" s="287">
        <f>SUM(Z175:AE175)</f>
        <v>0</v>
      </c>
      <c r="AG175" s="283">
        <f t="shared" si="369"/>
        <v>0</v>
      </c>
      <c r="AH175" s="228">
        <f t="shared" ref="AH175:AJ176" si="413">K175*$G175</f>
        <v>0</v>
      </c>
      <c r="AI175" s="228">
        <f t="shared" si="413"/>
        <v>0</v>
      </c>
      <c r="AJ175" s="228">
        <f t="shared" si="413"/>
        <v>0</v>
      </c>
      <c r="AK175" s="261">
        <f t="shared" si="394"/>
        <v>0</v>
      </c>
      <c r="AL175" s="228">
        <f t="shared" ref="AL175:AN176" si="414">O175*$G175</f>
        <v>0</v>
      </c>
      <c r="AM175" s="228">
        <f t="shared" si="414"/>
        <v>0</v>
      </c>
      <c r="AN175" s="228">
        <f t="shared" si="414"/>
        <v>0</v>
      </c>
      <c r="AO175" s="261">
        <f>SUM(AL175:AN175)</f>
        <v>0</v>
      </c>
      <c r="AP175" s="228">
        <f t="shared" ref="AP175:AU176" si="415">S175*$J175</f>
        <v>0</v>
      </c>
      <c r="AQ175" s="228">
        <f t="shared" si="415"/>
        <v>0</v>
      </c>
      <c r="AR175" s="228">
        <f t="shared" si="415"/>
        <v>0</v>
      </c>
      <c r="AS175" s="228">
        <f t="shared" si="415"/>
        <v>0</v>
      </c>
      <c r="AT175" s="228">
        <f t="shared" si="415"/>
        <v>0</v>
      </c>
      <c r="AU175" s="228">
        <f t="shared" si="415"/>
        <v>0</v>
      </c>
      <c r="AV175" s="261">
        <f t="shared" si="364"/>
        <v>0</v>
      </c>
      <c r="AW175" s="228">
        <f t="shared" ref="AW175:BB176" si="416">Z175*$J175</f>
        <v>0</v>
      </c>
      <c r="AX175" s="228">
        <f t="shared" si="416"/>
        <v>0</v>
      </c>
      <c r="AY175" s="228">
        <f t="shared" si="416"/>
        <v>0</v>
      </c>
      <c r="AZ175" s="228">
        <f t="shared" si="416"/>
        <v>0</v>
      </c>
      <c r="BA175" s="228">
        <f t="shared" si="416"/>
        <v>0</v>
      </c>
      <c r="BB175" s="228">
        <f t="shared" si="416"/>
        <v>0</v>
      </c>
      <c r="BC175" s="261">
        <f t="shared" si="412"/>
        <v>0</v>
      </c>
      <c r="BD175" s="239">
        <f t="shared" si="373"/>
        <v>0</v>
      </c>
      <c r="BE175" s="244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  <c r="FF175" s="243"/>
      <c r="FG175" s="243"/>
      <c r="FH175" s="243"/>
      <c r="FI175" s="243"/>
      <c r="FJ175" s="243"/>
      <c r="FK175" s="243"/>
      <c r="FL175" s="243"/>
      <c r="FM175" s="243"/>
      <c r="FN175" s="243"/>
      <c r="FO175" s="243"/>
      <c r="FP175" s="243"/>
      <c r="FQ175" s="243"/>
      <c r="FR175" s="243"/>
      <c r="FS175" s="243"/>
      <c r="FT175" s="243"/>
      <c r="FU175" s="243"/>
      <c r="FV175" s="243"/>
      <c r="FW175" s="243"/>
      <c r="FX175" s="243"/>
      <c r="FY175" s="243"/>
      <c r="FZ175" s="243"/>
      <c r="GA175" s="243"/>
      <c r="GB175" s="243"/>
      <c r="GC175" s="243"/>
      <c r="GD175" s="243"/>
      <c r="GE175" s="243"/>
      <c r="GF175" s="243"/>
      <c r="GG175" s="243"/>
      <c r="GH175" s="243"/>
      <c r="GI175" s="243"/>
      <c r="GJ175" s="243"/>
      <c r="GK175" s="243"/>
      <c r="GL175" s="243"/>
      <c r="GM175" s="243"/>
      <c r="GN175" s="243"/>
      <c r="GO175" s="243"/>
      <c r="GP175" s="243"/>
      <c r="GQ175" s="243"/>
      <c r="GR175" s="243"/>
      <c r="GS175" s="243"/>
      <c r="GT175" s="243"/>
    </row>
    <row r="176" spans="1:202" s="79" customFormat="1" ht="11.25" customHeight="1">
      <c r="A176" s="192"/>
      <c r="B176" s="144" t="s">
        <v>282</v>
      </c>
      <c r="C176" s="216"/>
      <c r="D176" s="146"/>
      <c r="E176" s="147"/>
      <c r="F176" s="144"/>
      <c r="G176" s="177"/>
      <c r="H176" s="147"/>
      <c r="I176" s="144"/>
      <c r="J176" s="210"/>
      <c r="K176" s="252"/>
      <c r="L176" s="252"/>
      <c r="M176" s="326"/>
      <c r="N176" s="287">
        <f t="shared" si="407"/>
        <v>0</v>
      </c>
      <c r="O176" s="273"/>
      <c r="P176" s="273"/>
      <c r="Q176" s="301"/>
      <c r="R176" s="287">
        <f>O176+P176+Q176</f>
        <v>0</v>
      </c>
      <c r="S176" s="290"/>
      <c r="T176" s="264"/>
      <c r="U176" s="273"/>
      <c r="V176" s="277"/>
      <c r="W176" s="301"/>
      <c r="X176" s="270"/>
      <c r="Y176" s="142">
        <f>SUM(S176:X176)</f>
        <v>0</v>
      </c>
      <c r="Z176" s="273"/>
      <c r="AA176" s="273"/>
      <c r="AB176" s="273"/>
      <c r="AC176" s="273"/>
      <c r="AD176" s="273"/>
      <c r="AE176" s="273"/>
      <c r="AF176" s="287">
        <f>SUM(Z176:AE176)</f>
        <v>0</v>
      </c>
      <c r="AG176" s="283">
        <f t="shared" si="369"/>
        <v>0</v>
      </c>
      <c r="AH176" s="228">
        <f t="shared" si="413"/>
        <v>0</v>
      </c>
      <c r="AI176" s="228">
        <f t="shared" si="413"/>
        <v>0</v>
      </c>
      <c r="AJ176" s="228">
        <f t="shared" si="413"/>
        <v>0</v>
      </c>
      <c r="AK176" s="261">
        <f t="shared" si="394"/>
        <v>0</v>
      </c>
      <c r="AL176" s="228">
        <f t="shared" si="414"/>
        <v>0</v>
      </c>
      <c r="AM176" s="228">
        <f t="shared" si="414"/>
        <v>0</v>
      </c>
      <c r="AN176" s="235">
        <f t="shared" si="414"/>
        <v>0</v>
      </c>
      <c r="AO176" s="261">
        <f>SUM(AL176:AN176)</f>
        <v>0</v>
      </c>
      <c r="AP176" s="228">
        <f t="shared" si="415"/>
        <v>0</v>
      </c>
      <c r="AQ176" s="228">
        <f t="shared" si="415"/>
        <v>0</v>
      </c>
      <c r="AR176" s="228">
        <f t="shared" si="415"/>
        <v>0</v>
      </c>
      <c r="AS176" s="228">
        <f t="shared" si="415"/>
        <v>0</v>
      </c>
      <c r="AT176" s="228">
        <f t="shared" si="415"/>
        <v>0</v>
      </c>
      <c r="AU176" s="228">
        <f t="shared" si="415"/>
        <v>0</v>
      </c>
      <c r="AV176" s="261">
        <f t="shared" si="364"/>
        <v>0</v>
      </c>
      <c r="AW176" s="228">
        <f t="shared" si="416"/>
        <v>0</v>
      </c>
      <c r="AX176" s="228">
        <f t="shared" si="416"/>
        <v>0</v>
      </c>
      <c r="AY176" s="228">
        <f t="shared" si="416"/>
        <v>0</v>
      </c>
      <c r="AZ176" s="228">
        <f t="shared" si="416"/>
        <v>0</v>
      </c>
      <c r="BA176" s="228">
        <f t="shared" si="416"/>
        <v>0</v>
      </c>
      <c r="BB176" s="228">
        <f t="shared" si="416"/>
        <v>0</v>
      </c>
      <c r="BC176" s="261">
        <f t="shared" si="412"/>
        <v>0</v>
      </c>
      <c r="BD176" s="239">
        <f t="shared" si="373"/>
        <v>0</v>
      </c>
      <c r="BE176" s="244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  <c r="FF176" s="243"/>
      <c r="FG176" s="243"/>
      <c r="FH176" s="243"/>
      <c r="FI176" s="243"/>
      <c r="FJ176" s="243"/>
      <c r="FK176" s="243"/>
      <c r="FL176" s="243"/>
      <c r="FM176" s="243"/>
      <c r="FN176" s="243"/>
      <c r="FO176" s="243"/>
      <c r="FP176" s="243"/>
      <c r="FQ176" s="243"/>
      <c r="FR176" s="243"/>
      <c r="FS176" s="243"/>
      <c r="FT176" s="243"/>
      <c r="FU176" s="243"/>
      <c r="FV176" s="243"/>
      <c r="FW176" s="243"/>
      <c r="FX176" s="243"/>
      <c r="FY176" s="243"/>
      <c r="FZ176" s="243"/>
      <c r="GA176" s="243"/>
      <c r="GB176" s="243"/>
      <c r="GC176" s="243"/>
      <c r="GD176" s="243"/>
      <c r="GE176" s="243"/>
      <c r="GF176" s="243"/>
      <c r="GG176" s="243"/>
      <c r="GH176" s="243"/>
      <c r="GI176" s="243"/>
      <c r="GJ176" s="243"/>
      <c r="GK176" s="243"/>
      <c r="GL176" s="243"/>
      <c r="GM176" s="243"/>
      <c r="GN176" s="243"/>
      <c r="GO176" s="243"/>
      <c r="GP176" s="243"/>
      <c r="GQ176" s="243"/>
      <c r="GR176" s="243"/>
      <c r="GS176" s="243"/>
      <c r="GT176" s="243"/>
    </row>
    <row r="177" spans="1:202" s="79" customFormat="1" ht="11.25" customHeight="1">
      <c r="A177" s="187" t="s">
        <v>26</v>
      </c>
      <c r="B177" s="170" t="s">
        <v>47</v>
      </c>
      <c r="C177" s="216" t="s">
        <v>162</v>
      </c>
      <c r="D177" s="138">
        <v>2923006245</v>
      </c>
      <c r="E177" s="142"/>
      <c r="F177" s="142"/>
      <c r="G177" s="177"/>
      <c r="H177" s="142"/>
      <c r="I177" s="142"/>
      <c r="J177" s="210"/>
      <c r="K177" s="251">
        <f>SUM(K178:K180)</f>
        <v>1618.942</v>
      </c>
      <c r="L177" s="251">
        <f>SUM(L178:L180)</f>
        <v>1464.453</v>
      </c>
      <c r="M177" s="251">
        <f>SUM(M178:M180)</f>
        <v>0</v>
      </c>
      <c r="N177" s="284">
        <f t="shared" si="407"/>
        <v>3083.395</v>
      </c>
      <c r="O177" s="272">
        <f>SUM(O178:O180)</f>
        <v>0</v>
      </c>
      <c r="P177" s="272">
        <f>SUM(P178:P180)</f>
        <v>0</v>
      </c>
      <c r="Q177" s="272">
        <f>SUM(Q178:Q180)</f>
        <v>0</v>
      </c>
      <c r="R177" s="284">
        <f>SUM(R178:R178)</f>
        <v>0</v>
      </c>
      <c r="S177" s="289">
        <f t="shared" ref="S177:X177" si="417">SUM(S178:S180)</f>
        <v>0</v>
      </c>
      <c r="T177" s="289">
        <f t="shared" si="417"/>
        <v>0</v>
      </c>
      <c r="U177" s="289">
        <f t="shared" si="417"/>
        <v>0</v>
      </c>
      <c r="V177" s="289">
        <f t="shared" si="417"/>
        <v>0</v>
      </c>
      <c r="W177" s="289">
        <f t="shared" si="417"/>
        <v>0</v>
      </c>
      <c r="X177" s="289">
        <f t="shared" si="417"/>
        <v>0</v>
      </c>
      <c r="Y177" s="284">
        <f>SUM(Y178:Y178)</f>
        <v>0</v>
      </c>
      <c r="Z177" s="272">
        <f t="shared" ref="Z177:AF177" si="418">SUM(Z178:Z180)</f>
        <v>0</v>
      </c>
      <c r="AA177" s="272">
        <f t="shared" si="418"/>
        <v>0</v>
      </c>
      <c r="AB177" s="272">
        <f t="shared" si="418"/>
        <v>0</v>
      </c>
      <c r="AC177" s="272">
        <f t="shared" si="418"/>
        <v>0</v>
      </c>
      <c r="AD177" s="272">
        <f t="shared" si="418"/>
        <v>0</v>
      </c>
      <c r="AE177" s="272">
        <f t="shared" si="418"/>
        <v>0</v>
      </c>
      <c r="AF177" s="284">
        <f t="shared" si="418"/>
        <v>0</v>
      </c>
      <c r="AG177" s="282">
        <f t="shared" si="369"/>
        <v>3083.395</v>
      </c>
      <c r="AH177" s="227">
        <f>SUM(AH178:AH180)</f>
        <v>7435705.2149</v>
      </c>
      <c r="AI177" s="227">
        <f>SUM(AI178:AI180)</f>
        <v>6741923.3578500003</v>
      </c>
      <c r="AJ177" s="227">
        <f>SUM(AJ178:AJ180)</f>
        <v>0</v>
      </c>
      <c r="AK177" s="260">
        <f t="shared" si="394"/>
        <v>14177628.57275</v>
      </c>
      <c r="AL177" s="227">
        <f>SUM(AL178:AL180)</f>
        <v>0</v>
      </c>
      <c r="AM177" s="227">
        <f>SUM(AM178:AM180)</f>
        <v>0</v>
      </c>
      <c r="AN177" s="227">
        <f>SUM(AN178:AN180)</f>
        <v>0</v>
      </c>
      <c r="AO177" s="260">
        <f>SUM(AL177:AN177)</f>
        <v>0</v>
      </c>
      <c r="AP177" s="227">
        <f t="shared" ref="AP177:AU177" si="419">SUM(AP178:AP180)</f>
        <v>0</v>
      </c>
      <c r="AQ177" s="227">
        <f t="shared" si="419"/>
        <v>0</v>
      </c>
      <c r="AR177" s="227">
        <f t="shared" si="419"/>
        <v>0</v>
      </c>
      <c r="AS177" s="227">
        <f t="shared" si="419"/>
        <v>0</v>
      </c>
      <c r="AT177" s="227">
        <f t="shared" si="419"/>
        <v>0</v>
      </c>
      <c r="AU177" s="227">
        <f t="shared" si="419"/>
        <v>0</v>
      </c>
      <c r="AV177" s="260">
        <f t="shared" si="364"/>
        <v>0</v>
      </c>
      <c r="AW177" s="227">
        <f t="shared" ref="AW177:BB177" si="420">SUM(AW178:AW180)</f>
        <v>0</v>
      </c>
      <c r="AX177" s="227">
        <f t="shared" si="420"/>
        <v>0</v>
      </c>
      <c r="AY177" s="227">
        <f t="shared" si="420"/>
        <v>0</v>
      </c>
      <c r="AZ177" s="227">
        <f t="shared" si="420"/>
        <v>0</v>
      </c>
      <c r="BA177" s="227">
        <f t="shared" si="420"/>
        <v>0</v>
      </c>
      <c r="BB177" s="227">
        <f t="shared" si="420"/>
        <v>0</v>
      </c>
      <c r="BC177" s="260">
        <f t="shared" si="412"/>
        <v>0</v>
      </c>
      <c r="BD177" s="238">
        <f t="shared" si="373"/>
        <v>14177628.57275</v>
      </c>
      <c r="BE177" s="1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  <c r="FF177" s="243"/>
      <c r="FG177" s="243"/>
      <c r="FH177" s="243"/>
      <c r="FI177" s="243"/>
      <c r="FJ177" s="243"/>
      <c r="FK177" s="243"/>
      <c r="FL177" s="243"/>
      <c r="FM177" s="243"/>
      <c r="FN177" s="243"/>
      <c r="FO177" s="243"/>
      <c r="FP177" s="243"/>
      <c r="FQ177" s="243"/>
      <c r="FR177" s="243"/>
      <c r="FS177" s="243"/>
      <c r="FT177" s="243"/>
      <c r="FU177" s="243"/>
      <c r="FV177" s="243"/>
      <c r="FW177" s="243"/>
      <c r="FX177" s="243"/>
      <c r="FY177" s="243"/>
      <c r="FZ177" s="243"/>
      <c r="GA177" s="243"/>
      <c r="GB177" s="243"/>
      <c r="GC177" s="243"/>
      <c r="GD177" s="243"/>
      <c r="GE177" s="243"/>
      <c r="GF177" s="243"/>
      <c r="GG177" s="243"/>
      <c r="GH177" s="243"/>
      <c r="GI177" s="243"/>
      <c r="GJ177" s="243"/>
      <c r="GK177" s="243"/>
      <c r="GL177" s="243"/>
      <c r="GM177" s="243"/>
      <c r="GN177" s="243"/>
      <c r="GO177" s="243"/>
      <c r="GP177" s="243"/>
      <c r="GQ177" s="243"/>
      <c r="GR177" s="243"/>
      <c r="GS177" s="243"/>
      <c r="GT177" s="243"/>
    </row>
    <row r="178" spans="1:202" s="79" customFormat="1" ht="11.25" customHeight="1">
      <c r="A178" s="192"/>
      <c r="B178" s="145" t="s">
        <v>326</v>
      </c>
      <c r="C178" s="216"/>
      <c r="D178" s="141"/>
      <c r="E178" s="147"/>
      <c r="F178" s="147"/>
      <c r="G178" s="177"/>
      <c r="H178" s="147"/>
      <c r="I178" s="147"/>
      <c r="J178" s="210"/>
      <c r="K178" s="252"/>
      <c r="L178" s="252"/>
      <c r="M178" s="252"/>
      <c r="N178" s="287">
        <f t="shared" si="407"/>
        <v>0</v>
      </c>
      <c r="O178" s="273"/>
      <c r="P178" s="273"/>
      <c r="Q178" s="290"/>
      <c r="R178" s="287">
        <f>O178+P178+Q178</f>
        <v>0</v>
      </c>
      <c r="S178" s="290"/>
      <c r="T178" s="264"/>
      <c r="U178" s="273"/>
      <c r="V178" s="273"/>
      <c r="W178" s="290"/>
      <c r="X178" s="264"/>
      <c r="Y178" s="142">
        <f>SUM(S178:X178)</f>
        <v>0</v>
      </c>
      <c r="Z178" s="273"/>
      <c r="AA178" s="273"/>
      <c r="AB178" s="273"/>
      <c r="AC178" s="273"/>
      <c r="AD178" s="273"/>
      <c r="AE178" s="273"/>
      <c r="AF178" s="287">
        <f>SUM(Z178:AE178)</f>
        <v>0</v>
      </c>
      <c r="AG178" s="283">
        <f t="shared" si="369"/>
        <v>0</v>
      </c>
      <c r="AH178" s="228">
        <f t="shared" ref="AH178:AJ180" si="421">K178*$G178</f>
        <v>0</v>
      </c>
      <c r="AI178" s="228">
        <f t="shared" si="421"/>
        <v>0</v>
      </c>
      <c r="AJ178" s="228">
        <f t="shared" si="421"/>
        <v>0</v>
      </c>
      <c r="AK178" s="261">
        <f t="shared" si="394"/>
        <v>0</v>
      </c>
      <c r="AL178" s="228">
        <f t="shared" ref="AL178:AN180" si="422">O178*$G178</f>
        <v>0</v>
      </c>
      <c r="AM178" s="228">
        <f t="shared" si="422"/>
        <v>0</v>
      </c>
      <c r="AN178" s="228">
        <f t="shared" si="422"/>
        <v>0</v>
      </c>
      <c r="AO178" s="261">
        <f>SUM(AL178:AN178)</f>
        <v>0</v>
      </c>
      <c r="AP178" s="228">
        <f t="shared" ref="AP178:AU180" si="423">S178*$J178</f>
        <v>0</v>
      </c>
      <c r="AQ178" s="228">
        <f t="shared" si="423"/>
        <v>0</v>
      </c>
      <c r="AR178" s="228">
        <f t="shared" si="423"/>
        <v>0</v>
      </c>
      <c r="AS178" s="228">
        <f t="shared" si="423"/>
        <v>0</v>
      </c>
      <c r="AT178" s="228">
        <f t="shared" si="423"/>
        <v>0</v>
      </c>
      <c r="AU178" s="228">
        <f t="shared" si="423"/>
        <v>0</v>
      </c>
      <c r="AV178" s="261">
        <f t="shared" si="364"/>
        <v>0</v>
      </c>
      <c r="AW178" s="228">
        <f t="shared" ref="AW178:BB180" si="424">Z178*$J178</f>
        <v>0</v>
      </c>
      <c r="AX178" s="228">
        <f t="shared" si="424"/>
        <v>0</v>
      </c>
      <c r="AY178" s="228">
        <f t="shared" si="424"/>
        <v>0</v>
      </c>
      <c r="AZ178" s="228">
        <f t="shared" si="424"/>
        <v>0</v>
      </c>
      <c r="BA178" s="228">
        <f t="shared" si="424"/>
        <v>0</v>
      </c>
      <c r="BB178" s="228">
        <f t="shared" si="424"/>
        <v>0</v>
      </c>
      <c r="BC178" s="261">
        <f t="shared" si="412"/>
        <v>0</v>
      </c>
      <c r="BD178" s="239">
        <f t="shared" si="373"/>
        <v>0</v>
      </c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  <c r="FF178" s="243"/>
      <c r="FG178" s="243"/>
      <c r="FH178" s="243"/>
      <c r="FI178" s="243"/>
      <c r="FJ178" s="243"/>
      <c r="FK178" s="243"/>
      <c r="FL178" s="243"/>
      <c r="FM178" s="243"/>
      <c r="FN178" s="243"/>
      <c r="FO178" s="243"/>
      <c r="FP178" s="243"/>
      <c r="FQ178" s="243"/>
      <c r="FR178" s="243"/>
      <c r="FS178" s="243"/>
      <c r="FT178" s="243"/>
      <c r="FU178" s="243"/>
      <c r="FV178" s="243"/>
      <c r="FW178" s="243"/>
      <c r="FX178" s="243"/>
      <c r="FY178" s="243"/>
      <c r="FZ178" s="243"/>
      <c r="GA178" s="243"/>
      <c r="GB178" s="243"/>
      <c r="GC178" s="243"/>
      <c r="GD178" s="243"/>
      <c r="GE178" s="243"/>
      <c r="GF178" s="243"/>
      <c r="GG178" s="243"/>
      <c r="GH178" s="243"/>
      <c r="GI178" s="243"/>
      <c r="GJ178" s="243"/>
      <c r="GK178" s="243"/>
      <c r="GL178" s="243"/>
      <c r="GM178" s="243"/>
      <c r="GN178" s="243"/>
      <c r="GO178" s="243"/>
      <c r="GP178" s="243"/>
      <c r="GQ178" s="243"/>
      <c r="GR178" s="243"/>
      <c r="GS178" s="243"/>
      <c r="GT178" s="243"/>
    </row>
    <row r="179" spans="1:202" s="79" customFormat="1" ht="11.25" customHeight="1">
      <c r="A179" s="192"/>
      <c r="B179" s="145" t="s">
        <v>569</v>
      </c>
      <c r="C179" s="216"/>
      <c r="D179" s="141"/>
      <c r="E179" s="147">
        <v>7228.95</v>
      </c>
      <c r="F179" s="147">
        <v>1744</v>
      </c>
      <c r="G179" s="177">
        <f t="shared" si="402"/>
        <v>5484.95</v>
      </c>
      <c r="H179" s="147">
        <v>7228.95</v>
      </c>
      <c r="I179" s="147">
        <v>1744</v>
      </c>
      <c r="J179" s="210">
        <f>H179-I179</f>
        <v>5484.95</v>
      </c>
      <c r="K179" s="252">
        <v>454.80599999999998</v>
      </c>
      <c r="L179" s="252">
        <v>424.12400000000002</v>
      </c>
      <c r="M179" s="252"/>
      <c r="N179" s="287">
        <f t="shared" si="407"/>
        <v>878.93000000000006</v>
      </c>
      <c r="O179" s="273"/>
      <c r="P179" s="273"/>
      <c r="Q179" s="290"/>
      <c r="R179" s="287"/>
      <c r="S179" s="290"/>
      <c r="T179" s="264"/>
      <c r="U179" s="273"/>
      <c r="V179" s="273"/>
      <c r="W179" s="290"/>
      <c r="X179" s="264"/>
      <c r="Y179" s="142"/>
      <c r="Z179" s="273"/>
      <c r="AA179" s="273"/>
      <c r="AB179" s="273"/>
      <c r="AC179" s="273"/>
      <c r="AD179" s="273"/>
      <c r="AE179" s="273"/>
      <c r="AF179" s="287">
        <f>SUM(Z179:AE179)</f>
        <v>0</v>
      </c>
      <c r="AG179" s="283">
        <f t="shared" si="369"/>
        <v>878.93000000000006</v>
      </c>
      <c r="AH179" s="228">
        <f t="shared" si="421"/>
        <v>2494588.1697</v>
      </c>
      <c r="AI179" s="228">
        <f t="shared" si="421"/>
        <v>2326298.9338000002</v>
      </c>
      <c r="AJ179" s="228">
        <f t="shared" si="421"/>
        <v>0</v>
      </c>
      <c r="AK179" s="261">
        <f t="shared" si="394"/>
        <v>4820887.1035000002</v>
      </c>
      <c r="AL179" s="228">
        <f t="shared" si="422"/>
        <v>0</v>
      </c>
      <c r="AM179" s="228">
        <f t="shared" si="422"/>
        <v>0</v>
      </c>
      <c r="AN179" s="228">
        <f t="shared" si="422"/>
        <v>0</v>
      </c>
      <c r="AO179" s="261"/>
      <c r="AP179" s="228">
        <f t="shared" si="423"/>
        <v>0</v>
      </c>
      <c r="AQ179" s="228">
        <f t="shared" si="423"/>
        <v>0</v>
      </c>
      <c r="AR179" s="228">
        <f t="shared" si="423"/>
        <v>0</v>
      </c>
      <c r="AS179" s="228">
        <f t="shared" si="423"/>
        <v>0</v>
      </c>
      <c r="AT179" s="228">
        <f t="shared" si="423"/>
        <v>0</v>
      </c>
      <c r="AU179" s="228">
        <f t="shared" si="423"/>
        <v>0</v>
      </c>
      <c r="AV179" s="261"/>
      <c r="AW179" s="228">
        <f t="shared" si="424"/>
        <v>0</v>
      </c>
      <c r="AX179" s="228">
        <f t="shared" si="424"/>
        <v>0</v>
      </c>
      <c r="AY179" s="228">
        <f t="shared" si="424"/>
        <v>0</v>
      </c>
      <c r="AZ179" s="228">
        <f t="shared" si="424"/>
        <v>0</v>
      </c>
      <c r="BA179" s="228">
        <f t="shared" si="424"/>
        <v>0</v>
      </c>
      <c r="BB179" s="228">
        <f t="shared" si="424"/>
        <v>0</v>
      </c>
      <c r="BC179" s="261">
        <f t="shared" si="412"/>
        <v>0</v>
      </c>
      <c r="BD179" s="239">
        <f t="shared" si="373"/>
        <v>4820887.1035000002</v>
      </c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  <c r="FF179" s="243"/>
      <c r="FG179" s="243"/>
      <c r="FH179" s="243"/>
      <c r="FI179" s="243"/>
      <c r="FJ179" s="243"/>
      <c r="FK179" s="243"/>
      <c r="FL179" s="243"/>
      <c r="FM179" s="243"/>
      <c r="FN179" s="243"/>
      <c r="FO179" s="243"/>
      <c r="FP179" s="243"/>
      <c r="FQ179" s="243"/>
      <c r="FR179" s="243"/>
      <c r="FS179" s="243"/>
      <c r="FT179" s="243"/>
      <c r="FU179" s="243"/>
      <c r="FV179" s="243"/>
      <c r="FW179" s="243"/>
      <c r="FX179" s="243"/>
      <c r="FY179" s="243"/>
      <c r="FZ179" s="243"/>
      <c r="GA179" s="243"/>
      <c r="GB179" s="243"/>
      <c r="GC179" s="243"/>
      <c r="GD179" s="243"/>
      <c r="GE179" s="243"/>
      <c r="GF179" s="243"/>
      <c r="GG179" s="243"/>
      <c r="GH179" s="243"/>
      <c r="GI179" s="243"/>
      <c r="GJ179" s="243"/>
      <c r="GK179" s="243"/>
      <c r="GL179" s="243"/>
      <c r="GM179" s="243"/>
      <c r="GN179" s="243"/>
      <c r="GO179" s="243"/>
      <c r="GP179" s="243"/>
      <c r="GQ179" s="243"/>
      <c r="GR179" s="243"/>
      <c r="GS179" s="243"/>
      <c r="GT179" s="243"/>
    </row>
    <row r="180" spans="1:202" s="79" customFormat="1" ht="11.25" customHeight="1">
      <c r="A180" s="192"/>
      <c r="B180" s="145" t="s">
        <v>570</v>
      </c>
      <c r="C180" s="216"/>
      <c r="D180" s="141"/>
      <c r="E180" s="147">
        <v>5988.45</v>
      </c>
      <c r="F180" s="147">
        <v>1744</v>
      </c>
      <c r="G180" s="177">
        <f t="shared" si="402"/>
        <v>4244.45</v>
      </c>
      <c r="H180" s="147">
        <v>5988.45</v>
      </c>
      <c r="I180" s="147">
        <v>1744</v>
      </c>
      <c r="J180" s="210">
        <f>H180-I180</f>
        <v>4244.45</v>
      </c>
      <c r="K180" s="252">
        <v>1164.136</v>
      </c>
      <c r="L180" s="252">
        <v>1040.329</v>
      </c>
      <c r="M180" s="252"/>
      <c r="N180" s="287">
        <f t="shared" si="407"/>
        <v>2204.4650000000001</v>
      </c>
      <c r="O180" s="273"/>
      <c r="P180" s="273"/>
      <c r="Q180" s="290"/>
      <c r="R180" s="287"/>
      <c r="S180" s="290"/>
      <c r="T180" s="264"/>
      <c r="U180" s="273"/>
      <c r="V180" s="273"/>
      <c r="W180" s="290"/>
      <c r="X180" s="264"/>
      <c r="Y180" s="142"/>
      <c r="Z180" s="273"/>
      <c r="AA180" s="273"/>
      <c r="AB180" s="273"/>
      <c r="AC180" s="273"/>
      <c r="AD180" s="273"/>
      <c r="AE180" s="273"/>
      <c r="AF180" s="287">
        <f>SUM(Z180:AE180)</f>
        <v>0</v>
      </c>
      <c r="AG180" s="283">
        <f t="shared" si="369"/>
        <v>2204.4650000000001</v>
      </c>
      <c r="AH180" s="228">
        <f t="shared" si="421"/>
        <v>4941117.0451999996</v>
      </c>
      <c r="AI180" s="228">
        <f t="shared" si="421"/>
        <v>4415624.4240499996</v>
      </c>
      <c r="AJ180" s="228">
        <f t="shared" si="421"/>
        <v>0</v>
      </c>
      <c r="AK180" s="261">
        <f t="shared" si="394"/>
        <v>9356741.4692499992</v>
      </c>
      <c r="AL180" s="228">
        <f t="shared" si="422"/>
        <v>0</v>
      </c>
      <c r="AM180" s="228">
        <f t="shared" si="422"/>
        <v>0</v>
      </c>
      <c r="AN180" s="228">
        <f t="shared" si="422"/>
        <v>0</v>
      </c>
      <c r="AO180" s="261"/>
      <c r="AP180" s="228">
        <f t="shared" si="423"/>
        <v>0</v>
      </c>
      <c r="AQ180" s="228">
        <f t="shared" si="423"/>
        <v>0</v>
      </c>
      <c r="AR180" s="228">
        <f t="shared" si="423"/>
        <v>0</v>
      </c>
      <c r="AS180" s="228">
        <f t="shared" si="423"/>
        <v>0</v>
      </c>
      <c r="AT180" s="228">
        <f t="shared" si="423"/>
        <v>0</v>
      </c>
      <c r="AU180" s="228">
        <f t="shared" si="423"/>
        <v>0</v>
      </c>
      <c r="AV180" s="261"/>
      <c r="AW180" s="228">
        <f t="shared" si="424"/>
        <v>0</v>
      </c>
      <c r="AX180" s="228">
        <f t="shared" si="424"/>
        <v>0</v>
      </c>
      <c r="AY180" s="228">
        <f t="shared" si="424"/>
        <v>0</v>
      </c>
      <c r="AZ180" s="228">
        <f t="shared" si="424"/>
        <v>0</v>
      </c>
      <c r="BA180" s="228">
        <f t="shared" si="424"/>
        <v>0</v>
      </c>
      <c r="BB180" s="228">
        <f t="shared" si="424"/>
        <v>0</v>
      </c>
      <c r="BC180" s="261">
        <f t="shared" si="412"/>
        <v>0</v>
      </c>
      <c r="BD180" s="239">
        <f t="shared" si="373"/>
        <v>9356741.4692499992</v>
      </c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  <c r="FF180" s="243"/>
      <c r="FG180" s="243"/>
      <c r="FH180" s="243"/>
      <c r="FI180" s="243"/>
      <c r="FJ180" s="243"/>
      <c r="FK180" s="243"/>
      <c r="FL180" s="243"/>
      <c r="FM180" s="243"/>
      <c r="FN180" s="243"/>
      <c r="FO180" s="243"/>
      <c r="FP180" s="243"/>
      <c r="FQ180" s="243"/>
      <c r="FR180" s="243"/>
      <c r="FS180" s="243"/>
      <c r="FT180" s="243"/>
      <c r="FU180" s="243"/>
      <c r="FV180" s="243"/>
      <c r="FW180" s="243"/>
      <c r="FX180" s="243"/>
      <c r="FY180" s="243"/>
      <c r="FZ180" s="243"/>
      <c r="GA180" s="243"/>
      <c r="GB180" s="243"/>
      <c r="GC180" s="243"/>
      <c r="GD180" s="243"/>
      <c r="GE180" s="243"/>
      <c r="GF180" s="243"/>
      <c r="GG180" s="243"/>
      <c r="GH180" s="243"/>
      <c r="GI180" s="243"/>
      <c r="GJ180" s="243"/>
      <c r="GK180" s="243"/>
      <c r="GL180" s="243"/>
      <c r="GM180" s="243"/>
      <c r="GN180" s="243"/>
      <c r="GO180" s="243"/>
      <c r="GP180" s="243"/>
      <c r="GQ180" s="243"/>
      <c r="GR180" s="243"/>
      <c r="GS180" s="243"/>
      <c r="GT180" s="243"/>
    </row>
    <row r="181" spans="1:202" s="79" customFormat="1" ht="27" customHeight="1">
      <c r="A181" s="187" t="s">
        <v>26</v>
      </c>
      <c r="B181" s="170" t="s">
        <v>246</v>
      </c>
      <c r="C181" s="216" t="s">
        <v>162</v>
      </c>
      <c r="D181" s="138">
        <v>2923006012</v>
      </c>
      <c r="E181" s="147"/>
      <c r="F181" s="144"/>
      <c r="G181" s="177"/>
      <c r="H181" s="147"/>
      <c r="I181" s="144"/>
      <c r="J181" s="210"/>
      <c r="K181" s="254">
        <f t="shared" ref="K181:Q181" si="425">SUM(K182:K183)</f>
        <v>92.64</v>
      </c>
      <c r="L181" s="254">
        <f t="shared" si="425"/>
        <v>92.64</v>
      </c>
      <c r="M181" s="254">
        <f t="shared" si="425"/>
        <v>0</v>
      </c>
      <c r="N181" s="284">
        <f t="shared" si="425"/>
        <v>185.28</v>
      </c>
      <c r="O181" s="275">
        <f t="shared" si="425"/>
        <v>0</v>
      </c>
      <c r="P181" s="275">
        <f t="shared" si="425"/>
        <v>0</v>
      </c>
      <c r="Q181" s="275">
        <f t="shared" si="425"/>
        <v>0</v>
      </c>
      <c r="R181" s="284">
        <f>O181+P181+Q181</f>
        <v>0</v>
      </c>
      <c r="S181" s="293">
        <f t="shared" ref="S181:X181" si="426">SUM(S182:S183)</f>
        <v>0</v>
      </c>
      <c r="T181" s="293">
        <f t="shared" si="426"/>
        <v>0</v>
      </c>
      <c r="U181" s="293">
        <f t="shared" si="426"/>
        <v>0</v>
      </c>
      <c r="V181" s="293">
        <f t="shared" si="426"/>
        <v>0</v>
      </c>
      <c r="W181" s="293">
        <f t="shared" si="426"/>
        <v>0</v>
      </c>
      <c r="X181" s="293">
        <f t="shared" si="426"/>
        <v>0</v>
      </c>
      <c r="Y181" s="284">
        <f>SUM(S181:X181)</f>
        <v>0</v>
      </c>
      <c r="Z181" s="275">
        <f t="shared" ref="Z181:AF181" si="427">SUM(Z182:Z183)</f>
        <v>0</v>
      </c>
      <c r="AA181" s="275">
        <f t="shared" si="427"/>
        <v>0</v>
      </c>
      <c r="AB181" s="275">
        <f t="shared" si="427"/>
        <v>0</v>
      </c>
      <c r="AC181" s="275">
        <f t="shared" si="427"/>
        <v>0</v>
      </c>
      <c r="AD181" s="275">
        <f t="shared" si="427"/>
        <v>0</v>
      </c>
      <c r="AE181" s="275">
        <f t="shared" si="427"/>
        <v>0</v>
      </c>
      <c r="AF181" s="284">
        <f t="shared" si="427"/>
        <v>0</v>
      </c>
      <c r="AG181" s="282">
        <f t="shared" si="369"/>
        <v>185.28</v>
      </c>
      <c r="AH181" s="232">
        <f>SUM(AH182:AH183)</f>
        <v>434390.70959999994</v>
      </c>
      <c r="AI181" s="232">
        <f>SUM(AI182:AI183)</f>
        <v>434390.70959999994</v>
      </c>
      <c r="AJ181" s="232">
        <f>SUM(AJ182:AJ183)</f>
        <v>0</v>
      </c>
      <c r="AK181" s="260">
        <f t="shared" ref="AK181:AK188" si="428">AH181+AI181+AJ181</f>
        <v>868781.41919999989</v>
      </c>
      <c r="AL181" s="232">
        <f>SUM(AL182:AL183)</f>
        <v>0</v>
      </c>
      <c r="AM181" s="232">
        <f>SUM(AM182:AM183)</f>
        <v>0</v>
      </c>
      <c r="AN181" s="232">
        <f>SUM(AN182:AN183)</f>
        <v>0</v>
      </c>
      <c r="AO181" s="260">
        <f>SUM(AL181:AN181)</f>
        <v>0</v>
      </c>
      <c r="AP181" s="232">
        <f t="shared" ref="AP181:AU181" si="429">SUM(AP182:AP183)</f>
        <v>0</v>
      </c>
      <c r="AQ181" s="232">
        <f t="shared" si="429"/>
        <v>0</v>
      </c>
      <c r="AR181" s="232">
        <f t="shared" si="429"/>
        <v>0</v>
      </c>
      <c r="AS181" s="232">
        <f t="shared" si="429"/>
        <v>0</v>
      </c>
      <c r="AT181" s="232">
        <f t="shared" si="429"/>
        <v>0</v>
      </c>
      <c r="AU181" s="232">
        <f t="shared" si="429"/>
        <v>0</v>
      </c>
      <c r="AV181" s="260">
        <f t="shared" si="364"/>
        <v>0</v>
      </c>
      <c r="AW181" s="232">
        <f t="shared" ref="AW181:BB181" si="430">SUM(AW182:AW183)</f>
        <v>0</v>
      </c>
      <c r="AX181" s="232">
        <f t="shared" si="430"/>
        <v>0</v>
      </c>
      <c r="AY181" s="232">
        <f t="shared" si="430"/>
        <v>0</v>
      </c>
      <c r="AZ181" s="232">
        <f t="shared" si="430"/>
        <v>0</v>
      </c>
      <c r="BA181" s="232">
        <f t="shared" si="430"/>
        <v>0</v>
      </c>
      <c r="BB181" s="232">
        <f t="shared" si="430"/>
        <v>0</v>
      </c>
      <c r="BC181" s="260">
        <f t="shared" si="412"/>
        <v>0</v>
      </c>
      <c r="BD181" s="238">
        <f t="shared" si="373"/>
        <v>868781.41919999989</v>
      </c>
      <c r="BE181" s="1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  <c r="FF181" s="243"/>
      <c r="FG181" s="243"/>
      <c r="FH181" s="243"/>
      <c r="FI181" s="243"/>
      <c r="FJ181" s="243"/>
      <c r="FK181" s="243"/>
      <c r="FL181" s="243"/>
      <c r="FM181" s="243"/>
      <c r="FN181" s="243"/>
      <c r="FO181" s="243"/>
      <c r="FP181" s="243"/>
      <c r="FQ181" s="243"/>
      <c r="FR181" s="243"/>
      <c r="FS181" s="243"/>
      <c r="FT181" s="243"/>
      <c r="FU181" s="243"/>
      <c r="FV181" s="243"/>
      <c r="FW181" s="243"/>
      <c r="FX181" s="243"/>
      <c r="FY181" s="243"/>
      <c r="FZ181" s="243"/>
      <c r="GA181" s="243"/>
      <c r="GB181" s="243"/>
      <c r="GC181" s="243"/>
      <c r="GD181" s="243"/>
      <c r="GE181" s="243"/>
      <c r="GF181" s="243"/>
      <c r="GG181" s="243"/>
      <c r="GH181" s="243"/>
      <c r="GI181" s="243"/>
      <c r="GJ181" s="243"/>
      <c r="GK181" s="243"/>
      <c r="GL181" s="243"/>
      <c r="GM181" s="243"/>
      <c r="GN181" s="243"/>
      <c r="GO181" s="243"/>
      <c r="GP181" s="243"/>
      <c r="GQ181" s="243"/>
      <c r="GR181" s="243"/>
      <c r="GS181" s="243"/>
      <c r="GT181" s="243"/>
    </row>
    <row r="182" spans="1:202" s="79" customFormat="1" ht="11.25" customHeight="1">
      <c r="A182" s="192"/>
      <c r="B182" s="144" t="s">
        <v>571</v>
      </c>
      <c r="C182" s="150"/>
      <c r="D182" s="141"/>
      <c r="E182" s="147">
        <v>6421.04</v>
      </c>
      <c r="F182" s="144">
        <v>1744</v>
      </c>
      <c r="G182" s="177">
        <f t="shared" si="402"/>
        <v>4677.04</v>
      </c>
      <c r="H182" s="147">
        <v>6421.04</v>
      </c>
      <c r="I182" s="209">
        <v>1744</v>
      </c>
      <c r="J182" s="210">
        <f>H182-I182</f>
        <v>4677.04</v>
      </c>
      <c r="K182" s="252">
        <v>67.418999999999997</v>
      </c>
      <c r="L182" s="252">
        <v>67.418999999999997</v>
      </c>
      <c r="M182" s="252"/>
      <c r="N182" s="287">
        <f>SUM(K182:M182)</f>
        <v>134.83799999999999</v>
      </c>
      <c r="O182" s="273"/>
      <c r="P182" s="273"/>
      <c r="Q182" s="290"/>
      <c r="R182" s="287"/>
      <c r="S182" s="290"/>
      <c r="T182" s="264"/>
      <c r="U182" s="273"/>
      <c r="V182" s="273"/>
      <c r="W182" s="290"/>
      <c r="X182" s="264"/>
      <c r="Y182" s="142"/>
      <c r="Z182" s="273"/>
      <c r="AA182" s="273"/>
      <c r="AB182" s="273"/>
      <c r="AC182" s="273"/>
      <c r="AD182" s="273"/>
      <c r="AE182" s="273"/>
      <c r="AF182" s="287">
        <f t="shared" ref="AF182:AF193" si="431">SUM(Z182:AE182)</f>
        <v>0</v>
      </c>
      <c r="AG182" s="283">
        <f t="shared" si="369"/>
        <v>134.83799999999999</v>
      </c>
      <c r="AH182" s="228">
        <f t="shared" ref="AH182:AJ183" si="432">K182*$G182</f>
        <v>315321.35975999996</v>
      </c>
      <c r="AI182" s="228">
        <f t="shared" si="432"/>
        <v>315321.35975999996</v>
      </c>
      <c r="AJ182" s="228">
        <f t="shared" si="432"/>
        <v>0</v>
      </c>
      <c r="AK182" s="261">
        <f t="shared" si="428"/>
        <v>630642.71951999993</v>
      </c>
      <c r="AL182" s="228">
        <f t="shared" ref="AL182:AN183" si="433">O182*$G182</f>
        <v>0</v>
      </c>
      <c r="AM182" s="228">
        <f t="shared" si="433"/>
        <v>0</v>
      </c>
      <c r="AN182" s="228">
        <f t="shared" si="433"/>
        <v>0</v>
      </c>
      <c r="AO182" s="261"/>
      <c r="AP182" s="228">
        <f t="shared" ref="AP182:AU183" si="434">S182*$J182</f>
        <v>0</v>
      </c>
      <c r="AQ182" s="228">
        <f t="shared" si="434"/>
        <v>0</v>
      </c>
      <c r="AR182" s="228">
        <f t="shared" si="434"/>
        <v>0</v>
      </c>
      <c r="AS182" s="228">
        <f t="shared" si="434"/>
        <v>0</v>
      </c>
      <c r="AT182" s="228">
        <f t="shared" si="434"/>
        <v>0</v>
      </c>
      <c r="AU182" s="228">
        <f t="shared" si="434"/>
        <v>0</v>
      </c>
      <c r="AV182" s="261"/>
      <c r="AW182" s="228">
        <f t="shared" ref="AW182:BB183" si="435">Z182*$J182</f>
        <v>0</v>
      </c>
      <c r="AX182" s="228">
        <f t="shared" si="435"/>
        <v>0</v>
      </c>
      <c r="AY182" s="228">
        <f t="shared" si="435"/>
        <v>0</v>
      </c>
      <c r="AZ182" s="228">
        <f t="shared" si="435"/>
        <v>0</v>
      </c>
      <c r="BA182" s="228">
        <f t="shared" si="435"/>
        <v>0</v>
      </c>
      <c r="BB182" s="228">
        <f t="shared" si="435"/>
        <v>0</v>
      </c>
      <c r="BC182" s="261">
        <f t="shared" si="412"/>
        <v>0</v>
      </c>
      <c r="BD182" s="239">
        <f t="shared" si="373"/>
        <v>630642.71951999993</v>
      </c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  <c r="FF182" s="243"/>
      <c r="FG182" s="243"/>
      <c r="FH182" s="243"/>
      <c r="FI182" s="243"/>
      <c r="FJ182" s="243"/>
      <c r="FK182" s="243"/>
      <c r="FL182" s="243"/>
      <c r="FM182" s="243"/>
      <c r="FN182" s="243"/>
      <c r="FO182" s="243"/>
      <c r="FP182" s="243"/>
      <c r="FQ182" s="243"/>
      <c r="FR182" s="243"/>
      <c r="FS182" s="243"/>
      <c r="FT182" s="243"/>
      <c r="FU182" s="243"/>
      <c r="FV182" s="243"/>
      <c r="FW182" s="243"/>
      <c r="FX182" s="243"/>
      <c r="FY182" s="243"/>
      <c r="FZ182" s="243"/>
      <c r="GA182" s="243"/>
      <c r="GB182" s="243"/>
      <c r="GC182" s="243"/>
      <c r="GD182" s="243"/>
      <c r="GE182" s="243"/>
      <c r="GF182" s="243"/>
      <c r="GG182" s="243"/>
      <c r="GH182" s="243"/>
      <c r="GI182" s="243"/>
      <c r="GJ182" s="243"/>
      <c r="GK182" s="243"/>
      <c r="GL182" s="243"/>
      <c r="GM182" s="243"/>
      <c r="GN182" s="243"/>
      <c r="GO182" s="243"/>
      <c r="GP182" s="243"/>
      <c r="GQ182" s="243"/>
      <c r="GR182" s="243"/>
      <c r="GS182" s="243"/>
      <c r="GT182" s="243"/>
    </row>
    <row r="183" spans="1:202" s="79" customFormat="1" ht="11.25" customHeight="1">
      <c r="A183" s="192"/>
      <c r="B183" s="144" t="s">
        <v>572</v>
      </c>
      <c r="C183" s="150"/>
      <c r="D183" s="141"/>
      <c r="E183" s="147">
        <v>6421.04</v>
      </c>
      <c r="F183" s="144">
        <v>1700</v>
      </c>
      <c r="G183" s="177">
        <f t="shared" si="402"/>
        <v>4721.04</v>
      </c>
      <c r="H183" s="147">
        <v>6421.04</v>
      </c>
      <c r="I183" s="209">
        <v>1700</v>
      </c>
      <c r="J183" s="210">
        <f>H183-I183</f>
        <v>4721.04</v>
      </c>
      <c r="K183" s="252">
        <v>25.221</v>
      </c>
      <c r="L183" s="252">
        <v>25.221</v>
      </c>
      <c r="M183" s="252"/>
      <c r="N183" s="287">
        <f>SUM(K183:M183)</f>
        <v>50.442</v>
      </c>
      <c r="O183" s="273"/>
      <c r="P183" s="273"/>
      <c r="Q183" s="290"/>
      <c r="R183" s="287"/>
      <c r="S183" s="290"/>
      <c r="T183" s="264"/>
      <c r="U183" s="273"/>
      <c r="V183" s="273"/>
      <c r="W183" s="290"/>
      <c r="X183" s="264"/>
      <c r="Y183" s="142"/>
      <c r="Z183" s="273"/>
      <c r="AA183" s="273"/>
      <c r="AB183" s="273"/>
      <c r="AC183" s="273"/>
      <c r="AD183" s="273"/>
      <c r="AE183" s="273"/>
      <c r="AF183" s="287">
        <f t="shared" si="431"/>
        <v>0</v>
      </c>
      <c r="AG183" s="283">
        <f t="shared" si="369"/>
        <v>50.442</v>
      </c>
      <c r="AH183" s="228">
        <f t="shared" si="432"/>
        <v>119069.34984</v>
      </c>
      <c r="AI183" s="228">
        <f t="shared" si="432"/>
        <v>119069.34984</v>
      </c>
      <c r="AJ183" s="228">
        <f t="shared" si="432"/>
        <v>0</v>
      </c>
      <c r="AK183" s="261">
        <f t="shared" si="428"/>
        <v>238138.69967999999</v>
      </c>
      <c r="AL183" s="228">
        <f t="shared" si="433"/>
        <v>0</v>
      </c>
      <c r="AM183" s="228">
        <f t="shared" si="433"/>
        <v>0</v>
      </c>
      <c r="AN183" s="228">
        <f t="shared" si="433"/>
        <v>0</v>
      </c>
      <c r="AO183" s="261"/>
      <c r="AP183" s="228">
        <f t="shared" si="434"/>
        <v>0</v>
      </c>
      <c r="AQ183" s="228">
        <f t="shared" si="434"/>
        <v>0</v>
      </c>
      <c r="AR183" s="228">
        <f t="shared" si="434"/>
        <v>0</v>
      </c>
      <c r="AS183" s="228">
        <f t="shared" si="434"/>
        <v>0</v>
      </c>
      <c r="AT183" s="228">
        <f t="shared" si="434"/>
        <v>0</v>
      </c>
      <c r="AU183" s="228">
        <f t="shared" si="434"/>
        <v>0</v>
      </c>
      <c r="AV183" s="261"/>
      <c r="AW183" s="228">
        <f t="shared" si="435"/>
        <v>0</v>
      </c>
      <c r="AX183" s="228">
        <f t="shared" si="435"/>
        <v>0</v>
      </c>
      <c r="AY183" s="228">
        <f t="shared" si="435"/>
        <v>0</v>
      </c>
      <c r="AZ183" s="228">
        <f t="shared" si="435"/>
        <v>0</v>
      </c>
      <c r="BA183" s="228">
        <f t="shared" si="435"/>
        <v>0</v>
      </c>
      <c r="BB183" s="228">
        <f t="shared" si="435"/>
        <v>0</v>
      </c>
      <c r="BC183" s="261">
        <f t="shared" si="412"/>
        <v>0</v>
      </c>
      <c r="BD183" s="239">
        <f t="shared" si="373"/>
        <v>238138.69967999999</v>
      </c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  <c r="FF183" s="243"/>
      <c r="FG183" s="243"/>
      <c r="FH183" s="243"/>
      <c r="FI183" s="243"/>
      <c r="FJ183" s="243"/>
      <c r="FK183" s="243"/>
      <c r="FL183" s="243"/>
      <c r="FM183" s="243"/>
      <c r="FN183" s="243"/>
      <c r="FO183" s="243"/>
      <c r="FP183" s="243"/>
      <c r="FQ183" s="243"/>
      <c r="FR183" s="243"/>
      <c r="FS183" s="243"/>
      <c r="FT183" s="243"/>
      <c r="FU183" s="243"/>
      <c r="FV183" s="243"/>
      <c r="FW183" s="243"/>
      <c r="FX183" s="243"/>
      <c r="FY183" s="243"/>
      <c r="FZ183" s="243"/>
      <c r="GA183" s="243"/>
      <c r="GB183" s="243"/>
      <c r="GC183" s="243"/>
      <c r="GD183" s="243"/>
      <c r="GE183" s="243"/>
      <c r="GF183" s="243"/>
      <c r="GG183" s="243"/>
      <c r="GH183" s="243"/>
      <c r="GI183" s="243"/>
      <c r="GJ183" s="243"/>
      <c r="GK183" s="243"/>
      <c r="GL183" s="243"/>
      <c r="GM183" s="243"/>
      <c r="GN183" s="243"/>
      <c r="GO183" s="243"/>
      <c r="GP183" s="243"/>
      <c r="GQ183" s="243"/>
      <c r="GR183" s="243"/>
      <c r="GS183" s="243"/>
      <c r="GT183" s="243"/>
    </row>
    <row r="184" spans="1:202" s="79" customFormat="1" ht="19.5" customHeight="1">
      <c r="A184" s="187" t="s">
        <v>26</v>
      </c>
      <c r="B184" s="170" t="s">
        <v>49</v>
      </c>
      <c r="C184" s="216" t="s">
        <v>443</v>
      </c>
      <c r="D184" s="138">
        <v>2922007704</v>
      </c>
      <c r="E184" s="147"/>
      <c r="F184" s="147"/>
      <c r="G184" s="177"/>
      <c r="H184" s="147"/>
      <c r="I184" s="147"/>
      <c r="J184" s="210"/>
      <c r="K184" s="251">
        <f>K185</f>
        <v>115.557</v>
      </c>
      <c r="L184" s="251">
        <f>L185</f>
        <v>120.057</v>
      </c>
      <c r="M184" s="251">
        <f>M185</f>
        <v>0</v>
      </c>
      <c r="N184" s="284">
        <f>K184+L184+M184</f>
        <v>235.614</v>
      </c>
      <c r="O184" s="272">
        <f>O185</f>
        <v>0</v>
      </c>
      <c r="P184" s="272">
        <f>P185</f>
        <v>0</v>
      </c>
      <c r="Q184" s="272">
        <f>Q185</f>
        <v>0</v>
      </c>
      <c r="R184" s="284">
        <f>O184+P184+Q184</f>
        <v>0</v>
      </c>
      <c r="S184" s="289">
        <f t="shared" ref="S184:X184" si="436">S185</f>
        <v>0</v>
      </c>
      <c r="T184" s="289">
        <f t="shared" si="436"/>
        <v>0</v>
      </c>
      <c r="U184" s="289">
        <f t="shared" si="436"/>
        <v>0</v>
      </c>
      <c r="V184" s="289">
        <f t="shared" si="436"/>
        <v>0</v>
      </c>
      <c r="W184" s="289">
        <f t="shared" si="436"/>
        <v>0</v>
      </c>
      <c r="X184" s="289">
        <f t="shared" si="436"/>
        <v>0</v>
      </c>
      <c r="Y184" s="284">
        <f>SUM(S184:X184)</f>
        <v>0</v>
      </c>
      <c r="Z184" s="272">
        <f t="shared" ref="Z184:AE184" si="437">Z185</f>
        <v>0</v>
      </c>
      <c r="AA184" s="272">
        <f t="shared" si="437"/>
        <v>0</v>
      </c>
      <c r="AB184" s="272">
        <f t="shared" si="437"/>
        <v>0</v>
      </c>
      <c r="AC184" s="272">
        <f t="shared" si="437"/>
        <v>0</v>
      </c>
      <c r="AD184" s="272">
        <f t="shared" si="437"/>
        <v>0</v>
      </c>
      <c r="AE184" s="272">
        <f t="shared" si="437"/>
        <v>0</v>
      </c>
      <c r="AF184" s="284">
        <f t="shared" si="431"/>
        <v>0</v>
      </c>
      <c r="AG184" s="282">
        <f t="shared" si="369"/>
        <v>235.614</v>
      </c>
      <c r="AH184" s="227">
        <f>AH185</f>
        <v>170359.90724999999</v>
      </c>
      <c r="AI184" s="227">
        <f>AI185</f>
        <v>176994.03224999999</v>
      </c>
      <c r="AJ184" s="227">
        <f>AJ185</f>
        <v>0</v>
      </c>
      <c r="AK184" s="260">
        <f t="shared" si="428"/>
        <v>347353.93949999998</v>
      </c>
      <c r="AL184" s="227">
        <f>AL185</f>
        <v>0</v>
      </c>
      <c r="AM184" s="227">
        <f>AM185</f>
        <v>0</v>
      </c>
      <c r="AN184" s="227">
        <f>AN185</f>
        <v>0</v>
      </c>
      <c r="AO184" s="260">
        <f>SUM(AL184:AN184)</f>
        <v>0</v>
      </c>
      <c r="AP184" s="227">
        <f t="shared" ref="AP184:AU184" si="438">AP185</f>
        <v>0</v>
      </c>
      <c r="AQ184" s="227">
        <f t="shared" si="438"/>
        <v>0</v>
      </c>
      <c r="AR184" s="227">
        <f t="shared" si="438"/>
        <v>0</v>
      </c>
      <c r="AS184" s="227">
        <f t="shared" si="438"/>
        <v>0</v>
      </c>
      <c r="AT184" s="227">
        <f t="shared" si="438"/>
        <v>0</v>
      </c>
      <c r="AU184" s="227">
        <f t="shared" si="438"/>
        <v>0</v>
      </c>
      <c r="AV184" s="260">
        <f t="shared" si="364"/>
        <v>0</v>
      </c>
      <c r="AW184" s="227">
        <f t="shared" ref="AW184:BB184" si="439">AW185</f>
        <v>0</v>
      </c>
      <c r="AX184" s="227">
        <f t="shared" si="439"/>
        <v>0</v>
      </c>
      <c r="AY184" s="227">
        <f t="shared" si="439"/>
        <v>0</v>
      </c>
      <c r="AZ184" s="227">
        <f t="shared" si="439"/>
        <v>0</v>
      </c>
      <c r="BA184" s="227">
        <f t="shared" si="439"/>
        <v>0</v>
      </c>
      <c r="BB184" s="227">
        <f t="shared" si="439"/>
        <v>0</v>
      </c>
      <c r="BC184" s="260">
        <f t="shared" si="412"/>
        <v>0</v>
      </c>
      <c r="BD184" s="238">
        <f t="shared" si="373"/>
        <v>347353.93949999998</v>
      </c>
      <c r="BE184" s="1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  <c r="FF184" s="243"/>
      <c r="FG184" s="243"/>
      <c r="FH184" s="243"/>
      <c r="FI184" s="243"/>
      <c r="FJ184" s="243"/>
      <c r="FK184" s="243"/>
      <c r="FL184" s="243"/>
      <c r="FM184" s="243"/>
      <c r="FN184" s="243"/>
      <c r="FO184" s="243"/>
      <c r="FP184" s="243"/>
      <c r="FQ184" s="243"/>
      <c r="FR184" s="243"/>
      <c r="FS184" s="243"/>
      <c r="FT184" s="243"/>
      <c r="FU184" s="243"/>
      <c r="FV184" s="243"/>
      <c r="FW184" s="243"/>
      <c r="FX184" s="243"/>
      <c r="FY184" s="243"/>
      <c r="FZ184" s="243"/>
      <c r="GA184" s="243"/>
      <c r="GB184" s="243"/>
      <c r="GC184" s="243"/>
      <c r="GD184" s="243"/>
      <c r="GE184" s="243"/>
      <c r="GF184" s="243"/>
      <c r="GG184" s="243"/>
      <c r="GH184" s="243"/>
      <c r="GI184" s="243"/>
      <c r="GJ184" s="243"/>
      <c r="GK184" s="243"/>
      <c r="GL184" s="243"/>
      <c r="GM184" s="243"/>
      <c r="GN184" s="243"/>
      <c r="GO184" s="243"/>
      <c r="GP184" s="243"/>
      <c r="GQ184" s="243"/>
      <c r="GR184" s="243"/>
      <c r="GS184" s="243"/>
      <c r="GT184" s="243"/>
    </row>
    <row r="185" spans="1:202" s="79" customFormat="1" ht="11.25" customHeight="1">
      <c r="A185" s="192"/>
      <c r="B185" s="144"/>
      <c r="C185" s="150"/>
      <c r="D185" s="141"/>
      <c r="E185" s="147">
        <v>3501.25</v>
      </c>
      <c r="F185" s="144">
        <v>2027</v>
      </c>
      <c r="G185" s="177">
        <f t="shared" si="402"/>
        <v>1474.25</v>
      </c>
      <c r="H185" s="147">
        <v>3501.25</v>
      </c>
      <c r="I185" s="209">
        <v>2027</v>
      </c>
      <c r="J185" s="210">
        <f>H185-I185</f>
        <v>1474.25</v>
      </c>
      <c r="K185" s="252">
        <v>115.557</v>
      </c>
      <c r="L185" s="252">
        <v>120.057</v>
      </c>
      <c r="M185" s="252"/>
      <c r="N185" s="287">
        <f>SUM(K185:M185)</f>
        <v>235.614</v>
      </c>
      <c r="O185" s="273"/>
      <c r="P185" s="273"/>
      <c r="Q185" s="290"/>
      <c r="R185" s="287"/>
      <c r="S185" s="290"/>
      <c r="T185" s="264"/>
      <c r="U185" s="273"/>
      <c r="V185" s="273"/>
      <c r="W185" s="290"/>
      <c r="X185" s="264"/>
      <c r="Y185" s="142"/>
      <c r="Z185" s="273"/>
      <c r="AA185" s="273"/>
      <c r="AB185" s="273"/>
      <c r="AC185" s="273"/>
      <c r="AD185" s="273"/>
      <c r="AE185" s="273"/>
      <c r="AF185" s="287">
        <f t="shared" si="431"/>
        <v>0</v>
      </c>
      <c r="AG185" s="283">
        <f t="shared" si="369"/>
        <v>235.614</v>
      </c>
      <c r="AH185" s="228">
        <f t="shared" ref="AH185:AJ186" si="440">K185*$G185</f>
        <v>170359.90724999999</v>
      </c>
      <c r="AI185" s="228">
        <f t="shared" si="440"/>
        <v>176994.03224999999</v>
      </c>
      <c r="AJ185" s="228">
        <f t="shared" si="440"/>
        <v>0</v>
      </c>
      <c r="AK185" s="261">
        <f t="shared" si="428"/>
        <v>347353.93949999998</v>
      </c>
      <c r="AL185" s="228">
        <f t="shared" ref="AL185:AN186" si="441">O185*$G185</f>
        <v>0</v>
      </c>
      <c r="AM185" s="228">
        <f t="shared" si="441"/>
        <v>0</v>
      </c>
      <c r="AN185" s="228">
        <f t="shared" si="441"/>
        <v>0</v>
      </c>
      <c r="AO185" s="261"/>
      <c r="AP185" s="228">
        <f t="shared" ref="AP185:AU186" si="442">S185*$J185</f>
        <v>0</v>
      </c>
      <c r="AQ185" s="228">
        <f t="shared" si="442"/>
        <v>0</v>
      </c>
      <c r="AR185" s="228">
        <f t="shared" si="442"/>
        <v>0</v>
      </c>
      <c r="AS185" s="228">
        <f t="shared" si="442"/>
        <v>0</v>
      </c>
      <c r="AT185" s="228">
        <f t="shared" si="442"/>
        <v>0</v>
      </c>
      <c r="AU185" s="228">
        <f t="shared" si="442"/>
        <v>0</v>
      </c>
      <c r="AV185" s="261"/>
      <c r="AW185" s="228">
        <f t="shared" ref="AW185:BB186" si="443">Z185*$J185</f>
        <v>0</v>
      </c>
      <c r="AX185" s="228">
        <f t="shared" si="443"/>
        <v>0</v>
      </c>
      <c r="AY185" s="228">
        <f t="shared" si="443"/>
        <v>0</v>
      </c>
      <c r="AZ185" s="228">
        <f t="shared" si="443"/>
        <v>0</v>
      </c>
      <c r="BA185" s="228">
        <f t="shared" si="443"/>
        <v>0</v>
      </c>
      <c r="BB185" s="228">
        <f t="shared" si="443"/>
        <v>0</v>
      </c>
      <c r="BC185" s="261">
        <f t="shared" si="412"/>
        <v>0</v>
      </c>
      <c r="BD185" s="239">
        <f t="shared" si="373"/>
        <v>347353.93949999998</v>
      </c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  <c r="FF185" s="243"/>
      <c r="FG185" s="243"/>
      <c r="FH185" s="243"/>
      <c r="FI185" s="243"/>
      <c r="FJ185" s="243"/>
      <c r="FK185" s="243"/>
      <c r="FL185" s="243"/>
      <c r="FM185" s="243"/>
      <c r="FN185" s="243"/>
      <c r="FO185" s="243"/>
      <c r="FP185" s="243"/>
      <c r="FQ185" s="243"/>
      <c r="FR185" s="243"/>
      <c r="FS185" s="243"/>
      <c r="FT185" s="243"/>
      <c r="FU185" s="243"/>
      <c r="FV185" s="243"/>
      <c r="FW185" s="243"/>
      <c r="FX185" s="243"/>
      <c r="FY185" s="243"/>
      <c r="FZ185" s="243"/>
      <c r="GA185" s="243"/>
      <c r="GB185" s="243"/>
      <c r="GC185" s="243"/>
      <c r="GD185" s="243"/>
      <c r="GE185" s="243"/>
      <c r="GF185" s="243"/>
      <c r="GG185" s="243"/>
      <c r="GH185" s="243"/>
      <c r="GI185" s="243"/>
      <c r="GJ185" s="243"/>
      <c r="GK185" s="243"/>
      <c r="GL185" s="243"/>
      <c r="GM185" s="243"/>
      <c r="GN185" s="243"/>
      <c r="GO185" s="243"/>
      <c r="GP185" s="243"/>
      <c r="GQ185" s="243"/>
      <c r="GR185" s="243"/>
      <c r="GS185" s="243"/>
      <c r="GT185" s="243"/>
    </row>
    <row r="186" spans="1:202" s="79" customFormat="1" ht="11.25" customHeight="1">
      <c r="A186" s="187" t="s">
        <v>26</v>
      </c>
      <c r="B186" s="170" t="s">
        <v>50</v>
      </c>
      <c r="C186" s="216" t="s">
        <v>232</v>
      </c>
      <c r="D186" s="138">
        <v>2909003010</v>
      </c>
      <c r="E186" s="147"/>
      <c r="F186" s="147"/>
      <c r="G186" s="177"/>
      <c r="H186" s="147"/>
      <c r="I186" s="147"/>
      <c r="J186" s="210">
        <f>H186-I186</f>
        <v>0</v>
      </c>
      <c r="K186" s="251"/>
      <c r="L186" s="251"/>
      <c r="M186" s="251"/>
      <c r="N186" s="284">
        <f>K186+L186+M186</f>
        <v>0</v>
      </c>
      <c r="O186" s="272"/>
      <c r="P186" s="272"/>
      <c r="Q186" s="289"/>
      <c r="R186" s="284">
        <f>O186+P186+Q186</f>
        <v>0</v>
      </c>
      <c r="S186" s="289"/>
      <c r="T186" s="263"/>
      <c r="U186" s="272"/>
      <c r="V186" s="272"/>
      <c r="W186" s="289"/>
      <c r="X186" s="263"/>
      <c r="Y186" s="284">
        <f>SUM(S186:X186)</f>
        <v>0</v>
      </c>
      <c r="Z186" s="272"/>
      <c r="AA186" s="272"/>
      <c r="AB186" s="272"/>
      <c r="AC186" s="272"/>
      <c r="AD186" s="272"/>
      <c r="AE186" s="272"/>
      <c r="AF186" s="284">
        <f t="shared" si="431"/>
        <v>0</v>
      </c>
      <c r="AG186" s="282">
        <f t="shared" si="369"/>
        <v>0</v>
      </c>
      <c r="AH186" s="227">
        <f t="shared" si="440"/>
        <v>0</v>
      </c>
      <c r="AI186" s="227">
        <f t="shared" si="440"/>
        <v>0</v>
      </c>
      <c r="AJ186" s="227">
        <f t="shared" si="440"/>
        <v>0</v>
      </c>
      <c r="AK186" s="260">
        <f t="shared" si="428"/>
        <v>0</v>
      </c>
      <c r="AL186" s="227">
        <f t="shared" si="441"/>
        <v>0</v>
      </c>
      <c r="AM186" s="227">
        <f t="shared" si="441"/>
        <v>0</v>
      </c>
      <c r="AN186" s="227">
        <f t="shared" si="441"/>
        <v>0</v>
      </c>
      <c r="AO186" s="260">
        <f>SUM(AL186:AN186)</f>
        <v>0</v>
      </c>
      <c r="AP186" s="227">
        <f t="shared" si="442"/>
        <v>0</v>
      </c>
      <c r="AQ186" s="227">
        <f t="shared" si="442"/>
        <v>0</v>
      </c>
      <c r="AR186" s="227">
        <f t="shared" si="442"/>
        <v>0</v>
      </c>
      <c r="AS186" s="227">
        <f t="shared" si="442"/>
        <v>0</v>
      </c>
      <c r="AT186" s="227">
        <f t="shared" si="442"/>
        <v>0</v>
      </c>
      <c r="AU186" s="227">
        <f t="shared" si="442"/>
        <v>0</v>
      </c>
      <c r="AV186" s="260">
        <f t="shared" si="364"/>
        <v>0</v>
      </c>
      <c r="AW186" s="227">
        <f t="shared" si="443"/>
        <v>0</v>
      </c>
      <c r="AX186" s="227">
        <f t="shared" si="443"/>
        <v>0</v>
      </c>
      <c r="AY186" s="227">
        <f t="shared" si="443"/>
        <v>0</v>
      </c>
      <c r="AZ186" s="227">
        <f t="shared" si="443"/>
        <v>0</v>
      </c>
      <c r="BA186" s="227">
        <f t="shared" si="443"/>
        <v>0</v>
      </c>
      <c r="BB186" s="227">
        <f t="shared" si="443"/>
        <v>0</v>
      </c>
      <c r="BC186" s="260">
        <f t="shared" si="412"/>
        <v>0</v>
      </c>
      <c r="BD186" s="238">
        <f t="shared" si="373"/>
        <v>0</v>
      </c>
      <c r="BE186" s="1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  <c r="FF186" s="243"/>
      <c r="FG186" s="243"/>
      <c r="FH186" s="243"/>
      <c r="FI186" s="243"/>
      <c r="FJ186" s="243"/>
      <c r="FK186" s="243"/>
      <c r="FL186" s="243"/>
      <c r="FM186" s="243"/>
      <c r="FN186" s="243"/>
      <c r="FO186" s="243"/>
      <c r="FP186" s="243"/>
      <c r="FQ186" s="243"/>
      <c r="FR186" s="243"/>
      <c r="FS186" s="243"/>
      <c r="FT186" s="243"/>
      <c r="FU186" s="243"/>
      <c r="FV186" s="243"/>
      <c r="FW186" s="243"/>
      <c r="FX186" s="243"/>
      <c r="FY186" s="243"/>
      <c r="FZ186" s="243"/>
      <c r="GA186" s="243"/>
      <c r="GB186" s="243"/>
      <c r="GC186" s="243"/>
      <c r="GD186" s="243"/>
      <c r="GE186" s="243"/>
      <c r="GF186" s="243"/>
      <c r="GG186" s="243"/>
      <c r="GH186" s="243"/>
      <c r="GI186" s="243"/>
      <c r="GJ186" s="243"/>
      <c r="GK186" s="243"/>
      <c r="GL186" s="243"/>
      <c r="GM186" s="243"/>
      <c r="GN186" s="243"/>
      <c r="GO186" s="243"/>
      <c r="GP186" s="243"/>
      <c r="GQ186" s="243"/>
      <c r="GR186" s="243"/>
      <c r="GS186" s="243"/>
      <c r="GT186" s="243"/>
    </row>
    <row r="187" spans="1:202" s="79" customFormat="1" ht="11.25" customHeight="1">
      <c r="A187" s="187" t="s">
        <v>26</v>
      </c>
      <c r="B187" s="170" t="s">
        <v>54</v>
      </c>
      <c r="C187" s="216"/>
      <c r="D187" s="138">
        <v>2909002320</v>
      </c>
      <c r="E187" s="147"/>
      <c r="F187" s="147"/>
      <c r="G187" s="177"/>
      <c r="H187" s="147"/>
      <c r="I187" s="147"/>
      <c r="J187" s="210"/>
      <c r="K187" s="254">
        <f t="shared" ref="K187:AE187" si="444">SUM(K188:K193)</f>
        <v>283.541</v>
      </c>
      <c r="L187" s="254">
        <f t="shared" si="444"/>
        <v>286.81</v>
      </c>
      <c r="M187" s="254">
        <f t="shared" si="444"/>
        <v>0</v>
      </c>
      <c r="N187" s="284">
        <f t="shared" si="444"/>
        <v>570.351</v>
      </c>
      <c r="O187" s="275">
        <f t="shared" si="444"/>
        <v>0</v>
      </c>
      <c r="P187" s="275">
        <f t="shared" si="444"/>
        <v>0</v>
      </c>
      <c r="Q187" s="275">
        <f t="shared" si="444"/>
        <v>0</v>
      </c>
      <c r="R187" s="284">
        <f t="shared" si="444"/>
        <v>0</v>
      </c>
      <c r="S187" s="293">
        <f t="shared" si="444"/>
        <v>0</v>
      </c>
      <c r="T187" s="293">
        <f t="shared" si="444"/>
        <v>0</v>
      </c>
      <c r="U187" s="293">
        <f t="shared" si="444"/>
        <v>0</v>
      </c>
      <c r="V187" s="293">
        <f t="shared" si="444"/>
        <v>0</v>
      </c>
      <c r="W187" s="293">
        <f t="shared" si="444"/>
        <v>0</v>
      </c>
      <c r="X187" s="293">
        <f t="shared" si="444"/>
        <v>0</v>
      </c>
      <c r="Y187" s="284">
        <f t="shared" si="444"/>
        <v>0</v>
      </c>
      <c r="Z187" s="293">
        <f t="shared" si="444"/>
        <v>0</v>
      </c>
      <c r="AA187" s="293">
        <f t="shared" si="444"/>
        <v>0</v>
      </c>
      <c r="AB187" s="293">
        <f t="shared" si="444"/>
        <v>0</v>
      </c>
      <c r="AC187" s="293">
        <f t="shared" si="444"/>
        <v>0</v>
      </c>
      <c r="AD187" s="293">
        <f t="shared" si="444"/>
        <v>0</v>
      </c>
      <c r="AE187" s="293">
        <f t="shared" si="444"/>
        <v>0</v>
      </c>
      <c r="AF187" s="284">
        <f t="shared" si="431"/>
        <v>0</v>
      </c>
      <c r="AG187" s="282">
        <f t="shared" si="369"/>
        <v>570.351</v>
      </c>
      <c r="AH187" s="232">
        <f>SUM(AH188:AH193)</f>
        <v>1002170.78519</v>
      </c>
      <c r="AI187" s="232">
        <f>SUM(AI188:AI193)</f>
        <v>1037191.8857799999</v>
      </c>
      <c r="AJ187" s="232">
        <f>SUM(AJ188:AJ193)</f>
        <v>0</v>
      </c>
      <c r="AK187" s="260">
        <f t="shared" si="428"/>
        <v>2039362.6709699999</v>
      </c>
      <c r="AL187" s="232">
        <f>SUM(AL188:AL193)</f>
        <v>0</v>
      </c>
      <c r="AM187" s="232">
        <f>SUM(AM188:AM193)</f>
        <v>0</v>
      </c>
      <c r="AN187" s="232">
        <f>SUM(AN188:AN193)</f>
        <v>0</v>
      </c>
      <c r="AO187" s="260">
        <f>SUM(AL187:AN187)</f>
        <v>0</v>
      </c>
      <c r="AP187" s="232">
        <f t="shared" ref="AP187:AU187" si="445">SUM(AP188:AP193)</f>
        <v>0</v>
      </c>
      <c r="AQ187" s="232">
        <f t="shared" si="445"/>
        <v>0</v>
      </c>
      <c r="AR187" s="232">
        <f t="shared" si="445"/>
        <v>0</v>
      </c>
      <c r="AS187" s="232">
        <f t="shared" si="445"/>
        <v>0</v>
      </c>
      <c r="AT187" s="232">
        <f t="shared" si="445"/>
        <v>0</v>
      </c>
      <c r="AU187" s="232">
        <f t="shared" si="445"/>
        <v>0</v>
      </c>
      <c r="AV187" s="260">
        <f t="shared" si="364"/>
        <v>0</v>
      </c>
      <c r="AW187" s="232">
        <f t="shared" ref="AW187:BB187" si="446">SUM(AW188:AW193)</f>
        <v>0</v>
      </c>
      <c r="AX187" s="232">
        <f t="shared" si="446"/>
        <v>0</v>
      </c>
      <c r="AY187" s="232">
        <f t="shared" si="446"/>
        <v>0</v>
      </c>
      <c r="AZ187" s="232">
        <f t="shared" si="446"/>
        <v>0</v>
      </c>
      <c r="BA187" s="232">
        <f t="shared" si="446"/>
        <v>0</v>
      </c>
      <c r="BB187" s="232">
        <f t="shared" si="446"/>
        <v>0</v>
      </c>
      <c r="BC187" s="260">
        <f t="shared" si="412"/>
        <v>0</v>
      </c>
      <c r="BD187" s="238">
        <f t="shared" si="373"/>
        <v>2039362.6709699999</v>
      </c>
      <c r="BE187" s="1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  <c r="FF187" s="243"/>
      <c r="FG187" s="243"/>
      <c r="FH187" s="243"/>
      <c r="FI187" s="243"/>
      <c r="FJ187" s="243"/>
      <c r="FK187" s="243"/>
      <c r="FL187" s="243"/>
      <c r="FM187" s="243"/>
      <c r="FN187" s="243"/>
      <c r="FO187" s="243"/>
      <c r="FP187" s="243"/>
      <c r="FQ187" s="243"/>
      <c r="FR187" s="243"/>
      <c r="FS187" s="243"/>
      <c r="FT187" s="243"/>
      <c r="FU187" s="243"/>
      <c r="FV187" s="243"/>
      <c r="FW187" s="243"/>
      <c r="FX187" s="243"/>
      <c r="FY187" s="243"/>
      <c r="FZ187" s="243"/>
      <c r="GA187" s="243"/>
      <c r="GB187" s="243"/>
      <c r="GC187" s="243"/>
      <c r="GD187" s="243"/>
      <c r="GE187" s="243"/>
      <c r="GF187" s="243"/>
      <c r="GG187" s="243"/>
      <c r="GH187" s="243"/>
      <c r="GI187" s="243"/>
      <c r="GJ187" s="243"/>
      <c r="GK187" s="243"/>
      <c r="GL187" s="243"/>
      <c r="GM187" s="243"/>
      <c r="GN187" s="243"/>
      <c r="GO187" s="243"/>
      <c r="GP187" s="243"/>
      <c r="GQ187" s="243"/>
      <c r="GR187" s="243"/>
      <c r="GS187" s="243"/>
      <c r="GT187" s="243"/>
    </row>
    <row r="188" spans="1:202" s="79" customFormat="1" ht="11.25" customHeight="1">
      <c r="A188" s="192"/>
      <c r="B188" s="145" t="s">
        <v>440</v>
      </c>
      <c r="C188" s="216"/>
      <c r="D188" s="141"/>
      <c r="E188" s="147">
        <v>3865.7</v>
      </c>
      <c r="F188" s="147">
        <v>1962</v>
      </c>
      <c r="G188" s="177">
        <f>E188-F188</f>
        <v>1903.6999999999998</v>
      </c>
      <c r="H188" s="147">
        <v>3865.7</v>
      </c>
      <c r="I188" s="147">
        <v>1962</v>
      </c>
      <c r="J188" s="210">
        <f>H188-I188</f>
        <v>1903.6999999999998</v>
      </c>
      <c r="K188" s="252">
        <v>202.34200000000001</v>
      </c>
      <c r="L188" s="252">
        <v>202.34200000000001</v>
      </c>
      <c r="M188" s="252"/>
      <c r="N188" s="287">
        <f>SUM(K188:M188)</f>
        <v>404.68400000000003</v>
      </c>
      <c r="O188" s="273"/>
      <c r="P188" s="273"/>
      <c r="Q188" s="290"/>
      <c r="R188" s="287"/>
      <c r="S188" s="290"/>
      <c r="T188" s="264"/>
      <c r="U188" s="273"/>
      <c r="V188" s="273"/>
      <c r="W188" s="290"/>
      <c r="X188" s="264"/>
      <c r="Y188" s="142"/>
      <c r="Z188" s="273"/>
      <c r="AA188" s="273"/>
      <c r="AB188" s="273"/>
      <c r="AC188" s="273"/>
      <c r="AD188" s="273"/>
      <c r="AE188" s="273"/>
      <c r="AF188" s="287">
        <f t="shared" si="431"/>
        <v>0</v>
      </c>
      <c r="AG188" s="283">
        <f t="shared" ref="AG188:AG215" si="447">AF188+Y188+R188+N188</f>
        <v>404.68400000000003</v>
      </c>
      <c r="AH188" s="228">
        <f t="shared" ref="AH188:AJ193" si="448">K188*$G188</f>
        <v>385198.46539999999</v>
      </c>
      <c r="AI188" s="228">
        <f t="shared" si="448"/>
        <v>385198.46539999999</v>
      </c>
      <c r="AJ188" s="228">
        <f t="shared" si="448"/>
        <v>0</v>
      </c>
      <c r="AK188" s="261">
        <f t="shared" si="428"/>
        <v>770396.93079999997</v>
      </c>
      <c r="AL188" s="228">
        <f t="shared" ref="AL188:AN193" si="449">O188*$G188</f>
        <v>0</v>
      </c>
      <c r="AM188" s="228">
        <f t="shared" si="449"/>
        <v>0</v>
      </c>
      <c r="AN188" s="228">
        <f t="shared" si="449"/>
        <v>0</v>
      </c>
      <c r="AO188" s="261"/>
      <c r="AP188" s="228">
        <f t="shared" ref="AP188:AU193" si="450">S188*$J188</f>
        <v>0</v>
      </c>
      <c r="AQ188" s="228">
        <f t="shared" si="450"/>
        <v>0</v>
      </c>
      <c r="AR188" s="228">
        <f t="shared" si="450"/>
        <v>0</v>
      </c>
      <c r="AS188" s="228">
        <f t="shared" si="450"/>
        <v>0</v>
      </c>
      <c r="AT188" s="228">
        <f t="shared" si="450"/>
        <v>0</v>
      </c>
      <c r="AU188" s="228">
        <f t="shared" si="450"/>
        <v>0</v>
      </c>
      <c r="AV188" s="261"/>
      <c r="AW188" s="228">
        <f t="shared" ref="AW188:BB193" si="451">Z188*$J188</f>
        <v>0</v>
      </c>
      <c r="AX188" s="228">
        <f t="shared" si="451"/>
        <v>0</v>
      </c>
      <c r="AY188" s="228">
        <f t="shared" si="451"/>
        <v>0</v>
      </c>
      <c r="AZ188" s="228">
        <f t="shared" si="451"/>
        <v>0</v>
      </c>
      <c r="BA188" s="228">
        <f t="shared" si="451"/>
        <v>0</v>
      </c>
      <c r="BB188" s="228">
        <f t="shared" si="451"/>
        <v>0</v>
      </c>
      <c r="BC188" s="261">
        <f t="shared" si="412"/>
        <v>0</v>
      </c>
      <c r="BD188" s="239">
        <f t="shared" si="373"/>
        <v>770396.93079999997</v>
      </c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  <c r="FF188" s="243"/>
      <c r="FG188" s="243"/>
      <c r="FH188" s="243"/>
      <c r="FI188" s="243"/>
      <c r="FJ188" s="243"/>
      <c r="FK188" s="243"/>
      <c r="FL188" s="243"/>
      <c r="FM188" s="243"/>
      <c r="FN188" s="243"/>
      <c r="FO188" s="243"/>
      <c r="FP188" s="243"/>
      <c r="FQ188" s="243"/>
      <c r="FR188" s="243"/>
      <c r="FS188" s="243"/>
      <c r="FT188" s="243"/>
      <c r="FU188" s="243"/>
      <c r="FV188" s="243"/>
      <c r="FW188" s="243"/>
      <c r="FX188" s="243"/>
      <c r="FY188" s="243"/>
      <c r="FZ188" s="243"/>
      <c r="GA188" s="243"/>
      <c r="GB188" s="243"/>
      <c r="GC188" s="243"/>
      <c r="GD188" s="243"/>
      <c r="GE188" s="243"/>
      <c r="GF188" s="243"/>
      <c r="GG188" s="243"/>
      <c r="GH188" s="243"/>
      <c r="GI188" s="243"/>
      <c r="GJ188" s="243"/>
      <c r="GK188" s="243"/>
      <c r="GL188" s="243"/>
      <c r="GM188" s="243"/>
      <c r="GN188" s="243"/>
      <c r="GO188" s="243"/>
      <c r="GP188" s="243"/>
      <c r="GQ188" s="243"/>
      <c r="GR188" s="243"/>
      <c r="GS188" s="243"/>
      <c r="GT188" s="243"/>
    </row>
    <row r="189" spans="1:202" s="79" customFormat="1" ht="11.25" customHeight="1">
      <c r="A189" s="192"/>
      <c r="B189" s="145" t="s">
        <v>194</v>
      </c>
      <c r="C189" s="216"/>
      <c r="D189" s="141"/>
      <c r="E189" s="147">
        <v>12154.02</v>
      </c>
      <c r="F189" s="147">
        <v>1962</v>
      </c>
      <c r="G189" s="177">
        <f>E189-F189</f>
        <v>10192.02</v>
      </c>
      <c r="H189" s="147">
        <v>12154.02</v>
      </c>
      <c r="I189" s="147">
        <v>1962</v>
      </c>
      <c r="J189" s="210">
        <f>H189-I189</f>
        <v>10192.02</v>
      </c>
      <c r="K189" s="252">
        <v>13.51</v>
      </c>
      <c r="L189" s="252">
        <v>13.51</v>
      </c>
      <c r="M189" s="252"/>
      <c r="N189" s="287">
        <f>SUM(K189:M189)</f>
        <v>27.02</v>
      </c>
      <c r="O189" s="273"/>
      <c r="P189" s="273"/>
      <c r="Q189" s="290"/>
      <c r="R189" s="287"/>
      <c r="S189" s="290"/>
      <c r="T189" s="264"/>
      <c r="U189" s="273"/>
      <c r="V189" s="273"/>
      <c r="W189" s="290"/>
      <c r="X189" s="264"/>
      <c r="Y189" s="142"/>
      <c r="Z189" s="273"/>
      <c r="AA189" s="273"/>
      <c r="AB189" s="273"/>
      <c r="AC189" s="273"/>
      <c r="AD189" s="273"/>
      <c r="AE189" s="273"/>
      <c r="AF189" s="287">
        <f t="shared" si="431"/>
        <v>0</v>
      </c>
      <c r="AG189" s="283">
        <f t="shared" si="447"/>
        <v>27.02</v>
      </c>
      <c r="AH189" s="228">
        <f t="shared" si="448"/>
        <v>137694.19020000001</v>
      </c>
      <c r="AI189" s="228">
        <f t="shared" si="448"/>
        <v>137694.19020000001</v>
      </c>
      <c r="AJ189" s="228">
        <f t="shared" si="448"/>
        <v>0</v>
      </c>
      <c r="AK189" s="261">
        <f t="shared" ref="AK189:AK195" si="452">AH189+AI189+AJ189</f>
        <v>275388.38040000002</v>
      </c>
      <c r="AL189" s="228">
        <f t="shared" si="449"/>
        <v>0</v>
      </c>
      <c r="AM189" s="228">
        <f t="shared" si="449"/>
        <v>0</v>
      </c>
      <c r="AN189" s="228">
        <f t="shared" si="449"/>
        <v>0</v>
      </c>
      <c r="AO189" s="261"/>
      <c r="AP189" s="228">
        <f t="shared" si="450"/>
        <v>0</v>
      </c>
      <c r="AQ189" s="228">
        <f t="shared" si="450"/>
        <v>0</v>
      </c>
      <c r="AR189" s="228">
        <f t="shared" si="450"/>
        <v>0</v>
      </c>
      <c r="AS189" s="228">
        <f t="shared" si="450"/>
        <v>0</v>
      </c>
      <c r="AT189" s="228">
        <f t="shared" si="450"/>
        <v>0</v>
      </c>
      <c r="AU189" s="228">
        <f t="shared" si="450"/>
        <v>0</v>
      </c>
      <c r="AV189" s="261"/>
      <c r="AW189" s="228">
        <f t="shared" si="451"/>
        <v>0</v>
      </c>
      <c r="AX189" s="228">
        <f t="shared" si="451"/>
        <v>0</v>
      </c>
      <c r="AY189" s="228">
        <f t="shared" si="451"/>
        <v>0</v>
      </c>
      <c r="AZ189" s="228">
        <f t="shared" si="451"/>
        <v>0</v>
      </c>
      <c r="BA189" s="228">
        <f t="shared" si="451"/>
        <v>0</v>
      </c>
      <c r="BB189" s="228">
        <f t="shared" si="451"/>
        <v>0</v>
      </c>
      <c r="BC189" s="261">
        <f t="shared" si="412"/>
        <v>0</v>
      </c>
      <c r="BD189" s="239">
        <f t="shared" si="373"/>
        <v>275388.38040000002</v>
      </c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  <c r="FF189" s="243"/>
      <c r="FG189" s="243"/>
      <c r="FH189" s="243"/>
      <c r="FI189" s="243"/>
      <c r="FJ189" s="243"/>
      <c r="FK189" s="243"/>
      <c r="FL189" s="243"/>
      <c r="FM189" s="243"/>
      <c r="FN189" s="243"/>
      <c r="FO189" s="243"/>
      <c r="FP189" s="243"/>
      <c r="FQ189" s="243"/>
      <c r="FR189" s="243"/>
      <c r="FS189" s="243"/>
      <c r="FT189" s="243"/>
      <c r="FU189" s="243"/>
      <c r="FV189" s="243"/>
      <c r="FW189" s="243"/>
      <c r="FX189" s="243"/>
      <c r="FY189" s="243"/>
      <c r="FZ189" s="243"/>
      <c r="GA189" s="243"/>
      <c r="GB189" s="243"/>
      <c r="GC189" s="243"/>
      <c r="GD189" s="243"/>
      <c r="GE189" s="243"/>
      <c r="GF189" s="243"/>
      <c r="GG189" s="243"/>
      <c r="GH189" s="243"/>
      <c r="GI189" s="243"/>
      <c r="GJ189" s="243"/>
      <c r="GK189" s="243"/>
      <c r="GL189" s="243"/>
      <c r="GM189" s="243"/>
      <c r="GN189" s="243"/>
      <c r="GO189" s="243"/>
      <c r="GP189" s="243"/>
      <c r="GQ189" s="243"/>
      <c r="GR189" s="243"/>
      <c r="GS189" s="243"/>
      <c r="GT189" s="243"/>
    </row>
    <row r="190" spans="1:202" s="79" customFormat="1" ht="11.25" customHeight="1">
      <c r="A190" s="192"/>
      <c r="B190" s="145" t="s">
        <v>439</v>
      </c>
      <c r="C190" s="216"/>
      <c r="D190" s="141"/>
      <c r="E190" s="147">
        <v>10356.31</v>
      </c>
      <c r="F190" s="147">
        <v>2184</v>
      </c>
      <c r="G190" s="177">
        <f>E190-F190</f>
        <v>8172.3099999999995</v>
      </c>
      <c r="H190" s="147">
        <v>10356.31</v>
      </c>
      <c r="I190" s="147">
        <v>2184</v>
      </c>
      <c r="J190" s="210">
        <f>H190-I190</f>
        <v>8172.3099999999995</v>
      </c>
      <c r="K190" s="252">
        <v>31.388999999999999</v>
      </c>
      <c r="L190" s="252">
        <v>38.738</v>
      </c>
      <c r="M190" s="252"/>
      <c r="N190" s="287">
        <f>SUM(K190:M190)</f>
        <v>70.126999999999995</v>
      </c>
      <c r="O190" s="273"/>
      <c r="P190" s="273"/>
      <c r="Q190" s="290"/>
      <c r="R190" s="287"/>
      <c r="S190" s="290"/>
      <c r="T190" s="264"/>
      <c r="U190" s="273"/>
      <c r="V190" s="273"/>
      <c r="W190" s="290"/>
      <c r="X190" s="264"/>
      <c r="Y190" s="142"/>
      <c r="Z190" s="273"/>
      <c r="AA190" s="273"/>
      <c r="AB190" s="273"/>
      <c r="AC190" s="273"/>
      <c r="AD190" s="273"/>
      <c r="AE190" s="273"/>
      <c r="AF190" s="287">
        <f t="shared" si="431"/>
        <v>0</v>
      </c>
      <c r="AG190" s="283">
        <f t="shared" si="447"/>
        <v>70.126999999999995</v>
      </c>
      <c r="AH190" s="228">
        <f t="shared" si="448"/>
        <v>256520.63858999999</v>
      </c>
      <c r="AI190" s="228">
        <f t="shared" si="448"/>
        <v>316578.94477999996</v>
      </c>
      <c r="AJ190" s="228">
        <f t="shared" si="448"/>
        <v>0</v>
      </c>
      <c r="AK190" s="261">
        <f t="shared" si="452"/>
        <v>573099.58336999989</v>
      </c>
      <c r="AL190" s="228">
        <f t="shared" si="449"/>
        <v>0</v>
      </c>
      <c r="AM190" s="228">
        <f t="shared" si="449"/>
        <v>0</v>
      </c>
      <c r="AN190" s="228">
        <f t="shared" si="449"/>
        <v>0</v>
      </c>
      <c r="AO190" s="261"/>
      <c r="AP190" s="228">
        <f t="shared" si="450"/>
        <v>0</v>
      </c>
      <c r="AQ190" s="228">
        <f t="shared" si="450"/>
        <v>0</v>
      </c>
      <c r="AR190" s="228">
        <f t="shared" si="450"/>
        <v>0</v>
      </c>
      <c r="AS190" s="228">
        <f t="shared" si="450"/>
        <v>0</v>
      </c>
      <c r="AT190" s="228">
        <f t="shared" si="450"/>
        <v>0</v>
      </c>
      <c r="AU190" s="228">
        <f t="shared" si="450"/>
        <v>0</v>
      </c>
      <c r="AV190" s="261"/>
      <c r="AW190" s="228">
        <f t="shared" si="451"/>
        <v>0</v>
      </c>
      <c r="AX190" s="228">
        <f t="shared" si="451"/>
        <v>0</v>
      </c>
      <c r="AY190" s="228">
        <f t="shared" si="451"/>
        <v>0</v>
      </c>
      <c r="AZ190" s="228">
        <f t="shared" si="451"/>
        <v>0</v>
      </c>
      <c r="BA190" s="228">
        <f t="shared" si="451"/>
        <v>0</v>
      </c>
      <c r="BB190" s="228">
        <f t="shared" si="451"/>
        <v>0</v>
      </c>
      <c r="BC190" s="261">
        <f t="shared" si="412"/>
        <v>0</v>
      </c>
      <c r="BD190" s="239">
        <f t="shared" si="373"/>
        <v>573099.58336999989</v>
      </c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  <c r="FF190" s="243"/>
      <c r="FG190" s="243"/>
      <c r="FH190" s="243"/>
      <c r="FI190" s="243"/>
      <c r="FJ190" s="243"/>
      <c r="FK190" s="243"/>
      <c r="FL190" s="243"/>
      <c r="FM190" s="243"/>
      <c r="FN190" s="243"/>
      <c r="FO190" s="243"/>
      <c r="FP190" s="243"/>
      <c r="FQ190" s="243"/>
      <c r="FR190" s="243"/>
      <c r="FS190" s="243"/>
      <c r="FT190" s="243"/>
      <c r="FU190" s="243"/>
      <c r="FV190" s="243"/>
      <c r="FW190" s="243"/>
      <c r="FX190" s="243"/>
      <c r="FY190" s="243"/>
      <c r="FZ190" s="243"/>
      <c r="GA190" s="243"/>
      <c r="GB190" s="243"/>
      <c r="GC190" s="243"/>
      <c r="GD190" s="243"/>
      <c r="GE190" s="243"/>
      <c r="GF190" s="243"/>
      <c r="GG190" s="243"/>
      <c r="GH190" s="243"/>
      <c r="GI190" s="243"/>
      <c r="GJ190" s="243"/>
      <c r="GK190" s="243"/>
      <c r="GL190" s="243"/>
      <c r="GM190" s="243"/>
      <c r="GN190" s="243"/>
      <c r="GO190" s="243"/>
      <c r="GP190" s="243"/>
      <c r="GQ190" s="243"/>
      <c r="GR190" s="243"/>
      <c r="GS190" s="243"/>
      <c r="GT190" s="243"/>
    </row>
    <row r="191" spans="1:202" s="79" customFormat="1" ht="11.25" customHeight="1">
      <c r="A191" s="192"/>
      <c r="B191" s="145" t="s">
        <v>438</v>
      </c>
      <c r="C191" s="216"/>
      <c r="D191" s="141"/>
      <c r="E191" s="147">
        <v>7880.57</v>
      </c>
      <c r="F191" s="147">
        <v>1744</v>
      </c>
      <c r="G191" s="177">
        <f>E191-F191</f>
        <v>6136.57</v>
      </c>
      <c r="H191" s="147">
        <v>7880.57</v>
      </c>
      <c r="I191" s="147">
        <v>1744</v>
      </c>
      <c r="J191" s="210">
        <f>H191-I191</f>
        <v>6136.57</v>
      </c>
      <c r="K191" s="252">
        <v>36.299999999999997</v>
      </c>
      <c r="L191" s="252">
        <v>32.22</v>
      </c>
      <c r="M191" s="252"/>
      <c r="N191" s="287">
        <f>SUM(K191:M191)</f>
        <v>68.52</v>
      </c>
      <c r="O191" s="273"/>
      <c r="P191" s="273"/>
      <c r="Q191" s="290"/>
      <c r="R191" s="287"/>
      <c r="S191" s="290"/>
      <c r="T191" s="264"/>
      <c r="U191" s="273"/>
      <c r="V191" s="273"/>
      <c r="W191" s="290"/>
      <c r="X191" s="264"/>
      <c r="Y191" s="142"/>
      <c r="Z191" s="273"/>
      <c r="AA191" s="273"/>
      <c r="AB191" s="273"/>
      <c r="AC191" s="273"/>
      <c r="AD191" s="273"/>
      <c r="AE191" s="273"/>
      <c r="AF191" s="287">
        <f t="shared" si="431"/>
        <v>0</v>
      </c>
      <c r="AG191" s="283">
        <f t="shared" si="447"/>
        <v>68.52</v>
      </c>
      <c r="AH191" s="228">
        <f t="shared" si="448"/>
        <v>222757.49099999998</v>
      </c>
      <c r="AI191" s="228">
        <f t="shared" si="448"/>
        <v>197720.28539999999</v>
      </c>
      <c r="AJ191" s="228">
        <f t="shared" si="448"/>
        <v>0</v>
      </c>
      <c r="AK191" s="261">
        <f t="shared" si="452"/>
        <v>420477.77639999997</v>
      </c>
      <c r="AL191" s="228">
        <f t="shared" si="449"/>
        <v>0</v>
      </c>
      <c r="AM191" s="228">
        <f t="shared" si="449"/>
        <v>0</v>
      </c>
      <c r="AN191" s="228">
        <f t="shared" si="449"/>
        <v>0</v>
      </c>
      <c r="AO191" s="261"/>
      <c r="AP191" s="228">
        <f t="shared" si="450"/>
        <v>0</v>
      </c>
      <c r="AQ191" s="228">
        <f t="shared" si="450"/>
        <v>0</v>
      </c>
      <c r="AR191" s="228">
        <f t="shared" si="450"/>
        <v>0</v>
      </c>
      <c r="AS191" s="228">
        <f t="shared" si="450"/>
        <v>0</v>
      </c>
      <c r="AT191" s="228">
        <f t="shared" si="450"/>
        <v>0</v>
      </c>
      <c r="AU191" s="228">
        <f t="shared" si="450"/>
        <v>0</v>
      </c>
      <c r="AV191" s="261"/>
      <c r="AW191" s="228">
        <f t="shared" si="451"/>
        <v>0</v>
      </c>
      <c r="AX191" s="228">
        <f t="shared" si="451"/>
        <v>0</v>
      </c>
      <c r="AY191" s="228">
        <f t="shared" si="451"/>
        <v>0</v>
      </c>
      <c r="AZ191" s="228">
        <f t="shared" si="451"/>
        <v>0</v>
      </c>
      <c r="BA191" s="228">
        <f t="shared" si="451"/>
        <v>0</v>
      </c>
      <c r="BB191" s="228">
        <f t="shared" si="451"/>
        <v>0</v>
      </c>
      <c r="BC191" s="261">
        <f t="shared" si="412"/>
        <v>0</v>
      </c>
      <c r="BD191" s="239">
        <f t="shared" si="373"/>
        <v>420477.77639999997</v>
      </c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  <c r="FF191" s="243"/>
      <c r="FG191" s="243"/>
      <c r="FH191" s="243"/>
      <c r="FI191" s="243"/>
      <c r="FJ191" s="243"/>
      <c r="FK191" s="243"/>
      <c r="FL191" s="243"/>
      <c r="FM191" s="243"/>
      <c r="FN191" s="243"/>
      <c r="FO191" s="243"/>
      <c r="FP191" s="243"/>
      <c r="FQ191" s="243"/>
      <c r="FR191" s="243"/>
      <c r="FS191" s="243"/>
      <c r="FT191" s="243"/>
      <c r="FU191" s="243"/>
      <c r="FV191" s="243"/>
      <c r="FW191" s="243"/>
      <c r="FX191" s="243"/>
      <c r="FY191" s="243"/>
      <c r="FZ191" s="243"/>
      <c r="GA191" s="243"/>
      <c r="GB191" s="243"/>
      <c r="GC191" s="243"/>
      <c r="GD191" s="243"/>
      <c r="GE191" s="243"/>
      <c r="GF191" s="243"/>
      <c r="GG191" s="243"/>
      <c r="GH191" s="243"/>
      <c r="GI191" s="243"/>
      <c r="GJ191" s="243"/>
      <c r="GK191" s="243"/>
      <c r="GL191" s="243"/>
      <c r="GM191" s="243"/>
      <c r="GN191" s="243"/>
      <c r="GO191" s="243"/>
      <c r="GP191" s="243"/>
      <c r="GQ191" s="243"/>
      <c r="GR191" s="243"/>
      <c r="GS191" s="243"/>
      <c r="GT191" s="243"/>
    </row>
    <row r="192" spans="1:202" s="79" customFormat="1" ht="11.25" customHeight="1">
      <c r="A192" s="192"/>
      <c r="B192" s="145" t="s">
        <v>280</v>
      </c>
      <c r="C192" s="216"/>
      <c r="D192" s="141"/>
      <c r="E192" s="147"/>
      <c r="F192" s="147"/>
      <c r="G192" s="177"/>
      <c r="H192" s="147"/>
      <c r="I192" s="147"/>
      <c r="J192" s="210"/>
      <c r="K192" s="252"/>
      <c r="L192" s="252"/>
      <c r="M192" s="252"/>
      <c r="N192" s="287">
        <f>K192+L192+M192</f>
        <v>0</v>
      </c>
      <c r="O192" s="273"/>
      <c r="P192" s="273"/>
      <c r="Q192" s="290"/>
      <c r="R192" s="287">
        <f>O192+P192+Q192</f>
        <v>0</v>
      </c>
      <c r="S192" s="290"/>
      <c r="T192" s="264"/>
      <c r="U192" s="273"/>
      <c r="V192" s="273"/>
      <c r="W192" s="290"/>
      <c r="X192" s="264"/>
      <c r="Y192" s="142">
        <f>SUM(S192:X192)</f>
        <v>0</v>
      </c>
      <c r="Z192" s="273"/>
      <c r="AA192" s="273"/>
      <c r="AB192" s="273"/>
      <c r="AC192" s="273"/>
      <c r="AD192" s="273"/>
      <c r="AE192" s="273"/>
      <c r="AF192" s="287">
        <f t="shared" si="431"/>
        <v>0</v>
      </c>
      <c r="AG192" s="283">
        <f t="shared" si="447"/>
        <v>0</v>
      </c>
      <c r="AH192" s="228">
        <f t="shared" si="448"/>
        <v>0</v>
      </c>
      <c r="AI192" s="228">
        <f t="shared" si="448"/>
        <v>0</v>
      </c>
      <c r="AJ192" s="228">
        <f t="shared" si="448"/>
        <v>0</v>
      </c>
      <c r="AK192" s="261">
        <f t="shared" si="452"/>
        <v>0</v>
      </c>
      <c r="AL192" s="228">
        <f t="shared" si="449"/>
        <v>0</v>
      </c>
      <c r="AM192" s="228">
        <f t="shared" si="449"/>
        <v>0</v>
      </c>
      <c r="AN192" s="228">
        <f t="shared" si="449"/>
        <v>0</v>
      </c>
      <c r="AO192" s="261">
        <f>SUM(AL192:AN192)</f>
        <v>0</v>
      </c>
      <c r="AP192" s="228">
        <f t="shared" si="450"/>
        <v>0</v>
      </c>
      <c r="AQ192" s="228">
        <f t="shared" si="450"/>
        <v>0</v>
      </c>
      <c r="AR192" s="228">
        <f t="shared" si="450"/>
        <v>0</v>
      </c>
      <c r="AS192" s="228">
        <f t="shared" si="450"/>
        <v>0</v>
      </c>
      <c r="AT192" s="228">
        <f t="shared" si="450"/>
        <v>0</v>
      </c>
      <c r="AU192" s="228">
        <f t="shared" si="450"/>
        <v>0</v>
      </c>
      <c r="AV192" s="261">
        <f>SUM(AP192:AU192)</f>
        <v>0</v>
      </c>
      <c r="AW192" s="228">
        <f t="shared" si="451"/>
        <v>0</v>
      </c>
      <c r="AX192" s="228">
        <f t="shared" si="451"/>
        <v>0</v>
      </c>
      <c r="AY192" s="228">
        <f t="shared" si="451"/>
        <v>0</v>
      </c>
      <c r="AZ192" s="228">
        <f t="shared" si="451"/>
        <v>0</v>
      </c>
      <c r="BA192" s="228">
        <f t="shared" si="451"/>
        <v>0</v>
      </c>
      <c r="BB192" s="228">
        <f t="shared" si="451"/>
        <v>0</v>
      </c>
      <c r="BC192" s="261">
        <f t="shared" si="412"/>
        <v>0</v>
      </c>
      <c r="BD192" s="239">
        <f t="shared" si="373"/>
        <v>0</v>
      </c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  <c r="FF192" s="243"/>
      <c r="FG192" s="243"/>
      <c r="FH192" s="243"/>
      <c r="FI192" s="243"/>
      <c r="FJ192" s="243"/>
      <c r="FK192" s="243"/>
      <c r="FL192" s="243"/>
      <c r="FM192" s="243"/>
      <c r="FN192" s="243"/>
      <c r="FO192" s="243"/>
      <c r="FP192" s="243"/>
      <c r="FQ192" s="243"/>
      <c r="FR192" s="243"/>
      <c r="FS192" s="243"/>
      <c r="FT192" s="243"/>
      <c r="FU192" s="243"/>
      <c r="FV192" s="243"/>
      <c r="FW192" s="243"/>
      <c r="FX192" s="243"/>
      <c r="FY192" s="243"/>
      <c r="FZ192" s="243"/>
      <c r="GA192" s="243"/>
      <c r="GB192" s="243"/>
      <c r="GC192" s="243"/>
      <c r="GD192" s="243"/>
      <c r="GE192" s="243"/>
      <c r="GF192" s="243"/>
      <c r="GG192" s="243"/>
      <c r="GH192" s="243"/>
      <c r="GI192" s="243"/>
      <c r="GJ192" s="243"/>
      <c r="GK192" s="243"/>
      <c r="GL192" s="243"/>
      <c r="GM192" s="243"/>
      <c r="GN192" s="243"/>
      <c r="GO192" s="243"/>
      <c r="GP192" s="243"/>
      <c r="GQ192" s="243"/>
      <c r="GR192" s="243"/>
      <c r="GS192" s="243"/>
      <c r="GT192" s="243"/>
    </row>
    <row r="193" spans="1:202" s="79" customFormat="1" ht="11.25" customHeight="1">
      <c r="A193" s="192"/>
      <c r="B193" s="145" t="s">
        <v>252</v>
      </c>
      <c r="C193" s="216"/>
      <c r="D193" s="141"/>
      <c r="E193" s="147"/>
      <c r="F193" s="147"/>
      <c r="G193" s="177"/>
      <c r="H193" s="147"/>
      <c r="I193" s="147"/>
      <c r="J193" s="210"/>
      <c r="K193" s="252"/>
      <c r="L193" s="252"/>
      <c r="M193" s="252"/>
      <c r="N193" s="287">
        <f>K193+L193+M193</f>
        <v>0</v>
      </c>
      <c r="O193" s="273"/>
      <c r="P193" s="273"/>
      <c r="Q193" s="290"/>
      <c r="R193" s="287">
        <f>O193+P193+Q193</f>
        <v>0</v>
      </c>
      <c r="S193" s="290"/>
      <c r="T193" s="264"/>
      <c r="U193" s="273"/>
      <c r="V193" s="273"/>
      <c r="W193" s="290"/>
      <c r="X193" s="264"/>
      <c r="Y193" s="142">
        <f>SUM(S193:X193)</f>
        <v>0</v>
      </c>
      <c r="Z193" s="273"/>
      <c r="AA193" s="273"/>
      <c r="AB193" s="273"/>
      <c r="AC193" s="273"/>
      <c r="AD193" s="273"/>
      <c r="AE193" s="273"/>
      <c r="AF193" s="287">
        <f t="shared" si="431"/>
        <v>0</v>
      </c>
      <c r="AG193" s="283">
        <f t="shared" si="447"/>
        <v>0</v>
      </c>
      <c r="AH193" s="228">
        <f t="shared" si="448"/>
        <v>0</v>
      </c>
      <c r="AI193" s="228">
        <f t="shared" si="448"/>
        <v>0</v>
      </c>
      <c r="AJ193" s="228">
        <f t="shared" si="448"/>
        <v>0</v>
      </c>
      <c r="AK193" s="261">
        <f t="shared" si="452"/>
        <v>0</v>
      </c>
      <c r="AL193" s="228">
        <f t="shared" si="449"/>
        <v>0</v>
      </c>
      <c r="AM193" s="228">
        <f t="shared" si="449"/>
        <v>0</v>
      </c>
      <c r="AN193" s="228">
        <f t="shared" si="449"/>
        <v>0</v>
      </c>
      <c r="AO193" s="261"/>
      <c r="AP193" s="228">
        <f t="shared" si="450"/>
        <v>0</v>
      </c>
      <c r="AQ193" s="228">
        <f t="shared" si="450"/>
        <v>0</v>
      </c>
      <c r="AR193" s="228">
        <f t="shared" si="450"/>
        <v>0</v>
      </c>
      <c r="AS193" s="228">
        <f t="shared" si="450"/>
        <v>0</v>
      </c>
      <c r="AT193" s="228">
        <f t="shared" si="450"/>
        <v>0</v>
      </c>
      <c r="AU193" s="228">
        <f t="shared" si="450"/>
        <v>0</v>
      </c>
      <c r="AV193" s="261">
        <f>SUM(AP193:AU193)</f>
        <v>0</v>
      </c>
      <c r="AW193" s="228">
        <f t="shared" si="451"/>
        <v>0</v>
      </c>
      <c r="AX193" s="228">
        <f t="shared" si="451"/>
        <v>0</v>
      </c>
      <c r="AY193" s="228">
        <f t="shared" si="451"/>
        <v>0</v>
      </c>
      <c r="AZ193" s="228">
        <f t="shared" si="451"/>
        <v>0</v>
      </c>
      <c r="BA193" s="228">
        <f t="shared" si="451"/>
        <v>0</v>
      </c>
      <c r="BB193" s="228">
        <f t="shared" si="451"/>
        <v>0</v>
      </c>
      <c r="BC193" s="261">
        <f t="shared" si="412"/>
        <v>0</v>
      </c>
      <c r="BD193" s="239">
        <f t="shared" si="373"/>
        <v>0</v>
      </c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  <c r="FF193" s="243"/>
      <c r="FG193" s="243"/>
      <c r="FH193" s="243"/>
      <c r="FI193" s="243"/>
      <c r="FJ193" s="243"/>
      <c r="FK193" s="243"/>
      <c r="FL193" s="243"/>
      <c r="FM193" s="243"/>
      <c r="FN193" s="243"/>
      <c r="FO193" s="243"/>
      <c r="FP193" s="243"/>
      <c r="FQ193" s="243"/>
      <c r="FR193" s="243"/>
      <c r="FS193" s="243"/>
      <c r="FT193" s="243"/>
      <c r="FU193" s="243"/>
      <c r="FV193" s="243"/>
      <c r="FW193" s="243"/>
      <c r="FX193" s="243"/>
      <c r="FY193" s="243"/>
      <c r="FZ193" s="243"/>
      <c r="GA193" s="243"/>
      <c r="GB193" s="243"/>
      <c r="GC193" s="243"/>
      <c r="GD193" s="243"/>
      <c r="GE193" s="243"/>
      <c r="GF193" s="243"/>
      <c r="GG193" s="243"/>
      <c r="GH193" s="243"/>
      <c r="GI193" s="243"/>
      <c r="GJ193" s="243"/>
      <c r="GK193" s="243"/>
      <c r="GL193" s="243"/>
      <c r="GM193" s="243"/>
      <c r="GN193" s="243"/>
      <c r="GO193" s="243"/>
      <c r="GP193" s="243"/>
      <c r="GQ193" s="243"/>
      <c r="GR193" s="243"/>
      <c r="GS193" s="243"/>
      <c r="GT193" s="243"/>
    </row>
    <row r="194" spans="1:202" s="79" customFormat="1" ht="11.25" customHeight="1">
      <c r="A194" s="187" t="s">
        <v>26</v>
      </c>
      <c r="B194" s="170" t="s">
        <v>493</v>
      </c>
      <c r="C194" s="216"/>
      <c r="D194" s="138">
        <v>2901150333</v>
      </c>
      <c r="E194" s="147"/>
      <c r="F194" s="147"/>
      <c r="G194" s="177"/>
      <c r="H194" s="147"/>
      <c r="I194" s="147"/>
      <c r="J194" s="210"/>
      <c r="K194" s="254">
        <f>SUM(K195:K202)</f>
        <v>2184.3019999999997</v>
      </c>
      <c r="L194" s="254">
        <f>SUM(L195:L202)</f>
        <v>1936.7939999999999</v>
      </c>
      <c r="M194" s="254">
        <f>SUM(M195:M202)</f>
        <v>0</v>
      </c>
      <c r="N194" s="284">
        <f t="shared" ref="N194:N202" si="453">SUM(K194:M194)</f>
        <v>4121.0959999999995</v>
      </c>
      <c r="O194" s="275">
        <f>SUM(O195:O198)</f>
        <v>0</v>
      </c>
      <c r="P194" s="275">
        <f>SUM(P195:P198)</f>
        <v>0</v>
      </c>
      <c r="Q194" s="275">
        <f>SUM(Q195:Q198)</f>
        <v>0</v>
      </c>
      <c r="R194" s="284">
        <f>O194+P194+Q194</f>
        <v>0</v>
      </c>
      <c r="S194" s="293">
        <f t="shared" ref="S194:X194" si="454">SUM(S195:S198)</f>
        <v>0</v>
      </c>
      <c r="T194" s="293">
        <f t="shared" si="454"/>
        <v>0</v>
      </c>
      <c r="U194" s="293">
        <f t="shared" si="454"/>
        <v>0</v>
      </c>
      <c r="V194" s="293">
        <f t="shared" si="454"/>
        <v>0</v>
      </c>
      <c r="W194" s="293">
        <f t="shared" si="454"/>
        <v>0</v>
      </c>
      <c r="X194" s="293">
        <f t="shared" si="454"/>
        <v>0</v>
      </c>
      <c r="Y194" s="284">
        <f>SUM(S194:X194)</f>
        <v>0</v>
      </c>
      <c r="Z194" s="293">
        <f t="shared" ref="Z194:AF194" si="455">SUM(Z195:Z198)</f>
        <v>0</v>
      </c>
      <c r="AA194" s="293">
        <f t="shared" si="455"/>
        <v>0</v>
      </c>
      <c r="AB194" s="293">
        <f t="shared" si="455"/>
        <v>0</v>
      </c>
      <c r="AC194" s="293">
        <f t="shared" si="455"/>
        <v>0</v>
      </c>
      <c r="AD194" s="293">
        <f t="shared" si="455"/>
        <v>0</v>
      </c>
      <c r="AE194" s="293">
        <f t="shared" si="455"/>
        <v>0</v>
      </c>
      <c r="AF194" s="284">
        <f t="shared" si="455"/>
        <v>0</v>
      </c>
      <c r="AG194" s="282">
        <f t="shared" si="447"/>
        <v>4121.0959999999995</v>
      </c>
      <c r="AH194" s="232">
        <f>SUM(AH195:AH202)</f>
        <v>23786766.889940001</v>
      </c>
      <c r="AI194" s="232">
        <f>SUM(AI195:AI202)</f>
        <v>20642535.149000004</v>
      </c>
      <c r="AJ194" s="232">
        <f>SUM(AJ195:AJ198)</f>
        <v>0</v>
      </c>
      <c r="AK194" s="260">
        <f t="shared" si="452"/>
        <v>44429302.038940005</v>
      </c>
      <c r="AL194" s="232">
        <f>SUM(AL195:AL198)</f>
        <v>0</v>
      </c>
      <c r="AM194" s="232">
        <f>SUM(AM195:AM198)</f>
        <v>0</v>
      </c>
      <c r="AN194" s="232">
        <f>SUM(AN195:AN198)</f>
        <v>0</v>
      </c>
      <c r="AO194" s="260">
        <f>SUM(AL194:AN194)</f>
        <v>0</v>
      </c>
      <c r="AP194" s="232">
        <f t="shared" ref="AP194:AU194" si="456">SUM(AP195:AP198)</f>
        <v>0</v>
      </c>
      <c r="AQ194" s="232">
        <f t="shared" si="456"/>
        <v>0</v>
      </c>
      <c r="AR194" s="232">
        <f t="shared" si="456"/>
        <v>0</v>
      </c>
      <c r="AS194" s="232">
        <f t="shared" si="456"/>
        <v>0</v>
      </c>
      <c r="AT194" s="232">
        <f t="shared" si="456"/>
        <v>0</v>
      </c>
      <c r="AU194" s="232">
        <f t="shared" si="456"/>
        <v>0</v>
      </c>
      <c r="AV194" s="260">
        <f>SUM(AP194:AU194)</f>
        <v>0</v>
      </c>
      <c r="AW194" s="232">
        <f t="shared" ref="AW194:BB194" si="457">SUM(AW195:AW198)</f>
        <v>0</v>
      </c>
      <c r="AX194" s="232">
        <f t="shared" si="457"/>
        <v>0</v>
      </c>
      <c r="AY194" s="232">
        <f t="shared" si="457"/>
        <v>0</v>
      </c>
      <c r="AZ194" s="232">
        <f t="shared" si="457"/>
        <v>0</v>
      </c>
      <c r="BA194" s="232">
        <f t="shared" si="457"/>
        <v>0</v>
      </c>
      <c r="BB194" s="232">
        <f t="shared" si="457"/>
        <v>0</v>
      </c>
      <c r="BC194" s="260">
        <f t="shared" si="412"/>
        <v>0</v>
      </c>
      <c r="BD194" s="238">
        <f t="shared" si="373"/>
        <v>44429302.038940005</v>
      </c>
      <c r="BE194" s="1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  <c r="FB194" s="243"/>
      <c r="FC194" s="243"/>
      <c r="FD194" s="243"/>
      <c r="FE194" s="243"/>
      <c r="FF194" s="243"/>
      <c r="FG194" s="243"/>
      <c r="FH194" s="243"/>
      <c r="FI194" s="243"/>
      <c r="FJ194" s="243"/>
      <c r="FK194" s="243"/>
      <c r="FL194" s="243"/>
      <c r="FM194" s="243"/>
      <c r="FN194" s="243"/>
      <c r="FO194" s="243"/>
      <c r="FP194" s="243"/>
      <c r="FQ194" s="243"/>
      <c r="FR194" s="243"/>
      <c r="FS194" s="243"/>
      <c r="FT194" s="243"/>
      <c r="FU194" s="243"/>
      <c r="FV194" s="243"/>
      <c r="FW194" s="243"/>
      <c r="FX194" s="243"/>
      <c r="FY194" s="243"/>
      <c r="FZ194" s="243"/>
      <c r="GA194" s="243"/>
      <c r="GB194" s="243"/>
      <c r="GC194" s="243"/>
      <c r="GD194" s="243"/>
      <c r="GE194" s="243"/>
      <c r="GF194" s="243"/>
      <c r="GG194" s="243"/>
      <c r="GH194" s="243"/>
      <c r="GI194" s="243"/>
      <c r="GJ194" s="243"/>
      <c r="GK194" s="243"/>
      <c r="GL194" s="243"/>
      <c r="GM194" s="243"/>
      <c r="GN194" s="243"/>
      <c r="GO194" s="243"/>
      <c r="GP194" s="243"/>
      <c r="GQ194" s="243"/>
      <c r="GR194" s="243"/>
      <c r="GS194" s="243"/>
      <c r="GT194" s="243"/>
    </row>
    <row r="195" spans="1:202" s="79" customFormat="1" ht="15" customHeight="1">
      <c r="A195" s="192"/>
      <c r="B195" s="145" t="s">
        <v>273</v>
      </c>
      <c r="C195" s="216"/>
      <c r="D195" s="141"/>
      <c r="E195" s="147">
        <v>8791.75</v>
      </c>
      <c r="F195" s="147">
        <v>2376</v>
      </c>
      <c r="G195" s="177">
        <f t="shared" ref="G195:G231" si="458">E195-F195</f>
        <v>6415.75</v>
      </c>
      <c r="H195" s="147">
        <v>8791.75</v>
      </c>
      <c r="I195" s="147">
        <v>2376</v>
      </c>
      <c r="J195" s="210">
        <f t="shared" ref="J195:J202" si="459">H195-I195</f>
        <v>6415.75</v>
      </c>
      <c r="K195" s="252">
        <v>532.77499999999998</v>
      </c>
      <c r="L195" s="252">
        <v>523.76199999999994</v>
      </c>
      <c r="M195" s="252"/>
      <c r="N195" s="287">
        <f t="shared" si="453"/>
        <v>1056.5369999999998</v>
      </c>
      <c r="O195" s="273"/>
      <c r="P195" s="273"/>
      <c r="Q195" s="290"/>
      <c r="R195" s="287"/>
      <c r="S195" s="290"/>
      <c r="T195" s="264"/>
      <c r="U195" s="273"/>
      <c r="V195" s="273"/>
      <c r="W195" s="290"/>
      <c r="X195" s="264"/>
      <c r="Y195" s="142"/>
      <c r="Z195" s="273"/>
      <c r="AA195" s="273"/>
      <c r="AB195" s="273"/>
      <c r="AC195" s="273"/>
      <c r="AD195" s="273"/>
      <c r="AE195" s="273"/>
      <c r="AF195" s="287">
        <f t="shared" ref="AF195:AF208" si="460">SUM(Z195:AE195)</f>
        <v>0</v>
      </c>
      <c r="AG195" s="283">
        <f t="shared" si="447"/>
        <v>1056.5369999999998</v>
      </c>
      <c r="AH195" s="228">
        <f t="shared" ref="AH195:AH203" si="461">K195*$G195</f>
        <v>3418151.2062499998</v>
      </c>
      <c r="AI195" s="228">
        <f t="shared" ref="AI195:AI203" si="462">L195*$G195</f>
        <v>3360326.0514999996</v>
      </c>
      <c r="AJ195" s="228">
        <f t="shared" ref="AJ195:AJ203" si="463">M195*$G195</f>
        <v>0</v>
      </c>
      <c r="AK195" s="261">
        <f t="shared" si="452"/>
        <v>6778477.2577499989</v>
      </c>
      <c r="AL195" s="228">
        <f t="shared" ref="AL195:AL203" si="464">O195*$G195</f>
        <v>0</v>
      </c>
      <c r="AM195" s="228">
        <f t="shared" ref="AM195:AM203" si="465">P195*$G195</f>
        <v>0</v>
      </c>
      <c r="AN195" s="228">
        <f t="shared" ref="AN195:AN203" si="466">Q195*$G195</f>
        <v>0</v>
      </c>
      <c r="AO195" s="261"/>
      <c r="AP195" s="228">
        <f t="shared" ref="AP195:AP203" si="467">S195*$J195</f>
        <v>0</v>
      </c>
      <c r="AQ195" s="228">
        <f t="shared" ref="AQ195:AQ203" si="468">T195*$J195</f>
        <v>0</v>
      </c>
      <c r="AR195" s="228">
        <f t="shared" ref="AR195:AR203" si="469">U195*$J195</f>
        <v>0</v>
      </c>
      <c r="AS195" s="228">
        <f t="shared" ref="AS195:AS203" si="470">V195*$J195</f>
        <v>0</v>
      </c>
      <c r="AT195" s="228">
        <f t="shared" ref="AT195:AT203" si="471">W195*$J195</f>
        <v>0</v>
      </c>
      <c r="AU195" s="228">
        <f t="shared" ref="AU195:AU203" si="472">X195*$J195</f>
        <v>0</v>
      </c>
      <c r="AV195" s="261"/>
      <c r="AW195" s="228">
        <f t="shared" ref="AW195:AW203" si="473">Z195*$J195</f>
        <v>0</v>
      </c>
      <c r="AX195" s="228">
        <f t="shared" ref="AX195:AX203" si="474">AA195*$J195</f>
        <v>0</v>
      </c>
      <c r="AY195" s="228">
        <f t="shared" ref="AY195:AY203" si="475">AB195*$J195</f>
        <v>0</v>
      </c>
      <c r="AZ195" s="228">
        <f t="shared" ref="AZ195:AZ203" si="476">AC195*$J195</f>
        <v>0</v>
      </c>
      <c r="BA195" s="228">
        <f t="shared" ref="BA195:BA203" si="477">AD195*$J195</f>
        <v>0</v>
      </c>
      <c r="BB195" s="228">
        <f t="shared" ref="BB195:BB203" si="478">AE195*$J195</f>
        <v>0</v>
      </c>
      <c r="BC195" s="261"/>
      <c r="BD195" s="239">
        <f t="shared" si="373"/>
        <v>6778477.2577499989</v>
      </c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  <c r="FF195" s="243"/>
      <c r="FG195" s="243"/>
      <c r="FH195" s="243"/>
      <c r="FI195" s="243"/>
      <c r="FJ195" s="243"/>
      <c r="FK195" s="243"/>
      <c r="FL195" s="243"/>
      <c r="FM195" s="243"/>
      <c r="FN195" s="243"/>
      <c r="FO195" s="243"/>
      <c r="FP195" s="243"/>
      <c r="FQ195" s="243"/>
      <c r="FR195" s="243"/>
      <c r="FS195" s="243"/>
      <c r="FT195" s="243"/>
      <c r="FU195" s="243"/>
      <c r="FV195" s="243"/>
      <c r="FW195" s="243"/>
      <c r="FX195" s="243"/>
      <c r="FY195" s="243"/>
      <c r="FZ195" s="243"/>
      <c r="GA195" s="243"/>
      <c r="GB195" s="243"/>
      <c r="GC195" s="243"/>
      <c r="GD195" s="243"/>
      <c r="GE195" s="243"/>
      <c r="GF195" s="243"/>
      <c r="GG195" s="243"/>
      <c r="GH195" s="243"/>
      <c r="GI195" s="243"/>
      <c r="GJ195" s="243"/>
      <c r="GK195" s="243"/>
      <c r="GL195" s="243"/>
      <c r="GM195" s="243"/>
      <c r="GN195" s="243"/>
      <c r="GO195" s="243"/>
      <c r="GP195" s="243"/>
      <c r="GQ195" s="243"/>
      <c r="GR195" s="243"/>
      <c r="GS195" s="243"/>
      <c r="GT195" s="243"/>
    </row>
    <row r="196" spans="1:202" s="79" customFormat="1" ht="15" customHeight="1">
      <c r="A196" s="192"/>
      <c r="B196" s="145" t="s">
        <v>388</v>
      </c>
      <c r="C196" s="216"/>
      <c r="D196" s="141"/>
      <c r="E196" s="147">
        <v>15965.21</v>
      </c>
      <c r="F196" s="147">
        <v>2376</v>
      </c>
      <c r="G196" s="177">
        <f t="shared" si="458"/>
        <v>13589.21</v>
      </c>
      <c r="H196" s="147">
        <v>15965.21</v>
      </c>
      <c r="I196" s="147">
        <v>2376</v>
      </c>
      <c r="J196" s="210">
        <f t="shared" si="459"/>
        <v>13589.21</v>
      </c>
      <c r="K196" s="252">
        <v>932.62</v>
      </c>
      <c r="L196" s="252">
        <v>722.63499999999999</v>
      </c>
      <c r="M196" s="252"/>
      <c r="N196" s="287">
        <f t="shared" si="453"/>
        <v>1655.2550000000001</v>
      </c>
      <c r="O196" s="273"/>
      <c r="P196" s="273"/>
      <c r="Q196" s="290"/>
      <c r="R196" s="287"/>
      <c r="S196" s="290"/>
      <c r="T196" s="264"/>
      <c r="U196" s="273"/>
      <c r="V196" s="273"/>
      <c r="W196" s="290"/>
      <c r="X196" s="264"/>
      <c r="Y196" s="142"/>
      <c r="Z196" s="273"/>
      <c r="AA196" s="273"/>
      <c r="AB196" s="273"/>
      <c r="AC196" s="273"/>
      <c r="AD196" s="273"/>
      <c r="AE196" s="273"/>
      <c r="AF196" s="287">
        <f t="shared" si="460"/>
        <v>0</v>
      </c>
      <c r="AG196" s="283">
        <f t="shared" si="447"/>
        <v>1655.2550000000001</v>
      </c>
      <c r="AH196" s="228">
        <f t="shared" si="461"/>
        <v>12673569.030199999</v>
      </c>
      <c r="AI196" s="228">
        <f t="shared" si="462"/>
        <v>9820038.7683499996</v>
      </c>
      <c r="AJ196" s="228">
        <f t="shared" si="463"/>
        <v>0</v>
      </c>
      <c r="AK196" s="261">
        <f t="shared" ref="AK196:AK202" si="479">AH196+AI196+AJ196</f>
        <v>22493607.798549999</v>
      </c>
      <c r="AL196" s="228">
        <f t="shared" si="464"/>
        <v>0</v>
      </c>
      <c r="AM196" s="228">
        <f t="shared" si="465"/>
        <v>0</v>
      </c>
      <c r="AN196" s="228">
        <f t="shared" si="466"/>
        <v>0</v>
      </c>
      <c r="AO196" s="261"/>
      <c r="AP196" s="228">
        <f t="shared" si="467"/>
        <v>0</v>
      </c>
      <c r="AQ196" s="228">
        <f t="shared" si="468"/>
        <v>0</v>
      </c>
      <c r="AR196" s="228">
        <f t="shared" si="469"/>
        <v>0</v>
      </c>
      <c r="AS196" s="228">
        <f t="shared" si="470"/>
        <v>0</v>
      </c>
      <c r="AT196" s="228">
        <f t="shared" si="471"/>
        <v>0</v>
      </c>
      <c r="AU196" s="228">
        <f t="shared" si="472"/>
        <v>0</v>
      </c>
      <c r="AV196" s="261"/>
      <c r="AW196" s="228">
        <f t="shared" si="473"/>
        <v>0</v>
      </c>
      <c r="AX196" s="228">
        <f t="shared" si="474"/>
        <v>0</v>
      </c>
      <c r="AY196" s="228">
        <f t="shared" si="475"/>
        <v>0</v>
      </c>
      <c r="AZ196" s="228">
        <f t="shared" si="476"/>
        <v>0</v>
      </c>
      <c r="BA196" s="228">
        <f t="shared" si="477"/>
        <v>0</v>
      </c>
      <c r="BB196" s="228">
        <f t="shared" si="478"/>
        <v>0</v>
      </c>
      <c r="BC196" s="261"/>
      <c r="BD196" s="239">
        <f t="shared" si="373"/>
        <v>22493607.798549999</v>
      </c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  <c r="FF196" s="243"/>
      <c r="FG196" s="243"/>
      <c r="FH196" s="243"/>
      <c r="FI196" s="243"/>
      <c r="FJ196" s="243"/>
      <c r="FK196" s="243"/>
      <c r="FL196" s="243"/>
      <c r="FM196" s="243"/>
      <c r="FN196" s="243"/>
      <c r="FO196" s="243"/>
      <c r="FP196" s="243"/>
      <c r="FQ196" s="243"/>
      <c r="FR196" s="243"/>
      <c r="FS196" s="243"/>
      <c r="FT196" s="243"/>
      <c r="FU196" s="243"/>
      <c r="FV196" s="243"/>
      <c r="FW196" s="243"/>
      <c r="FX196" s="243"/>
      <c r="FY196" s="243"/>
      <c r="FZ196" s="243"/>
      <c r="GA196" s="243"/>
      <c r="GB196" s="243"/>
      <c r="GC196" s="243"/>
      <c r="GD196" s="243"/>
      <c r="GE196" s="243"/>
      <c r="GF196" s="243"/>
      <c r="GG196" s="243"/>
      <c r="GH196" s="243"/>
      <c r="GI196" s="243"/>
      <c r="GJ196" s="243"/>
      <c r="GK196" s="243"/>
      <c r="GL196" s="243"/>
      <c r="GM196" s="243"/>
      <c r="GN196" s="243"/>
      <c r="GO196" s="243"/>
      <c r="GP196" s="243"/>
      <c r="GQ196" s="243"/>
      <c r="GR196" s="243"/>
      <c r="GS196" s="243"/>
      <c r="GT196" s="243"/>
    </row>
    <row r="197" spans="1:202" s="79" customFormat="1" ht="24" customHeight="1">
      <c r="A197" s="192"/>
      <c r="B197" s="145" t="s">
        <v>478</v>
      </c>
      <c r="C197" s="216"/>
      <c r="D197" s="141"/>
      <c r="E197" s="147">
        <v>13343.57</v>
      </c>
      <c r="F197" s="147">
        <v>2376</v>
      </c>
      <c r="G197" s="177">
        <f t="shared" si="458"/>
        <v>10967.57</v>
      </c>
      <c r="H197" s="147">
        <v>13343.57</v>
      </c>
      <c r="I197" s="147">
        <v>2376</v>
      </c>
      <c r="J197" s="210">
        <f t="shared" si="459"/>
        <v>10967.57</v>
      </c>
      <c r="K197" s="252">
        <v>584.827</v>
      </c>
      <c r="L197" s="252">
        <v>569.20100000000002</v>
      </c>
      <c r="M197" s="252"/>
      <c r="N197" s="287">
        <f t="shared" si="453"/>
        <v>1154.028</v>
      </c>
      <c r="O197" s="273"/>
      <c r="P197" s="273"/>
      <c r="Q197" s="290"/>
      <c r="R197" s="287"/>
      <c r="S197" s="290"/>
      <c r="T197" s="264"/>
      <c r="U197" s="273"/>
      <c r="V197" s="273"/>
      <c r="W197" s="290"/>
      <c r="X197" s="264"/>
      <c r="Y197" s="142"/>
      <c r="Z197" s="273"/>
      <c r="AA197" s="273"/>
      <c r="AB197" s="273"/>
      <c r="AC197" s="273"/>
      <c r="AD197" s="273"/>
      <c r="AE197" s="273"/>
      <c r="AF197" s="287">
        <f t="shared" si="460"/>
        <v>0</v>
      </c>
      <c r="AG197" s="283">
        <f t="shared" si="447"/>
        <v>1154.028</v>
      </c>
      <c r="AH197" s="228">
        <f t="shared" si="461"/>
        <v>6414131.0603900002</v>
      </c>
      <c r="AI197" s="228">
        <f t="shared" si="462"/>
        <v>6242751.8115699999</v>
      </c>
      <c r="AJ197" s="228">
        <f t="shared" si="463"/>
        <v>0</v>
      </c>
      <c r="AK197" s="261">
        <f t="shared" si="479"/>
        <v>12656882.871959999</v>
      </c>
      <c r="AL197" s="228">
        <f t="shared" si="464"/>
        <v>0</v>
      </c>
      <c r="AM197" s="228">
        <f t="shared" si="465"/>
        <v>0</v>
      </c>
      <c r="AN197" s="228">
        <f t="shared" si="466"/>
        <v>0</v>
      </c>
      <c r="AO197" s="261"/>
      <c r="AP197" s="228">
        <f t="shared" si="467"/>
        <v>0</v>
      </c>
      <c r="AQ197" s="228">
        <f t="shared" si="468"/>
        <v>0</v>
      </c>
      <c r="AR197" s="228">
        <f t="shared" si="469"/>
        <v>0</v>
      </c>
      <c r="AS197" s="228">
        <f t="shared" si="470"/>
        <v>0</v>
      </c>
      <c r="AT197" s="228">
        <f t="shared" si="471"/>
        <v>0</v>
      </c>
      <c r="AU197" s="228">
        <f t="shared" si="472"/>
        <v>0</v>
      </c>
      <c r="AV197" s="261"/>
      <c r="AW197" s="228">
        <f t="shared" si="473"/>
        <v>0</v>
      </c>
      <c r="AX197" s="228">
        <f t="shared" si="474"/>
        <v>0</v>
      </c>
      <c r="AY197" s="228">
        <f t="shared" si="475"/>
        <v>0</v>
      </c>
      <c r="AZ197" s="228">
        <f t="shared" si="476"/>
        <v>0</v>
      </c>
      <c r="BA197" s="228">
        <f t="shared" si="477"/>
        <v>0</v>
      </c>
      <c r="BB197" s="228">
        <f t="shared" si="478"/>
        <v>0</v>
      </c>
      <c r="BC197" s="261"/>
      <c r="BD197" s="239">
        <f t="shared" si="373"/>
        <v>12656882.871959999</v>
      </c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  <c r="FF197" s="243"/>
      <c r="FG197" s="243"/>
      <c r="FH197" s="243"/>
      <c r="FI197" s="243"/>
      <c r="FJ197" s="243"/>
      <c r="FK197" s="243"/>
      <c r="FL197" s="243"/>
      <c r="FM197" s="243"/>
      <c r="FN197" s="243"/>
      <c r="FO197" s="243"/>
      <c r="FP197" s="243"/>
      <c r="FQ197" s="243"/>
      <c r="FR197" s="243"/>
      <c r="FS197" s="243"/>
      <c r="FT197" s="243"/>
      <c r="FU197" s="243"/>
      <c r="FV197" s="243"/>
      <c r="FW197" s="243"/>
      <c r="FX197" s="243"/>
      <c r="FY197" s="243"/>
      <c r="FZ197" s="243"/>
      <c r="GA197" s="243"/>
      <c r="GB197" s="243"/>
      <c r="GC197" s="243"/>
      <c r="GD197" s="243"/>
      <c r="GE197" s="243"/>
      <c r="GF197" s="243"/>
      <c r="GG197" s="243"/>
      <c r="GH197" s="243"/>
      <c r="GI197" s="243"/>
      <c r="GJ197" s="243"/>
      <c r="GK197" s="243"/>
      <c r="GL197" s="243"/>
      <c r="GM197" s="243"/>
      <c r="GN197" s="243"/>
      <c r="GO197" s="243"/>
      <c r="GP197" s="243"/>
      <c r="GQ197" s="243"/>
      <c r="GR197" s="243"/>
      <c r="GS197" s="243"/>
      <c r="GT197" s="243"/>
    </row>
    <row r="198" spans="1:202" s="79" customFormat="1" ht="15" customHeight="1">
      <c r="A198" s="192"/>
      <c r="B198" s="145" t="s">
        <v>479</v>
      </c>
      <c r="C198" s="216"/>
      <c r="D198" s="141"/>
      <c r="E198" s="147">
        <v>13343.57</v>
      </c>
      <c r="F198" s="147">
        <v>2376</v>
      </c>
      <c r="G198" s="177">
        <f t="shared" si="458"/>
        <v>10967.57</v>
      </c>
      <c r="H198" s="147">
        <v>13343.57</v>
      </c>
      <c r="I198" s="147">
        <v>2376</v>
      </c>
      <c r="J198" s="210">
        <f t="shared" si="459"/>
        <v>10967.57</v>
      </c>
      <c r="K198" s="252">
        <v>17.117999999999999</v>
      </c>
      <c r="L198" s="252">
        <v>19.419</v>
      </c>
      <c r="M198" s="252"/>
      <c r="N198" s="287">
        <f t="shared" si="453"/>
        <v>36.536999999999999</v>
      </c>
      <c r="O198" s="273"/>
      <c r="P198" s="273"/>
      <c r="Q198" s="290"/>
      <c r="R198" s="287"/>
      <c r="S198" s="290"/>
      <c r="T198" s="264"/>
      <c r="U198" s="273"/>
      <c r="V198" s="273"/>
      <c r="W198" s="290"/>
      <c r="X198" s="264"/>
      <c r="Y198" s="142"/>
      <c r="Z198" s="273"/>
      <c r="AA198" s="273"/>
      <c r="AB198" s="273"/>
      <c r="AC198" s="273"/>
      <c r="AD198" s="273"/>
      <c r="AE198" s="273"/>
      <c r="AF198" s="287">
        <f t="shared" si="460"/>
        <v>0</v>
      </c>
      <c r="AG198" s="283">
        <f t="shared" si="447"/>
        <v>36.536999999999999</v>
      </c>
      <c r="AH198" s="228">
        <f t="shared" si="461"/>
        <v>187742.86325999998</v>
      </c>
      <c r="AI198" s="228">
        <f t="shared" si="462"/>
        <v>212979.24183000001</v>
      </c>
      <c r="AJ198" s="228">
        <f t="shared" si="463"/>
        <v>0</v>
      </c>
      <c r="AK198" s="261">
        <f t="shared" si="479"/>
        <v>400722.10508999997</v>
      </c>
      <c r="AL198" s="228">
        <f t="shared" si="464"/>
        <v>0</v>
      </c>
      <c r="AM198" s="228">
        <f t="shared" si="465"/>
        <v>0</v>
      </c>
      <c r="AN198" s="228">
        <f t="shared" si="466"/>
        <v>0</v>
      </c>
      <c r="AO198" s="261"/>
      <c r="AP198" s="228">
        <f t="shared" si="467"/>
        <v>0</v>
      </c>
      <c r="AQ198" s="228">
        <f t="shared" si="468"/>
        <v>0</v>
      </c>
      <c r="AR198" s="228">
        <f t="shared" si="469"/>
        <v>0</v>
      </c>
      <c r="AS198" s="228">
        <f t="shared" si="470"/>
        <v>0</v>
      </c>
      <c r="AT198" s="228">
        <f t="shared" si="471"/>
        <v>0</v>
      </c>
      <c r="AU198" s="228">
        <f t="shared" si="472"/>
        <v>0</v>
      </c>
      <c r="AV198" s="261"/>
      <c r="AW198" s="228">
        <f t="shared" si="473"/>
        <v>0</v>
      </c>
      <c r="AX198" s="228">
        <f t="shared" si="474"/>
        <v>0</v>
      </c>
      <c r="AY198" s="228">
        <f t="shared" si="475"/>
        <v>0</v>
      </c>
      <c r="AZ198" s="228">
        <f t="shared" si="476"/>
        <v>0</v>
      </c>
      <c r="BA198" s="228">
        <f t="shared" si="477"/>
        <v>0</v>
      </c>
      <c r="BB198" s="228">
        <f t="shared" si="478"/>
        <v>0</v>
      </c>
      <c r="BC198" s="261"/>
      <c r="BD198" s="239">
        <f t="shared" si="373"/>
        <v>400722.10508999997</v>
      </c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  <c r="FF198" s="243"/>
      <c r="FG198" s="243"/>
      <c r="FH198" s="243"/>
      <c r="FI198" s="243"/>
      <c r="FJ198" s="243"/>
      <c r="FK198" s="243"/>
      <c r="FL198" s="243"/>
      <c r="FM198" s="243"/>
      <c r="FN198" s="243"/>
      <c r="FO198" s="243"/>
      <c r="FP198" s="243"/>
      <c r="FQ198" s="243"/>
      <c r="FR198" s="243"/>
      <c r="FS198" s="243"/>
      <c r="FT198" s="243"/>
      <c r="FU198" s="243"/>
      <c r="FV198" s="243"/>
      <c r="FW198" s="243"/>
      <c r="FX198" s="243"/>
      <c r="FY198" s="243"/>
      <c r="FZ198" s="243"/>
      <c r="GA198" s="243"/>
      <c r="GB198" s="243"/>
      <c r="GC198" s="243"/>
      <c r="GD198" s="243"/>
      <c r="GE198" s="243"/>
      <c r="GF198" s="243"/>
      <c r="GG198" s="243"/>
      <c r="GH198" s="243"/>
      <c r="GI198" s="243"/>
      <c r="GJ198" s="243"/>
      <c r="GK198" s="243"/>
      <c r="GL198" s="243"/>
      <c r="GM198" s="243"/>
      <c r="GN198" s="243"/>
      <c r="GO198" s="243"/>
      <c r="GP198" s="243"/>
      <c r="GQ198" s="243"/>
      <c r="GR198" s="243"/>
      <c r="GS198" s="243"/>
      <c r="GT198" s="243"/>
    </row>
    <row r="199" spans="1:202" s="79" customFormat="1" ht="15" customHeight="1">
      <c r="A199" s="192"/>
      <c r="B199" s="145" t="s">
        <v>636</v>
      </c>
      <c r="C199" s="216"/>
      <c r="D199" s="141"/>
      <c r="E199" s="147">
        <v>8791.75</v>
      </c>
      <c r="F199" s="147">
        <v>2376</v>
      </c>
      <c r="G199" s="177">
        <f>E199-F199</f>
        <v>6415.75</v>
      </c>
      <c r="H199" s="147">
        <v>8791.75</v>
      </c>
      <c r="I199" s="147">
        <v>2376</v>
      </c>
      <c r="J199" s="210">
        <f t="shared" si="459"/>
        <v>6415.75</v>
      </c>
      <c r="K199" s="252">
        <v>66.644999999999996</v>
      </c>
      <c r="L199" s="252">
        <v>49.622999999999998</v>
      </c>
      <c r="M199" s="252"/>
      <c r="N199" s="287">
        <f t="shared" si="453"/>
        <v>116.268</v>
      </c>
      <c r="O199" s="273"/>
      <c r="P199" s="273"/>
      <c r="Q199" s="290"/>
      <c r="R199" s="287"/>
      <c r="S199" s="290"/>
      <c r="T199" s="264"/>
      <c r="U199" s="273"/>
      <c r="V199" s="273"/>
      <c r="W199" s="290"/>
      <c r="X199" s="264"/>
      <c r="Y199" s="142"/>
      <c r="Z199" s="273"/>
      <c r="AA199" s="273"/>
      <c r="AB199" s="273"/>
      <c r="AC199" s="273"/>
      <c r="AD199" s="273"/>
      <c r="AE199" s="273"/>
      <c r="AF199" s="287">
        <f t="shared" si="460"/>
        <v>0</v>
      </c>
      <c r="AG199" s="283">
        <f t="shared" si="447"/>
        <v>116.268</v>
      </c>
      <c r="AH199" s="228">
        <f t="shared" si="461"/>
        <v>427577.65875</v>
      </c>
      <c r="AI199" s="228">
        <f t="shared" si="462"/>
        <v>318368.76224999997</v>
      </c>
      <c r="AJ199" s="228">
        <f t="shared" si="463"/>
        <v>0</v>
      </c>
      <c r="AK199" s="261">
        <f t="shared" si="479"/>
        <v>745946.42099999997</v>
      </c>
      <c r="AL199" s="228">
        <f t="shared" si="464"/>
        <v>0</v>
      </c>
      <c r="AM199" s="228">
        <f t="shared" si="465"/>
        <v>0</v>
      </c>
      <c r="AN199" s="228">
        <f t="shared" si="466"/>
        <v>0</v>
      </c>
      <c r="AO199" s="261"/>
      <c r="AP199" s="228">
        <f t="shared" si="467"/>
        <v>0</v>
      </c>
      <c r="AQ199" s="228">
        <f t="shared" si="468"/>
        <v>0</v>
      </c>
      <c r="AR199" s="228">
        <f t="shared" si="469"/>
        <v>0</v>
      </c>
      <c r="AS199" s="228">
        <f t="shared" si="470"/>
        <v>0</v>
      </c>
      <c r="AT199" s="228">
        <f t="shared" si="471"/>
        <v>0</v>
      </c>
      <c r="AU199" s="228">
        <f t="shared" si="472"/>
        <v>0</v>
      </c>
      <c r="AV199" s="261"/>
      <c r="AW199" s="228">
        <f t="shared" si="473"/>
        <v>0</v>
      </c>
      <c r="AX199" s="228">
        <f t="shared" si="474"/>
        <v>0</v>
      </c>
      <c r="AY199" s="228">
        <f t="shared" si="475"/>
        <v>0</v>
      </c>
      <c r="AZ199" s="228">
        <f t="shared" si="476"/>
        <v>0</v>
      </c>
      <c r="BA199" s="228">
        <f t="shared" si="477"/>
        <v>0</v>
      </c>
      <c r="BB199" s="228">
        <f t="shared" si="478"/>
        <v>0</v>
      </c>
      <c r="BC199" s="261"/>
      <c r="BD199" s="239">
        <f t="shared" si="373"/>
        <v>745946.42099999997</v>
      </c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  <c r="FF199" s="243"/>
      <c r="FG199" s="243"/>
      <c r="FH199" s="243"/>
      <c r="FI199" s="243"/>
      <c r="FJ199" s="243"/>
      <c r="FK199" s="243"/>
      <c r="FL199" s="243"/>
      <c r="FM199" s="243"/>
      <c r="FN199" s="243"/>
      <c r="FO199" s="243"/>
      <c r="FP199" s="243"/>
      <c r="FQ199" s="243"/>
      <c r="FR199" s="243"/>
      <c r="FS199" s="243"/>
      <c r="FT199" s="243"/>
      <c r="FU199" s="243"/>
      <c r="FV199" s="243"/>
      <c r="FW199" s="243"/>
      <c r="FX199" s="243"/>
      <c r="FY199" s="243"/>
      <c r="FZ199" s="243"/>
      <c r="GA199" s="243"/>
      <c r="GB199" s="243"/>
      <c r="GC199" s="243"/>
      <c r="GD199" s="243"/>
      <c r="GE199" s="243"/>
      <c r="GF199" s="243"/>
      <c r="GG199" s="243"/>
      <c r="GH199" s="243"/>
      <c r="GI199" s="243"/>
      <c r="GJ199" s="243"/>
      <c r="GK199" s="243"/>
      <c r="GL199" s="243"/>
      <c r="GM199" s="243"/>
      <c r="GN199" s="243"/>
      <c r="GO199" s="243"/>
      <c r="GP199" s="243"/>
      <c r="GQ199" s="243"/>
      <c r="GR199" s="243"/>
      <c r="GS199" s="243"/>
      <c r="GT199" s="243"/>
    </row>
    <row r="200" spans="1:202" s="79" customFormat="1" ht="22.5" customHeight="1">
      <c r="A200" s="192"/>
      <c r="B200" s="145" t="s">
        <v>637</v>
      </c>
      <c r="C200" s="216"/>
      <c r="D200" s="141"/>
      <c r="E200" s="147">
        <v>15965.21</v>
      </c>
      <c r="F200" s="147">
        <v>2376</v>
      </c>
      <c r="G200" s="177">
        <f>E200-F200</f>
        <v>13589.21</v>
      </c>
      <c r="H200" s="147">
        <v>15965.21</v>
      </c>
      <c r="I200" s="147">
        <v>2376</v>
      </c>
      <c r="J200" s="210">
        <f t="shared" si="459"/>
        <v>13589.21</v>
      </c>
      <c r="K200" s="252">
        <v>43.384999999999998</v>
      </c>
      <c r="L200" s="252">
        <f>45.171-0.898</f>
        <v>44.272999999999996</v>
      </c>
      <c r="M200" s="252"/>
      <c r="N200" s="287">
        <f t="shared" si="453"/>
        <v>87.657999999999987</v>
      </c>
      <c r="O200" s="273"/>
      <c r="P200" s="273"/>
      <c r="Q200" s="290"/>
      <c r="R200" s="287"/>
      <c r="S200" s="290"/>
      <c r="T200" s="264"/>
      <c r="U200" s="273"/>
      <c r="V200" s="273"/>
      <c r="W200" s="290"/>
      <c r="X200" s="264"/>
      <c r="Y200" s="142"/>
      <c r="Z200" s="273"/>
      <c r="AA200" s="273"/>
      <c r="AB200" s="273"/>
      <c r="AC200" s="273"/>
      <c r="AD200" s="273"/>
      <c r="AE200" s="273"/>
      <c r="AF200" s="287">
        <f t="shared" si="460"/>
        <v>0</v>
      </c>
      <c r="AG200" s="283">
        <f t="shared" si="447"/>
        <v>87.657999999999987</v>
      </c>
      <c r="AH200" s="228">
        <f t="shared" si="461"/>
        <v>589567.87584999995</v>
      </c>
      <c r="AI200" s="228">
        <f t="shared" si="462"/>
        <v>601635.09432999988</v>
      </c>
      <c r="AJ200" s="228">
        <f t="shared" si="463"/>
        <v>0</v>
      </c>
      <c r="AK200" s="261">
        <f t="shared" si="479"/>
        <v>1191202.9701799997</v>
      </c>
      <c r="AL200" s="228">
        <f t="shared" si="464"/>
        <v>0</v>
      </c>
      <c r="AM200" s="228">
        <f t="shared" si="465"/>
        <v>0</v>
      </c>
      <c r="AN200" s="228">
        <f t="shared" si="466"/>
        <v>0</v>
      </c>
      <c r="AO200" s="261"/>
      <c r="AP200" s="228">
        <f t="shared" si="467"/>
        <v>0</v>
      </c>
      <c r="AQ200" s="228">
        <f t="shared" si="468"/>
        <v>0</v>
      </c>
      <c r="AR200" s="228">
        <f t="shared" si="469"/>
        <v>0</v>
      </c>
      <c r="AS200" s="228">
        <f t="shared" si="470"/>
        <v>0</v>
      </c>
      <c r="AT200" s="228">
        <f t="shared" si="471"/>
        <v>0</v>
      </c>
      <c r="AU200" s="228">
        <f t="shared" si="472"/>
        <v>0</v>
      </c>
      <c r="AV200" s="261"/>
      <c r="AW200" s="228">
        <f t="shared" si="473"/>
        <v>0</v>
      </c>
      <c r="AX200" s="228">
        <f t="shared" si="474"/>
        <v>0</v>
      </c>
      <c r="AY200" s="228">
        <f t="shared" si="475"/>
        <v>0</v>
      </c>
      <c r="AZ200" s="228">
        <f t="shared" si="476"/>
        <v>0</v>
      </c>
      <c r="BA200" s="228">
        <f t="shared" si="477"/>
        <v>0</v>
      </c>
      <c r="BB200" s="228">
        <f t="shared" si="478"/>
        <v>0</v>
      </c>
      <c r="BC200" s="261"/>
      <c r="BD200" s="239">
        <f t="shared" si="373"/>
        <v>1191202.9701799997</v>
      </c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  <c r="FF200" s="243"/>
      <c r="FG200" s="243"/>
      <c r="FH200" s="243"/>
      <c r="FI200" s="243"/>
      <c r="FJ200" s="243"/>
      <c r="FK200" s="243"/>
      <c r="FL200" s="243"/>
      <c r="FM200" s="243"/>
      <c r="FN200" s="243"/>
      <c r="FO200" s="243"/>
      <c r="FP200" s="243"/>
      <c r="FQ200" s="243"/>
      <c r="FR200" s="243"/>
      <c r="FS200" s="243"/>
      <c r="FT200" s="243"/>
      <c r="FU200" s="243"/>
      <c r="FV200" s="243"/>
      <c r="FW200" s="243"/>
      <c r="FX200" s="243"/>
      <c r="FY200" s="243"/>
      <c r="FZ200" s="243"/>
      <c r="GA200" s="243"/>
      <c r="GB200" s="243"/>
      <c r="GC200" s="243"/>
      <c r="GD200" s="243"/>
      <c r="GE200" s="243"/>
      <c r="GF200" s="243"/>
      <c r="GG200" s="243"/>
      <c r="GH200" s="243"/>
      <c r="GI200" s="243"/>
      <c r="GJ200" s="243"/>
      <c r="GK200" s="243"/>
      <c r="GL200" s="243"/>
      <c r="GM200" s="243"/>
      <c r="GN200" s="243"/>
      <c r="GO200" s="243"/>
      <c r="GP200" s="243"/>
      <c r="GQ200" s="243"/>
      <c r="GR200" s="243"/>
      <c r="GS200" s="243"/>
      <c r="GT200" s="243"/>
    </row>
    <row r="201" spans="1:202" s="79" customFormat="1" ht="21.75" customHeight="1">
      <c r="A201" s="192"/>
      <c r="B201" s="145" t="s">
        <v>638</v>
      </c>
      <c r="C201" s="216"/>
      <c r="D201" s="141"/>
      <c r="E201" s="147">
        <v>13343.57</v>
      </c>
      <c r="F201" s="147">
        <v>2376</v>
      </c>
      <c r="G201" s="177">
        <f>E201-F201</f>
        <v>10967.57</v>
      </c>
      <c r="H201" s="147">
        <v>13343.57</v>
      </c>
      <c r="I201" s="147">
        <v>2376</v>
      </c>
      <c r="J201" s="210">
        <f t="shared" si="459"/>
        <v>10967.57</v>
      </c>
      <c r="K201" s="252">
        <v>5.37</v>
      </c>
      <c r="L201" s="252">
        <v>6.84</v>
      </c>
      <c r="M201" s="252"/>
      <c r="N201" s="287">
        <f t="shared" si="453"/>
        <v>12.21</v>
      </c>
      <c r="O201" s="273"/>
      <c r="P201" s="273"/>
      <c r="Q201" s="290"/>
      <c r="R201" s="287"/>
      <c r="S201" s="290"/>
      <c r="T201" s="264"/>
      <c r="U201" s="273"/>
      <c r="V201" s="273"/>
      <c r="W201" s="290"/>
      <c r="X201" s="264"/>
      <c r="Y201" s="142"/>
      <c r="Z201" s="273"/>
      <c r="AA201" s="273"/>
      <c r="AB201" s="273"/>
      <c r="AC201" s="273"/>
      <c r="AD201" s="273"/>
      <c r="AE201" s="273"/>
      <c r="AF201" s="287">
        <f t="shared" si="460"/>
        <v>0</v>
      </c>
      <c r="AG201" s="283">
        <f t="shared" si="447"/>
        <v>12.21</v>
      </c>
      <c r="AH201" s="228">
        <f t="shared" si="461"/>
        <v>58895.850899999998</v>
      </c>
      <c r="AI201" s="228">
        <f t="shared" si="462"/>
        <v>75018.178799999994</v>
      </c>
      <c r="AJ201" s="228">
        <f t="shared" si="463"/>
        <v>0</v>
      </c>
      <c r="AK201" s="261">
        <f t="shared" si="479"/>
        <v>133914.02969999998</v>
      </c>
      <c r="AL201" s="228">
        <f t="shared" si="464"/>
        <v>0</v>
      </c>
      <c r="AM201" s="228">
        <f t="shared" si="465"/>
        <v>0</v>
      </c>
      <c r="AN201" s="228">
        <f t="shared" si="466"/>
        <v>0</v>
      </c>
      <c r="AO201" s="261"/>
      <c r="AP201" s="228">
        <f t="shared" si="467"/>
        <v>0</v>
      </c>
      <c r="AQ201" s="228">
        <f t="shared" si="468"/>
        <v>0</v>
      </c>
      <c r="AR201" s="228">
        <f t="shared" si="469"/>
        <v>0</v>
      </c>
      <c r="AS201" s="228">
        <f t="shared" si="470"/>
        <v>0</v>
      </c>
      <c r="AT201" s="228">
        <f t="shared" si="471"/>
        <v>0</v>
      </c>
      <c r="AU201" s="228">
        <f t="shared" si="472"/>
        <v>0</v>
      </c>
      <c r="AV201" s="261"/>
      <c r="AW201" s="228">
        <f t="shared" si="473"/>
        <v>0</v>
      </c>
      <c r="AX201" s="228">
        <f t="shared" si="474"/>
        <v>0</v>
      </c>
      <c r="AY201" s="228">
        <f t="shared" si="475"/>
        <v>0</v>
      </c>
      <c r="AZ201" s="228">
        <f t="shared" si="476"/>
        <v>0</v>
      </c>
      <c r="BA201" s="228">
        <f t="shared" si="477"/>
        <v>0</v>
      </c>
      <c r="BB201" s="228">
        <f t="shared" si="478"/>
        <v>0</v>
      </c>
      <c r="BC201" s="261"/>
      <c r="BD201" s="239">
        <f t="shared" si="373"/>
        <v>133914.02969999998</v>
      </c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  <c r="FF201" s="243"/>
      <c r="FG201" s="243"/>
      <c r="FH201" s="243"/>
      <c r="FI201" s="243"/>
      <c r="FJ201" s="243"/>
      <c r="FK201" s="243"/>
      <c r="FL201" s="243"/>
      <c r="FM201" s="243"/>
      <c r="FN201" s="243"/>
      <c r="FO201" s="243"/>
      <c r="FP201" s="243"/>
      <c r="FQ201" s="243"/>
      <c r="FR201" s="243"/>
      <c r="FS201" s="243"/>
      <c r="FT201" s="243"/>
      <c r="FU201" s="243"/>
      <c r="FV201" s="243"/>
      <c r="FW201" s="243"/>
      <c r="FX201" s="243"/>
      <c r="FY201" s="243"/>
      <c r="FZ201" s="243"/>
      <c r="GA201" s="243"/>
      <c r="GB201" s="243"/>
      <c r="GC201" s="243"/>
      <c r="GD201" s="243"/>
      <c r="GE201" s="243"/>
      <c r="GF201" s="243"/>
      <c r="GG201" s="243"/>
      <c r="GH201" s="243"/>
      <c r="GI201" s="243"/>
      <c r="GJ201" s="243"/>
      <c r="GK201" s="243"/>
      <c r="GL201" s="243"/>
      <c r="GM201" s="243"/>
      <c r="GN201" s="243"/>
      <c r="GO201" s="243"/>
      <c r="GP201" s="243"/>
      <c r="GQ201" s="243"/>
      <c r="GR201" s="243"/>
      <c r="GS201" s="243"/>
      <c r="GT201" s="243"/>
    </row>
    <row r="202" spans="1:202" s="79" customFormat="1" ht="20.25" customHeight="1">
      <c r="A202" s="192"/>
      <c r="B202" s="145" t="s">
        <v>639</v>
      </c>
      <c r="C202" s="216"/>
      <c r="D202" s="141"/>
      <c r="E202" s="147">
        <v>13343.57</v>
      </c>
      <c r="F202" s="147">
        <v>2376</v>
      </c>
      <c r="G202" s="177">
        <f>E202-F202</f>
        <v>10967.57</v>
      </c>
      <c r="H202" s="147">
        <v>13343.57</v>
      </c>
      <c r="I202" s="147">
        <v>2376</v>
      </c>
      <c r="J202" s="210">
        <f t="shared" si="459"/>
        <v>10967.57</v>
      </c>
      <c r="K202" s="252">
        <v>1.5620000000000001</v>
      </c>
      <c r="L202" s="252">
        <v>1.0409999999999999</v>
      </c>
      <c r="M202" s="252"/>
      <c r="N202" s="287">
        <f t="shared" si="453"/>
        <v>2.6029999999999998</v>
      </c>
      <c r="O202" s="273"/>
      <c r="P202" s="273"/>
      <c r="Q202" s="290"/>
      <c r="R202" s="287"/>
      <c r="S202" s="290"/>
      <c r="T202" s="264"/>
      <c r="U202" s="273"/>
      <c r="V202" s="273"/>
      <c r="W202" s="290"/>
      <c r="X202" s="264"/>
      <c r="Y202" s="142"/>
      <c r="Z202" s="273"/>
      <c r="AA202" s="273"/>
      <c r="AB202" s="273"/>
      <c r="AC202" s="273"/>
      <c r="AD202" s="273"/>
      <c r="AE202" s="273"/>
      <c r="AF202" s="287">
        <f t="shared" si="460"/>
        <v>0</v>
      </c>
      <c r="AG202" s="283">
        <f t="shared" si="447"/>
        <v>2.6029999999999998</v>
      </c>
      <c r="AH202" s="228">
        <f t="shared" si="461"/>
        <v>17131.34434</v>
      </c>
      <c r="AI202" s="228">
        <f t="shared" si="462"/>
        <v>11417.24037</v>
      </c>
      <c r="AJ202" s="228">
        <f t="shared" si="463"/>
        <v>0</v>
      </c>
      <c r="AK202" s="261">
        <f t="shared" si="479"/>
        <v>28548.584709999999</v>
      </c>
      <c r="AL202" s="228">
        <f t="shared" si="464"/>
        <v>0</v>
      </c>
      <c r="AM202" s="228">
        <f t="shared" si="465"/>
        <v>0</v>
      </c>
      <c r="AN202" s="228">
        <f t="shared" si="466"/>
        <v>0</v>
      </c>
      <c r="AO202" s="261"/>
      <c r="AP202" s="228">
        <f t="shared" si="467"/>
        <v>0</v>
      </c>
      <c r="AQ202" s="228">
        <f t="shared" si="468"/>
        <v>0</v>
      </c>
      <c r="AR202" s="228">
        <f t="shared" si="469"/>
        <v>0</v>
      </c>
      <c r="AS202" s="228">
        <f t="shared" si="470"/>
        <v>0</v>
      </c>
      <c r="AT202" s="228">
        <f t="shared" si="471"/>
        <v>0</v>
      </c>
      <c r="AU202" s="228">
        <f t="shared" si="472"/>
        <v>0</v>
      </c>
      <c r="AV202" s="261"/>
      <c r="AW202" s="228">
        <f t="shared" si="473"/>
        <v>0</v>
      </c>
      <c r="AX202" s="228">
        <f t="shared" si="474"/>
        <v>0</v>
      </c>
      <c r="AY202" s="228">
        <f t="shared" si="475"/>
        <v>0</v>
      </c>
      <c r="AZ202" s="228">
        <f t="shared" si="476"/>
        <v>0</v>
      </c>
      <c r="BA202" s="228">
        <f t="shared" si="477"/>
        <v>0</v>
      </c>
      <c r="BB202" s="228">
        <f t="shared" si="478"/>
        <v>0</v>
      </c>
      <c r="BC202" s="261"/>
      <c r="BD202" s="239">
        <f t="shared" si="373"/>
        <v>28548.584709999999</v>
      </c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  <c r="FB202" s="243"/>
      <c r="FC202" s="243"/>
      <c r="FD202" s="243"/>
      <c r="FE202" s="243"/>
      <c r="FF202" s="243"/>
      <c r="FG202" s="243"/>
      <c r="FH202" s="243"/>
      <c r="FI202" s="243"/>
      <c r="FJ202" s="243"/>
      <c r="FK202" s="243"/>
      <c r="FL202" s="243"/>
      <c r="FM202" s="243"/>
      <c r="FN202" s="243"/>
      <c r="FO202" s="243"/>
      <c r="FP202" s="243"/>
      <c r="FQ202" s="243"/>
      <c r="FR202" s="243"/>
      <c r="FS202" s="243"/>
      <c r="FT202" s="243"/>
      <c r="FU202" s="243"/>
      <c r="FV202" s="243"/>
      <c r="FW202" s="243"/>
      <c r="FX202" s="243"/>
      <c r="FY202" s="243"/>
      <c r="FZ202" s="243"/>
      <c r="GA202" s="243"/>
      <c r="GB202" s="243"/>
      <c r="GC202" s="243"/>
      <c r="GD202" s="243"/>
      <c r="GE202" s="243"/>
      <c r="GF202" s="243"/>
      <c r="GG202" s="243"/>
      <c r="GH202" s="243"/>
      <c r="GI202" s="243"/>
      <c r="GJ202" s="243"/>
      <c r="GK202" s="243"/>
      <c r="GL202" s="243"/>
      <c r="GM202" s="243"/>
      <c r="GN202" s="243"/>
      <c r="GO202" s="243"/>
      <c r="GP202" s="243"/>
      <c r="GQ202" s="243"/>
      <c r="GR202" s="243"/>
      <c r="GS202" s="243"/>
      <c r="GT202" s="243"/>
    </row>
    <row r="203" spans="1:202" s="79" customFormat="1" ht="18.75" customHeight="1">
      <c r="A203" s="187" t="s">
        <v>26</v>
      </c>
      <c r="B203" s="170" t="s">
        <v>188</v>
      </c>
      <c r="C203" s="216" t="s">
        <v>258</v>
      </c>
      <c r="D203" s="138">
        <v>2901286856</v>
      </c>
      <c r="E203" s="147"/>
      <c r="F203" s="147"/>
      <c r="G203" s="177"/>
      <c r="H203" s="147"/>
      <c r="I203" s="147"/>
      <c r="J203" s="210"/>
      <c r="K203" s="251"/>
      <c r="L203" s="251"/>
      <c r="M203" s="251"/>
      <c r="N203" s="284">
        <f t="shared" ref="N203:N211" si="480">K203+L203+M203</f>
        <v>0</v>
      </c>
      <c r="O203" s="272"/>
      <c r="P203" s="272"/>
      <c r="Q203" s="289"/>
      <c r="R203" s="284">
        <f>O203+P203+Q203</f>
        <v>0</v>
      </c>
      <c r="S203" s="289"/>
      <c r="T203" s="263"/>
      <c r="U203" s="272"/>
      <c r="V203" s="272"/>
      <c r="W203" s="289"/>
      <c r="X203" s="263"/>
      <c r="Y203" s="284">
        <f>SUM(S203:X203)</f>
        <v>0</v>
      </c>
      <c r="Z203" s="272"/>
      <c r="AA203" s="272"/>
      <c r="AB203" s="272"/>
      <c r="AC203" s="272"/>
      <c r="AD203" s="272"/>
      <c r="AE203" s="272"/>
      <c r="AF203" s="284">
        <f t="shared" si="460"/>
        <v>0</v>
      </c>
      <c r="AG203" s="282">
        <f t="shared" si="447"/>
        <v>0</v>
      </c>
      <c r="AH203" s="227">
        <f t="shared" si="461"/>
        <v>0</v>
      </c>
      <c r="AI203" s="227">
        <f t="shared" si="462"/>
        <v>0</v>
      </c>
      <c r="AJ203" s="227">
        <f t="shared" si="463"/>
        <v>0</v>
      </c>
      <c r="AK203" s="260">
        <f t="shared" ref="AK203:AK209" si="481">AH203+AI203+AJ203</f>
        <v>0</v>
      </c>
      <c r="AL203" s="227">
        <f t="shared" si="464"/>
        <v>0</v>
      </c>
      <c r="AM203" s="227">
        <f t="shared" si="465"/>
        <v>0</v>
      </c>
      <c r="AN203" s="227">
        <f t="shared" si="466"/>
        <v>0</v>
      </c>
      <c r="AO203" s="260">
        <f>SUM(AL203:AN203)</f>
        <v>0</v>
      </c>
      <c r="AP203" s="227">
        <f t="shared" si="467"/>
        <v>0</v>
      </c>
      <c r="AQ203" s="227">
        <f t="shared" si="468"/>
        <v>0</v>
      </c>
      <c r="AR203" s="227">
        <f t="shared" si="469"/>
        <v>0</v>
      </c>
      <c r="AS203" s="227">
        <f t="shared" si="470"/>
        <v>0</v>
      </c>
      <c r="AT203" s="227">
        <f t="shared" si="471"/>
        <v>0</v>
      </c>
      <c r="AU203" s="227">
        <f t="shared" si="472"/>
        <v>0</v>
      </c>
      <c r="AV203" s="260">
        <f>SUM(AP203:AU203)</f>
        <v>0</v>
      </c>
      <c r="AW203" s="227">
        <f t="shared" si="473"/>
        <v>0</v>
      </c>
      <c r="AX203" s="227">
        <f t="shared" si="474"/>
        <v>0</v>
      </c>
      <c r="AY203" s="227">
        <f t="shared" si="475"/>
        <v>0</v>
      </c>
      <c r="AZ203" s="227">
        <f t="shared" si="476"/>
        <v>0</v>
      </c>
      <c r="BA203" s="227">
        <f t="shared" si="477"/>
        <v>0</v>
      </c>
      <c r="BB203" s="227">
        <f t="shared" si="478"/>
        <v>0</v>
      </c>
      <c r="BC203" s="260">
        <f t="shared" ref="BC203:BC208" si="482">SUM(AW203:BB203)</f>
        <v>0</v>
      </c>
      <c r="BD203" s="238">
        <f t="shared" si="373"/>
        <v>0</v>
      </c>
      <c r="BE203" s="1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  <c r="FF203" s="243"/>
      <c r="FG203" s="243"/>
      <c r="FH203" s="243"/>
      <c r="FI203" s="243"/>
      <c r="FJ203" s="243"/>
      <c r="FK203" s="243"/>
      <c r="FL203" s="243"/>
      <c r="FM203" s="243"/>
      <c r="FN203" s="243"/>
      <c r="FO203" s="243"/>
      <c r="FP203" s="243"/>
      <c r="FQ203" s="243"/>
      <c r="FR203" s="243"/>
      <c r="FS203" s="243"/>
      <c r="FT203" s="243"/>
      <c r="FU203" s="243"/>
      <c r="FV203" s="243"/>
      <c r="FW203" s="243"/>
      <c r="FX203" s="243"/>
      <c r="FY203" s="243"/>
      <c r="FZ203" s="243"/>
      <c r="GA203" s="243"/>
      <c r="GB203" s="243"/>
      <c r="GC203" s="243"/>
      <c r="GD203" s="243"/>
      <c r="GE203" s="243"/>
      <c r="GF203" s="243"/>
      <c r="GG203" s="243"/>
      <c r="GH203" s="243"/>
      <c r="GI203" s="243"/>
      <c r="GJ203" s="243"/>
      <c r="GK203" s="243"/>
      <c r="GL203" s="243"/>
      <c r="GM203" s="243"/>
      <c r="GN203" s="243"/>
      <c r="GO203" s="243"/>
      <c r="GP203" s="243"/>
      <c r="GQ203" s="243"/>
      <c r="GR203" s="243"/>
      <c r="GS203" s="243"/>
      <c r="GT203" s="243"/>
    </row>
    <row r="204" spans="1:202" ht="24" customHeight="1">
      <c r="A204" s="193" t="s">
        <v>26</v>
      </c>
      <c r="B204" s="182" t="s">
        <v>139</v>
      </c>
      <c r="C204" s="221" t="s">
        <v>417</v>
      </c>
      <c r="D204" s="73">
        <v>2923007175</v>
      </c>
      <c r="E204" s="82"/>
      <c r="F204" s="82"/>
      <c r="G204" s="177"/>
      <c r="H204" s="82"/>
      <c r="I204" s="82"/>
      <c r="J204" s="210"/>
      <c r="K204" s="254">
        <f>K205</f>
        <v>1173.5160000000001</v>
      </c>
      <c r="L204" s="254">
        <f>L205</f>
        <v>1116.6389999999999</v>
      </c>
      <c r="M204" s="254">
        <f>M205</f>
        <v>0</v>
      </c>
      <c r="N204" s="284">
        <f t="shared" si="480"/>
        <v>2290.1549999999997</v>
      </c>
      <c r="O204" s="275">
        <f>O205</f>
        <v>0</v>
      </c>
      <c r="P204" s="275">
        <f>P205</f>
        <v>0</v>
      </c>
      <c r="Q204" s="275">
        <f>Q205</f>
        <v>0</v>
      </c>
      <c r="R204" s="284">
        <f>O204+P204+Q204</f>
        <v>0</v>
      </c>
      <c r="S204" s="293">
        <f t="shared" ref="S204:X204" si="483">S205</f>
        <v>0</v>
      </c>
      <c r="T204" s="293">
        <f t="shared" si="483"/>
        <v>0</v>
      </c>
      <c r="U204" s="293">
        <f t="shared" si="483"/>
        <v>0</v>
      </c>
      <c r="V204" s="293">
        <f t="shared" si="483"/>
        <v>0</v>
      </c>
      <c r="W204" s="293">
        <f t="shared" si="483"/>
        <v>0</v>
      </c>
      <c r="X204" s="293">
        <f t="shared" si="483"/>
        <v>0</v>
      </c>
      <c r="Y204" s="284">
        <f>SUM(S204:X204)</f>
        <v>0</v>
      </c>
      <c r="Z204" s="275">
        <f t="shared" ref="Z204:AE204" si="484">Z205</f>
        <v>0</v>
      </c>
      <c r="AA204" s="275">
        <f t="shared" si="484"/>
        <v>0</v>
      </c>
      <c r="AB204" s="275">
        <f t="shared" si="484"/>
        <v>0</v>
      </c>
      <c r="AC204" s="275">
        <f t="shared" si="484"/>
        <v>0</v>
      </c>
      <c r="AD204" s="275">
        <f t="shared" si="484"/>
        <v>0</v>
      </c>
      <c r="AE204" s="275">
        <f t="shared" si="484"/>
        <v>0</v>
      </c>
      <c r="AF204" s="284">
        <f t="shared" si="460"/>
        <v>0</v>
      </c>
      <c r="AG204" s="282">
        <f t="shared" si="447"/>
        <v>2290.1549999999997</v>
      </c>
      <c r="AH204" s="232">
        <f>AH205</f>
        <v>5473665.8842799999</v>
      </c>
      <c r="AI204" s="232">
        <f>AI205</f>
        <v>5208372.786869999</v>
      </c>
      <c r="AJ204" s="232">
        <f>AJ205</f>
        <v>0</v>
      </c>
      <c r="AK204" s="260">
        <f t="shared" si="481"/>
        <v>10682038.671149999</v>
      </c>
      <c r="AL204" s="232">
        <f>AL205</f>
        <v>0</v>
      </c>
      <c r="AM204" s="232">
        <f>AM205</f>
        <v>0</v>
      </c>
      <c r="AN204" s="232">
        <f>AN205</f>
        <v>0</v>
      </c>
      <c r="AO204" s="260">
        <f>SUM(AL204:AN204)</f>
        <v>0</v>
      </c>
      <c r="AP204" s="232">
        <f t="shared" ref="AP204:AU204" si="485">AP205</f>
        <v>0</v>
      </c>
      <c r="AQ204" s="232">
        <f t="shared" si="485"/>
        <v>0</v>
      </c>
      <c r="AR204" s="232">
        <f t="shared" si="485"/>
        <v>0</v>
      </c>
      <c r="AS204" s="232">
        <f t="shared" si="485"/>
        <v>0</v>
      </c>
      <c r="AT204" s="232">
        <f t="shared" si="485"/>
        <v>0</v>
      </c>
      <c r="AU204" s="232">
        <f t="shared" si="485"/>
        <v>0</v>
      </c>
      <c r="AV204" s="260">
        <f>SUM(AP204:AU204)</f>
        <v>0</v>
      </c>
      <c r="AW204" s="232">
        <f t="shared" ref="AW204:BB204" si="486">AW205</f>
        <v>0</v>
      </c>
      <c r="AX204" s="232">
        <f t="shared" si="486"/>
        <v>0</v>
      </c>
      <c r="AY204" s="232">
        <f t="shared" si="486"/>
        <v>0</v>
      </c>
      <c r="AZ204" s="232">
        <f t="shared" si="486"/>
        <v>0</v>
      </c>
      <c r="BA204" s="232">
        <f t="shared" si="486"/>
        <v>0</v>
      </c>
      <c r="BB204" s="232">
        <f t="shared" si="486"/>
        <v>0</v>
      </c>
      <c r="BC204" s="260">
        <f t="shared" si="482"/>
        <v>0</v>
      </c>
      <c r="BD204" s="238">
        <f t="shared" si="373"/>
        <v>10682038.671149999</v>
      </c>
    </row>
    <row r="205" spans="1:202" s="79" customFormat="1" ht="20.25" customHeight="1">
      <c r="A205" s="192"/>
      <c r="B205" s="145"/>
      <c r="C205" s="216" t="s">
        <v>417</v>
      </c>
      <c r="D205" s="141"/>
      <c r="E205" s="147">
        <v>6408.33</v>
      </c>
      <c r="F205" s="147">
        <v>1744</v>
      </c>
      <c r="G205" s="177">
        <f t="shared" si="458"/>
        <v>4664.33</v>
      </c>
      <c r="H205" s="147">
        <v>6408.33</v>
      </c>
      <c r="I205" s="147">
        <v>1744</v>
      </c>
      <c r="J205" s="210">
        <f>H205-I205</f>
        <v>4664.33</v>
      </c>
      <c r="K205" s="252">
        <v>1173.5160000000001</v>
      </c>
      <c r="L205" s="252">
        <v>1116.6389999999999</v>
      </c>
      <c r="M205" s="252"/>
      <c r="N205" s="287">
        <f t="shared" si="480"/>
        <v>2290.1549999999997</v>
      </c>
      <c r="O205" s="273"/>
      <c r="P205" s="273"/>
      <c r="Q205" s="290"/>
      <c r="R205" s="287"/>
      <c r="S205" s="290"/>
      <c r="T205" s="264"/>
      <c r="U205" s="273"/>
      <c r="V205" s="273"/>
      <c r="W205" s="290"/>
      <c r="X205" s="264"/>
      <c r="Y205" s="142"/>
      <c r="Z205" s="273"/>
      <c r="AA205" s="273"/>
      <c r="AB205" s="273"/>
      <c r="AC205" s="273"/>
      <c r="AD205" s="273"/>
      <c r="AE205" s="273"/>
      <c r="AF205" s="287">
        <f t="shared" si="460"/>
        <v>0</v>
      </c>
      <c r="AG205" s="283">
        <f t="shared" si="447"/>
        <v>2290.1549999999997</v>
      </c>
      <c r="AH205" s="228">
        <f t="shared" ref="AH205:AJ206" si="487">K205*$G205</f>
        <v>5473665.8842799999</v>
      </c>
      <c r="AI205" s="228">
        <f t="shared" si="487"/>
        <v>5208372.786869999</v>
      </c>
      <c r="AJ205" s="228">
        <f t="shared" si="487"/>
        <v>0</v>
      </c>
      <c r="AK205" s="261">
        <f t="shared" si="481"/>
        <v>10682038.671149999</v>
      </c>
      <c r="AL205" s="228">
        <f t="shared" ref="AL205:AN206" si="488">O205*$G205</f>
        <v>0</v>
      </c>
      <c r="AM205" s="228">
        <f t="shared" si="488"/>
        <v>0</v>
      </c>
      <c r="AN205" s="228">
        <f t="shared" si="488"/>
        <v>0</v>
      </c>
      <c r="AO205" s="261"/>
      <c r="AP205" s="228">
        <f t="shared" ref="AP205:AU206" si="489">S205*$J205</f>
        <v>0</v>
      </c>
      <c r="AQ205" s="228">
        <f t="shared" si="489"/>
        <v>0</v>
      </c>
      <c r="AR205" s="228">
        <f t="shared" si="489"/>
        <v>0</v>
      </c>
      <c r="AS205" s="228">
        <f t="shared" si="489"/>
        <v>0</v>
      </c>
      <c r="AT205" s="228">
        <f t="shared" si="489"/>
        <v>0</v>
      </c>
      <c r="AU205" s="228">
        <f t="shared" si="489"/>
        <v>0</v>
      </c>
      <c r="AV205" s="261"/>
      <c r="AW205" s="228">
        <f t="shared" ref="AW205:BB206" si="490">Z205*$J205</f>
        <v>0</v>
      </c>
      <c r="AX205" s="228">
        <f t="shared" si="490"/>
        <v>0</v>
      </c>
      <c r="AY205" s="228">
        <f t="shared" si="490"/>
        <v>0</v>
      </c>
      <c r="AZ205" s="228">
        <f t="shared" si="490"/>
        <v>0</v>
      </c>
      <c r="BA205" s="228">
        <f t="shared" si="490"/>
        <v>0</v>
      </c>
      <c r="BB205" s="228">
        <f t="shared" si="490"/>
        <v>0</v>
      </c>
      <c r="BC205" s="261">
        <f t="shared" si="482"/>
        <v>0</v>
      </c>
      <c r="BD205" s="239">
        <f t="shared" si="373"/>
        <v>10682038.671149999</v>
      </c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  <c r="EK205" s="243"/>
      <c r="EL205" s="243"/>
      <c r="EM205" s="243"/>
      <c r="EN205" s="243"/>
      <c r="EO205" s="243"/>
      <c r="EP205" s="243"/>
      <c r="EQ205" s="243"/>
      <c r="ER205" s="243"/>
      <c r="ES205" s="243"/>
      <c r="ET205" s="243"/>
      <c r="EU205" s="243"/>
      <c r="EV205" s="243"/>
      <c r="EW205" s="243"/>
      <c r="EX205" s="243"/>
      <c r="EY205" s="243"/>
      <c r="EZ205" s="243"/>
      <c r="FA205" s="243"/>
      <c r="FB205" s="243"/>
      <c r="FC205" s="243"/>
      <c r="FD205" s="243"/>
      <c r="FE205" s="243"/>
      <c r="FF205" s="243"/>
      <c r="FG205" s="243"/>
      <c r="FH205" s="243"/>
      <c r="FI205" s="243"/>
      <c r="FJ205" s="243"/>
      <c r="FK205" s="243"/>
      <c r="FL205" s="243"/>
      <c r="FM205" s="243"/>
      <c r="FN205" s="243"/>
      <c r="FO205" s="243"/>
      <c r="FP205" s="243"/>
      <c r="FQ205" s="243"/>
      <c r="FR205" s="243"/>
      <c r="FS205" s="243"/>
      <c r="FT205" s="243"/>
      <c r="FU205" s="243"/>
      <c r="FV205" s="243"/>
      <c r="FW205" s="243"/>
      <c r="FX205" s="243"/>
      <c r="FY205" s="243"/>
      <c r="FZ205" s="243"/>
      <c r="GA205" s="243"/>
      <c r="GB205" s="243"/>
      <c r="GC205" s="243"/>
      <c r="GD205" s="243"/>
      <c r="GE205" s="243"/>
      <c r="GF205" s="243"/>
      <c r="GG205" s="243"/>
      <c r="GH205" s="243"/>
      <c r="GI205" s="243"/>
      <c r="GJ205" s="243"/>
      <c r="GK205" s="243"/>
      <c r="GL205" s="243"/>
      <c r="GM205" s="243"/>
      <c r="GN205" s="243"/>
      <c r="GO205" s="243"/>
      <c r="GP205" s="243"/>
      <c r="GQ205" s="243"/>
      <c r="GR205" s="243"/>
      <c r="GS205" s="243"/>
      <c r="GT205" s="243"/>
    </row>
    <row r="206" spans="1:202" s="79" customFormat="1" ht="21" customHeight="1">
      <c r="A206" s="193" t="s">
        <v>26</v>
      </c>
      <c r="B206" s="182" t="s">
        <v>58</v>
      </c>
      <c r="C206" s="221" t="s">
        <v>259</v>
      </c>
      <c r="D206" s="73">
        <v>2908003698</v>
      </c>
      <c r="E206" s="82"/>
      <c r="F206" s="82"/>
      <c r="G206" s="177"/>
      <c r="H206" s="82"/>
      <c r="I206" s="82"/>
      <c r="J206" s="210">
        <f>H206-I206</f>
        <v>0</v>
      </c>
      <c r="K206" s="254"/>
      <c r="L206" s="254"/>
      <c r="M206" s="254"/>
      <c r="N206" s="284">
        <f t="shared" si="480"/>
        <v>0</v>
      </c>
      <c r="O206" s="275"/>
      <c r="P206" s="275"/>
      <c r="Q206" s="293"/>
      <c r="R206" s="284">
        <f>O206+P206+Q206</f>
        <v>0</v>
      </c>
      <c r="S206" s="293"/>
      <c r="T206" s="266"/>
      <c r="U206" s="275"/>
      <c r="V206" s="275"/>
      <c r="W206" s="293"/>
      <c r="X206" s="263"/>
      <c r="Y206" s="262">
        <f>SUM(S206:X206)</f>
        <v>0</v>
      </c>
      <c r="Z206" s="275"/>
      <c r="AA206" s="275"/>
      <c r="AB206" s="275"/>
      <c r="AC206" s="275"/>
      <c r="AD206" s="275"/>
      <c r="AE206" s="275"/>
      <c r="AF206" s="284">
        <f t="shared" si="460"/>
        <v>0</v>
      </c>
      <c r="AG206" s="282">
        <f t="shared" si="447"/>
        <v>0</v>
      </c>
      <c r="AH206" s="232">
        <f t="shared" si="487"/>
        <v>0</v>
      </c>
      <c r="AI206" s="232">
        <f t="shared" si="487"/>
        <v>0</v>
      </c>
      <c r="AJ206" s="232">
        <f t="shared" si="487"/>
        <v>0</v>
      </c>
      <c r="AK206" s="260">
        <f t="shared" si="481"/>
        <v>0</v>
      </c>
      <c r="AL206" s="232">
        <f t="shared" si="488"/>
        <v>0</v>
      </c>
      <c r="AM206" s="232">
        <f t="shared" si="488"/>
        <v>0</v>
      </c>
      <c r="AN206" s="232">
        <f t="shared" si="488"/>
        <v>0</v>
      </c>
      <c r="AO206" s="260">
        <f>SUM(AL206:AN206)</f>
        <v>0</v>
      </c>
      <c r="AP206" s="232">
        <f t="shared" si="489"/>
        <v>0</v>
      </c>
      <c r="AQ206" s="232">
        <f t="shared" si="489"/>
        <v>0</v>
      </c>
      <c r="AR206" s="232">
        <f t="shared" si="489"/>
        <v>0</v>
      </c>
      <c r="AS206" s="232">
        <f t="shared" si="489"/>
        <v>0</v>
      </c>
      <c r="AT206" s="232">
        <f t="shared" si="489"/>
        <v>0</v>
      </c>
      <c r="AU206" s="232">
        <f t="shared" si="489"/>
        <v>0</v>
      </c>
      <c r="AV206" s="260">
        <f>SUM(AP206:AU206)</f>
        <v>0</v>
      </c>
      <c r="AW206" s="232">
        <f t="shared" si="490"/>
        <v>0</v>
      </c>
      <c r="AX206" s="232">
        <f t="shared" si="490"/>
        <v>0</v>
      </c>
      <c r="AY206" s="232">
        <f t="shared" si="490"/>
        <v>0</v>
      </c>
      <c r="AZ206" s="232">
        <f t="shared" si="490"/>
        <v>0</v>
      </c>
      <c r="BA206" s="232">
        <f t="shared" si="490"/>
        <v>0</v>
      </c>
      <c r="BB206" s="232">
        <f t="shared" si="490"/>
        <v>0</v>
      </c>
      <c r="BC206" s="260">
        <f t="shared" si="482"/>
        <v>0</v>
      </c>
      <c r="BD206" s="238">
        <f t="shared" si="373"/>
        <v>0</v>
      </c>
      <c r="BE206" s="13"/>
      <c r="BF206" s="243"/>
      <c r="BG206" s="243"/>
      <c r="BH206" s="243"/>
      <c r="BI206" s="243"/>
      <c r="BJ206" s="243"/>
      <c r="BK206" s="243"/>
      <c r="BL206" s="243"/>
      <c r="BM206" s="243"/>
      <c r="BN206" s="243"/>
      <c r="BO206" s="243"/>
      <c r="BP206" s="243"/>
      <c r="BQ206" s="243"/>
      <c r="BR206" s="243"/>
      <c r="BS206" s="243"/>
      <c r="BT206" s="243"/>
      <c r="BU206" s="243"/>
      <c r="BV206" s="243"/>
      <c r="BW206" s="243"/>
      <c r="BX206" s="243"/>
      <c r="BY206" s="243"/>
      <c r="BZ206" s="243"/>
      <c r="CA206" s="243"/>
      <c r="CB206" s="243"/>
      <c r="CC206" s="243"/>
      <c r="CD206" s="243"/>
      <c r="CE206" s="243"/>
      <c r="CF206" s="243"/>
      <c r="CG206" s="243"/>
      <c r="CH206" s="243"/>
      <c r="CI206" s="243"/>
      <c r="CJ206" s="243"/>
      <c r="CK206" s="243"/>
      <c r="CL206" s="243"/>
      <c r="CM206" s="243"/>
      <c r="CN206" s="243"/>
      <c r="CO206" s="243"/>
      <c r="CP206" s="243"/>
      <c r="CQ206" s="243"/>
      <c r="CR206" s="243"/>
      <c r="CS206" s="243"/>
      <c r="CT206" s="243"/>
      <c r="CU206" s="243"/>
      <c r="CV206" s="243"/>
      <c r="CW206" s="243"/>
      <c r="CX206" s="243"/>
      <c r="CY206" s="243"/>
      <c r="CZ206" s="243"/>
      <c r="DA206" s="243"/>
      <c r="DB206" s="243"/>
      <c r="DC206" s="243"/>
      <c r="DD206" s="243"/>
      <c r="DE206" s="243"/>
      <c r="DF206" s="243"/>
      <c r="DG206" s="243"/>
      <c r="DH206" s="243"/>
      <c r="DI206" s="243"/>
      <c r="DJ206" s="243"/>
      <c r="DK206" s="243"/>
      <c r="DL206" s="243"/>
      <c r="DM206" s="243"/>
      <c r="DN206" s="243"/>
      <c r="DO206" s="243"/>
      <c r="DP206" s="243"/>
      <c r="DQ206" s="243"/>
      <c r="DR206" s="243"/>
      <c r="DS206" s="243"/>
      <c r="DT206" s="243"/>
      <c r="DU206" s="243"/>
      <c r="DV206" s="243"/>
      <c r="DW206" s="243"/>
      <c r="DX206" s="243"/>
      <c r="DY206" s="243"/>
      <c r="DZ206" s="243"/>
      <c r="EA206" s="243"/>
      <c r="EB206" s="243"/>
      <c r="EC206" s="243"/>
      <c r="ED206" s="243"/>
      <c r="EE206" s="243"/>
      <c r="EF206" s="243"/>
      <c r="EG206" s="243"/>
      <c r="EH206" s="243"/>
      <c r="EI206" s="243"/>
      <c r="EJ206" s="243"/>
      <c r="EK206" s="243"/>
      <c r="EL206" s="243"/>
      <c r="EM206" s="243"/>
      <c r="EN206" s="243"/>
      <c r="EO206" s="243"/>
      <c r="EP206" s="243"/>
      <c r="EQ206" s="243"/>
      <c r="ER206" s="243"/>
      <c r="ES206" s="243"/>
      <c r="ET206" s="243"/>
      <c r="EU206" s="243"/>
      <c r="EV206" s="243"/>
      <c r="EW206" s="243"/>
      <c r="EX206" s="243"/>
      <c r="EY206" s="243"/>
      <c r="EZ206" s="243"/>
      <c r="FA206" s="243"/>
      <c r="FB206" s="243"/>
      <c r="FC206" s="243"/>
      <c r="FD206" s="243"/>
      <c r="FE206" s="243"/>
      <c r="FF206" s="243"/>
      <c r="FG206" s="243"/>
      <c r="FH206" s="243"/>
      <c r="FI206" s="243"/>
      <c r="FJ206" s="243"/>
      <c r="FK206" s="243"/>
      <c r="FL206" s="243"/>
      <c r="FM206" s="243"/>
      <c r="FN206" s="243"/>
      <c r="FO206" s="243"/>
      <c r="FP206" s="243"/>
      <c r="FQ206" s="243"/>
      <c r="FR206" s="243"/>
      <c r="FS206" s="243"/>
      <c r="FT206" s="243"/>
      <c r="FU206" s="243"/>
      <c r="FV206" s="243"/>
      <c r="FW206" s="243"/>
      <c r="FX206" s="243"/>
      <c r="FY206" s="243"/>
      <c r="FZ206" s="243"/>
      <c r="GA206" s="243"/>
      <c r="GB206" s="243"/>
      <c r="GC206" s="243"/>
      <c r="GD206" s="243"/>
      <c r="GE206" s="243"/>
      <c r="GF206" s="243"/>
      <c r="GG206" s="243"/>
      <c r="GH206" s="243"/>
      <c r="GI206" s="243"/>
      <c r="GJ206" s="243"/>
      <c r="GK206" s="243"/>
      <c r="GL206" s="243"/>
      <c r="GM206" s="243"/>
      <c r="GN206" s="243"/>
      <c r="GO206" s="243"/>
      <c r="GP206" s="243"/>
      <c r="GQ206" s="243"/>
      <c r="GR206" s="243"/>
      <c r="GS206" s="243"/>
      <c r="GT206" s="243"/>
    </row>
    <row r="207" spans="1:202" ht="12.75">
      <c r="A207" s="193" t="s">
        <v>26</v>
      </c>
      <c r="B207" s="182" t="s">
        <v>57</v>
      </c>
      <c r="C207" s="221" t="s">
        <v>71</v>
      </c>
      <c r="D207" s="73">
        <v>2912006268</v>
      </c>
      <c r="E207" s="82"/>
      <c r="F207" s="82"/>
      <c r="G207" s="177"/>
      <c r="H207" s="82"/>
      <c r="I207" s="82"/>
      <c r="J207" s="210"/>
      <c r="K207" s="254">
        <f>K208</f>
        <v>0</v>
      </c>
      <c r="L207" s="254">
        <f>L208+L209</f>
        <v>167.36</v>
      </c>
      <c r="M207" s="254">
        <f>M208</f>
        <v>0</v>
      </c>
      <c r="N207" s="284">
        <f t="shared" si="480"/>
        <v>167.36</v>
      </c>
      <c r="O207" s="275">
        <f>O208</f>
        <v>0</v>
      </c>
      <c r="P207" s="275">
        <f>P208</f>
        <v>0</v>
      </c>
      <c r="Q207" s="275">
        <f>Q208</f>
        <v>0</v>
      </c>
      <c r="R207" s="284">
        <f>O207+P207+Q207</f>
        <v>0</v>
      </c>
      <c r="S207" s="293">
        <f t="shared" ref="S207:X207" si="491">S208</f>
        <v>0</v>
      </c>
      <c r="T207" s="293">
        <f t="shared" si="491"/>
        <v>0</v>
      </c>
      <c r="U207" s="293">
        <f t="shared" si="491"/>
        <v>0</v>
      </c>
      <c r="V207" s="293">
        <f t="shared" si="491"/>
        <v>0</v>
      </c>
      <c r="W207" s="293">
        <f t="shared" si="491"/>
        <v>0</v>
      </c>
      <c r="X207" s="293">
        <f t="shared" si="491"/>
        <v>0</v>
      </c>
      <c r="Y207" s="262">
        <f>SUM(S207:X207)</f>
        <v>0</v>
      </c>
      <c r="Z207" s="275">
        <f t="shared" ref="Z207:AE207" si="492">Z208</f>
        <v>0</v>
      </c>
      <c r="AA207" s="275">
        <f t="shared" si="492"/>
        <v>0</v>
      </c>
      <c r="AB207" s="275">
        <f t="shared" si="492"/>
        <v>0</v>
      </c>
      <c r="AC207" s="275">
        <f t="shared" si="492"/>
        <v>0</v>
      </c>
      <c r="AD207" s="275">
        <f t="shared" si="492"/>
        <v>0</v>
      </c>
      <c r="AE207" s="275">
        <f t="shared" si="492"/>
        <v>0</v>
      </c>
      <c r="AF207" s="284">
        <f t="shared" si="460"/>
        <v>0</v>
      </c>
      <c r="AG207" s="282">
        <f t="shared" si="447"/>
        <v>167.36</v>
      </c>
      <c r="AH207" s="232">
        <f>AH208</f>
        <v>0</v>
      </c>
      <c r="AI207" s="232">
        <f>AI208+AI209</f>
        <v>319137.11040000001</v>
      </c>
      <c r="AJ207" s="232">
        <f>AJ208</f>
        <v>0</v>
      </c>
      <c r="AK207" s="260">
        <f t="shared" si="481"/>
        <v>319137.11040000001</v>
      </c>
      <c r="AL207" s="232">
        <f>AL208</f>
        <v>0</v>
      </c>
      <c r="AM207" s="232">
        <f>AM208</f>
        <v>0</v>
      </c>
      <c r="AN207" s="232">
        <f>AN208</f>
        <v>0</v>
      </c>
      <c r="AO207" s="260">
        <f>SUM(AL207:AN207)</f>
        <v>0</v>
      </c>
      <c r="AP207" s="232">
        <f t="shared" ref="AP207:AU207" si="493">AP208</f>
        <v>0</v>
      </c>
      <c r="AQ207" s="232">
        <f t="shared" si="493"/>
        <v>0</v>
      </c>
      <c r="AR207" s="232">
        <f t="shared" si="493"/>
        <v>0</v>
      </c>
      <c r="AS207" s="232">
        <f t="shared" si="493"/>
        <v>0</v>
      </c>
      <c r="AT207" s="232">
        <f t="shared" si="493"/>
        <v>0</v>
      </c>
      <c r="AU207" s="232">
        <f t="shared" si="493"/>
        <v>0</v>
      </c>
      <c r="AV207" s="260">
        <f>SUM(AP207:AU207)</f>
        <v>0</v>
      </c>
      <c r="AW207" s="232">
        <f t="shared" ref="AW207:BB207" si="494">AW208</f>
        <v>0</v>
      </c>
      <c r="AX207" s="232">
        <f t="shared" si="494"/>
        <v>0</v>
      </c>
      <c r="AY207" s="232">
        <f t="shared" si="494"/>
        <v>0</v>
      </c>
      <c r="AZ207" s="232">
        <f t="shared" si="494"/>
        <v>0</v>
      </c>
      <c r="BA207" s="232">
        <f t="shared" si="494"/>
        <v>0</v>
      </c>
      <c r="BB207" s="232">
        <f t="shared" si="494"/>
        <v>0</v>
      </c>
      <c r="BC207" s="260">
        <f t="shared" si="482"/>
        <v>0</v>
      </c>
      <c r="BD207" s="238">
        <f t="shared" si="373"/>
        <v>319137.11040000001</v>
      </c>
    </row>
    <row r="208" spans="1:202" s="83" customFormat="1" ht="12.75">
      <c r="A208" s="191"/>
      <c r="B208" s="84"/>
      <c r="C208" s="216" t="s">
        <v>586</v>
      </c>
      <c r="D208" s="138"/>
      <c r="E208" s="147">
        <v>3421.89</v>
      </c>
      <c r="F208" s="147">
        <v>1515</v>
      </c>
      <c r="G208" s="177">
        <f t="shared" si="458"/>
        <v>1906.8899999999999</v>
      </c>
      <c r="H208" s="147">
        <v>3421.89</v>
      </c>
      <c r="I208" s="147">
        <v>1515</v>
      </c>
      <c r="J208" s="210">
        <f>H208-I208</f>
        <v>1906.8899999999999</v>
      </c>
      <c r="K208" s="252"/>
      <c r="L208" s="252">
        <f>75.982+78.77</f>
        <v>154.75200000000001</v>
      </c>
      <c r="M208" s="252"/>
      <c r="N208" s="287">
        <f t="shared" si="480"/>
        <v>154.75200000000001</v>
      </c>
      <c r="O208" s="273"/>
      <c r="P208" s="273"/>
      <c r="Q208" s="290"/>
      <c r="R208" s="287"/>
      <c r="S208" s="290"/>
      <c r="T208" s="264"/>
      <c r="U208" s="273"/>
      <c r="V208" s="273"/>
      <c r="W208" s="290"/>
      <c r="X208" s="264"/>
      <c r="Y208" s="142">
        <f>SUM(S208:X208)</f>
        <v>0</v>
      </c>
      <c r="Z208" s="273"/>
      <c r="AA208" s="273"/>
      <c r="AB208" s="273"/>
      <c r="AC208" s="273"/>
      <c r="AD208" s="273"/>
      <c r="AE208" s="273"/>
      <c r="AF208" s="287">
        <f t="shared" si="460"/>
        <v>0</v>
      </c>
      <c r="AG208" s="283">
        <f t="shared" si="447"/>
        <v>154.75200000000001</v>
      </c>
      <c r="AH208" s="228">
        <f>K208*$G208</f>
        <v>0</v>
      </c>
      <c r="AI208" s="228">
        <f>L208*$G208</f>
        <v>295095.04128</v>
      </c>
      <c r="AJ208" s="228">
        <f>M208*$G208</f>
        <v>0</v>
      </c>
      <c r="AK208" s="261">
        <f t="shared" si="481"/>
        <v>295095.04128</v>
      </c>
      <c r="AL208" s="228">
        <f>O208*$G208</f>
        <v>0</v>
      </c>
      <c r="AM208" s="228">
        <f>P208*$G208</f>
        <v>0</v>
      </c>
      <c r="AN208" s="228">
        <f>Q208*$G208</f>
        <v>0</v>
      </c>
      <c r="AO208" s="261"/>
      <c r="AP208" s="228">
        <f t="shared" ref="AP208:AU208" si="495">S208*$J208</f>
        <v>0</v>
      </c>
      <c r="AQ208" s="228">
        <f t="shared" si="495"/>
        <v>0</v>
      </c>
      <c r="AR208" s="228">
        <f t="shared" si="495"/>
        <v>0</v>
      </c>
      <c r="AS208" s="228">
        <f t="shared" si="495"/>
        <v>0</v>
      </c>
      <c r="AT208" s="228">
        <f t="shared" si="495"/>
        <v>0</v>
      </c>
      <c r="AU208" s="228">
        <f t="shared" si="495"/>
        <v>0</v>
      </c>
      <c r="AV208" s="261"/>
      <c r="AW208" s="228">
        <f t="shared" ref="AW208:BB208" si="496">Z208*$J208</f>
        <v>0</v>
      </c>
      <c r="AX208" s="228">
        <f t="shared" si="496"/>
        <v>0</v>
      </c>
      <c r="AY208" s="228">
        <f t="shared" si="496"/>
        <v>0</v>
      </c>
      <c r="AZ208" s="228">
        <f t="shared" si="496"/>
        <v>0</v>
      </c>
      <c r="BA208" s="228">
        <f t="shared" si="496"/>
        <v>0</v>
      </c>
      <c r="BB208" s="228">
        <f t="shared" si="496"/>
        <v>0</v>
      </c>
      <c r="BC208" s="261">
        <f t="shared" si="482"/>
        <v>0</v>
      </c>
      <c r="BD208" s="239">
        <f t="shared" si="373"/>
        <v>295095.04128</v>
      </c>
      <c r="BE208" s="13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44"/>
      <c r="CC208" s="244"/>
      <c r="CD208" s="244"/>
      <c r="CE208" s="244"/>
      <c r="CF208" s="244"/>
      <c r="CG208" s="244"/>
      <c r="CH208" s="244"/>
      <c r="CI208" s="244"/>
      <c r="CJ208" s="244"/>
      <c r="CK208" s="244"/>
      <c r="CL208" s="244"/>
      <c r="CM208" s="244"/>
      <c r="CN208" s="244"/>
      <c r="CO208" s="244"/>
      <c r="CP208" s="244"/>
      <c r="CQ208" s="244"/>
      <c r="CR208" s="244"/>
      <c r="CS208" s="244"/>
      <c r="CT208" s="244"/>
      <c r="CU208" s="244"/>
      <c r="CV208" s="244"/>
      <c r="CW208" s="244"/>
      <c r="CX208" s="244"/>
      <c r="CY208" s="244"/>
      <c r="CZ208" s="244"/>
      <c r="DA208" s="244"/>
      <c r="DB208" s="244"/>
      <c r="DC208" s="244"/>
      <c r="DD208" s="244"/>
      <c r="DE208" s="244"/>
      <c r="DF208" s="244"/>
      <c r="DG208" s="244"/>
      <c r="DH208" s="244"/>
      <c r="DI208" s="244"/>
      <c r="DJ208" s="244"/>
      <c r="DK208" s="244"/>
      <c r="DL208" s="244"/>
      <c r="DM208" s="244"/>
      <c r="DN208" s="244"/>
      <c r="DO208" s="244"/>
      <c r="DP208" s="244"/>
      <c r="DQ208" s="244"/>
      <c r="DR208" s="244"/>
      <c r="DS208" s="244"/>
      <c r="DT208" s="244"/>
      <c r="DU208" s="244"/>
      <c r="DV208" s="244"/>
      <c r="DW208" s="244"/>
      <c r="DX208" s="244"/>
      <c r="DY208" s="244"/>
      <c r="DZ208" s="244"/>
      <c r="EA208" s="244"/>
      <c r="EB208" s="244"/>
      <c r="EC208" s="244"/>
      <c r="ED208" s="244"/>
      <c r="EE208" s="244"/>
      <c r="EF208" s="244"/>
      <c r="EG208" s="244"/>
      <c r="EH208" s="244"/>
      <c r="EI208" s="244"/>
      <c r="EJ208" s="244"/>
      <c r="EK208" s="244"/>
      <c r="EL208" s="244"/>
      <c r="EM208" s="244"/>
      <c r="EN208" s="244"/>
      <c r="EO208" s="244"/>
      <c r="EP208" s="244"/>
      <c r="EQ208" s="244"/>
      <c r="ER208" s="244"/>
      <c r="ES208" s="244"/>
      <c r="ET208" s="244"/>
      <c r="EU208" s="244"/>
      <c r="EV208" s="244"/>
      <c r="EW208" s="244"/>
      <c r="EX208" s="244"/>
      <c r="EY208" s="244"/>
      <c r="EZ208" s="244"/>
      <c r="FA208" s="244"/>
      <c r="FB208" s="244"/>
      <c r="FC208" s="244"/>
      <c r="FD208" s="244"/>
      <c r="FE208" s="244"/>
      <c r="FF208" s="244"/>
      <c r="FG208" s="244"/>
      <c r="FH208" s="244"/>
      <c r="FI208" s="244"/>
      <c r="FJ208" s="244"/>
      <c r="FK208" s="244"/>
      <c r="FL208" s="244"/>
      <c r="FM208" s="244"/>
      <c r="FN208" s="244"/>
      <c r="FO208" s="244"/>
      <c r="FP208" s="244"/>
      <c r="FQ208" s="244"/>
      <c r="FR208" s="244"/>
      <c r="FS208" s="244"/>
      <c r="FT208" s="244"/>
      <c r="FU208" s="244"/>
      <c r="FV208" s="244"/>
      <c r="FW208" s="244"/>
      <c r="FX208" s="244"/>
      <c r="FY208" s="244"/>
      <c r="FZ208" s="244"/>
      <c r="GA208" s="244"/>
      <c r="GB208" s="244"/>
      <c r="GC208" s="244"/>
      <c r="GD208" s="244"/>
      <c r="GE208" s="244"/>
      <c r="GF208" s="244"/>
      <c r="GG208" s="244"/>
      <c r="GH208" s="244"/>
      <c r="GI208" s="244"/>
      <c r="GJ208" s="244"/>
      <c r="GK208" s="244"/>
      <c r="GL208" s="244"/>
      <c r="GM208" s="244"/>
      <c r="GN208" s="244"/>
      <c r="GO208" s="244"/>
      <c r="GP208" s="244"/>
      <c r="GQ208" s="244"/>
      <c r="GR208" s="244"/>
      <c r="GS208" s="244"/>
      <c r="GT208" s="244"/>
    </row>
    <row r="209" spans="1:202" s="83" customFormat="1" ht="12.75">
      <c r="A209" s="191"/>
      <c r="B209" s="240"/>
      <c r="C209" s="216" t="s">
        <v>578</v>
      </c>
      <c r="D209" s="138"/>
      <c r="E209" s="147">
        <v>3421.89</v>
      </c>
      <c r="F209" s="147">
        <v>1515</v>
      </c>
      <c r="G209" s="177">
        <f>E209-F209</f>
        <v>1906.8899999999999</v>
      </c>
      <c r="H209" s="147">
        <v>3421.89</v>
      </c>
      <c r="I209" s="147">
        <v>1515</v>
      </c>
      <c r="J209" s="210">
        <f>H209-I209</f>
        <v>1906.8899999999999</v>
      </c>
      <c r="K209" s="252"/>
      <c r="L209" s="252">
        <f>6.281+6.327</f>
        <v>12.608000000000001</v>
      </c>
      <c r="M209" s="252"/>
      <c r="N209" s="287">
        <f t="shared" si="480"/>
        <v>12.608000000000001</v>
      </c>
      <c r="O209" s="273"/>
      <c r="P209" s="273"/>
      <c r="Q209" s="290"/>
      <c r="R209" s="287"/>
      <c r="S209" s="290"/>
      <c r="T209" s="264"/>
      <c r="U209" s="273"/>
      <c r="V209" s="273"/>
      <c r="W209" s="290"/>
      <c r="X209" s="264"/>
      <c r="Y209" s="142"/>
      <c r="Z209" s="273"/>
      <c r="AA209" s="273"/>
      <c r="AB209" s="273"/>
      <c r="AC209" s="273"/>
      <c r="AD209" s="273"/>
      <c r="AE209" s="273"/>
      <c r="AF209" s="287"/>
      <c r="AG209" s="283">
        <f t="shared" si="447"/>
        <v>12.608000000000001</v>
      </c>
      <c r="AH209" s="228"/>
      <c r="AI209" s="228">
        <f>L209*$G209</f>
        <v>24042.06912</v>
      </c>
      <c r="AJ209" s="228"/>
      <c r="AK209" s="261">
        <f t="shared" si="481"/>
        <v>24042.06912</v>
      </c>
      <c r="AL209" s="228"/>
      <c r="AM209" s="228"/>
      <c r="AN209" s="228"/>
      <c r="AO209" s="261"/>
      <c r="AP209" s="228"/>
      <c r="AQ209" s="228"/>
      <c r="AR209" s="228"/>
      <c r="AS209" s="228"/>
      <c r="AT209" s="228"/>
      <c r="AU209" s="228"/>
      <c r="AV209" s="261"/>
      <c r="AW209" s="228"/>
      <c r="AX209" s="228"/>
      <c r="AY209" s="228"/>
      <c r="AZ209" s="228"/>
      <c r="BA209" s="228"/>
      <c r="BB209" s="228"/>
      <c r="BC209" s="261"/>
      <c r="BD209" s="239">
        <f t="shared" si="373"/>
        <v>24042.06912</v>
      </c>
      <c r="BE209" s="13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44"/>
      <c r="CC209" s="244"/>
      <c r="CD209" s="244"/>
      <c r="CE209" s="244"/>
      <c r="CF209" s="244"/>
      <c r="CG209" s="244"/>
      <c r="CH209" s="244"/>
      <c r="CI209" s="244"/>
      <c r="CJ209" s="244"/>
      <c r="CK209" s="244"/>
      <c r="CL209" s="244"/>
      <c r="CM209" s="244"/>
      <c r="CN209" s="244"/>
      <c r="CO209" s="244"/>
      <c r="CP209" s="244"/>
      <c r="CQ209" s="244"/>
      <c r="CR209" s="244"/>
      <c r="CS209" s="244"/>
      <c r="CT209" s="244"/>
      <c r="CU209" s="244"/>
      <c r="CV209" s="244"/>
      <c r="CW209" s="244"/>
      <c r="CX209" s="244"/>
      <c r="CY209" s="244"/>
      <c r="CZ209" s="244"/>
      <c r="DA209" s="244"/>
      <c r="DB209" s="244"/>
      <c r="DC209" s="244"/>
      <c r="DD209" s="244"/>
      <c r="DE209" s="244"/>
      <c r="DF209" s="244"/>
      <c r="DG209" s="244"/>
      <c r="DH209" s="244"/>
      <c r="DI209" s="244"/>
      <c r="DJ209" s="244"/>
      <c r="DK209" s="244"/>
      <c r="DL209" s="244"/>
      <c r="DM209" s="244"/>
      <c r="DN209" s="244"/>
      <c r="DO209" s="244"/>
      <c r="DP209" s="244"/>
      <c r="DQ209" s="244"/>
      <c r="DR209" s="244"/>
      <c r="DS209" s="244"/>
      <c r="DT209" s="244"/>
      <c r="DU209" s="244"/>
      <c r="DV209" s="244"/>
      <c r="DW209" s="244"/>
      <c r="DX209" s="244"/>
      <c r="DY209" s="244"/>
      <c r="DZ209" s="244"/>
      <c r="EA209" s="244"/>
      <c r="EB209" s="244"/>
      <c r="EC209" s="244"/>
      <c r="ED209" s="244"/>
      <c r="EE209" s="244"/>
      <c r="EF209" s="244"/>
      <c r="EG209" s="244"/>
      <c r="EH209" s="244"/>
      <c r="EI209" s="244"/>
      <c r="EJ209" s="244"/>
      <c r="EK209" s="244"/>
      <c r="EL209" s="244"/>
      <c r="EM209" s="244"/>
      <c r="EN209" s="244"/>
      <c r="EO209" s="244"/>
      <c r="EP209" s="244"/>
      <c r="EQ209" s="244"/>
      <c r="ER209" s="244"/>
      <c r="ES209" s="244"/>
      <c r="ET209" s="244"/>
      <c r="EU209" s="244"/>
      <c r="EV209" s="244"/>
      <c r="EW209" s="244"/>
      <c r="EX209" s="244"/>
      <c r="EY209" s="244"/>
      <c r="EZ209" s="244"/>
      <c r="FA209" s="244"/>
      <c r="FB209" s="244"/>
      <c r="FC209" s="244"/>
      <c r="FD209" s="244"/>
      <c r="FE209" s="244"/>
      <c r="FF209" s="244"/>
      <c r="FG209" s="244"/>
      <c r="FH209" s="244"/>
      <c r="FI209" s="244"/>
      <c r="FJ209" s="244"/>
      <c r="FK209" s="244"/>
      <c r="FL209" s="244"/>
      <c r="FM209" s="244"/>
      <c r="FN209" s="244"/>
      <c r="FO209" s="244"/>
      <c r="FP209" s="244"/>
      <c r="FQ209" s="244"/>
      <c r="FR209" s="244"/>
      <c r="FS209" s="244"/>
      <c r="FT209" s="244"/>
      <c r="FU209" s="244"/>
      <c r="FV209" s="244"/>
      <c r="FW209" s="244"/>
      <c r="FX209" s="244"/>
      <c r="FY209" s="244"/>
      <c r="FZ209" s="244"/>
      <c r="GA209" s="244"/>
      <c r="GB209" s="244"/>
      <c r="GC209" s="244"/>
      <c r="GD209" s="244"/>
      <c r="GE209" s="244"/>
      <c r="GF209" s="244"/>
      <c r="GG209" s="244"/>
      <c r="GH209" s="244"/>
      <c r="GI209" s="244"/>
      <c r="GJ209" s="244"/>
      <c r="GK209" s="244"/>
      <c r="GL209" s="244"/>
      <c r="GM209" s="244"/>
      <c r="GN209" s="244"/>
      <c r="GO209" s="244"/>
      <c r="GP209" s="244"/>
      <c r="GQ209" s="244"/>
      <c r="GR209" s="244"/>
      <c r="GS209" s="244"/>
      <c r="GT209" s="244"/>
    </row>
    <row r="210" spans="1:202" s="79" customFormat="1" ht="23.25" customHeight="1">
      <c r="A210" s="187" t="s">
        <v>26</v>
      </c>
      <c r="B210" s="170" t="s">
        <v>195</v>
      </c>
      <c r="C210" s="216" t="s">
        <v>405</v>
      </c>
      <c r="D210" s="138">
        <v>2911005649</v>
      </c>
      <c r="E210" s="147"/>
      <c r="F210" s="147"/>
      <c r="G210" s="177"/>
      <c r="H210" s="147"/>
      <c r="I210" s="147"/>
      <c r="J210" s="210"/>
      <c r="K210" s="251">
        <f>K211</f>
        <v>1833.2339999999999</v>
      </c>
      <c r="L210" s="251">
        <f t="shared" ref="L210:Q210" si="497">L211</f>
        <v>1817.5060000000001</v>
      </c>
      <c r="M210" s="251">
        <f t="shared" si="497"/>
        <v>0</v>
      </c>
      <c r="N210" s="284">
        <f t="shared" si="480"/>
        <v>3650.74</v>
      </c>
      <c r="O210" s="272">
        <f t="shared" si="497"/>
        <v>0</v>
      </c>
      <c r="P210" s="272">
        <f t="shared" si="497"/>
        <v>0</v>
      </c>
      <c r="Q210" s="272">
        <f t="shared" si="497"/>
        <v>0</v>
      </c>
      <c r="R210" s="284">
        <f>O210+P210+Q210</f>
        <v>0</v>
      </c>
      <c r="S210" s="289">
        <f t="shared" ref="S210:X210" si="498">S211</f>
        <v>0</v>
      </c>
      <c r="T210" s="289">
        <f t="shared" si="498"/>
        <v>0</v>
      </c>
      <c r="U210" s="289">
        <f t="shared" si="498"/>
        <v>0</v>
      </c>
      <c r="V210" s="289">
        <f t="shared" si="498"/>
        <v>0</v>
      </c>
      <c r="W210" s="289">
        <f t="shared" si="498"/>
        <v>0</v>
      </c>
      <c r="X210" s="289">
        <f t="shared" si="498"/>
        <v>0</v>
      </c>
      <c r="Y210" s="262">
        <f>SUM(S210:X210)</f>
        <v>0</v>
      </c>
      <c r="Z210" s="272">
        <f t="shared" ref="Z210:AE210" si="499">Z211</f>
        <v>0</v>
      </c>
      <c r="AA210" s="272">
        <f t="shared" si="499"/>
        <v>0</v>
      </c>
      <c r="AB210" s="272">
        <f t="shared" si="499"/>
        <v>0</v>
      </c>
      <c r="AC210" s="272">
        <f t="shared" si="499"/>
        <v>0</v>
      </c>
      <c r="AD210" s="272">
        <f t="shared" si="499"/>
        <v>0</v>
      </c>
      <c r="AE210" s="272">
        <f t="shared" si="499"/>
        <v>0</v>
      </c>
      <c r="AF210" s="284">
        <f>SUM(Z210:AE210)</f>
        <v>0</v>
      </c>
      <c r="AG210" s="282">
        <f t="shared" si="447"/>
        <v>3650.74</v>
      </c>
      <c r="AH210" s="227">
        <f>AH211</f>
        <v>8879470.5347399991</v>
      </c>
      <c r="AI210" s="227">
        <f>AI211</f>
        <v>8803290.2366599999</v>
      </c>
      <c r="AJ210" s="227">
        <f>AJ211</f>
        <v>0</v>
      </c>
      <c r="AK210" s="260">
        <f>AH210+AI210+AJ210</f>
        <v>17682760.771399997</v>
      </c>
      <c r="AL210" s="227">
        <f>AL211</f>
        <v>0</v>
      </c>
      <c r="AM210" s="227">
        <f>AM211</f>
        <v>0</v>
      </c>
      <c r="AN210" s="227">
        <f>AN211</f>
        <v>0</v>
      </c>
      <c r="AO210" s="260">
        <f>SUM(AL210:AN210)</f>
        <v>0</v>
      </c>
      <c r="AP210" s="227">
        <f t="shared" ref="AP210:AU210" si="500">AP211</f>
        <v>0</v>
      </c>
      <c r="AQ210" s="227">
        <f t="shared" si="500"/>
        <v>0</v>
      </c>
      <c r="AR210" s="227">
        <f t="shared" si="500"/>
        <v>0</v>
      </c>
      <c r="AS210" s="227">
        <f t="shared" si="500"/>
        <v>0</v>
      </c>
      <c r="AT210" s="227">
        <f t="shared" si="500"/>
        <v>0</v>
      </c>
      <c r="AU210" s="227">
        <f t="shared" si="500"/>
        <v>0</v>
      </c>
      <c r="AV210" s="260">
        <f>SUM(AP210:AU210)</f>
        <v>0</v>
      </c>
      <c r="AW210" s="227">
        <f t="shared" ref="AW210:BB210" si="501">AW211</f>
        <v>0</v>
      </c>
      <c r="AX210" s="227">
        <f t="shared" si="501"/>
        <v>0</v>
      </c>
      <c r="AY210" s="227">
        <f t="shared" si="501"/>
        <v>0</v>
      </c>
      <c r="AZ210" s="227">
        <f t="shared" si="501"/>
        <v>0</v>
      </c>
      <c r="BA210" s="227">
        <f t="shared" si="501"/>
        <v>0</v>
      </c>
      <c r="BB210" s="227">
        <f t="shared" si="501"/>
        <v>0</v>
      </c>
      <c r="BC210" s="260">
        <f>SUM(AW210:BB210)</f>
        <v>0</v>
      </c>
      <c r="BD210" s="238">
        <f t="shared" si="373"/>
        <v>17682760.771399997</v>
      </c>
      <c r="BE210" s="13"/>
      <c r="BF210" s="243"/>
      <c r="BG210" s="243"/>
      <c r="BH210" s="243"/>
      <c r="BI210" s="243"/>
      <c r="BJ210" s="243"/>
      <c r="BK210" s="243"/>
      <c r="BL210" s="243"/>
      <c r="BM210" s="243"/>
      <c r="BN210" s="243"/>
      <c r="BO210" s="243"/>
      <c r="BP210" s="243"/>
      <c r="BQ210" s="243"/>
      <c r="BR210" s="243"/>
      <c r="BS210" s="243"/>
      <c r="BT210" s="243"/>
      <c r="BU210" s="243"/>
      <c r="BV210" s="243"/>
      <c r="BW210" s="243"/>
      <c r="BX210" s="243"/>
      <c r="BY210" s="243"/>
      <c r="BZ210" s="243"/>
      <c r="CA210" s="243"/>
      <c r="CB210" s="243"/>
      <c r="CC210" s="243"/>
      <c r="CD210" s="243"/>
      <c r="CE210" s="243"/>
      <c r="CF210" s="243"/>
      <c r="CG210" s="243"/>
      <c r="CH210" s="243"/>
      <c r="CI210" s="243"/>
      <c r="CJ210" s="243"/>
      <c r="CK210" s="243"/>
      <c r="CL210" s="243"/>
      <c r="CM210" s="243"/>
      <c r="CN210" s="243"/>
      <c r="CO210" s="243"/>
      <c r="CP210" s="243"/>
      <c r="CQ210" s="243"/>
      <c r="CR210" s="243"/>
      <c r="CS210" s="243"/>
      <c r="CT210" s="243"/>
      <c r="CU210" s="243"/>
      <c r="CV210" s="243"/>
      <c r="CW210" s="243"/>
      <c r="CX210" s="243"/>
      <c r="CY210" s="243"/>
      <c r="CZ210" s="243"/>
      <c r="DA210" s="243"/>
      <c r="DB210" s="243"/>
      <c r="DC210" s="243"/>
      <c r="DD210" s="243"/>
      <c r="DE210" s="243"/>
      <c r="DF210" s="243"/>
      <c r="DG210" s="243"/>
      <c r="DH210" s="243"/>
      <c r="DI210" s="243"/>
      <c r="DJ210" s="243"/>
      <c r="DK210" s="243"/>
      <c r="DL210" s="243"/>
      <c r="DM210" s="243"/>
      <c r="DN210" s="243"/>
      <c r="DO210" s="243"/>
      <c r="DP210" s="243"/>
      <c r="DQ210" s="243"/>
      <c r="DR210" s="243"/>
      <c r="DS210" s="243"/>
      <c r="DT210" s="243"/>
      <c r="DU210" s="243"/>
      <c r="DV210" s="243"/>
      <c r="DW210" s="243"/>
      <c r="DX210" s="243"/>
      <c r="DY210" s="243"/>
      <c r="DZ210" s="243"/>
      <c r="EA210" s="243"/>
      <c r="EB210" s="243"/>
      <c r="EC210" s="243"/>
      <c r="ED210" s="243"/>
      <c r="EE210" s="243"/>
      <c r="EF210" s="243"/>
      <c r="EG210" s="243"/>
      <c r="EH210" s="243"/>
      <c r="EI210" s="243"/>
      <c r="EJ210" s="243"/>
      <c r="EK210" s="243"/>
      <c r="EL210" s="243"/>
      <c r="EM210" s="243"/>
      <c r="EN210" s="243"/>
      <c r="EO210" s="243"/>
      <c r="EP210" s="243"/>
      <c r="EQ210" s="243"/>
      <c r="ER210" s="243"/>
      <c r="ES210" s="243"/>
      <c r="ET210" s="243"/>
      <c r="EU210" s="243"/>
      <c r="EV210" s="243"/>
      <c r="EW210" s="243"/>
      <c r="EX210" s="243"/>
      <c r="EY210" s="243"/>
      <c r="EZ210" s="243"/>
      <c r="FA210" s="243"/>
      <c r="FB210" s="243"/>
      <c r="FC210" s="243"/>
      <c r="FD210" s="243"/>
      <c r="FE210" s="243"/>
      <c r="FF210" s="243"/>
      <c r="FG210" s="243"/>
      <c r="FH210" s="243"/>
      <c r="FI210" s="243"/>
      <c r="FJ210" s="243"/>
      <c r="FK210" s="243"/>
      <c r="FL210" s="243"/>
      <c r="FM210" s="243"/>
      <c r="FN210" s="243"/>
      <c r="FO210" s="243"/>
      <c r="FP210" s="243"/>
      <c r="FQ210" s="243"/>
      <c r="FR210" s="243"/>
      <c r="FS210" s="243"/>
      <c r="FT210" s="243"/>
      <c r="FU210" s="243"/>
      <c r="FV210" s="243"/>
      <c r="FW210" s="243"/>
      <c r="FX210" s="243"/>
      <c r="FY210" s="243"/>
      <c r="FZ210" s="243"/>
      <c r="GA210" s="243"/>
      <c r="GB210" s="243"/>
      <c r="GC210" s="243"/>
      <c r="GD210" s="243"/>
      <c r="GE210" s="243"/>
      <c r="GF210" s="243"/>
      <c r="GG210" s="243"/>
      <c r="GH210" s="243"/>
      <c r="GI210" s="243"/>
      <c r="GJ210" s="243"/>
      <c r="GK210" s="243"/>
      <c r="GL210" s="243"/>
      <c r="GM210" s="243"/>
      <c r="GN210" s="243"/>
      <c r="GO210" s="243"/>
      <c r="GP210" s="243"/>
      <c r="GQ210" s="243"/>
      <c r="GR210" s="243"/>
      <c r="GS210" s="243"/>
      <c r="GT210" s="243"/>
    </row>
    <row r="211" spans="1:202" ht="12.75">
      <c r="A211" s="194"/>
      <c r="B211" s="84"/>
      <c r="C211" s="221"/>
      <c r="D211" s="85"/>
      <c r="E211" s="82">
        <v>6442.61</v>
      </c>
      <c r="F211" s="82">
        <v>1599</v>
      </c>
      <c r="G211" s="177">
        <f t="shared" si="458"/>
        <v>4843.6099999999997</v>
      </c>
      <c r="H211" s="82">
        <v>6442.61</v>
      </c>
      <c r="I211" s="82">
        <v>1599</v>
      </c>
      <c r="J211" s="210">
        <f>H211-I211</f>
        <v>4843.6099999999997</v>
      </c>
      <c r="K211" s="255">
        <v>1833.2339999999999</v>
      </c>
      <c r="L211" s="255">
        <v>1817.5060000000001</v>
      </c>
      <c r="M211" s="255"/>
      <c r="N211" s="287">
        <f t="shared" si="480"/>
        <v>3650.74</v>
      </c>
      <c r="O211" s="276"/>
      <c r="P211" s="276"/>
      <c r="Q211" s="294"/>
      <c r="R211" s="287"/>
      <c r="S211" s="294"/>
      <c r="T211" s="267"/>
      <c r="U211" s="276"/>
      <c r="V211" s="276"/>
      <c r="W211" s="294"/>
      <c r="X211" s="264"/>
      <c r="Y211" s="142"/>
      <c r="Z211" s="276"/>
      <c r="AA211" s="276"/>
      <c r="AB211" s="276"/>
      <c r="AC211" s="276"/>
      <c r="AD211" s="276"/>
      <c r="AE211" s="276"/>
      <c r="AF211" s="287">
        <f>SUM(Z211:AE211)</f>
        <v>0</v>
      </c>
      <c r="AG211" s="283">
        <f t="shared" si="447"/>
        <v>3650.74</v>
      </c>
      <c r="AH211" s="230">
        <f>K211*$G211</f>
        <v>8879470.5347399991</v>
      </c>
      <c r="AI211" s="230">
        <f>L211*$G211</f>
        <v>8803290.2366599999</v>
      </c>
      <c r="AJ211" s="230">
        <f>M211*$G211</f>
        <v>0</v>
      </c>
      <c r="AK211" s="261">
        <f>AH211+AI211+AJ211</f>
        <v>17682760.771399997</v>
      </c>
      <c r="AL211" s="230">
        <f>O211*$G211</f>
        <v>0</v>
      </c>
      <c r="AM211" s="230">
        <f>P211*$G211</f>
        <v>0</v>
      </c>
      <c r="AN211" s="230">
        <f>Q211*$G211</f>
        <v>0</v>
      </c>
      <c r="AO211" s="261">
        <f>SUM(AL211:AN211)</f>
        <v>0</v>
      </c>
      <c r="AP211" s="230">
        <f t="shared" ref="AP211:AU211" si="502">S211*$J211</f>
        <v>0</v>
      </c>
      <c r="AQ211" s="230">
        <f t="shared" si="502"/>
        <v>0</v>
      </c>
      <c r="AR211" s="230">
        <f t="shared" si="502"/>
        <v>0</v>
      </c>
      <c r="AS211" s="230">
        <f t="shared" si="502"/>
        <v>0</v>
      </c>
      <c r="AT211" s="230">
        <f t="shared" si="502"/>
        <v>0</v>
      </c>
      <c r="AU211" s="230">
        <f t="shared" si="502"/>
        <v>0</v>
      </c>
      <c r="AV211" s="261">
        <f>SUM(AP211:AU211)</f>
        <v>0</v>
      </c>
      <c r="AW211" s="230">
        <f t="shared" ref="AW211:BB211" si="503">Z211*$J211</f>
        <v>0</v>
      </c>
      <c r="AX211" s="230">
        <f t="shared" si="503"/>
        <v>0</v>
      </c>
      <c r="AY211" s="230">
        <f t="shared" si="503"/>
        <v>0</v>
      </c>
      <c r="AZ211" s="230">
        <f t="shared" si="503"/>
        <v>0</v>
      </c>
      <c r="BA211" s="230">
        <f t="shared" si="503"/>
        <v>0</v>
      </c>
      <c r="BB211" s="230">
        <f t="shared" si="503"/>
        <v>0</v>
      </c>
      <c r="BC211" s="261">
        <f>SUM(AW211:BB211)</f>
        <v>0</v>
      </c>
      <c r="BD211" s="239">
        <f t="shared" si="373"/>
        <v>17682760.771399997</v>
      </c>
      <c r="BE211" s="244"/>
    </row>
    <row r="212" spans="1:202" s="79" customFormat="1" ht="21.75" customHeight="1">
      <c r="A212" s="187" t="s">
        <v>26</v>
      </c>
      <c r="B212" s="170" t="s">
        <v>196</v>
      </c>
      <c r="C212" s="216"/>
      <c r="D212" s="143">
        <v>2914003625</v>
      </c>
      <c r="E212" s="147"/>
      <c r="F212" s="147"/>
      <c r="G212" s="177"/>
      <c r="H212" s="147"/>
      <c r="I212" s="147"/>
      <c r="J212" s="210"/>
      <c r="K212" s="251">
        <f t="shared" ref="K212:Q212" si="504">K213</f>
        <v>1295.28</v>
      </c>
      <c r="L212" s="251">
        <f t="shared" si="504"/>
        <v>1276.828</v>
      </c>
      <c r="M212" s="251">
        <f t="shared" si="504"/>
        <v>0</v>
      </c>
      <c r="N212" s="284">
        <f t="shared" si="504"/>
        <v>2572.1080000000002</v>
      </c>
      <c r="O212" s="297">
        <f t="shared" si="504"/>
        <v>0</v>
      </c>
      <c r="P212" s="297">
        <f t="shared" si="504"/>
        <v>0</v>
      </c>
      <c r="Q212" s="297">
        <f t="shared" si="504"/>
        <v>0</v>
      </c>
      <c r="R212" s="284">
        <f>O212+P212+Q212</f>
        <v>0</v>
      </c>
      <c r="S212" s="271">
        <f t="shared" ref="S212:X212" si="505">S213</f>
        <v>0</v>
      </c>
      <c r="T212" s="271">
        <f t="shared" si="505"/>
        <v>0</v>
      </c>
      <c r="U212" s="271">
        <f t="shared" si="505"/>
        <v>0</v>
      </c>
      <c r="V212" s="271">
        <f t="shared" si="505"/>
        <v>0</v>
      </c>
      <c r="W212" s="271">
        <f t="shared" si="505"/>
        <v>0</v>
      </c>
      <c r="X212" s="271">
        <f t="shared" si="505"/>
        <v>0</v>
      </c>
      <c r="Y212" s="262">
        <f>SUM(S212:X212)</f>
        <v>0</v>
      </c>
      <c r="Z212" s="271">
        <f t="shared" ref="Z212:AE212" si="506">Z213</f>
        <v>0</v>
      </c>
      <c r="AA212" s="271">
        <f t="shared" si="506"/>
        <v>0</v>
      </c>
      <c r="AB212" s="271">
        <f t="shared" si="506"/>
        <v>0</v>
      </c>
      <c r="AC212" s="271">
        <f t="shared" si="506"/>
        <v>0</v>
      </c>
      <c r="AD212" s="271">
        <f t="shared" si="506"/>
        <v>0</v>
      </c>
      <c r="AE212" s="271">
        <f t="shared" si="506"/>
        <v>0</v>
      </c>
      <c r="AF212" s="284">
        <f>SUM(AF213:AF213)</f>
        <v>0</v>
      </c>
      <c r="AG212" s="282">
        <f t="shared" si="447"/>
        <v>2572.1080000000002</v>
      </c>
      <c r="AH212" s="236">
        <f>AH213</f>
        <v>5910764.1768000005</v>
      </c>
      <c r="AI212" s="236">
        <f>AI213</f>
        <v>5826561.98068</v>
      </c>
      <c r="AJ212" s="236">
        <f>AJ213</f>
        <v>0</v>
      </c>
      <c r="AK212" s="260">
        <f>AH212+AI212+AJ212</f>
        <v>11737326.157480001</v>
      </c>
      <c r="AL212" s="236">
        <f>AL213</f>
        <v>0</v>
      </c>
      <c r="AM212" s="236">
        <f>AM213</f>
        <v>0</v>
      </c>
      <c r="AN212" s="236">
        <f>AN213</f>
        <v>0</v>
      </c>
      <c r="AO212" s="260">
        <f>SUM(AL212:AN212)</f>
        <v>0</v>
      </c>
      <c r="AP212" s="236">
        <f t="shared" ref="AP212:AU212" si="507">AP213</f>
        <v>0</v>
      </c>
      <c r="AQ212" s="236">
        <f t="shared" si="507"/>
        <v>0</v>
      </c>
      <c r="AR212" s="236">
        <f t="shared" si="507"/>
        <v>0</v>
      </c>
      <c r="AS212" s="236">
        <f t="shared" si="507"/>
        <v>0</v>
      </c>
      <c r="AT212" s="236">
        <f t="shared" si="507"/>
        <v>0</v>
      </c>
      <c r="AU212" s="236">
        <f t="shared" si="507"/>
        <v>0</v>
      </c>
      <c r="AV212" s="260">
        <f>SUM(AP212:AU212)</f>
        <v>0</v>
      </c>
      <c r="AW212" s="236">
        <f t="shared" ref="AW212:BB212" si="508">AW213</f>
        <v>0</v>
      </c>
      <c r="AX212" s="236">
        <f t="shared" si="508"/>
        <v>0</v>
      </c>
      <c r="AY212" s="236">
        <f t="shared" si="508"/>
        <v>0</v>
      </c>
      <c r="AZ212" s="236">
        <f t="shared" si="508"/>
        <v>0</v>
      </c>
      <c r="BA212" s="236">
        <f t="shared" si="508"/>
        <v>0</v>
      </c>
      <c r="BB212" s="236">
        <f t="shared" si="508"/>
        <v>0</v>
      </c>
      <c r="BC212" s="260">
        <f>SUM(AW212:BB212)</f>
        <v>0</v>
      </c>
      <c r="BD212" s="238">
        <f t="shared" si="373"/>
        <v>11737326.157480001</v>
      </c>
      <c r="BE212" s="13"/>
      <c r="BF212" s="243"/>
      <c r="BG212" s="243"/>
      <c r="BH212" s="243"/>
      <c r="BI212" s="243"/>
      <c r="BJ212" s="243"/>
      <c r="BK212" s="243"/>
      <c r="BL212" s="243"/>
      <c r="BM212" s="243"/>
      <c r="BN212" s="243"/>
      <c r="BO212" s="243"/>
      <c r="BP212" s="243"/>
      <c r="BQ212" s="243"/>
      <c r="BR212" s="243"/>
      <c r="BS212" s="243"/>
      <c r="BT212" s="243"/>
      <c r="BU212" s="243"/>
      <c r="BV212" s="243"/>
      <c r="BW212" s="243"/>
      <c r="BX212" s="243"/>
      <c r="BY212" s="243"/>
      <c r="BZ212" s="243"/>
      <c r="CA212" s="243"/>
      <c r="CB212" s="243"/>
      <c r="CC212" s="243"/>
      <c r="CD212" s="243"/>
      <c r="CE212" s="243"/>
      <c r="CF212" s="243"/>
      <c r="CG212" s="243"/>
      <c r="CH212" s="243"/>
      <c r="CI212" s="243"/>
      <c r="CJ212" s="243"/>
      <c r="CK212" s="243"/>
      <c r="CL212" s="243"/>
      <c r="CM212" s="243"/>
      <c r="CN212" s="243"/>
      <c r="CO212" s="243"/>
      <c r="CP212" s="243"/>
      <c r="CQ212" s="243"/>
      <c r="CR212" s="243"/>
      <c r="CS212" s="243"/>
      <c r="CT212" s="243"/>
      <c r="CU212" s="243"/>
      <c r="CV212" s="243"/>
      <c r="CW212" s="243"/>
      <c r="CX212" s="243"/>
      <c r="CY212" s="243"/>
      <c r="CZ212" s="243"/>
      <c r="DA212" s="243"/>
      <c r="DB212" s="243"/>
      <c r="DC212" s="243"/>
      <c r="DD212" s="243"/>
      <c r="DE212" s="243"/>
      <c r="DF212" s="243"/>
      <c r="DG212" s="243"/>
      <c r="DH212" s="243"/>
      <c r="DI212" s="243"/>
      <c r="DJ212" s="243"/>
      <c r="DK212" s="243"/>
      <c r="DL212" s="243"/>
      <c r="DM212" s="243"/>
      <c r="DN212" s="243"/>
      <c r="DO212" s="243"/>
      <c r="DP212" s="243"/>
      <c r="DQ212" s="243"/>
      <c r="DR212" s="243"/>
      <c r="DS212" s="243"/>
      <c r="DT212" s="243"/>
      <c r="DU212" s="243"/>
      <c r="DV212" s="243"/>
      <c r="DW212" s="243"/>
      <c r="DX212" s="243"/>
      <c r="DY212" s="243"/>
      <c r="DZ212" s="243"/>
      <c r="EA212" s="243"/>
      <c r="EB212" s="243"/>
      <c r="EC212" s="243"/>
      <c r="ED212" s="243"/>
      <c r="EE212" s="243"/>
      <c r="EF212" s="243"/>
      <c r="EG212" s="243"/>
      <c r="EH212" s="243"/>
      <c r="EI212" s="243"/>
      <c r="EJ212" s="243"/>
      <c r="EK212" s="243"/>
      <c r="EL212" s="243"/>
      <c r="EM212" s="243"/>
      <c r="EN212" s="243"/>
      <c r="EO212" s="243"/>
      <c r="EP212" s="243"/>
      <c r="EQ212" s="243"/>
      <c r="ER212" s="243"/>
      <c r="ES212" s="243"/>
      <c r="ET212" s="243"/>
      <c r="EU212" s="243"/>
      <c r="EV212" s="243"/>
      <c r="EW212" s="243"/>
      <c r="EX212" s="243"/>
      <c r="EY212" s="243"/>
      <c r="EZ212" s="243"/>
      <c r="FA212" s="243"/>
      <c r="FB212" s="243"/>
      <c r="FC212" s="243"/>
      <c r="FD212" s="243"/>
      <c r="FE212" s="243"/>
      <c r="FF212" s="243"/>
      <c r="FG212" s="243"/>
      <c r="FH212" s="243"/>
      <c r="FI212" s="243"/>
      <c r="FJ212" s="243"/>
      <c r="FK212" s="243"/>
      <c r="FL212" s="243"/>
      <c r="FM212" s="243"/>
      <c r="FN212" s="243"/>
      <c r="FO212" s="243"/>
      <c r="FP212" s="243"/>
      <c r="FQ212" s="243"/>
      <c r="FR212" s="243"/>
      <c r="FS212" s="243"/>
      <c r="FT212" s="243"/>
      <c r="FU212" s="243"/>
      <c r="FV212" s="243"/>
      <c r="FW212" s="243"/>
      <c r="FX212" s="243"/>
      <c r="FY212" s="243"/>
      <c r="FZ212" s="243"/>
      <c r="GA212" s="243"/>
      <c r="GB212" s="243"/>
      <c r="GC212" s="243"/>
      <c r="GD212" s="243"/>
      <c r="GE212" s="243"/>
      <c r="GF212" s="243"/>
      <c r="GG212" s="243"/>
      <c r="GH212" s="243"/>
      <c r="GI212" s="243"/>
      <c r="GJ212" s="243"/>
      <c r="GK212" s="243"/>
      <c r="GL212" s="243"/>
      <c r="GM212" s="243"/>
      <c r="GN212" s="243"/>
      <c r="GO212" s="243"/>
      <c r="GP212" s="243"/>
      <c r="GQ212" s="243"/>
      <c r="GR212" s="243"/>
      <c r="GS212" s="243"/>
      <c r="GT212" s="243"/>
    </row>
    <row r="213" spans="1:202" ht="20.25">
      <c r="A213" s="194"/>
      <c r="B213" s="84"/>
      <c r="C213" s="221" t="s">
        <v>418</v>
      </c>
      <c r="D213" s="85"/>
      <c r="E213" s="82">
        <v>6793.31</v>
      </c>
      <c r="F213" s="82">
        <v>2230</v>
      </c>
      <c r="G213" s="177">
        <f t="shared" si="458"/>
        <v>4563.3100000000004</v>
      </c>
      <c r="H213" s="82">
        <v>6793.31</v>
      </c>
      <c r="I213" s="82">
        <v>2230</v>
      </c>
      <c r="J213" s="210">
        <f>H213-I213</f>
        <v>4563.3100000000004</v>
      </c>
      <c r="K213" s="255">
        <v>1295.28</v>
      </c>
      <c r="L213" s="255">
        <v>1276.828</v>
      </c>
      <c r="M213" s="255"/>
      <c r="N213" s="287">
        <f>K213+L213+M213</f>
        <v>2572.1080000000002</v>
      </c>
      <c r="O213" s="276"/>
      <c r="P213" s="276"/>
      <c r="Q213" s="294"/>
      <c r="R213" s="287"/>
      <c r="S213" s="294"/>
      <c r="T213" s="267"/>
      <c r="U213" s="276"/>
      <c r="V213" s="276"/>
      <c r="W213" s="294"/>
      <c r="X213" s="264"/>
      <c r="Y213" s="142"/>
      <c r="Z213" s="276"/>
      <c r="AA213" s="276"/>
      <c r="AB213" s="276"/>
      <c r="AC213" s="276"/>
      <c r="AD213" s="276"/>
      <c r="AE213" s="276"/>
      <c r="AF213" s="287">
        <f>SUM(Z213:AE213)</f>
        <v>0</v>
      </c>
      <c r="AG213" s="283">
        <f t="shared" si="447"/>
        <v>2572.1080000000002</v>
      </c>
      <c r="AH213" s="230">
        <f>K213*$G213</f>
        <v>5910764.1768000005</v>
      </c>
      <c r="AI213" s="230">
        <f>L213*$G213</f>
        <v>5826561.98068</v>
      </c>
      <c r="AJ213" s="230">
        <f>M213*$G213</f>
        <v>0</v>
      </c>
      <c r="AK213" s="261">
        <f>AH213+AI213+AJ213</f>
        <v>11737326.157480001</v>
      </c>
      <c r="AL213" s="230">
        <f>O213*$G213</f>
        <v>0</v>
      </c>
      <c r="AM213" s="230">
        <f>P213*$G213</f>
        <v>0</v>
      </c>
      <c r="AN213" s="230">
        <f>Q213*$G213</f>
        <v>0</v>
      </c>
      <c r="AO213" s="261"/>
      <c r="AP213" s="230">
        <f t="shared" ref="AP213:AU213" si="509">S213*$J213</f>
        <v>0</v>
      </c>
      <c r="AQ213" s="230">
        <f t="shared" si="509"/>
        <v>0</v>
      </c>
      <c r="AR213" s="230">
        <f t="shared" si="509"/>
        <v>0</v>
      </c>
      <c r="AS213" s="230">
        <f t="shared" si="509"/>
        <v>0</v>
      </c>
      <c r="AT213" s="230">
        <f t="shared" si="509"/>
        <v>0</v>
      </c>
      <c r="AU213" s="230">
        <f t="shared" si="509"/>
        <v>0</v>
      </c>
      <c r="AV213" s="261"/>
      <c r="AW213" s="230">
        <f t="shared" ref="AW213:BB213" si="510">Z213*$J213</f>
        <v>0</v>
      </c>
      <c r="AX213" s="230">
        <f t="shared" si="510"/>
        <v>0</v>
      </c>
      <c r="AY213" s="230">
        <f t="shared" si="510"/>
        <v>0</v>
      </c>
      <c r="AZ213" s="230">
        <f t="shared" si="510"/>
        <v>0</v>
      </c>
      <c r="BA213" s="230">
        <f t="shared" si="510"/>
        <v>0</v>
      </c>
      <c r="BB213" s="230">
        <f t="shared" si="510"/>
        <v>0</v>
      </c>
      <c r="BC213" s="261">
        <f>SUM(AW213:BB213)</f>
        <v>0</v>
      </c>
      <c r="BD213" s="239">
        <f t="shared" si="373"/>
        <v>11737326.157480001</v>
      </c>
      <c r="BE213" s="244"/>
    </row>
    <row r="214" spans="1:202" s="79" customFormat="1" ht="12" customHeight="1">
      <c r="A214" s="193" t="s">
        <v>26</v>
      </c>
      <c r="B214" s="182" t="s">
        <v>59</v>
      </c>
      <c r="C214" s="221" t="s">
        <v>232</v>
      </c>
      <c r="D214" s="73">
        <v>2909003179</v>
      </c>
      <c r="E214" s="82"/>
      <c r="F214" s="82"/>
      <c r="G214" s="177"/>
      <c r="H214" s="82"/>
      <c r="I214" s="82"/>
      <c r="J214" s="210"/>
      <c r="K214" s="254">
        <f t="shared" ref="K214:Y214" si="511">SUM(K215:K215)</f>
        <v>0</v>
      </c>
      <c r="L214" s="254">
        <f t="shared" si="511"/>
        <v>0</v>
      </c>
      <c r="M214" s="254">
        <f t="shared" si="511"/>
        <v>0</v>
      </c>
      <c r="N214" s="284">
        <f t="shared" si="511"/>
        <v>0</v>
      </c>
      <c r="O214" s="275">
        <f t="shared" si="511"/>
        <v>0</v>
      </c>
      <c r="P214" s="275">
        <f t="shared" si="511"/>
        <v>0</v>
      </c>
      <c r="Q214" s="293">
        <f t="shared" si="511"/>
        <v>0</v>
      </c>
      <c r="R214" s="284">
        <f t="shared" si="511"/>
        <v>0</v>
      </c>
      <c r="S214" s="293">
        <f t="shared" ref="S214:X214" si="512">S215</f>
        <v>0</v>
      </c>
      <c r="T214" s="293">
        <f t="shared" si="512"/>
        <v>0</v>
      </c>
      <c r="U214" s="293">
        <f t="shared" si="512"/>
        <v>0</v>
      </c>
      <c r="V214" s="293">
        <f t="shared" si="512"/>
        <v>0</v>
      </c>
      <c r="W214" s="293">
        <f t="shared" si="512"/>
        <v>0</v>
      </c>
      <c r="X214" s="293">
        <f t="shared" si="512"/>
        <v>0</v>
      </c>
      <c r="Y214" s="284">
        <f t="shared" si="511"/>
        <v>0</v>
      </c>
      <c r="Z214" s="275">
        <f t="shared" ref="Z214:AE214" si="513">Z215</f>
        <v>0</v>
      </c>
      <c r="AA214" s="275">
        <f t="shared" si="513"/>
        <v>0</v>
      </c>
      <c r="AB214" s="275">
        <f t="shared" si="513"/>
        <v>0</v>
      </c>
      <c r="AC214" s="275">
        <f t="shared" si="513"/>
        <v>0</v>
      </c>
      <c r="AD214" s="275">
        <f t="shared" si="513"/>
        <v>0</v>
      </c>
      <c r="AE214" s="275">
        <f t="shared" si="513"/>
        <v>0</v>
      </c>
      <c r="AF214" s="284">
        <f>SUM(AF215:AF215)</f>
        <v>0</v>
      </c>
      <c r="AG214" s="282">
        <f t="shared" si="447"/>
        <v>0</v>
      </c>
      <c r="AH214" s="232">
        <f>AH215</f>
        <v>0</v>
      </c>
      <c r="AI214" s="232">
        <f>AI215</f>
        <v>0</v>
      </c>
      <c r="AJ214" s="232">
        <f>AJ215</f>
        <v>0</v>
      </c>
      <c r="AK214" s="260">
        <f>SUM(AK215:AK215)</f>
        <v>0</v>
      </c>
      <c r="AL214" s="232">
        <f t="shared" ref="AL214:BC214" si="514">AL215</f>
        <v>0</v>
      </c>
      <c r="AM214" s="232">
        <f t="shared" si="514"/>
        <v>0</v>
      </c>
      <c r="AN214" s="232">
        <f t="shared" si="514"/>
        <v>0</v>
      </c>
      <c r="AO214" s="260">
        <f t="shared" si="514"/>
        <v>0</v>
      </c>
      <c r="AP214" s="232">
        <f t="shared" si="514"/>
        <v>0</v>
      </c>
      <c r="AQ214" s="232">
        <f t="shared" si="514"/>
        <v>0</v>
      </c>
      <c r="AR214" s="232">
        <f t="shared" si="514"/>
        <v>0</v>
      </c>
      <c r="AS214" s="232">
        <f t="shared" si="514"/>
        <v>0</v>
      </c>
      <c r="AT214" s="232">
        <f t="shared" si="514"/>
        <v>0</v>
      </c>
      <c r="AU214" s="232">
        <f t="shared" si="514"/>
        <v>0</v>
      </c>
      <c r="AV214" s="260">
        <f t="shared" si="514"/>
        <v>0</v>
      </c>
      <c r="AW214" s="232">
        <f t="shared" si="514"/>
        <v>0</v>
      </c>
      <c r="AX214" s="232">
        <f t="shared" si="514"/>
        <v>0</v>
      </c>
      <c r="AY214" s="232">
        <f t="shared" si="514"/>
        <v>0</v>
      </c>
      <c r="AZ214" s="232">
        <f t="shared" si="514"/>
        <v>0</v>
      </c>
      <c r="BA214" s="232">
        <f t="shared" si="514"/>
        <v>0</v>
      </c>
      <c r="BB214" s="232">
        <f t="shared" si="514"/>
        <v>0</v>
      </c>
      <c r="BC214" s="260">
        <f t="shared" si="514"/>
        <v>0</v>
      </c>
      <c r="BD214" s="238">
        <f t="shared" si="373"/>
        <v>0</v>
      </c>
      <c r="BE214" s="13"/>
      <c r="BF214" s="243"/>
      <c r="BG214" s="243"/>
      <c r="BH214" s="243"/>
      <c r="BI214" s="243"/>
      <c r="BJ214" s="243"/>
      <c r="BK214" s="243"/>
      <c r="BL214" s="243"/>
      <c r="BM214" s="243"/>
      <c r="BN214" s="243"/>
      <c r="BO214" s="243"/>
      <c r="BP214" s="243"/>
      <c r="BQ214" s="243"/>
      <c r="BR214" s="243"/>
      <c r="BS214" s="243"/>
      <c r="BT214" s="243"/>
      <c r="BU214" s="243"/>
      <c r="BV214" s="243"/>
      <c r="BW214" s="243"/>
      <c r="BX214" s="243"/>
      <c r="BY214" s="243"/>
      <c r="BZ214" s="243"/>
      <c r="CA214" s="243"/>
      <c r="CB214" s="243"/>
      <c r="CC214" s="243"/>
      <c r="CD214" s="243"/>
      <c r="CE214" s="243"/>
      <c r="CF214" s="243"/>
      <c r="CG214" s="243"/>
      <c r="CH214" s="243"/>
      <c r="CI214" s="243"/>
      <c r="CJ214" s="243"/>
      <c r="CK214" s="243"/>
      <c r="CL214" s="243"/>
      <c r="CM214" s="243"/>
      <c r="CN214" s="243"/>
      <c r="CO214" s="243"/>
      <c r="CP214" s="243"/>
      <c r="CQ214" s="243"/>
      <c r="CR214" s="243"/>
      <c r="CS214" s="243"/>
      <c r="CT214" s="243"/>
      <c r="CU214" s="243"/>
      <c r="CV214" s="243"/>
      <c r="CW214" s="243"/>
      <c r="CX214" s="243"/>
      <c r="CY214" s="243"/>
      <c r="CZ214" s="243"/>
      <c r="DA214" s="243"/>
      <c r="DB214" s="243"/>
      <c r="DC214" s="243"/>
      <c r="DD214" s="243"/>
      <c r="DE214" s="243"/>
      <c r="DF214" s="243"/>
      <c r="DG214" s="243"/>
      <c r="DH214" s="243"/>
      <c r="DI214" s="243"/>
      <c r="DJ214" s="243"/>
      <c r="DK214" s="243"/>
      <c r="DL214" s="243"/>
      <c r="DM214" s="243"/>
      <c r="DN214" s="243"/>
      <c r="DO214" s="243"/>
      <c r="DP214" s="243"/>
      <c r="DQ214" s="243"/>
      <c r="DR214" s="243"/>
      <c r="DS214" s="243"/>
      <c r="DT214" s="243"/>
      <c r="DU214" s="243"/>
      <c r="DV214" s="243"/>
      <c r="DW214" s="243"/>
      <c r="DX214" s="243"/>
      <c r="DY214" s="243"/>
      <c r="DZ214" s="243"/>
      <c r="EA214" s="243"/>
      <c r="EB214" s="243"/>
      <c r="EC214" s="243"/>
      <c r="ED214" s="243"/>
      <c r="EE214" s="243"/>
      <c r="EF214" s="243"/>
      <c r="EG214" s="243"/>
      <c r="EH214" s="243"/>
      <c r="EI214" s="243"/>
      <c r="EJ214" s="243"/>
      <c r="EK214" s="243"/>
      <c r="EL214" s="243"/>
      <c r="EM214" s="243"/>
      <c r="EN214" s="243"/>
      <c r="EO214" s="243"/>
      <c r="EP214" s="243"/>
      <c r="EQ214" s="243"/>
      <c r="ER214" s="243"/>
      <c r="ES214" s="243"/>
      <c r="ET214" s="243"/>
      <c r="EU214" s="243"/>
      <c r="EV214" s="243"/>
      <c r="EW214" s="243"/>
      <c r="EX214" s="243"/>
      <c r="EY214" s="243"/>
      <c r="EZ214" s="243"/>
      <c r="FA214" s="243"/>
      <c r="FB214" s="243"/>
      <c r="FC214" s="243"/>
      <c r="FD214" s="243"/>
      <c r="FE214" s="243"/>
      <c r="FF214" s="243"/>
      <c r="FG214" s="243"/>
      <c r="FH214" s="243"/>
      <c r="FI214" s="243"/>
      <c r="FJ214" s="243"/>
      <c r="FK214" s="243"/>
      <c r="FL214" s="243"/>
      <c r="FM214" s="243"/>
      <c r="FN214" s="243"/>
      <c r="FO214" s="243"/>
      <c r="FP214" s="243"/>
      <c r="FQ214" s="243"/>
      <c r="FR214" s="243"/>
      <c r="FS214" s="243"/>
      <c r="FT214" s="243"/>
      <c r="FU214" s="243"/>
      <c r="FV214" s="243"/>
      <c r="FW214" s="243"/>
      <c r="FX214" s="243"/>
      <c r="FY214" s="243"/>
      <c r="FZ214" s="243"/>
      <c r="GA214" s="243"/>
      <c r="GB214" s="243"/>
      <c r="GC214" s="243"/>
      <c r="GD214" s="243"/>
      <c r="GE214" s="243"/>
      <c r="GF214" s="243"/>
      <c r="GG214" s="243"/>
      <c r="GH214" s="243"/>
      <c r="GI214" s="243"/>
      <c r="GJ214" s="243"/>
      <c r="GK214" s="243"/>
      <c r="GL214" s="243"/>
      <c r="GM214" s="243"/>
      <c r="GN214" s="243"/>
      <c r="GO214" s="243"/>
      <c r="GP214" s="243"/>
      <c r="GQ214" s="243"/>
      <c r="GR214" s="243"/>
      <c r="GS214" s="243"/>
      <c r="GT214" s="243"/>
    </row>
    <row r="215" spans="1:202" ht="12.75">
      <c r="A215" s="194"/>
      <c r="B215" s="84" t="s">
        <v>197</v>
      </c>
      <c r="C215" s="221"/>
      <c r="D215" s="85"/>
      <c r="E215" s="82"/>
      <c r="F215" s="82"/>
      <c r="G215" s="177"/>
      <c r="H215" s="82"/>
      <c r="I215" s="82"/>
      <c r="J215" s="210"/>
      <c r="K215" s="255"/>
      <c r="L215" s="255"/>
      <c r="M215" s="255"/>
      <c r="N215" s="287">
        <f>K215+L215+M215</f>
        <v>0</v>
      </c>
      <c r="O215" s="276"/>
      <c r="P215" s="276"/>
      <c r="Q215" s="294"/>
      <c r="R215" s="287">
        <f>O215+P215+Q215</f>
        <v>0</v>
      </c>
      <c r="S215" s="294"/>
      <c r="T215" s="267"/>
      <c r="U215" s="276"/>
      <c r="V215" s="276"/>
      <c r="W215" s="294"/>
      <c r="X215" s="264"/>
      <c r="Y215" s="142">
        <f>SUM(S215:X215)</f>
        <v>0</v>
      </c>
      <c r="Z215" s="276"/>
      <c r="AA215" s="276"/>
      <c r="AB215" s="276"/>
      <c r="AC215" s="276"/>
      <c r="AD215" s="276"/>
      <c r="AE215" s="276"/>
      <c r="AF215" s="287">
        <f>SUM(Z215:AE215)</f>
        <v>0</v>
      </c>
      <c r="AG215" s="283">
        <f t="shared" si="447"/>
        <v>0</v>
      </c>
      <c r="AH215" s="230">
        <f>K215*$G215</f>
        <v>0</v>
      </c>
      <c r="AI215" s="230">
        <f>L215*$G215</f>
        <v>0</v>
      </c>
      <c r="AJ215" s="230">
        <f>M215*$G215</f>
        <v>0</v>
      </c>
      <c r="AK215" s="261">
        <f>AH215+AI215+AJ215</f>
        <v>0</v>
      </c>
      <c r="AL215" s="230">
        <f>O215*$G215</f>
        <v>0</v>
      </c>
      <c r="AM215" s="230">
        <f>P215*$G215</f>
        <v>0</v>
      </c>
      <c r="AN215" s="230">
        <f>Q215*$G215</f>
        <v>0</v>
      </c>
      <c r="AO215" s="261">
        <f>SUM(AL215:AN215)</f>
        <v>0</v>
      </c>
      <c r="AP215" s="230">
        <f t="shared" ref="AP215:AU215" si="515">S215*$J215</f>
        <v>0</v>
      </c>
      <c r="AQ215" s="230">
        <f t="shared" si="515"/>
        <v>0</v>
      </c>
      <c r="AR215" s="230">
        <f t="shared" si="515"/>
        <v>0</v>
      </c>
      <c r="AS215" s="230">
        <f t="shared" si="515"/>
        <v>0</v>
      </c>
      <c r="AT215" s="230">
        <f t="shared" si="515"/>
        <v>0</v>
      </c>
      <c r="AU215" s="230">
        <f t="shared" si="515"/>
        <v>0</v>
      </c>
      <c r="AV215" s="261">
        <f>SUM(AP215:AU215)</f>
        <v>0</v>
      </c>
      <c r="AW215" s="230">
        <f t="shared" ref="AW215:BB215" si="516">Z215*$J215</f>
        <v>0</v>
      </c>
      <c r="AX215" s="230">
        <f t="shared" si="516"/>
        <v>0</v>
      </c>
      <c r="AY215" s="230">
        <f t="shared" si="516"/>
        <v>0</v>
      </c>
      <c r="AZ215" s="230">
        <f t="shared" si="516"/>
        <v>0</v>
      </c>
      <c r="BA215" s="230">
        <f t="shared" si="516"/>
        <v>0</v>
      </c>
      <c r="BB215" s="230">
        <f t="shared" si="516"/>
        <v>0</v>
      </c>
      <c r="BC215" s="261">
        <f>SUM(AW215:BB215)</f>
        <v>0</v>
      </c>
      <c r="BD215" s="239">
        <f t="shared" si="373"/>
        <v>0</v>
      </c>
      <c r="BE215" s="244"/>
    </row>
    <row r="216" spans="1:202" ht="18.75" customHeight="1">
      <c r="A216" s="195" t="s">
        <v>26</v>
      </c>
      <c r="B216" s="182" t="s">
        <v>309</v>
      </c>
      <c r="C216" s="221" t="s">
        <v>254</v>
      </c>
      <c r="D216" s="73">
        <v>2901294110</v>
      </c>
      <c r="E216" s="82"/>
      <c r="F216" s="82"/>
      <c r="G216" s="177"/>
      <c r="H216" s="82"/>
      <c r="I216" s="82"/>
      <c r="J216" s="210"/>
      <c r="K216" s="258">
        <f>SUM(K217:K229)</f>
        <v>7672.1459999999988</v>
      </c>
      <c r="L216" s="258">
        <f>SUM(L217:L229)</f>
        <v>6981.8499999999985</v>
      </c>
      <c r="M216" s="258">
        <f>SUM(M217:M229)</f>
        <v>0</v>
      </c>
      <c r="N216" s="284">
        <f>SUM(N217:N229)</f>
        <v>14653.995999999999</v>
      </c>
      <c r="O216" s="280">
        <f>SUM(O217:O226)</f>
        <v>0</v>
      </c>
      <c r="P216" s="280">
        <f>SUM(P217:P226)</f>
        <v>0</v>
      </c>
      <c r="Q216" s="280">
        <f>SUM(Q217:Q226)</f>
        <v>0</v>
      </c>
      <c r="R216" s="284">
        <f>O216+P216+Q216</f>
        <v>0</v>
      </c>
      <c r="S216" s="297">
        <f t="shared" ref="S216:X216" si="517">SUM(S217:S226)</f>
        <v>0</v>
      </c>
      <c r="T216" s="297">
        <f t="shared" si="517"/>
        <v>0</v>
      </c>
      <c r="U216" s="297">
        <f t="shared" si="517"/>
        <v>0</v>
      </c>
      <c r="V216" s="297">
        <f t="shared" si="517"/>
        <v>0</v>
      </c>
      <c r="W216" s="297">
        <f t="shared" si="517"/>
        <v>0</v>
      </c>
      <c r="X216" s="297">
        <f t="shared" si="517"/>
        <v>0</v>
      </c>
      <c r="Y216" s="262">
        <f>SUM(S216:X216)</f>
        <v>0</v>
      </c>
      <c r="Z216" s="280">
        <f t="shared" ref="Z216:AF216" si="518">SUM(Z217:Z226)</f>
        <v>0</v>
      </c>
      <c r="AA216" s="280">
        <f t="shared" si="518"/>
        <v>0</v>
      </c>
      <c r="AB216" s="280">
        <f t="shared" si="518"/>
        <v>0</v>
      </c>
      <c r="AC216" s="280">
        <f t="shared" si="518"/>
        <v>0</v>
      </c>
      <c r="AD216" s="280">
        <f t="shared" si="518"/>
        <v>0</v>
      </c>
      <c r="AE216" s="280">
        <f t="shared" si="518"/>
        <v>0</v>
      </c>
      <c r="AF216" s="284">
        <f t="shared" si="518"/>
        <v>0</v>
      </c>
      <c r="AG216" s="282">
        <f>SUM(AG217:AG229)</f>
        <v>14653.995999999999</v>
      </c>
      <c r="AH216" s="236">
        <f>SUM(AH217:AH229)</f>
        <v>33336657.988959998</v>
      </c>
      <c r="AI216" s="236">
        <f>SUM(AI217:AI229)</f>
        <v>30079442.250399999</v>
      </c>
      <c r="AJ216" s="236">
        <f>SUM(AJ217:AJ229)</f>
        <v>0</v>
      </c>
      <c r="AK216" s="260">
        <f>AH216+AI216+AJ216</f>
        <v>63416100.239359997</v>
      </c>
      <c r="AL216" s="236">
        <f>SUM(AL217:AL226)</f>
        <v>0</v>
      </c>
      <c r="AM216" s="236">
        <f>SUM(AM217:AM226)</f>
        <v>0</v>
      </c>
      <c r="AN216" s="236">
        <f>SUM(AN217:AN226)</f>
        <v>0</v>
      </c>
      <c r="AO216" s="260">
        <f>SUM(AL216:AN216)</f>
        <v>0</v>
      </c>
      <c r="AP216" s="236">
        <f t="shared" ref="AP216:AU216" si="519">SUM(AP217:AP226)</f>
        <v>0</v>
      </c>
      <c r="AQ216" s="236">
        <f t="shared" si="519"/>
        <v>0</v>
      </c>
      <c r="AR216" s="236">
        <f t="shared" si="519"/>
        <v>0</v>
      </c>
      <c r="AS216" s="236">
        <f t="shared" si="519"/>
        <v>0</v>
      </c>
      <c r="AT216" s="236">
        <f t="shared" si="519"/>
        <v>0</v>
      </c>
      <c r="AU216" s="236">
        <f t="shared" si="519"/>
        <v>0</v>
      </c>
      <c r="AV216" s="260">
        <f>SUM(AP216:AU216)</f>
        <v>0</v>
      </c>
      <c r="AW216" s="236">
        <f t="shared" ref="AW216:BB216" si="520">SUM(AW217:AW226)</f>
        <v>0</v>
      </c>
      <c r="AX216" s="236">
        <f t="shared" si="520"/>
        <v>0</v>
      </c>
      <c r="AY216" s="236">
        <f t="shared" si="520"/>
        <v>0</v>
      </c>
      <c r="AZ216" s="236">
        <f t="shared" si="520"/>
        <v>0</v>
      </c>
      <c r="BA216" s="236">
        <f t="shared" si="520"/>
        <v>0</v>
      </c>
      <c r="BB216" s="236">
        <f t="shared" si="520"/>
        <v>0</v>
      </c>
      <c r="BC216" s="260">
        <f>SUM(AW216:BB216)</f>
        <v>0</v>
      </c>
      <c r="BD216" s="238">
        <f t="shared" si="373"/>
        <v>63416100.239359997</v>
      </c>
      <c r="BE216" s="244"/>
    </row>
    <row r="217" spans="1:202" ht="12.75">
      <c r="A217" s="186"/>
      <c r="B217" s="173" t="s">
        <v>610</v>
      </c>
      <c r="C217" s="218"/>
      <c r="D217" s="141"/>
      <c r="E217" s="178">
        <v>9685.81</v>
      </c>
      <c r="F217" s="147">
        <v>1852.5</v>
      </c>
      <c r="G217" s="177">
        <f t="shared" si="458"/>
        <v>7833.3099999999995</v>
      </c>
      <c r="H217" s="178">
        <v>9685.81</v>
      </c>
      <c r="I217" s="147">
        <v>1852.5</v>
      </c>
      <c r="J217" s="177">
        <f t="shared" ref="J217:J232" si="521">H217-I217</f>
        <v>7833.3099999999995</v>
      </c>
      <c r="K217" s="253">
        <v>1895.048</v>
      </c>
      <c r="L217" s="253">
        <v>1565.989</v>
      </c>
      <c r="M217" s="253"/>
      <c r="N217" s="287">
        <f t="shared" ref="N217:N258" si="522">K217+L217+M217</f>
        <v>3461.0370000000003</v>
      </c>
      <c r="O217" s="274"/>
      <c r="P217" s="274"/>
      <c r="Q217" s="291"/>
      <c r="R217" s="287"/>
      <c r="S217" s="291"/>
      <c r="T217" s="274"/>
      <c r="U217" s="274"/>
      <c r="V217" s="274"/>
      <c r="W217" s="291"/>
      <c r="X217" s="274"/>
      <c r="Y217" s="287"/>
      <c r="Z217" s="274"/>
      <c r="AA217" s="274"/>
      <c r="AB217" s="274"/>
      <c r="AC217" s="274"/>
      <c r="AD217" s="274"/>
      <c r="AE217" s="274"/>
      <c r="AF217" s="287">
        <f t="shared" ref="AF217:AF226" si="523">SUM(Z217:AE217)</f>
        <v>0</v>
      </c>
      <c r="AG217" s="283">
        <f t="shared" ref="AG217:AG248" si="524">AF217+Y217+R217+N217</f>
        <v>3461.0370000000003</v>
      </c>
      <c r="AH217" s="229">
        <f t="shared" ref="AH217:AH227" si="525">K217*$G217</f>
        <v>14844498.448879998</v>
      </c>
      <c r="AI217" s="229">
        <f>L217*$G217</f>
        <v>12266877.29359</v>
      </c>
      <c r="AJ217" s="229">
        <f t="shared" ref="AJ217:AJ227" si="526">M217*$G217</f>
        <v>0</v>
      </c>
      <c r="AK217" s="261">
        <f>AH217+AI217+AJ217</f>
        <v>27111375.742469996</v>
      </c>
      <c r="AL217" s="229">
        <f t="shared" ref="AL217:AL227" si="527">O217*$G217</f>
        <v>0</v>
      </c>
      <c r="AM217" s="229">
        <f t="shared" ref="AM217:AM227" si="528">P217*$G217</f>
        <v>0</v>
      </c>
      <c r="AN217" s="229">
        <f t="shared" ref="AN217:AN227" si="529">Q217*$G217</f>
        <v>0</v>
      </c>
      <c r="AO217" s="261"/>
      <c r="AP217" s="229">
        <f t="shared" ref="AP217:AP226" si="530">S217*$J217</f>
        <v>0</v>
      </c>
      <c r="AQ217" s="229">
        <f t="shared" ref="AQ217:AQ226" si="531">T217*$J217</f>
        <v>0</v>
      </c>
      <c r="AR217" s="229">
        <f t="shared" ref="AR217:AR226" si="532">U217*$J217</f>
        <v>0</v>
      </c>
      <c r="AS217" s="229">
        <f t="shared" ref="AS217:AS226" si="533">V217*$J217</f>
        <v>0</v>
      </c>
      <c r="AT217" s="229">
        <f t="shared" ref="AT217:AT226" si="534">W217*$J217</f>
        <v>0</v>
      </c>
      <c r="AU217" s="229">
        <f t="shared" ref="AU217:AU226" si="535">X217*$J217</f>
        <v>0</v>
      </c>
      <c r="AV217" s="261"/>
      <c r="AW217" s="229">
        <f t="shared" ref="AW217:AW226" si="536">Z217*$J217</f>
        <v>0</v>
      </c>
      <c r="AX217" s="229">
        <f t="shared" ref="AX217:AX226" si="537">AA217*$J217</f>
        <v>0</v>
      </c>
      <c r="AY217" s="229">
        <f t="shared" ref="AY217:AY226" si="538">AB217*$J217</f>
        <v>0</v>
      </c>
      <c r="AZ217" s="229">
        <f t="shared" ref="AZ217:AZ226" si="539">AC217*$J217</f>
        <v>0</v>
      </c>
      <c r="BA217" s="229">
        <f t="shared" ref="BA217:BA226" si="540">AD217*$J217</f>
        <v>0</v>
      </c>
      <c r="BB217" s="229">
        <f t="shared" ref="BB217:BB226" si="541">AE217*$J217</f>
        <v>0</v>
      </c>
      <c r="BC217" s="261">
        <f t="shared" ref="BC217:BC226" si="542">SUM(AW217:BB217)</f>
        <v>0</v>
      </c>
      <c r="BD217" s="239">
        <f t="shared" si="373"/>
        <v>27111375.742469996</v>
      </c>
      <c r="BE217" s="243"/>
    </row>
    <row r="218" spans="1:202" ht="12.75">
      <c r="A218" s="186"/>
      <c r="B218" s="173" t="s">
        <v>384</v>
      </c>
      <c r="C218" s="218"/>
      <c r="D218" s="141"/>
      <c r="E218" s="178">
        <v>17198.34</v>
      </c>
      <c r="F218" s="147">
        <v>1852.5</v>
      </c>
      <c r="G218" s="177">
        <f t="shared" si="458"/>
        <v>15345.84</v>
      </c>
      <c r="H218" s="178">
        <v>17198.34</v>
      </c>
      <c r="I218" s="147">
        <v>1852.25</v>
      </c>
      <c r="J218" s="177">
        <f t="shared" si="521"/>
        <v>15346.09</v>
      </c>
      <c r="K218" s="253">
        <v>73.936999999999998</v>
      </c>
      <c r="L218" s="253">
        <v>74.62</v>
      </c>
      <c r="M218" s="253"/>
      <c r="N218" s="287">
        <f t="shared" si="522"/>
        <v>148.55700000000002</v>
      </c>
      <c r="O218" s="274"/>
      <c r="P218" s="274"/>
      <c r="Q218" s="291"/>
      <c r="R218" s="287"/>
      <c r="S218" s="291"/>
      <c r="T218" s="274"/>
      <c r="U218" s="274"/>
      <c r="V218" s="274"/>
      <c r="W218" s="291"/>
      <c r="X218" s="274"/>
      <c r="Y218" s="287"/>
      <c r="Z218" s="274"/>
      <c r="AA218" s="274"/>
      <c r="AB218" s="274"/>
      <c r="AC218" s="274"/>
      <c r="AD218" s="274"/>
      <c r="AE218" s="274"/>
      <c r="AF218" s="287">
        <f t="shared" si="523"/>
        <v>0</v>
      </c>
      <c r="AG218" s="283">
        <f t="shared" si="524"/>
        <v>148.55700000000002</v>
      </c>
      <c r="AH218" s="229">
        <f t="shared" si="525"/>
        <v>1134625.3720799999</v>
      </c>
      <c r="AI218" s="229">
        <f t="shared" ref="AI218:AI229" si="543">L218*$G218</f>
        <v>1145106.5808000001</v>
      </c>
      <c r="AJ218" s="229">
        <f t="shared" si="526"/>
        <v>0</v>
      </c>
      <c r="AK218" s="261">
        <f t="shared" ref="AK218:AK229" si="544">AH218+AI218+AJ218</f>
        <v>2279731.9528799998</v>
      </c>
      <c r="AL218" s="229">
        <f t="shared" si="527"/>
        <v>0</v>
      </c>
      <c r="AM218" s="229">
        <f t="shared" si="528"/>
        <v>0</v>
      </c>
      <c r="AN218" s="229">
        <f t="shared" si="529"/>
        <v>0</v>
      </c>
      <c r="AO218" s="261"/>
      <c r="AP218" s="229">
        <f t="shared" si="530"/>
        <v>0</v>
      </c>
      <c r="AQ218" s="229">
        <f t="shared" si="531"/>
        <v>0</v>
      </c>
      <c r="AR218" s="229">
        <f t="shared" si="532"/>
        <v>0</v>
      </c>
      <c r="AS218" s="229">
        <f t="shared" si="533"/>
        <v>0</v>
      </c>
      <c r="AT218" s="229">
        <f t="shared" si="534"/>
        <v>0</v>
      </c>
      <c r="AU218" s="229">
        <f t="shared" si="535"/>
        <v>0</v>
      </c>
      <c r="AV218" s="261"/>
      <c r="AW218" s="229">
        <f t="shared" si="536"/>
        <v>0</v>
      </c>
      <c r="AX218" s="229">
        <f t="shared" si="537"/>
        <v>0</v>
      </c>
      <c r="AY218" s="229">
        <f t="shared" si="538"/>
        <v>0</v>
      </c>
      <c r="AZ218" s="229">
        <f t="shared" si="539"/>
        <v>0</v>
      </c>
      <c r="BA218" s="229">
        <f t="shared" si="540"/>
        <v>0</v>
      </c>
      <c r="BB218" s="229">
        <f t="shared" si="541"/>
        <v>0</v>
      </c>
      <c r="BC218" s="261">
        <f t="shared" si="542"/>
        <v>0</v>
      </c>
      <c r="BD218" s="239">
        <f t="shared" si="373"/>
        <v>2279731.9528799998</v>
      </c>
      <c r="BE218" s="243"/>
    </row>
    <row r="219" spans="1:202" ht="12.75">
      <c r="A219" s="186"/>
      <c r="B219" s="173" t="s">
        <v>611</v>
      </c>
      <c r="C219" s="218"/>
      <c r="D219" s="141"/>
      <c r="E219" s="178">
        <v>8738.67</v>
      </c>
      <c r="F219" s="147">
        <v>1816.67</v>
      </c>
      <c r="G219" s="177">
        <f t="shared" si="458"/>
        <v>6922</v>
      </c>
      <c r="H219" s="178">
        <v>8738.67</v>
      </c>
      <c r="I219" s="147">
        <v>1816.67</v>
      </c>
      <c r="J219" s="177">
        <f t="shared" si="521"/>
        <v>6922</v>
      </c>
      <c r="K219" s="253">
        <v>1387.1120000000001</v>
      </c>
      <c r="L219" s="253">
        <v>1260.1199999999999</v>
      </c>
      <c r="M219" s="253"/>
      <c r="N219" s="287">
        <f t="shared" si="522"/>
        <v>2647.232</v>
      </c>
      <c r="O219" s="274"/>
      <c r="P219" s="274"/>
      <c r="Q219" s="291"/>
      <c r="R219" s="287"/>
      <c r="S219" s="291"/>
      <c r="T219" s="274"/>
      <c r="U219" s="274"/>
      <c r="V219" s="274"/>
      <c r="W219" s="291"/>
      <c r="X219" s="274"/>
      <c r="Y219" s="287"/>
      <c r="Z219" s="274"/>
      <c r="AA219" s="274"/>
      <c r="AB219" s="274"/>
      <c r="AC219" s="274"/>
      <c r="AD219" s="274"/>
      <c r="AE219" s="274"/>
      <c r="AF219" s="287">
        <f t="shared" si="523"/>
        <v>0</v>
      </c>
      <c r="AG219" s="283">
        <f t="shared" si="524"/>
        <v>2647.232</v>
      </c>
      <c r="AH219" s="229">
        <f t="shared" si="525"/>
        <v>9601589.2640000004</v>
      </c>
      <c r="AI219" s="229">
        <f t="shared" si="543"/>
        <v>8722550.6399999987</v>
      </c>
      <c r="AJ219" s="229">
        <f t="shared" si="526"/>
        <v>0</v>
      </c>
      <c r="AK219" s="261">
        <f t="shared" si="544"/>
        <v>18324139.903999999</v>
      </c>
      <c r="AL219" s="229">
        <f t="shared" si="527"/>
        <v>0</v>
      </c>
      <c r="AM219" s="229">
        <f t="shared" si="528"/>
        <v>0</v>
      </c>
      <c r="AN219" s="229">
        <f t="shared" si="529"/>
        <v>0</v>
      </c>
      <c r="AO219" s="261"/>
      <c r="AP219" s="229">
        <f t="shared" si="530"/>
        <v>0</v>
      </c>
      <c r="AQ219" s="229">
        <f t="shared" si="531"/>
        <v>0</v>
      </c>
      <c r="AR219" s="229">
        <f t="shared" si="532"/>
        <v>0</v>
      </c>
      <c r="AS219" s="229">
        <f t="shared" si="533"/>
        <v>0</v>
      </c>
      <c r="AT219" s="229">
        <f t="shared" si="534"/>
        <v>0</v>
      </c>
      <c r="AU219" s="229">
        <f t="shared" si="535"/>
        <v>0</v>
      </c>
      <c r="AV219" s="261"/>
      <c r="AW219" s="229">
        <f t="shared" si="536"/>
        <v>0</v>
      </c>
      <c r="AX219" s="229">
        <f t="shared" si="537"/>
        <v>0</v>
      </c>
      <c r="AY219" s="229">
        <f t="shared" si="538"/>
        <v>0</v>
      </c>
      <c r="AZ219" s="229">
        <f t="shared" si="539"/>
        <v>0</v>
      </c>
      <c r="BA219" s="229">
        <f t="shared" si="540"/>
        <v>0</v>
      </c>
      <c r="BB219" s="229">
        <f t="shared" si="541"/>
        <v>0</v>
      </c>
      <c r="BC219" s="261">
        <f t="shared" si="542"/>
        <v>0</v>
      </c>
      <c r="BD219" s="239">
        <f t="shared" si="373"/>
        <v>18324139.903999999</v>
      </c>
      <c r="BE219" s="243"/>
    </row>
    <row r="220" spans="1:202" ht="12.75">
      <c r="A220" s="186"/>
      <c r="B220" s="173" t="s">
        <v>290</v>
      </c>
      <c r="C220" s="218"/>
      <c r="D220" s="141"/>
      <c r="E220" s="178">
        <v>8738.67</v>
      </c>
      <c r="F220" s="147">
        <v>2200</v>
      </c>
      <c r="G220" s="177">
        <f t="shared" si="458"/>
        <v>6538.67</v>
      </c>
      <c r="H220" s="178">
        <v>8738.67</v>
      </c>
      <c r="I220" s="147">
        <v>2200</v>
      </c>
      <c r="J220" s="177">
        <f t="shared" si="521"/>
        <v>6538.67</v>
      </c>
      <c r="K220" s="253">
        <v>307.214</v>
      </c>
      <c r="L220" s="253">
        <v>288.44499999999999</v>
      </c>
      <c r="M220" s="253"/>
      <c r="N220" s="287">
        <f t="shared" si="522"/>
        <v>595.65899999999999</v>
      </c>
      <c r="O220" s="274"/>
      <c r="P220" s="274"/>
      <c r="Q220" s="291"/>
      <c r="R220" s="287"/>
      <c r="S220" s="291"/>
      <c r="T220" s="274"/>
      <c r="U220" s="274"/>
      <c r="V220" s="274"/>
      <c r="W220" s="291"/>
      <c r="X220" s="274"/>
      <c r="Y220" s="287"/>
      <c r="Z220" s="274"/>
      <c r="AA220" s="274"/>
      <c r="AB220" s="274"/>
      <c r="AC220" s="274"/>
      <c r="AD220" s="274"/>
      <c r="AE220" s="274"/>
      <c r="AF220" s="287">
        <f t="shared" si="523"/>
        <v>0</v>
      </c>
      <c r="AG220" s="283">
        <f t="shared" si="524"/>
        <v>595.65899999999999</v>
      </c>
      <c r="AH220" s="229">
        <f t="shared" si="525"/>
        <v>2008770.96538</v>
      </c>
      <c r="AI220" s="229">
        <f t="shared" si="543"/>
        <v>1886046.66815</v>
      </c>
      <c r="AJ220" s="229">
        <f t="shared" si="526"/>
        <v>0</v>
      </c>
      <c r="AK220" s="261">
        <f t="shared" si="544"/>
        <v>3894817.6335300002</v>
      </c>
      <c r="AL220" s="229">
        <f t="shared" si="527"/>
        <v>0</v>
      </c>
      <c r="AM220" s="229">
        <f t="shared" si="528"/>
        <v>0</v>
      </c>
      <c r="AN220" s="229">
        <f t="shared" si="529"/>
        <v>0</v>
      </c>
      <c r="AO220" s="261"/>
      <c r="AP220" s="229">
        <f t="shared" si="530"/>
        <v>0</v>
      </c>
      <c r="AQ220" s="229">
        <f t="shared" si="531"/>
        <v>0</v>
      </c>
      <c r="AR220" s="229">
        <f t="shared" si="532"/>
        <v>0</v>
      </c>
      <c r="AS220" s="229">
        <f t="shared" si="533"/>
        <v>0</v>
      </c>
      <c r="AT220" s="229">
        <f t="shared" si="534"/>
        <v>0</v>
      </c>
      <c r="AU220" s="229">
        <f t="shared" si="535"/>
        <v>0</v>
      </c>
      <c r="AV220" s="261"/>
      <c r="AW220" s="229">
        <f t="shared" si="536"/>
        <v>0</v>
      </c>
      <c r="AX220" s="229">
        <f t="shared" si="537"/>
        <v>0</v>
      </c>
      <c r="AY220" s="229">
        <f t="shared" si="538"/>
        <v>0</v>
      </c>
      <c r="AZ220" s="229">
        <f t="shared" si="539"/>
        <v>0</v>
      </c>
      <c r="BA220" s="229">
        <f t="shared" si="540"/>
        <v>0</v>
      </c>
      <c r="BB220" s="229">
        <f t="shared" si="541"/>
        <v>0</v>
      </c>
      <c r="BC220" s="261">
        <f t="shared" si="542"/>
        <v>0</v>
      </c>
      <c r="BD220" s="239">
        <f t="shared" si="373"/>
        <v>3894817.6335300002</v>
      </c>
      <c r="BE220" s="243"/>
    </row>
    <row r="221" spans="1:202" ht="12.75">
      <c r="A221" s="186"/>
      <c r="B221" s="173" t="s">
        <v>612</v>
      </c>
      <c r="C221" s="218"/>
      <c r="D221" s="141"/>
      <c r="E221" s="178">
        <v>8738.67</v>
      </c>
      <c r="F221" s="147">
        <v>1743.33</v>
      </c>
      <c r="G221" s="177">
        <f t="shared" si="458"/>
        <v>6995.34</v>
      </c>
      <c r="H221" s="178">
        <v>8738.67</v>
      </c>
      <c r="I221" s="147">
        <v>1743.33</v>
      </c>
      <c r="J221" s="177">
        <f t="shared" si="521"/>
        <v>6995.34</v>
      </c>
      <c r="K221" s="253">
        <v>109.642</v>
      </c>
      <c r="L221" s="253">
        <v>151.90899999999999</v>
      </c>
      <c r="M221" s="253"/>
      <c r="N221" s="287">
        <f t="shared" si="522"/>
        <v>261.55099999999999</v>
      </c>
      <c r="O221" s="274"/>
      <c r="P221" s="274"/>
      <c r="Q221" s="291"/>
      <c r="R221" s="287"/>
      <c r="S221" s="291"/>
      <c r="T221" s="274"/>
      <c r="U221" s="274"/>
      <c r="V221" s="274"/>
      <c r="W221" s="291"/>
      <c r="X221" s="274"/>
      <c r="Y221" s="287"/>
      <c r="Z221" s="274"/>
      <c r="AA221" s="274"/>
      <c r="AB221" s="274"/>
      <c r="AC221" s="274"/>
      <c r="AD221" s="274"/>
      <c r="AE221" s="274"/>
      <c r="AF221" s="287">
        <f t="shared" si="523"/>
        <v>0</v>
      </c>
      <c r="AG221" s="283">
        <f t="shared" si="524"/>
        <v>261.55099999999999</v>
      </c>
      <c r="AH221" s="229">
        <f t="shared" si="525"/>
        <v>766983.06828000001</v>
      </c>
      <c r="AI221" s="229">
        <f t="shared" si="543"/>
        <v>1062655.10406</v>
      </c>
      <c r="AJ221" s="229">
        <f t="shared" si="526"/>
        <v>0</v>
      </c>
      <c r="AK221" s="261">
        <f t="shared" si="544"/>
        <v>1829638.17234</v>
      </c>
      <c r="AL221" s="229">
        <f t="shared" si="527"/>
        <v>0</v>
      </c>
      <c r="AM221" s="229">
        <f t="shared" si="528"/>
        <v>0</v>
      </c>
      <c r="AN221" s="229">
        <f t="shared" si="529"/>
        <v>0</v>
      </c>
      <c r="AO221" s="261"/>
      <c r="AP221" s="229">
        <f t="shared" si="530"/>
        <v>0</v>
      </c>
      <c r="AQ221" s="229">
        <f t="shared" si="531"/>
        <v>0</v>
      </c>
      <c r="AR221" s="229">
        <f t="shared" si="532"/>
        <v>0</v>
      </c>
      <c r="AS221" s="229">
        <f t="shared" si="533"/>
        <v>0</v>
      </c>
      <c r="AT221" s="229">
        <f t="shared" si="534"/>
        <v>0</v>
      </c>
      <c r="AU221" s="229">
        <f t="shared" si="535"/>
        <v>0</v>
      </c>
      <c r="AV221" s="261"/>
      <c r="AW221" s="229">
        <f t="shared" si="536"/>
        <v>0</v>
      </c>
      <c r="AX221" s="229">
        <f t="shared" si="537"/>
        <v>0</v>
      </c>
      <c r="AY221" s="229">
        <f t="shared" si="538"/>
        <v>0</v>
      </c>
      <c r="AZ221" s="229">
        <f t="shared" si="539"/>
        <v>0</v>
      </c>
      <c r="BA221" s="229">
        <f t="shared" si="540"/>
        <v>0</v>
      </c>
      <c r="BB221" s="229">
        <f t="shared" si="541"/>
        <v>0</v>
      </c>
      <c r="BC221" s="261">
        <f t="shared" si="542"/>
        <v>0</v>
      </c>
      <c r="BD221" s="239">
        <f t="shared" ref="BD221:BD284" si="545">BC221+AV221+AO221+AK221</f>
        <v>1829638.17234</v>
      </c>
      <c r="BE221" s="243"/>
    </row>
    <row r="222" spans="1:202" ht="12.75">
      <c r="A222" s="186"/>
      <c r="B222" s="173" t="s">
        <v>613</v>
      </c>
      <c r="C222" s="218"/>
      <c r="D222" s="141"/>
      <c r="E222" s="178">
        <v>3379.24</v>
      </c>
      <c r="F222" s="147">
        <v>1816.67</v>
      </c>
      <c r="G222" s="177">
        <f t="shared" si="458"/>
        <v>1562.5699999999997</v>
      </c>
      <c r="H222" s="178">
        <v>3379.24</v>
      </c>
      <c r="I222" s="147">
        <v>1816.67</v>
      </c>
      <c r="J222" s="177">
        <f t="shared" si="521"/>
        <v>1562.5699999999997</v>
      </c>
      <c r="K222" s="253">
        <v>1528.797</v>
      </c>
      <c r="L222" s="253">
        <v>1600.0060000000001</v>
      </c>
      <c r="M222" s="253"/>
      <c r="N222" s="287">
        <f t="shared" si="522"/>
        <v>3128.8029999999999</v>
      </c>
      <c r="O222" s="274"/>
      <c r="P222" s="274"/>
      <c r="Q222" s="291"/>
      <c r="R222" s="287"/>
      <c r="S222" s="291"/>
      <c r="T222" s="274"/>
      <c r="U222" s="274"/>
      <c r="V222" s="274"/>
      <c r="W222" s="291"/>
      <c r="X222" s="274"/>
      <c r="Y222" s="287"/>
      <c r="Z222" s="274"/>
      <c r="AA222" s="274"/>
      <c r="AB222" s="274"/>
      <c r="AC222" s="274"/>
      <c r="AD222" s="274"/>
      <c r="AE222" s="274"/>
      <c r="AF222" s="287">
        <f t="shared" si="523"/>
        <v>0</v>
      </c>
      <c r="AG222" s="283">
        <f t="shared" si="524"/>
        <v>3128.8029999999999</v>
      </c>
      <c r="AH222" s="229">
        <f t="shared" si="525"/>
        <v>2388852.3282899996</v>
      </c>
      <c r="AI222" s="229">
        <f t="shared" si="543"/>
        <v>2500121.3754199995</v>
      </c>
      <c r="AJ222" s="229">
        <f t="shared" si="526"/>
        <v>0</v>
      </c>
      <c r="AK222" s="261">
        <f t="shared" si="544"/>
        <v>4888973.7037099991</v>
      </c>
      <c r="AL222" s="229">
        <f t="shared" si="527"/>
        <v>0</v>
      </c>
      <c r="AM222" s="229">
        <f t="shared" si="528"/>
        <v>0</v>
      </c>
      <c r="AN222" s="229">
        <f t="shared" si="529"/>
        <v>0</v>
      </c>
      <c r="AO222" s="261"/>
      <c r="AP222" s="229">
        <f t="shared" si="530"/>
        <v>0</v>
      </c>
      <c r="AQ222" s="229">
        <f t="shared" si="531"/>
        <v>0</v>
      </c>
      <c r="AR222" s="229">
        <f t="shared" si="532"/>
        <v>0</v>
      </c>
      <c r="AS222" s="229">
        <f t="shared" si="533"/>
        <v>0</v>
      </c>
      <c r="AT222" s="229">
        <f t="shared" si="534"/>
        <v>0</v>
      </c>
      <c r="AU222" s="229">
        <f t="shared" si="535"/>
        <v>0</v>
      </c>
      <c r="AV222" s="261"/>
      <c r="AW222" s="229">
        <f t="shared" si="536"/>
        <v>0</v>
      </c>
      <c r="AX222" s="229">
        <f t="shared" si="537"/>
        <v>0</v>
      </c>
      <c r="AY222" s="229">
        <f t="shared" si="538"/>
        <v>0</v>
      </c>
      <c r="AZ222" s="229">
        <f t="shared" si="539"/>
        <v>0</v>
      </c>
      <c r="BA222" s="229">
        <f t="shared" si="540"/>
        <v>0</v>
      </c>
      <c r="BB222" s="229">
        <f t="shared" si="541"/>
        <v>0</v>
      </c>
      <c r="BC222" s="261">
        <f t="shared" si="542"/>
        <v>0</v>
      </c>
      <c r="BD222" s="239">
        <f t="shared" si="545"/>
        <v>4888973.7037099991</v>
      </c>
      <c r="BE222" s="243"/>
    </row>
    <row r="223" spans="1:202" ht="12.75">
      <c r="A223" s="186"/>
      <c r="B223" s="173" t="s">
        <v>521</v>
      </c>
      <c r="C223" s="218"/>
      <c r="D223" s="141"/>
      <c r="E223" s="178">
        <v>3723.21</v>
      </c>
      <c r="F223" s="147">
        <v>1816.67</v>
      </c>
      <c r="G223" s="177">
        <f t="shared" si="458"/>
        <v>1906.54</v>
      </c>
      <c r="H223" s="178">
        <v>3723.21</v>
      </c>
      <c r="I223" s="147">
        <v>1816.67</v>
      </c>
      <c r="J223" s="177">
        <f t="shared" si="521"/>
        <v>1906.54</v>
      </c>
      <c r="K223" s="253">
        <v>190.99799999999999</v>
      </c>
      <c r="L223" s="253">
        <v>190.99799999999999</v>
      </c>
      <c r="M223" s="253"/>
      <c r="N223" s="287">
        <f t="shared" si="522"/>
        <v>381.99599999999998</v>
      </c>
      <c r="O223" s="274"/>
      <c r="P223" s="274"/>
      <c r="Q223" s="291"/>
      <c r="R223" s="287"/>
      <c r="S223" s="291"/>
      <c r="T223" s="274"/>
      <c r="U223" s="274"/>
      <c r="V223" s="274"/>
      <c r="W223" s="291"/>
      <c r="X223" s="274"/>
      <c r="Y223" s="287"/>
      <c r="Z223" s="274"/>
      <c r="AA223" s="274"/>
      <c r="AB223" s="274"/>
      <c r="AC223" s="274"/>
      <c r="AD223" s="274"/>
      <c r="AE223" s="274"/>
      <c r="AF223" s="287">
        <f t="shared" si="523"/>
        <v>0</v>
      </c>
      <c r="AG223" s="283">
        <f t="shared" si="524"/>
        <v>381.99599999999998</v>
      </c>
      <c r="AH223" s="229">
        <f t="shared" si="525"/>
        <v>364145.32691999996</v>
      </c>
      <c r="AI223" s="229">
        <f t="shared" si="543"/>
        <v>364145.32691999996</v>
      </c>
      <c r="AJ223" s="229">
        <f t="shared" si="526"/>
        <v>0</v>
      </c>
      <c r="AK223" s="261">
        <f t="shared" si="544"/>
        <v>728290.65383999993</v>
      </c>
      <c r="AL223" s="229">
        <f t="shared" si="527"/>
        <v>0</v>
      </c>
      <c r="AM223" s="229">
        <f t="shared" si="528"/>
        <v>0</v>
      </c>
      <c r="AN223" s="229">
        <f t="shared" si="529"/>
        <v>0</v>
      </c>
      <c r="AO223" s="261"/>
      <c r="AP223" s="229">
        <f t="shared" si="530"/>
        <v>0</v>
      </c>
      <c r="AQ223" s="229">
        <f t="shared" si="531"/>
        <v>0</v>
      </c>
      <c r="AR223" s="229">
        <f t="shared" si="532"/>
        <v>0</v>
      </c>
      <c r="AS223" s="229">
        <f t="shared" si="533"/>
        <v>0</v>
      </c>
      <c r="AT223" s="229">
        <f t="shared" si="534"/>
        <v>0</v>
      </c>
      <c r="AU223" s="229">
        <f t="shared" si="535"/>
        <v>0</v>
      </c>
      <c r="AV223" s="261"/>
      <c r="AW223" s="229">
        <f t="shared" si="536"/>
        <v>0</v>
      </c>
      <c r="AX223" s="229">
        <f t="shared" si="537"/>
        <v>0</v>
      </c>
      <c r="AY223" s="229">
        <f t="shared" si="538"/>
        <v>0</v>
      </c>
      <c r="AZ223" s="229">
        <f t="shared" si="539"/>
        <v>0</v>
      </c>
      <c r="BA223" s="229">
        <f t="shared" si="540"/>
        <v>0</v>
      </c>
      <c r="BB223" s="229">
        <f t="shared" si="541"/>
        <v>0</v>
      </c>
      <c r="BC223" s="261">
        <f t="shared" si="542"/>
        <v>0</v>
      </c>
      <c r="BD223" s="239">
        <f t="shared" si="545"/>
        <v>728290.65383999993</v>
      </c>
      <c r="BE223" s="243"/>
    </row>
    <row r="224" spans="1:202" ht="12.75">
      <c r="A224" s="186"/>
      <c r="B224" s="173" t="s">
        <v>522</v>
      </c>
      <c r="C224" s="218"/>
      <c r="D224" s="141"/>
      <c r="E224" s="178">
        <v>3723.21</v>
      </c>
      <c r="F224" s="147">
        <v>1689.17</v>
      </c>
      <c r="G224" s="177">
        <f t="shared" si="458"/>
        <v>2034.04</v>
      </c>
      <c r="H224" s="178">
        <v>3723.21</v>
      </c>
      <c r="I224" s="147">
        <v>1689.17</v>
      </c>
      <c r="J224" s="177">
        <f t="shared" si="521"/>
        <v>2034.04</v>
      </c>
      <c r="K224" s="253">
        <v>228.03899999999999</v>
      </c>
      <c r="L224" s="253">
        <v>228.03899999999999</v>
      </c>
      <c r="M224" s="253"/>
      <c r="N224" s="287">
        <f t="shared" si="522"/>
        <v>456.07799999999997</v>
      </c>
      <c r="O224" s="274"/>
      <c r="P224" s="274"/>
      <c r="Q224" s="291"/>
      <c r="R224" s="287"/>
      <c r="S224" s="291"/>
      <c r="T224" s="274"/>
      <c r="U224" s="274"/>
      <c r="V224" s="274"/>
      <c r="W224" s="291"/>
      <c r="X224" s="274"/>
      <c r="Y224" s="287"/>
      <c r="Z224" s="274"/>
      <c r="AA224" s="274"/>
      <c r="AB224" s="274"/>
      <c r="AC224" s="274"/>
      <c r="AD224" s="274"/>
      <c r="AE224" s="274"/>
      <c r="AF224" s="287">
        <f t="shared" si="523"/>
        <v>0</v>
      </c>
      <c r="AG224" s="283">
        <f t="shared" si="524"/>
        <v>456.07799999999997</v>
      </c>
      <c r="AH224" s="229">
        <f t="shared" si="525"/>
        <v>463840.44755999994</v>
      </c>
      <c r="AI224" s="229">
        <f t="shared" si="543"/>
        <v>463840.44755999994</v>
      </c>
      <c r="AJ224" s="229">
        <f t="shared" si="526"/>
        <v>0</v>
      </c>
      <c r="AK224" s="261">
        <f t="shared" si="544"/>
        <v>927680.89511999988</v>
      </c>
      <c r="AL224" s="229">
        <f t="shared" si="527"/>
        <v>0</v>
      </c>
      <c r="AM224" s="229">
        <f t="shared" si="528"/>
        <v>0</v>
      </c>
      <c r="AN224" s="229">
        <f t="shared" si="529"/>
        <v>0</v>
      </c>
      <c r="AO224" s="261"/>
      <c r="AP224" s="229">
        <f t="shared" si="530"/>
        <v>0</v>
      </c>
      <c r="AQ224" s="229">
        <f t="shared" si="531"/>
        <v>0</v>
      </c>
      <c r="AR224" s="229">
        <f t="shared" si="532"/>
        <v>0</v>
      </c>
      <c r="AS224" s="229">
        <f t="shared" si="533"/>
        <v>0</v>
      </c>
      <c r="AT224" s="229">
        <f t="shared" si="534"/>
        <v>0</v>
      </c>
      <c r="AU224" s="229">
        <f t="shared" si="535"/>
        <v>0</v>
      </c>
      <c r="AV224" s="261"/>
      <c r="AW224" s="229">
        <f t="shared" si="536"/>
        <v>0</v>
      </c>
      <c r="AX224" s="229">
        <f t="shared" si="537"/>
        <v>0</v>
      </c>
      <c r="AY224" s="229">
        <f t="shared" si="538"/>
        <v>0</v>
      </c>
      <c r="AZ224" s="229">
        <f t="shared" si="539"/>
        <v>0</v>
      </c>
      <c r="BA224" s="229">
        <f t="shared" si="540"/>
        <v>0</v>
      </c>
      <c r="BB224" s="229">
        <f t="shared" si="541"/>
        <v>0</v>
      </c>
      <c r="BC224" s="261">
        <f t="shared" si="542"/>
        <v>0</v>
      </c>
      <c r="BD224" s="239">
        <f t="shared" si="545"/>
        <v>927680.89511999988</v>
      </c>
      <c r="BE224" s="243"/>
    </row>
    <row r="225" spans="1:202" ht="12.75">
      <c r="A225" s="186"/>
      <c r="B225" s="173" t="s">
        <v>519</v>
      </c>
      <c r="C225" s="218"/>
      <c r="D225" s="141"/>
      <c r="E225" s="178">
        <v>1327.81</v>
      </c>
      <c r="F225" s="147">
        <v>1189.17</v>
      </c>
      <c r="G225" s="177">
        <f t="shared" si="458"/>
        <v>138.63999999999987</v>
      </c>
      <c r="H225" s="178">
        <v>1327.81</v>
      </c>
      <c r="I225" s="147">
        <v>1189.17</v>
      </c>
      <c r="J225" s="177">
        <f t="shared" si="521"/>
        <v>138.63999999999987</v>
      </c>
      <c r="K225" s="253">
        <v>1745.4010000000001</v>
      </c>
      <c r="L225" s="253">
        <v>1432.326</v>
      </c>
      <c r="M225" s="253"/>
      <c r="N225" s="287">
        <f t="shared" si="522"/>
        <v>3177.7269999999999</v>
      </c>
      <c r="O225" s="274"/>
      <c r="P225" s="274"/>
      <c r="Q225" s="291"/>
      <c r="R225" s="287"/>
      <c r="S225" s="291"/>
      <c r="T225" s="274"/>
      <c r="U225" s="274"/>
      <c r="V225" s="274"/>
      <c r="W225" s="291"/>
      <c r="X225" s="274"/>
      <c r="Y225" s="287"/>
      <c r="Z225" s="274"/>
      <c r="AA225" s="274"/>
      <c r="AB225" s="274"/>
      <c r="AC225" s="274"/>
      <c r="AD225" s="274"/>
      <c r="AE225" s="274"/>
      <c r="AF225" s="287">
        <f t="shared" si="523"/>
        <v>0</v>
      </c>
      <c r="AG225" s="283">
        <f t="shared" si="524"/>
        <v>3177.7269999999999</v>
      </c>
      <c r="AH225" s="229">
        <f t="shared" si="525"/>
        <v>241982.39463999978</v>
      </c>
      <c r="AI225" s="229">
        <f t="shared" si="543"/>
        <v>198577.67663999982</v>
      </c>
      <c r="AJ225" s="229">
        <f t="shared" si="526"/>
        <v>0</v>
      </c>
      <c r="AK225" s="261">
        <f t="shared" si="544"/>
        <v>440560.07127999957</v>
      </c>
      <c r="AL225" s="229">
        <f t="shared" si="527"/>
        <v>0</v>
      </c>
      <c r="AM225" s="229">
        <f t="shared" si="528"/>
        <v>0</v>
      </c>
      <c r="AN225" s="229">
        <f t="shared" si="529"/>
        <v>0</v>
      </c>
      <c r="AO225" s="261"/>
      <c r="AP225" s="229">
        <f t="shared" si="530"/>
        <v>0</v>
      </c>
      <c r="AQ225" s="229">
        <f t="shared" si="531"/>
        <v>0</v>
      </c>
      <c r="AR225" s="229">
        <f t="shared" si="532"/>
        <v>0</v>
      </c>
      <c r="AS225" s="229">
        <f t="shared" si="533"/>
        <v>0</v>
      </c>
      <c r="AT225" s="229">
        <f t="shared" si="534"/>
        <v>0</v>
      </c>
      <c r="AU225" s="229">
        <f t="shared" si="535"/>
        <v>0</v>
      </c>
      <c r="AV225" s="261"/>
      <c r="AW225" s="229">
        <f t="shared" si="536"/>
        <v>0</v>
      </c>
      <c r="AX225" s="229">
        <f t="shared" si="537"/>
        <v>0</v>
      </c>
      <c r="AY225" s="229">
        <f t="shared" si="538"/>
        <v>0</v>
      </c>
      <c r="AZ225" s="229">
        <f t="shared" si="539"/>
        <v>0</v>
      </c>
      <c r="BA225" s="229">
        <f t="shared" si="540"/>
        <v>0</v>
      </c>
      <c r="BB225" s="229">
        <f t="shared" si="541"/>
        <v>0</v>
      </c>
      <c r="BC225" s="261">
        <f t="shared" si="542"/>
        <v>0</v>
      </c>
      <c r="BD225" s="239">
        <f t="shared" si="545"/>
        <v>440560.07127999957</v>
      </c>
      <c r="BE225" s="243"/>
    </row>
    <row r="226" spans="1:202" ht="12.75">
      <c r="A226" s="186"/>
      <c r="B226" s="173" t="s">
        <v>520</v>
      </c>
      <c r="C226" s="218"/>
      <c r="D226" s="141"/>
      <c r="E226" s="178">
        <v>12675.23</v>
      </c>
      <c r="F226" s="147">
        <v>1570.83</v>
      </c>
      <c r="G226" s="177">
        <f t="shared" si="458"/>
        <v>11104.4</v>
      </c>
      <c r="H226" s="178">
        <v>12675.23</v>
      </c>
      <c r="I226" s="147">
        <v>1570.83</v>
      </c>
      <c r="J226" s="177">
        <f t="shared" si="521"/>
        <v>11104.4</v>
      </c>
      <c r="K226" s="253">
        <v>56.725999999999999</v>
      </c>
      <c r="L226" s="253">
        <v>66.811999999999998</v>
      </c>
      <c r="M226" s="253"/>
      <c r="N226" s="287">
        <f t="shared" si="522"/>
        <v>123.538</v>
      </c>
      <c r="O226" s="274"/>
      <c r="P226" s="274"/>
      <c r="Q226" s="291"/>
      <c r="R226" s="287"/>
      <c r="S226" s="291"/>
      <c r="T226" s="274"/>
      <c r="U226" s="274"/>
      <c r="V226" s="274"/>
      <c r="W226" s="291"/>
      <c r="X226" s="274"/>
      <c r="Y226" s="287"/>
      <c r="Z226" s="274"/>
      <c r="AA226" s="274"/>
      <c r="AB226" s="274"/>
      <c r="AC226" s="274"/>
      <c r="AD226" s="274"/>
      <c r="AE226" s="274"/>
      <c r="AF226" s="287">
        <f t="shared" si="523"/>
        <v>0</v>
      </c>
      <c r="AG226" s="283">
        <f t="shared" si="524"/>
        <v>123.538</v>
      </c>
      <c r="AH226" s="229">
        <f t="shared" si="525"/>
        <v>629908.19439999992</v>
      </c>
      <c r="AI226" s="229">
        <f t="shared" si="543"/>
        <v>741907.17279999994</v>
      </c>
      <c r="AJ226" s="229">
        <f t="shared" si="526"/>
        <v>0</v>
      </c>
      <c r="AK226" s="261">
        <f t="shared" si="544"/>
        <v>1371815.3671999997</v>
      </c>
      <c r="AL226" s="229">
        <f t="shared" si="527"/>
        <v>0</v>
      </c>
      <c r="AM226" s="229">
        <f t="shared" si="528"/>
        <v>0</v>
      </c>
      <c r="AN226" s="229">
        <f t="shared" si="529"/>
        <v>0</v>
      </c>
      <c r="AO226" s="261"/>
      <c r="AP226" s="229">
        <f t="shared" si="530"/>
        <v>0</v>
      </c>
      <c r="AQ226" s="229">
        <f t="shared" si="531"/>
        <v>0</v>
      </c>
      <c r="AR226" s="229">
        <f t="shared" si="532"/>
        <v>0</v>
      </c>
      <c r="AS226" s="229">
        <f t="shared" si="533"/>
        <v>0</v>
      </c>
      <c r="AT226" s="229">
        <f t="shared" si="534"/>
        <v>0</v>
      </c>
      <c r="AU226" s="229">
        <f t="shared" si="535"/>
        <v>0</v>
      </c>
      <c r="AV226" s="261"/>
      <c r="AW226" s="229">
        <f t="shared" si="536"/>
        <v>0</v>
      </c>
      <c r="AX226" s="229">
        <f t="shared" si="537"/>
        <v>0</v>
      </c>
      <c r="AY226" s="229">
        <f t="shared" si="538"/>
        <v>0</v>
      </c>
      <c r="AZ226" s="229">
        <f t="shared" si="539"/>
        <v>0</v>
      </c>
      <c r="BA226" s="229">
        <f t="shared" si="540"/>
        <v>0</v>
      </c>
      <c r="BB226" s="229">
        <f t="shared" si="541"/>
        <v>0</v>
      </c>
      <c r="BC226" s="261">
        <f t="shared" si="542"/>
        <v>0</v>
      </c>
      <c r="BD226" s="239">
        <f t="shared" si="545"/>
        <v>1371815.3671999997</v>
      </c>
      <c r="BE226" s="243"/>
    </row>
    <row r="227" spans="1:202" ht="12.75">
      <c r="A227" s="186"/>
      <c r="B227" s="173" t="s">
        <v>615</v>
      </c>
      <c r="C227" s="218"/>
      <c r="D227" s="141"/>
      <c r="E227" s="178">
        <v>8738.67</v>
      </c>
      <c r="F227" s="147">
        <v>1816.67</v>
      </c>
      <c r="G227" s="177">
        <f t="shared" si="458"/>
        <v>6922</v>
      </c>
      <c r="H227" s="178">
        <v>8738.67</v>
      </c>
      <c r="I227" s="147">
        <v>1816.67</v>
      </c>
      <c r="J227" s="177">
        <f t="shared" si="521"/>
        <v>6922</v>
      </c>
      <c r="K227" s="253">
        <v>92.643000000000001</v>
      </c>
      <c r="L227" s="253">
        <v>68.227999999999994</v>
      </c>
      <c r="M227" s="253"/>
      <c r="N227" s="287">
        <f t="shared" si="522"/>
        <v>160.87099999999998</v>
      </c>
      <c r="O227" s="274"/>
      <c r="P227" s="274"/>
      <c r="Q227" s="291"/>
      <c r="R227" s="287"/>
      <c r="S227" s="291"/>
      <c r="T227" s="274"/>
      <c r="U227" s="274"/>
      <c r="V227" s="274"/>
      <c r="W227" s="291"/>
      <c r="X227" s="274"/>
      <c r="Y227" s="287"/>
      <c r="Z227" s="274"/>
      <c r="AA227" s="274"/>
      <c r="AB227" s="274"/>
      <c r="AC227" s="274"/>
      <c r="AD227" s="274"/>
      <c r="AE227" s="274"/>
      <c r="AF227" s="287"/>
      <c r="AG227" s="283">
        <f t="shared" si="524"/>
        <v>160.87099999999998</v>
      </c>
      <c r="AH227" s="229">
        <f t="shared" si="525"/>
        <v>641274.84600000002</v>
      </c>
      <c r="AI227" s="229">
        <f t="shared" si="543"/>
        <v>472274.21599999996</v>
      </c>
      <c r="AJ227" s="229">
        <f t="shared" si="526"/>
        <v>0</v>
      </c>
      <c r="AK227" s="261">
        <f t="shared" si="544"/>
        <v>1113549.0619999999</v>
      </c>
      <c r="AL227" s="229">
        <f t="shared" si="527"/>
        <v>0</v>
      </c>
      <c r="AM227" s="229">
        <f t="shared" si="528"/>
        <v>0</v>
      </c>
      <c r="AN227" s="229">
        <f t="shared" si="529"/>
        <v>0</v>
      </c>
      <c r="AO227" s="261"/>
      <c r="AP227" s="229"/>
      <c r="AQ227" s="229"/>
      <c r="AR227" s="229"/>
      <c r="AS227" s="229"/>
      <c r="AT227" s="229"/>
      <c r="AU227" s="229"/>
      <c r="AV227" s="261"/>
      <c r="AW227" s="229"/>
      <c r="AX227" s="229"/>
      <c r="AY227" s="229"/>
      <c r="AZ227" s="229"/>
      <c r="BA227" s="229"/>
      <c r="BB227" s="229"/>
      <c r="BC227" s="261"/>
      <c r="BD227" s="239">
        <f t="shared" si="545"/>
        <v>1113549.0619999999</v>
      </c>
      <c r="BE227" s="243"/>
    </row>
    <row r="228" spans="1:202" ht="12.75">
      <c r="A228" s="186"/>
      <c r="B228" s="173" t="s">
        <v>614</v>
      </c>
      <c r="C228" s="218"/>
      <c r="D228" s="141"/>
      <c r="E228" s="178">
        <v>8738.67</v>
      </c>
      <c r="F228" s="147">
        <v>2200</v>
      </c>
      <c r="G228" s="177">
        <f>E228-F228</f>
        <v>6538.67</v>
      </c>
      <c r="H228" s="178">
        <v>8738.67</v>
      </c>
      <c r="I228" s="147">
        <v>2200</v>
      </c>
      <c r="J228" s="177">
        <f>H228-I228</f>
        <v>6538.67</v>
      </c>
      <c r="K228" s="253">
        <v>32.508000000000003</v>
      </c>
      <c r="L228" s="253">
        <v>34.244</v>
      </c>
      <c r="M228" s="253"/>
      <c r="N228" s="287">
        <f t="shared" si="522"/>
        <v>66.75200000000001</v>
      </c>
      <c r="O228" s="274"/>
      <c r="P228" s="274"/>
      <c r="Q228" s="291"/>
      <c r="R228" s="287"/>
      <c r="S228" s="291"/>
      <c r="T228" s="274"/>
      <c r="U228" s="274"/>
      <c r="V228" s="274"/>
      <c r="W228" s="291"/>
      <c r="X228" s="274"/>
      <c r="Y228" s="287"/>
      <c r="Z228" s="274"/>
      <c r="AA228" s="274"/>
      <c r="AB228" s="274"/>
      <c r="AC228" s="274"/>
      <c r="AD228" s="274"/>
      <c r="AE228" s="274"/>
      <c r="AF228" s="287"/>
      <c r="AG228" s="283">
        <f t="shared" si="524"/>
        <v>66.75200000000001</v>
      </c>
      <c r="AH228" s="229">
        <f>K228*$G228</f>
        <v>212559.08436000001</v>
      </c>
      <c r="AI228" s="229">
        <f t="shared" si="543"/>
        <v>223910.21548000001</v>
      </c>
      <c r="AJ228" s="229"/>
      <c r="AK228" s="261">
        <f t="shared" si="544"/>
        <v>436469.29983999999</v>
      </c>
      <c r="AL228" s="229"/>
      <c r="AM228" s="229"/>
      <c r="AN228" s="229"/>
      <c r="AO228" s="261"/>
      <c r="AP228" s="229"/>
      <c r="AQ228" s="229"/>
      <c r="AR228" s="229"/>
      <c r="AS228" s="229"/>
      <c r="AT228" s="229"/>
      <c r="AU228" s="229"/>
      <c r="AV228" s="261"/>
      <c r="AW228" s="229"/>
      <c r="AX228" s="229"/>
      <c r="AY228" s="229"/>
      <c r="AZ228" s="229"/>
      <c r="BA228" s="229"/>
      <c r="BB228" s="229"/>
      <c r="BC228" s="261"/>
      <c r="BD228" s="239">
        <f t="shared" si="545"/>
        <v>436469.29983999999</v>
      </c>
      <c r="BE228" s="243"/>
    </row>
    <row r="229" spans="1:202" ht="12.75">
      <c r="A229" s="186"/>
      <c r="B229" s="173" t="s">
        <v>613</v>
      </c>
      <c r="C229" s="218"/>
      <c r="D229" s="141"/>
      <c r="E229" s="178">
        <v>3379.24</v>
      </c>
      <c r="F229" s="147">
        <v>1816.67</v>
      </c>
      <c r="G229" s="177">
        <f>E229-F229</f>
        <v>1562.5699999999997</v>
      </c>
      <c r="H229" s="178">
        <v>3379.24</v>
      </c>
      <c r="I229" s="147">
        <v>1816.67</v>
      </c>
      <c r="J229" s="177">
        <f>H229-I229</f>
        <v>1562.5699999999997</v>
      </c>
      <c r="K229" s="253">
        <v>24.081</v>
      </c>
      <c r="L229" s="253">
        <v>20.114000000000001</v>
      </c>
      <c r="M229" s="253"/>
      <c r="N229" s="287">
        <f t="shared" si="522"/>
        <v>44.195</v>
      </c>
      <c r="O229" s="274"/>
      <c r="P229" s="274"/>
      <c r="Q229" s="291"/>
      <c r="R229" s="287"/>
      <c r="S229" s="291"/>
      <c r="T229" s="274"/>
      <c r="U229" s="274"/>
      <c r="V229" s="274"/>
      <c r="W229" s="291"/>
      <c r="X229" s="274"/>
      <c r="Y229" s="287"/>
      <c r="Z229" s="274"/>
      <c r="AA229" s="274"/>
      <c r="AB229" s="274"/>
      <c r="AC229" s="274"/>
      <c r="AD229" s="274"/>
      <c r="AE229" s="274"/>
      <c r="AF229" s="287"/>
      <c r="AG229" s="283">
        <f t="shared" si="524"/>
        <v>44.195</v>
      </c>
      <c r="AH229" s="229">
        <f>K229*$G229</f>
        <v>37628.248169999992</v>
      </c>
      <c r="AI229" s="229">
        <f t="shared" si="543"/>
        <v>31429.532979999996</v>
      </c>
      <c r="AJ229" s="229"/>
      <c r="AK229" s="261">
        <f t="shared" si="544"/>
        <v>69057.781149999995</v>
      </c>
      <c r="AL229" s="229"/>
      <c r="AM229" s="229"/>
      <c r="AN229" s="229"/>
      <c r="AO229" s="261"/>
      <c r="AP229" s="229"/>
      <c r="AQ229" s="229"/>
      <c r="AR229" s="229"/>
      <c r="AS229" s="229"/>
      <c r="AT229" s="229"/>
      <c r="AU229" s="229"/>
      <c r="AV229" s="261"/>
      <c r="AW229" s="229"/>
      <c r="AX229" s="229"/>
      <c r="AY229" s="229"/>
      <c r="AZ229" s="229"/>
      <c r="BA229" s="229"/>
      <c r="BB229" s="229"/>
      <c r="BC229" s="261"/>
      <c r="BD229" s="239">
        <f t="shared" si="545"/>
        <v>69057.781149999995</v>
      </c>
      <c r="BE229" s="243"/>
    </row>
    <row r="230" spans="1:202" ht="18.75" customHeight="1">
      <c r="A230" s="195" t="s">
        <v>26</v>
      </c>
      <c r="B230" s="182" t="s">
        <v>548</v>
      </c>
      <c r="C230" s="221"/>
      <c r="D230" s="73">
        <v>2918012540</v>
      </c>
      <c r="E230" s="82"/>
      <c r="F230" s="82"/>
      <c r="G230" s="177"/>
      <c r="H230" s="82"/>
      <c r="I230" s="82"/>
      <c r="J230" s="210"/>
      <c r="K230" s="258">
        <f>K231</f>
        <v>171.92599999999999</v>
      </c>
      <c r="L230" s="258">
        <f>L231</f>
        <v>171.92599999999999</v>
      </c>
      <c r="M230" s="258">
        <f>M231</f>
        <v>0</v>
      </c>
      <c r="N230" s="284">
        <f t="shared" si="522"/>
        <v>343.85199999999998</v>
      </c>
      <c r="O230" s="280">
        <f>O231</f>
        <v>0</v>
      </c>
      <c r="P230" s="280">
        <f>P231</f>
        <v>0</v>
      </c>
      <c r="Q230" s="280">
        <f>Q231</f>
        <v>0</v>
      </c>
      <c r="R230" s="284">
        <f>O230+P230+Q230</f>
        <v>0</v>
      </c>
      <c r="S230" s="297">
        <f t="shared" ref="S230:X230" si="546">S231</f>
        <v>0</v>
      </c>
      <c r="T230" s="297">
        <f t="shared" si="546"/>
        <v>0</v>
      </c>
      <c r="U230" s="297">
        <f t="shared" si="546"/>
        <v>0</v>
      </c>
      <c r="V230" s="297">
        <f t="shared" si="546"/>
        <v>0</v>
      </c>
      <c r="W230" s="297">
        <f t="shared" si="546"/>
        <v>0</v>
      </c>
      <c r="X230" s="297">
        <f t="shared" si="546"/>
        <v>0</v>
      </c>
      <c r="Y230" s="262">
        <f>SUM(S230:X230)</f>
        <v>0</v>
      </c>
      <c r="Z230" s="280">
        <f t="shared" ref="Z230:AE230" si="547">Z231</f>
        <v>0</v>
      </c>
      <c r="AA230" s="280">
        <f t="shared" si="547"/>
        <v>0</v>
      </c>
      <c r="AB230" s="280">
        <f t="shared" si="547"/>
        <v>0</v>
      </c>
      <c r="AC230" s="280">
        <f t="shared" si="547"/>
        <v>0</v>
      </c>
      <c r="AD230" s="280">
        <f t="shared" si="547"/>
        <v>0</v>
      </c>
      <c r="AE230" s="280">
        <f t="shared" si="547"/>
        <v>0</v>
      </c>
      <c r="AF230" s="284">
        <f t="shared" ref="AF230:AF251" si="548">SUM(Z230:AE230)</f>
        <v>0</v>
      </c>
      <c r="AG230" s="282">
        <f t="shared" si="524"/>
        <v>343.85199999999998</v>
      </c>
      <c r="AH230" s="236">
        <f>AH231</f>
        <v>1890395.1403999999</v>
      </c>
      <c r="AI230" s="236">
        <f>AI231</f>
        <v>1890395.1403999999</v>
      </c>
      <c r="AJ230" s="236">
        <f>AJ231</f>
        <v>0</v>
      </c>
      <c r="AK230" s="260">
        <f t="shared" ref="AK230:AK258" si="549">AH230+AI230+AJ230</f>
        <v>3780790.2807999998</v>
      </c>
      <c r="AL230" s="236">
        <f>AL231</f>
        <v>0</v>
      </c>
      <c r="AM230" s="236">
        <f>AM231</f>
        <v>0</v>
      </c>
      <c r="AN230" s="236">
        <f>AN231</f>
        <v>0</v>
      </c>
      <c r="AO230" s="260">
        <f>SUM(AL230:AN230)</f>
        <v>0</v>
      </c>
      <c r="AP230" s="236">
        <f t="shared" ref="AP230:AU230" si="550">AP231</f>
        <v>0</v>
      </c>
      <c r="AQ230" s="236">
        <f t="shared" si="550"/>
        <v>0</v>
      </c>
      <c r="AR230" s="236">
        <f t="shared" si="550"/>
        <v>0</v>
      </c>
      <c r="AS230" s="236">
        <f t="shared" si="550"/>
        <v>0</v>
      </c>
      <c r="AT230" s="236">
        <f t="shared" si="550"/>
        <v>0</v>
      </c>
      <c r="AU230" s="236">
        <f t="shared" si="550"/>
        <v>0</v>
      </c>
      <c r="AV230" s="260">
        <f>SUM(AP230:AU230)</f>
        <v>0</v>
      </c>
      <c r="AW230" s="236">
        <f t="shared" ref="AW230:BB230" si="551">AW231</f>
        <v>0</v>
      </c>
      <c r="AX230" s="236">
        <f t="shared" si="551"/>
        <v>0</v>
      </c>
      <c r="AY230" s="236">
        <f t="shared" si="551"/>
        <v>0</v>
      </c>
      <c r="AZ230" s="236">
        <f t="shared" si="551"/>
        <v>0</v>
      </c>
      <c r="BA230" s="236">
        <f t="shared" si="551"/>
        <v>0</v>
      </c>
      <c r="BB230" s="236">
        <f t="shared" si="551"/>
        <v>0</v>
      </c>
      <c r="BC230" s="260">
        <f t="shared" ref="BC230:BC251" si="552">SUM(AW230:BB230)</f>
        <v>0</v>
      </c>
      <c r="BD230" s="238">
        <f t="shared" si="545"/>
        <v>3780790.2807999998</v>
      </c>
      <c r="BE230" s="244"/>
    </row>
    <row r="231" spans="1:202" s="83" customFormat="1" ht="12.75">
      <c r="A231" s="191"/>
      <c r="B231" s="84"/>
      <c r="C231" s="216"/>
      <c r="D231" s="138"/>
      <c r="E231" s="147">
        <v>12349.9</v>
      </c>
      <c r="F231" s="147">
        <v>1354.5</v>
      </c>
      <c r="G231" s="177">
        <f t="shared" si="458"/>
        <v>10995.4</v>
      </c>
      <c r="H231" s="147">
        <v>12349.9</v>
      </c>
      <c r="I231" s="147">
        <v>1354.5</v>
      </c>
      <c r="J231" s="210">
        <f t="shared" si="521"/>
        <v>10995.4</v>
      </c>
      <c r="K231" s="252">
        <v>171.92599999999999</v>
      </c>
      <c r="L231" s="252">
        <v>171.92599999999999</v>
      </c>
      <c r="M231" s="252"/>
      <c r="N231" s="287">
        <f t="shared" si="522"/>
        <v>343.85199999999998</v>
      </c>
      <c r="O231" s="273"/>
      <c r="P231" s="273"/>
      <c r="Q231" s="290"/>
      <c r="R231" s="287"/>
      <c r="S231" s="290"/>
      <c r="T231" s="264"/>
      <c r="U231" s="273"/>
      <c r="V231" s="273"/>
      <c r="W231" s="290"/>
      <c r="X231" s="264"/>
      <c r="Y231" s="142"/>
      <c r="Z231" s="273"/>
      <c r="AA231" s="273"/>
      <c r="AB231" s="273"/>
      <c r="AC231" s="273"/>
      <c r="AD231" s="273"/>
      <c r="AE231" s="273"/>
      <c r="AF231" s="287">
        <f t="shared" si="548"/>
        <v>0</v>
      </c>
      <c r="AG231" s="283">
        <f t="shared" si="524"/>
        <v>343.85199999999998</v>
      </c>
      <c r="AH231" s="228">
        <f t="shared" ref="AH231:AJ232" si="553">K231*$G231</f>
        <v>1890395.1403999999</v>
      </c>
      <c r="AI231" s="228">
        <f t="shared" si="553"/>
        <v>1890395.1403999999</v>
      </c>
      <c r="AJ231" s="228">
        <f t="shared" si="553"/>
        <v>0</v>
      </c>
      <c r="AK231" s="261">
        <f t="shared" si="549"/>
        <v>3780790.2807999998</v>
      </c>
      <c r="AL231" s="228">
        <f t="shared" ref="AL231:AN232" si="554">O231*$G231</f>
        <v>0</v>
      </c>
      <c r="AM231" s="228">
        <f t="shared" si="554"/>
        <v>0</v>
      </c>
      <c r="AN231" s="228">
        <f t="shared" si="554"/>
        <v>0</v>
      </c>
      <c r="AO231" s="261"/>
      <c r="AP231" s="228">
        <f t="shared" ref="AP231:AU232" si="555">S231*$J231</f>
        <v>0</v>
      </c>
      <c r="AQ231" s="228">
        <f t="shared" si="555"/>
        <v>0</v>
      </c>
      <c r="AR231" s="228">
        <f t="shared" si="555"/>
        <v>0</v>
      </c>
      <c r="AS231" s="228">
        <f t="shared" si="555"/>
        <v>0</v>
      </c>
      <c r="AT231" s="228">
        <f t="shared" si="555"/>
        <v>0</v>
      </c>
      <c r="AU231" s="228">
        <f t="shared" si="555"/>
        <v>0</v>
      </c>
      <c r="AV231" s="261"/>
      <c r="AW231" s="228">
        <f t="shared" ref="AW231:BB232" si="556">Z231*$J231</f>
        <v>0</v>
      </c>
      <c r="AX231" s="228">
        <f t="shared" si="556"/>
        <v>0</v>
      </c>
      <c r="AY231" s="228">
        <f t="shared" si="556"/>
        <v>0</v>
      </c>
      <c r="AZ231" s="228">
        <f t="shared" si="556"/>
        <v>0</v>
      </c>
      <c r="BA231" s="228">
        <f t="shared" si="556"/>
        <v>0</v>
      </c>
      <c r="BB231" s="228">
        <f t="shared" si="556"/>
        <v>0</v>
      </c>
      <c r="BC231" s="261">
        <f t="shared" si="552"/>
        <v>0</v>
      </c>
      <c r="BD231" s="239">
        <f t="shared" si="545"/>
        <v>3780790.2807999998</v>
      </c>
      <c r="BE231" s="13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44"/>
      <c r="CC231" s="244"/>
      <c r="CD231" s="244"/>
      <c r="CE231" s="244"/>
      <c r="CF231" s="244"/>
      <c r="CG231" s="244"/>
      <c r="CH231" s="244"/>
      <c r="CI231" s="244"/>
      <c r="CJ231" s="244"/>
      <c r="CK231" s="244"/>
      <c r="CL231" s="244"/>
      <c r="CM231" s="244"/>
      <c r="CN231" s="244"/>
      <c r="CO231" s="244"/>
      <c r="CP231" s="244"/>
      <c r="CQ231" s="244"/>
      <c r="CR231" s="244"/>
      <c r="CS231" s="244"/>
      <c r="CT231" s="244"/>
      <c r="CU231" s="244"/>
      <c r="CV231" s="244"/>
      <c r="CW231" s="244"/>
      <c r="CX231" s="244"/>
      <c r="CY231" s="244"/>
      <c r="CZ231" s="244"/>
      <c r="DA231" s="244"/>
      <c r="DB231" s="244"/>
      <c r="DC231" s="244"/>
      <c r="DD231" s="244"/>
      <c r="DE231" s="244"/>
      <c r="DF231" s="244"/>
      <c r="DG231" s="244"/>
      <c r="DH231" s="244"/>
      <c r="DI231" s="244"/>
      <c r="DJ231" s="244"/>
      <c r="DK231" s="244"/>
      <c r="DL231" s="244"/>
      <c r="DM231" s="244"/>
      <c r="DN231" s="244"/>
      <c r="DO231" s="244"/>
      <c r="DP231" s="244"/>
      <c r="DQ231" s="244"/>
      <c r="DR231" s="244"/>
      <c r="DS231" s="244"/>
      <c r="DT231" s="244"/>
      <c r="DU231" s="244"/>
      <c r="DV231" s="244"/>
      <c r="DW231" s="244"/>
      <c r="DX231" s="244"/>
      <c r="DY231" s="244"/>
      <c r="DZ231" s="244"/>
      <c r="EA231" s="244"/>
      <c r="EB231" s="244"/>
      <c r="EC231" s="244"/>
      <c r="ED231" s="244"/>
      <c r="EE231" s="244"/>
      <c r="EF231" s="244"/>
      <c r="EG231" s="244"/>
      <c r="EH231" s="244"/>
      <c r="EI231" s="244"/>
      <c r="EJ231" s="244"/>
      <c r="EK231" s="244"/>
      <c r="EL231" s="244"/>
      <c r="EM231" s="244"/>
      <c r="EN231" s="244"/>
      <c r="EO231" s="244"/>
      <c r="EP231" s="244"/>
      <c r="EQ231" s="244"/>
      <c r="ER231" s="244"/>
      <c r="ES231" s="244"/>
      <c r="ET231" s="244"/>
      <c r="EU231" s="244"/>
      <c r="EV231" s="244"/>
      <c r="EW231" s="244"/>
      <c r="EX231" s="244"/>
      <c r="EY231" s="244"/>
      <c r="EZ231" s="244"/>
      <c r="FA231" s="244"/>
      <c r="FB231" s="244"/>
      <c r="FC231" s="244"/>
      <c r="FD231" s="244"/>
      <c r="FE231" s="244"/>
      <c r="FF231" s="244"/>
      <c r="FG231" s="244"/>
      <c r="FH231" s="244"/>
      <c r="FI231" s="244"/>
      <c r="FJ231" s="244"/>
      <c r="FK231" s="244"/>
      <c r="FL231" s="244"/>
      <c r="FM231" s="244"/>
      <c r="FN231" s="244"/>
      <c r="FO231" s="244"/>
      <c r="FP231" s="244"/>
      <c r="FQ231" s="244"/>
      <c r="FR231" s="244"/>
      <c r="FS231" s="244"/>
      <c r="FT231" s="244"/>
      <c r="FU231" s="244"/>
      <c r="FV231" s="244"/>
      <c r="FW231" s="244"/>
      <c r="FX231" s="244"/>
      <c r="FY231" s="244"/>
      <c r="FZ231" s="244"/>
      <c r="GA231" s="244"/>
      <c r="GB231" s="244"/>
      <c r="GC231" s="244"/>
      <c r="GD231" s="244"/>
      <c r="GE231" s="244"/>
      <c r="GF231" s="244"/>
      <c r="GG231" s="244"/>
      <c r="GH231" s="244"/>
      <c r="GI231" s="244"/>
      <c r="GJ231" s="244"/>
      <c r="GK231" s="244"/>
      <c r="GL231" s="244"/>
      <c r="GM231" s="244"/>
      <c r="GN231" s="244"/>
      <c r="GO231" s="244"/>
      <c r="GP231" s="244"/>
      <c r="GQ231" s="244"/>
      <c r="GR231" s="244"/>
      <c r="GS231" s="244"/>
      <c r="GT231" s="244"/>
    </row>
    <row r="232" spans="1:202" ht="12.75">
      <c r="A232" s="193" t="s">
        <v>26</v>
      </c>
      <c r="B232" s="182" t="s">
        <v>142</v>
      </c>
      <c r="C232" s="221" t="s">
        <v>233</v>
      </c>
      <c r="D232" s="73">
        <v>2908004701</v>
      </c>
      <c r="E232" s="82">
        <v>5584.22</v>
      </c>
      <c r="F232" s="82">
        <v>1524</v>
      </c>
      <c r="G232" s="177">
        <f>E232-F232</f>
        <v>4060.2200000000003</v>
      </c>
      <c r="H232" s="82"/>
      <c r="I232" s="82"/>
      <c r="J232" s="210">
        <f t="shared" si="521"/>
        <v>0</v>
      </c>
      <c r="K232" s="254"/>
      <c r="L232" s="254"/>
      <c r="M232" s="254"/>
      <c r="N232" s="284">
        <f t="shared" si="522"/>
        <v>0</v>
      </c>
      <c r="O232" s="275"/>
      <c r="P232" s="275"/>
      <c r="Q232" s="293"/>
      <c r="R232" s="284">
        <f>O232+P232+Q232</f>
        <v>0</v>
      </c>
      <c r="S232" s="293"/>
      <c r="T232" s="266"/>
      <c r="U232" s="275"/>
      <c r="V232" s="275"/>
      <c r="W232" s="293"/>
      <c r="X232" s="263"/>
      <c r="Y232" s="284">
        <f>SUM(S232:X232)</f>
        <v>0</v>
      </c>
      <c r="Z232" s="275"/>
      <c r="AA232" s="275"/>
      <c r="AB232" s="275"/>
      <c r="AC232" s="275"/>
      <c r="AD232" s="275"/>
      <c r="AE232" s="275"/>
      <c r="AF232" s="284">
        <f t="shared" si="548"/>
        <v>0</v>
      </c>
      <c r="AG232" s="282">
        <f t="shared" si="524"/>
        <v>0</v>
      </c>
      <c r="AH232" s="232">
        <f t="shared" si="553"/>
        <v>0</v>
      </c>
      <c r="AI232" s="232">
        <f t="shared" si="553"/>
        <v>0</v>
      </c>
      <c r="AJ232" s="232">
        <f t="shared" si="553"/>
        <v>0</v>
      </c>
      <c r="AK232" s="260">
        <f t="shared" si="549"/>
        <v>0</v>
      </c>
      <c r="AL232" s="232">
        <f t="shared" si="554"/>
        <v>0</v>
      </c>
      <c r="AM232" s="232">
        <f t="shared" si="554"/>
        <v>0</v>
      </c>
      <c r="AN232" s="232">
        <f t="shared" si="554"/>
        <v>0</v>
      </c>
      <c r="AO232" s="260">
        <f>SUM(AL232:AN232)</f>
        <v>0</v>
      </c>
      <c r="AP232" s="232">
        <f t="shared" si="555"/>
        <v>0</v>
      </c>
      <c r="AQ232" s="232">
        <f t="shared" si="555"/>
        <v>0</v>
      </c>
      <c r="AR232" s="232">
        <f t="shared" si="555"/>
        <v>0</v>
      </c>
      <c r="AS232" s="232">
        <f t="shared" si="555"/>
        <v>0</v>
      </c>
      <c r="AT232" s="232">
        <f t="shared" si="555"/>
        <v>0</v>
      </c>
      <c r="AU232" s="232">
        <f t="shared" si="555"/>
        <v>0</v>
      </c>
      <c r="AV232" s="260">
        <f t="shared" ref="AV232:AV238" si="557">SUM(AP232:AU232)</f>
        <v>0</v>
      </c>
      <c r="AW232" s="232">
        <f t="shared" si="556"/>
        <v>0</v>
      </c>
      <c r="AX232" s="232">
        <f t="shared" si="556"/>
        <v>0</v>
      </c>
      <c r="AY232" s="232">
        <f t="shared" si="556"/>
        <v>0</v>
      </c>
      <c r="AZ232" s="232">
        <f t="shared" si="556"/>
        <v>0</v>
      </c>
      <c r="BA232" s="232">
        <f t="shared" si="556"/>
        <v>0</v>
      </c>
      <c r="BB232" s="232">
        <f t="shared" si="556"/>
        <v>0</v>
      </c>
      <c r="BC232" s="260">
        <f t="shared" si="552"/>
        <v>0</v>
      </c>
      <c r="BD232" s="238">
        <f t="shared" si="545"/>
        <v>0</v>
      </c>
    </row>
    <row r="233" spans="1:202" ht="34.5" customHeight="1">
      <c r="A233" s="195" t="s">
        <v>26</v>
      </c>
      <c r="B233" s="182" t="s">
        <v>294</v>
      </c>
      <c r="C233" s="221" t="s">
        <v>453</v>
      </c>
      <c r="D233" s="73">
        <v>2901294127</v>
      </c>
      <c r="E233" s="82"/>
      <c r="F233" s="82"/>
      <c r="G233" s="177"/>
      <c r="H233" s="82"/>
      <c r="I233" s="82"/>
      <c r="J233" s="210"/>
      <c r="K233" s="254">
        <f>SUM(K234:K237)</f>
        <v>1946.4479999999999</v>
      </c>
      <c r="L233" s="254">
        <f>SUM(L234:L237)</f>
        <v>1643.473</v>
      </c>
      <c r="M233" s="254">
        <f>SUM(M234:M237)</f>
        <v>0</v>
      </c>
      <c r="N233" s="284">
        <f t="shared" si="522"/>
        <v>3589.9209999999998</v>
      </c>
      <c r="O233" s="275">
        <f>SUM(O234:O237)</f>
        <v>0</v>
      </c>
      <c r="P233" s="275">
        <f>SUM(P234:P237)</f>
        <v>0</v>
      </c>
      <c r="Q233" s="275">
        <f>SUM(Q234:Q237)</f>
        <v>0</v>
      </c>
      <c r="R233" s="284">
        <f>O233+P233+Q233</f>
        <v>0</v>
      </c>
      <c r="S233" s="275">
        <f t="shared" ref="S233:X233" si="558">SUM(S234:S237)</f>
        <v>0</v>
      </c>
      <c r="T233" s="275">
        <f t="shared" si="558"/>
        <v>0</v>
      </c>
      <c r="U233" s="275">
        <f t="shared" si="558"/>
        <v>0</v>
      </c>
      <c r="V233" s="275">
        <f t="shared" si="558"/>
        <v>0</v>
      </c>
      <c r="W233" s="275">
        <f t="shared" si="558"/>
        <v>0</v>
      </c>
      <c r="X233" s="275">
        <f t="shared" si="558"/>
        <v>0</v>
      </c>
      <c r="Y233" s="284">
        <f>SUM(S233:X233)</f>
        <v>0</v>
      </c>
      <c r="Z233" s="293">
        <f t="shared" ref="Z233:AE233" si="559">SUM(Z234:Z237)</f>
        <v>0</v>
      </c>
      <c r="AA233" s="293">
        <f t="shared" si="559"/>
        <v>0</v>
      </c>
      <c r="AB233" s="293">
        <f t="shared" si="559"/>
        <v>0</v>
      </c>
      <c r="AC233" s="293">
        <f t="shared" si="559"/>
        <v>0</v>
      </c>
      <c r="AD233" s="293">
        <f t="shared" si="559"/>
        <v>0</v>
      </c>
      <c r="AE233" s="293">
        <f t="shared" si="559"/>
        <v>0</v>
      </c>
      <c r="AF233" s="284">
        <f t="shared" si="548"/>
        <v>0</v>
      </c>
      <c r="AG233" s="282">
        <f t="shared" si="524"/>
        <v>3589.9209999999998</v>
      </c>
      <c r="AH233" s="236">
        <f>SUM(AH234:AH237)</f>
        <v>22380493.287589997</v>
      </c>
      <c r="AI233" s="236">
        <f>SUM(AI234:AI237)</f>
        <v>18871342.249400001</v>
      </c>
      <c r="AJ233" s="236">
        <f>SUM(AJ234:AJ237)</f>
        <v>0</v>
      </c>
      <c r="AK233" s="260">
        <f t="shared" si="549"/>
        <v>41251835.536990002</v>
      </c>
      <c r="AL233" s="232">
        <f>SUM(AL234:AL237)</f>
        <v>0</v>
      </c>
      <c r="AM233" s="232">
        <f>SUM(AM234:AM237)</f>
        <v>0</v>
      </c>
      <c r="AN233" s="232">
        <f>SUM(AN234:AN237)</f>
        <v>0</v>
      </c>
      <c r="AO233" s="260">
        <f>SUM(AL233:AN233)</f>
        <v>0</v>
      </c>
      <c r="AP233" s="236">
        <f t="shared" ref="AP233:AU233" si="560">SUM(AP234:AP237)</f>
        <v>0</v>
      </c>
      <c r="AQ233" s="236">
        <f t="shared" si="560"/>
        <v>0</v>
      </c>
      <c r="AR233" s="236">
        <f t="shared" si="560"/>
        <v>0</v>
      </c>
      <c r="AS233" s="236">
        <f t="shared" si="560"/>
        <v>0</v>
      </c>
      <c r="AT233" s="236">
        <f t="shared" si="560"/>
        <v>0</v>
      </c>
      <c r="AU233" s="236">
        <f t="shared" si="560"/>
        <v>0</v>
      </c>
      <c r="AV233" s="260">
        <f t="shared" si="557"/>
        <v>0</v>
      </c>
      <c r="AW233" s="236">
        <f t="shared" ref="AW233:BB233" si="561">SUM(AW234:AW237)</f>
        <v>0</v>
      </c>
      <c r="AX233" s="236">
        <f t="shared" si="561"/>
        <v>0</v>
      </c>
      <c r="AY233" s="236">
        <f t="shared" si="561"/>
        <v>0</v>
      </c>
      <c r="AZ233" s="236">
        <f t="shared" si="561"/>
        <v>0</v>
      </c>
      <c r="BA233" s="236">
        <f t="shared" si="561"/>
        <v>0</v>
      </c>
      <c r="BB233" s="236">
        <f t="shared" si="561"/>
        <v>0</v>
      </c>
      <c r="BC233" s="260">
        <f t="shared" si="552"/>
        <v>0</v>
      </c>
      <c r="BD233" s="238">
        <f t="shared" si="545"/>
        <v>41251835.536990002</v>
      </c>
      <c r="BE233" s="244"/>
    </row>
    <row r="234" spans="1:202" ht="24" customHeight="1">
      <c r="A234" s="195"/>
      <c r="B234" s="223" t="s">
        <v>564</v>
      </c>
      <c r="C234" s="223"/>
      <c r="D234" s="134"/>
      <c r="E234" s="211">
        <v>9984.43</v>
      </c>
      <c r="F234" s="211">
        <v>1460</v>
      </c>
      <c r="G234" s="177">
        <f>E234-F234</f>
        <v>8524.43</v>
      </c>
      <c r="H234" s="211">
        <v>9984.43</v>
      </c>
      <c r="I234" s="211">
        <v>1460</v>
      </c>
      <c r="J234" s="210">
        <f>H234-I234</f>
        <v>8524.43</v>
      </c>
      <c r="K234" s="252"/>
      <c r="L234" s="252"/>
      <c r="M234" s="252"/>
      <c r="N234" s="287">
        <f t="shared" si="522"/>
        <v>0</v>
      </c>
      <c r="O234" s="252"/>
      <c r="P234" s="252"/>
      <c r="Q234" s="252"/>
      <c r="R234" s="287"/>
      <c r="S234" s="290"/>
      <c r="T234" s="264"/>
      <c r="U234" s="273"/>
      <c r="V234" s="273"/>
      <c r="W234" s="252"/>
      <c r="X234" s="264"/>
      <c r="Y234" s="142"/>
      <c r="Z234" s="273"/>
      <c r="AA234" s="273"/>
      <c r="AB234" s="273"/>
      <c r="AC234" s="273"/>
      <c r="AD234" s="273"/>
      <c r="AE234" s="273"/>
      <c r="AF234" s="287">
        <f t="shared" si="548"/>
        <v>0</v>
      </c>
      <c r="AG234" s="283">
        <f t="shared" si="524"/>
        <v>0</v>
      </c>
      <c r="AH234" s="228">
        <f t="shared" ref="AH234:AJ237" si="562">K234*$G234</f>
        <v>0</v>
      </c>
      <c r="AI234" s="228">
        <f t="shared" si="562"/>
        <v>0</v>
      </c>
      <c r="AJ234" s="228">
        <f t="shared" si="562"/>
        <v>0</v>
      </c>
      <c r="AK234" s="261">
        <f t="shared" si="549"/>
        <v>0</v>
      </c>
      <c r="AL234" s="228">
        <f t="shared" ref="AL234:AN237" si="563">O234*$G234</f>
        <v>0</v>
      </c>
      <c r="AM234" s="228">
        <f t="shared" si="563"/>
        <v>0</v>
      </c>
      <c r="AN234" s="228">
        <f t="shared" si="563"/>
        <v>0</v>
      </c>
      <c r="AO234" s="261"/>
      <c r="AP234" s="228">
        <f t="shared" ref="AP234:AU237" si="564">S234*$J234</f>
        <v>0</v>
      </c>
      <c r="AQ234" s="228">
        <f t="shared" si="564"/>
        <v>0</v>
      </c>
      <c r="AR234" s="228">
        <f t="shared" si="564"/>
        <v>0</v>
      </c>
      <c r="AS234" s="228">
        <f t="shared" si="564"/>
        <v>0</v>
      </c>
      <c r="AT234" s="228">
        <f t="shared" si="564"/>
        <v>0</v>
      </c>
      <c r="AU234" s="228">
        <f t="shared" si="564"/>
        <v>0</v>
      </c>
      <c r="AV234" s="261"/>
      <c r="AW234" s="228">
        <f t="shared" ref="AW234:BB237" si="565">Z234*$J234</f>
        <v>0</v>
      </c>
      <c r="AX234" s="228">
        <f t="shared" si="565"/>
        <v>0</v>
      </c>
      <c r="AY234" s="228">
        <f t="shared" si="565"/>
        <v>0</v>
      </c>
      <c r="AZ234" s="228">
        <f t="shared" si="565"/>
        <v>0</v>
      </c>
      <c r="BA234" s="228">
        <f t="shared" si="565"/>
        <v>0</v>
      </c>
      <c r="BB234" s="228">
        <f t="shared" si="565"/>
        <v>0</v>
      </c>
      <c r="BC234" s="261">
        <f t="shared" si="552"/>
        <v>0</v>
      </c>
      <c r="BD234" s="239">
        <f t="shared" si="545"/>
        <v>0</v>
      </c>
      <c r="BE234" s="244"/>
    </row>
    <row r="235" spans="1:202" ht="24" customHeight="1">
      <c r="A235" s="195"/>
      <c r="B235" s="223" t="s">
        <v>523</v>
      </c>
      <c r="C235" s="223"/>
      <c r="D235" s="134"/>
      <c r="E235" s="211">
        <v>12115.07</v>
      </c>
      <c r="F235" s="211">
        <v>1596.67</v>
      </c>
      <c r="G235" s="177">
        <f t="shared" ref="G235:G246" si="566">E235-F235</f>
        <v>10518.4</v>
      </c>
      <c r="H235" s="211">
        <v>12115.07</v>
      </c>
      <c r="I235" s="211">
        <v>1596.67</v>
      </c>
      <c r="J235" s="210">
        <f>H235-I235</f>
        <v>10518.4</v>
      </c>
      <c r="K235" s="252">
        <v>212.61699999999999</v>
      </c>
      <c r="L235" s="252">
        <v>203.21700000000001</v>
      </c>
      <c r="M235" s="252"/>
      <c r="N235" s="287">
        <f t="shared" si="522"/>
        <v>415.834</v>
      </c>
      <c r="O235" s="252"/>
      <c r="P235" s="252"/>
      <c r="Q235" s="252"/>
      <c r="R235" s="287"/>
      <c r="S235" s="290"/>
      <c r="T235" s="264"/>
      <c r="U235" s="273"/>
      <c r="V235" s="273"/>
      <c r="W235" s="252"/>
      <c r="X235" s="264"/>
      <c r="Y235" s="142"/>
      <c r="Z235" s="273"/>
      <c r="AA235" s="273"/>
      <c r="AB235" s="273"/>
      <c r="AC235" s="273"/>
      <c r="AD235" s="273"/>
      <c r="AE235" s="273"/>
      <c r="AF235" s="287">
        <f t="shared" si="548"/>
        <v>0</v>
      </c>
      <c r="AG235" s="283">
        <f t="shared" si="524"/>
        <v>415.834</v>
      </c>
      <c r="AH235" s="228">
        <f t="shared" si="562"/>
        <v>2236390.6527999998</v>
      </c>
      <c r="AI235" s="228">
        <f t="shared" si="562"/>
        <v>2137517.6927999998</v>
      </c>
      <c r="AJ235" s="228">
        <f t="shared" si="562"/>
        <v>0</v>
      </c>
      <c r="AK235" s="261">
        <f t="shared" si="549"/>
        <v>4373908.3455999997</v>
      </c>
      <c r="AL235" s="228">
        <f t="shared" si="563"/>
        <v>0</v>
      </c>
      <c r="AM235" s="228">
        <f t="shared" si="563"/>
        <v>0</v>
      </c>
      <c r="AN235" s="228">
        <f t="shared" si="563"/>
        <v>0</v>
      </c>
      <c r="AO235" s="261"/>
      <c r="AP235" s="228">
        <f t="shared" si="564"/>
        <v>0</v>
      </c>
      <c r="AQ235" s="228">
        <f t="shared" si="564"/>
        <v>0</v>
      </c>
      <c r="AR235" s="228">
        <f t="shared" si="564"/>
        <v>0</v>
      </c>
      <c r="AS235" s="228">
        <f t="shared" si="564"/>
        <v>0</v>
      </c>
      <c r="AT235" s="228">
        <f t="shared" si="564"/>
        <v>0</v>
      </c>
      <c r="AU235" s="228">
        <f t="shared" si="564"/>
        <v>0</v>
      </c>
      <c r="AV235" s="261"/>
      <c r="AW235" s="228">
        <f t="shared" si="565"/>
        <v>0</v>
      </c>
      <c r="AX235" s="228">
        <f t="shared" si="565"/>
        <v>0</v>
      </c>
      <c r="AY235" s="228">
        <f t="shared" si="565"/>
        <v>0</v>
      </c>
      <c r="AZ235" s="228">
        <f t="shared" si="565"/>
        <v>0</v>
      </c>
      <c r="BA235" s="228">
        <f t="shared" si="565"/>
        <v>0</v>
      </c>
      <c r="BB235" s="228">
        <f t="shared" si="565"/>
        <v>0</v>
      </c>
      <c r="BC235" s="261">
        <f t="shared" si="552"/>
        <v>0</v>
      </c>
      <c r="BD235" s="239">
        <f t="shared" si="545"/>
        <v>4373908.3455999997</v>
      </c>
      <c r="BE235" s="244"/>
    </row>
    <row r="236" spans="1:202" ht="24" customHeight="1">
      <c r="A236" s="195"/>
      <c r="B236" s="223" t="s">
        <v>524</v>
      </c>
      <c r="C236" s="223"/>
      <c r="D236" s="134"/>
      <c r="E236" s="211">
        <v>9060.6</v>
      </c>
      <c r="F236" s="211">
        <v>1596.67</v>
      </c>
      <c r="G236" s="177">
        <f t="shared" si="566"/>
        <v>7463.93</v>
      </c>
      <c r="H236" s="211">
        <v>9060.6</v>
      </c>
      <c r="I236" s="211">
        <v>1596.67</v>
      </c>
      <c r="J236" s="210">
        <f>H236-I236</f>
        <v>7463.93</v>
      </c>
      <c r="K236" s="252">
        <v>11.125</v>
      </c>
      <c r="L236" s="252">
        <v>9.109</v>
      </c>
      <c r="M236" s="252"/>
      <c r="N236" s="287">
        <f t="shared" si="522"/>
        <v>20.234000000000002</v>
      </c>
      <c r="O236" s="252"/>
      <c r="P236" s="252"/>
      <c r="Q236" s="252"/>
      <c r="R236" s="287"/>
      <c r="S236" s="290"/>
      <c r="T236" s="264"/>
      <c r="U236" s="273"/>
      <c r="V236" s="273"/>
      <c r="W236" s="252"/>
      <c r="X236" s="264"/>
      <c r="Y236" s="142"/>
      <c r="Z236" s="273"/>
      <c r="AA236" s="273"/>
      <c r="AB236" s="273"/>
      <c r="AC236" s="273"/>
      <c r="AD236" s="273"/>
      <c r="AE236" s="273"/>
      <c r="AF236" s="287">
        <f t="shared" si="548"/>
        <v>0</v>
      </c>
      <c r="AG236" s="283">
        <f t="shared" si="524"/>
        <v>20.234000000000002</v>
      </c>
      <c r="AH236" s="228">
        <f t="shared" si="562"/>
        <v>83036.221250000002</v>
      </c>
      <c r="AI236" s="228">
        <f t="shared" si="562"/>
        <v>67988.938370000003</v>
      </c>
      <c r="AJ236" s="228">
        <f t="shared" si="562"/>
        <v>0</v>
      </c>
      <c r="AK236" s="261">
        <f t="shared" si="549"/>
        <v>151025.15961999999</v>
      </c>
      <c r="AL236" s="228">
        <f t="shared" si="563"/>
        <v>0</v>
      </c>
      <c r="AM236" s="228">
        <f t="shared" si="563"/>
        <v>0</v>
      </c>
      <c r="AN236" s="228">
        <f t="shared" si="563"/>
        <v>0</v>
      </c>
      <c r="AO236" s="261"/>
      <c r="AP236" s="228">
        <f t="shared" si="564"/>
        <v>0</v>
      </c>
      <c r="AQ236" s="228">
        <f t="shared" si="564"/>
        <v>0</v>
      </c>
      <c r="AR236" s="228">
        <f t="shared" si="564"/>
        <v>0</v>
      </c>
      <c r="AS236" s="228">
        <f t="shared" si="564"/>
        <v>0</v>
      </c>
      <c r="AT236" s="228">
        <f t="shared" si="564"/>
        <v>0</v>
      </c>
      <c r="AU236" s="228">
        <f t="shared" si="564"/>
        <v>0</v>
      </c>
      <c r="AV236" s="261"/>
      <c r="AW236" s="228">
        <f t="shared" si="565"/>
        <v>0</v>
      </c>
      <c r="AX236" s="228">
        <f t="shared" si="565"/>
        <v>0</v>
      </c>
      <c r="AY236" s="228">
        <f t="shared" si="565"/>
        <v>0</v>
      </c>
      <c r="AZ236" s="228">
        <f t="shared" si="565"/>
        <v>0</v>
      </c>
      <c r="BA236" s="228">
        <f t="shared" si="565"/>
        <v>0</v>
      </c>
      <c r="BB236" s="228">
        <f t="shared" si="565"/>
        <v>0</v>
      </c>
      <c r="BC236" s="261">
        <f t="shared" si="552"/>
        <v>0</v>
      </c>
      <c r="BD236" s="239">
        <f t="shared" si="545"/>
        <v>151025.15961999999</v>
      </c>
      <c r="BE236" s="244"/>
    </row>
    <row r="237" spans="1:202" ht="24" customHeight="1">
      <c r="A237" s="195"/>
      <c r="B237" s="223" t="s">
        <v>541</v>
      </c>
      <c r="C237" s="223"/>
      <c r="D237" s="134"/>
      <c r="E237" s="211">
        <v>13235.92</v>
      </c>
      <c r="F237" s="211">
        <v>1590.83</v>
      </c>
      <c r="G237" s="177">
        <f t="shared" si="566"/>
        <v>11645.09</v>
      </c>
      <c r="H237" s="211">
        <v>13235.92</v>
      </c>
      <c r="I237" s="211">
        <v>1590.83</v>
      </c>
      <c r="J237" s="210">
        <f>H237-I237</f>
        <v>11645.09</v>
      </c>
      <c r="K237" s="252">
        <v>1722.7059999999999</v>
      </c>
      <c r="L237" s="252">
        <v>1431.1469999999999</v>
      </c>
      <c r="M237" s="252"/>
      <c r="N237" s="287">
        <f t="shared" si="522"/>
        <v>3153.8530000000001</v>
      </c>
      <c r="O237" s="252"/>
      <c r="P237" s="252"/>
      <c r="Q237" s="252"/>
      <c r="R237" s="287"/>
      <c r="S237" s="290"/>
      <c r="T237" s="264"/>
      <c r="U237" s="273"/>
      <c r="V237" s="273"/>
      <c r="W237" s="252"/>
      <c r="X237" s="264"/>
      <c r="Y237" s="142"/>
      <c r="Z237" s="273"/>
      <c r="AA237" s="273"/>
      <c r="AB237" s="273"/>
      <c r="AC237" s="273"/>
      <c r="AD237" s="273"/>
      <c r="AE237" s="273"/>
      <c r="AF237" s="287">
        <f t="shared" si="548"/>
        <v>0</v>
      </c>
      <c r="AG237" s="283">
        <f t="shared" si="524"/>
        <v>3153.8530000000001</v>
      </c>
      <c r="AH237" s="228">
        <f t="shared" si="562"/>
        <v>20061066.413539998</v>
      </c>
      <c r="AI237" s="228">
        <f t="shared" si="562"/>
        <v>16665835.61823</v>
      </c>
      <c r="AJ237" s="228">
        <f t="shared" si="562"/>
        <v>0</v>
      </c>
      <c r="AK237" s="261">
        <f t="shared" si="549"/>
        <v>36726902.031769998</v>
      </c>
      <c r="AL237" s="228">
        <f t="shared" si="563"/>
        <v>0</v>
      </c>
      <c r="AM237" s="228">
        <f t="shared" si="563"/>
        <v>0</v>
      </c>
      <c r="AN237" s="228">
        <f t="shared" si="563"/>
        <v>0</v>
      </c>
      <c r="AO237" s="261"/>
      <c r="AP237" s="228">
        <f t="shared" si="564"/>
        <v>0</v>
      </c>
      <c r="AQ237" s="228">
        <f t="shared" si="564"/>
        <v>0</v>
      </c>
      <c r="AR237" s="228">
        <f t="shared" si="564"/>
        <v>0</v>
      </c>
      <c r="AS237" s="228">
        <f t="shared" si="564"/>
        <v>0</v>
      </c>
      <c r="AT237" s="228">
        <f t="shared" si="564"/>
        <v>0</v>
      </c>
      <c r="AU237" s="228">
        <f t="shared" si="564"/>
        <v>0</v>
      </c>
      <c r="AV237" s="261"/>
      <c r="AW237" s="228">
        <f t="shared" si="565"/>
        <v>0</v>
      </c>
      <c r="AX237" s="228">
        <f t="shared" si="565"/>
        <v>0</v>
      </c>
      <c r="AY237" s="228">
        <f t="shared" si="565"/>
        <v>0</v>
      </c>
      <c r="AZ237" s="228">
        <f t="shared" si="565"/>
        <v>0</v>
      </c>
      <c r="BA237" s="228">
        <f t="shared" si="565"/>
        <v>0</v>
      </c>
      <c r="BB237" s="228">
        <f t="shared" si="565"/>
        <v>0</v>
      </c>
      <c r="BC237" s="261">
        <f t="shared" si="552"/>
        <v>0</v>
      </c>
      <c r="BD237" s="239">
        <f t="shared" si="545"/>
        <v>36726902.031769998</v>
      </c>
      <c r="BE237" s="244"/>
    </row>
    <row r="238" spans="1:202" ht="23.25" customHeight="1">
      <c r="A238" s="195" t="s">
        <v>26</v>
      </c>
      <c r="B238" s="299" t="s">
        <v>393</v>
      </c>
      <c r="C238" s="223"/>
      <c r="D238" s="134">
        <v>2923007640</v>
      </c>
      <c r="E238" s="211"/>
      <c r="F238" s="211"/>
      <c r="G238" s="177"/>
      <c r="H238" s="211"/>
      <c r="I238" s="211"/>
      <c r="J238" s="210"/>
      <c r="K238" s="251">
        <f>K239</f>
        <v>233.55</v>
      </c>
      <c r="L238" s="251">
        <f>L239</f>
        <v>233.55</v>
      </c>
      <c r="M238" s="251">
        <f>M239</f>
        <v>0</v>
      </c>
      <c r="N238" s="284">
        <f t="shared" si="522"/>
        <v>467.1</v>
      </c>
      <c r="O238" s="272">
        <f>O239</f>
        <v>0</v>
      </c>
      <c r="P238" s="272">
        <f>P239</f>
        <v>0</v>
      </c>
      <c r="Q238" s="272">
        <f>Q239</f>
        <v>0</v>
      </c>
      <c r="R238" s="284">
        <f>O238+P238+Q238</f>
        <v>0</v>
      </c>
      <c r="S238" s="289">
        <f t="shared" ref="S238:X238" si="567">S239</f>
        <v>0</v>
      </c>
      <c r="T238" s="289">
        <f t="shared" si="567"/>
        <v>0</v>
      </c>
      <c r="U238" s="289">
        <f t="shared" si="567"/>
        <v>0</v>
      </c>
      <c r="V238" s="289">
        <f t="shared" si="567"/>
        <v>0</v>
      </c>
      <c r="W238" s="289">
        <f t="shared" si="567"/>
        <v>0</v>
      </c>
      <c r="X238" s="289">
        <f t="shared" si="567"/>
        <v>0</v>
      </c>
      <c r="Y238" s="284">
        <f>SUM(S238:X238)</f>
        <v>0</v>
      </c>
      <c r="Z238" s="272">
        <f t="shared" ref="Z238:AE238" si="568">Z239</f>
        <v>0</v>
      </c>
      <c r="AA238" s="272">
        <f t="shared" si="568"/>
        <v>0</v>
      </c>
      <c r="AB238" s="272">
        <f t="shared" si="568"/>
        <v>0</v>
      </c>
      <c r="AC238" s="272">
        <f t="shared" si="568"/>
        <v>0</v>
      </c>
      <c r="AD238" s="272">
        <f t="shared" si="568"/>
        <v>0</v>
      </c>
      <c r="AE238" s="272">
        <f t="shared" si="568"/>
        <v>0</v>
      </c>
      <c r="AF238" s="284">
        <f t="shared" si="548"/>
        <v>0</v>
      </c>
      <c r="AG238" s="282">
        <f t="shared" si="524"/>
        <v>467.1</v>
      </c>
      <c r="AH238" s="232">
        <f>AH239</f>
        <v>1478464.92</v>
      </c>
      <c r="AI238" s="232">
        <f>AI239</f>
        <v>1478464.92</v>
      </c>
      <c r="AJ238" s="232">
        <f>AJ239</f>
        <v>0</v>
      </c>
      <c r="AK238" s="260">
        <f t="shared" si="549"/>
        <v>2956929.84</v>
      </c>
      <c r="AL238" s="227">
        <f>AL239</f>
        <v>0</v>
      </c>
      <c r="AM238" s="227">
        <f>AM239</f>
        <v>0</v>
      </c>
      <c r="AN238" s="227">
        <f>AN239</f>
        <v>0</v>
      </c>
      <c r="AO238" s="260">
        <f>SUM(AL238:AN238)</f>
        <v>0</v>
      </c>
      <c r="AP238" s="227">
        <f t="shared" ref="AP238:AU238" si="569">AP239</f>
        <v>0</v>
      </c>
      <c r="AQ238" s="227">
        <f t="shared" si="569"/>
        <v>0</v>
      </c>
      <c r="AR238" s="227">
        <f t="shared" si="569"/>
        <v>0</v>
      </c>
      <c r="AS238" s="227">
        <f t="shared" si="569"/>
        <v>0</v>
      </c>
      <c r="AT238" s="227">
        <f t="shared" si="569"/>
        <v>0</v>
      </c>
      <c r="AU238" s="227">
        <f t="shared" si="569"/>
        <v>0</v>
      </c>
      <c r="AV238" s="260">
        <f t="shared" si="557"/>
        <v>0</v>
      </c>
      <c r="AW238" s="227">
        <f t="shared" ref="AW238:BB238" si="570">AW239</f>
        <v>0</v>
      </c>
      <c r="AX238" s="227">
        <f t="shared" si="570"/>
        <v>0</v>
      </c>
      <c r="AY238" s="227">
        <f t="shared" si="570"/>
        <v>0</v>
      </c>
      <c r="AZ238" s="227">
        <f t="shared" si="570"/>
        <v>0</v>
      </c>
      <c r="BA238" s="227">
        <f t="shared" si="570"/>
        <v>0</v>
      </c>
      <c r="BB238" s="227">
        <f t="shared" si="570"/>
        <v>0</v>
      </c>
      <c r="BC238" s="260">
        <f t="shared" si="552"/>
        <v>0</v>
      </c>
      <c r="BD238" s="238">
        <f t="shared" si="545"/>
        <v>2956929.84</v>
      </c>
      <c r="BE238" s="244"/>
    </row>
    <row r="239" spans="1:202" ht="23.25" customHeight="1">
      <c r="A239" s="195"/>
      <c r="B239" s="299"/>
      <c r="C239" s="223" t="s">
        <v>568</v>
      </c>
      <c r="D239" s="134"/>
      <c r="E239" s="211">
        <v>8030.4</v>
      </c>
      <c r="F239" s="211">
        <v>1700</v>
      </c>
      <c r="G239" s="177">
        <f t="shared" si="566"/>
        <v>6330.4</v>
      </c>
      <c r="H239" s="211">
        <v>8030.4</v>
      </c>
      <c r="I239" s="211">
        <v>1700</v>
      </c>
      <c r="J239" s="210">
        <f>H239-I239</f>
        <v>6330.4</v>
      </c>
      <c r="K239" s="251">
        <v>233.55</v>
      </c>
      <c r="L239" s="251">
        <v>233.55</v>
      </c>
      <c r="M239" s="251"/>
      <c r="N239" s="287">
        <f t="shared" si="522"/>
        <v>467.1</v>
      </c>
      <c r="O239" s="272"/>
      <c r="P239" s="272"/>
      <c r="Q239" s="289"/>
      <c r="R239" s="284"/>
      <c r="S239" s="289"/>
      <c r="T239" s="263"/>
      <c r="U239" s="272"/>
      <c r="V239" s="272"/>
      <c r="W239" s="289"/>
      <c r="X239" s="263"/>
      <c r="Y239" s="284"/>
      <c r="Z239" s="272"/>
      <c r="AA239" s="272"/>
      <c r="AB239" s="272"/>
      <c r="AC239" s="272"/>
      <c r="AD239" s="272"/>
      <c r="AE239" s="272"/>
      <c r="AF239" s="284">
        <f t="shared" si="548"/>
        <v>0</v>
      </c>
      <c r="AG239" s="283">
        <f t="shared" si="524"/>
        <v>467.1</v>
      </c>
      <c r="AH239" s="228">
        <f>K239*$G239</f>
        <v>1478464.92</v>
      </c>
      <c r="AI239" s="228">
        <f>L239*$G239</f>
        <v>1478464.92</v>
      </c>
      <c r="AJ239" s="232">
        <f>M239*$G239</f>
        <v>0</v>
      </c>
      <c r="AK239" s="261">
        <f t="shared" si="549"/>
        <v>2956929.84</v>
      </c>
      <c r="AL239" s="227">
        <f>O239*$G239</f>
        <v>0</v>
      </c>
      <c r="AM239" s="227">
        <f>P239*$G239</f>
        <v>0</v>
      </c>
      <c r="AN239" s="227">
        <f>Q239*$G239</f>
        <v>0</v>
      </c>
      <c r="AO239" s="260"/>
      <c r="AP239" s="227">
        <f t="shared" ref="AP239:AU239" si="571">S239*$J239</f>
        <v>0</v>
      </c>
      <c r="AQ239" s="227">
        <f t="shared" si="571"/>
        <v>0</v>
      </c>
      <c r="AR239" s="227">
        <f t="shared" si="571"/>
        <v>0</v>
      </c>
      <c r="AS239" s="227">
        <f t="shared" si="571"/>
        <v>0</v>
      </c>
      <c r="AT239" s="227">
        <f t="shared" si="571"/>
        <v>0</v>
      </c>
      <c r="AU239" s="227">
        <f t="shared" si="571"/>
        <v>0</v>
      </c>
      <c r="AV239" s="260"/>
      <c r="AW239" s="227">
        <f t="shared" ref="AW239:BB239" si="572">Z239*$J239</f>
        <v>0</v>
      </c>
      <c r="AX239" s="227">
        <f t="shared" si="572"/>
        <v>0</v>
      </c>
      <c r="AY239" s="227">
        <f t="shared" si="572"/>
        <v>0</v>
      </c>
      <c r="AZ239" s="227">
        <f t="shared" si="572"/>
        <v>0</v>
      </c>
      <c r="BA239" s="227">
        <f t="shared" si="572"/>
        <v>0</v>
      </c>
      <c r="BB239" s="227">
        <f t="shared" si="572"/>
        <v>0</v>
      </c>
      <c r="BC239" s="260">
        <f t="shared" si="552"/>
        <v>0</v>
      </c>
      <c r="BD239" s="239">
        <f t="shared" si="545"/>
        <v>2956929.84</v>
      </c>
      <c r="BE239" s="244"/>
    </row>
    <row r="240" spans="1:202" ht="15" customHeight="1">
      <c r="A240" s="195" t="s">
        <v>26</v>
      </c>
      <c r="B240" s="299" t="s">
        <v>359</v>
      </c>
      <c r="C240" s="223" t="s">
        <v>360</v>
      </c>
      <c r="D240" s="134"/>
      <c r="E240" s="82"/>
      <c r="F240" s="82"/>
      <c r="G240" s="177"/>
      <c r="H240" s="82"/>
      <c r="I240" s="82"/>
      <c r="J240" s="210"/>
      <c r="K240" s="254">
        <f>SUM(K241:K244)</f>
        <v>40993.89</v>
      </c>
      <c r="L240" s="254">
        <f>SUM(L241:L244)</f>
        <v>35174.15</v>
      </c>
      <c r="M240" s="254">
        <f>SUM(M241:M244)</f>
        <v>0</v>
      </c>
      <c r="N240" s="284">
        <f t="shared" si="522"/>
        <v>76168.040000000008</v>
      </c>
      <c r="O240" s="275">
        <f>SUM(O241:O242)</f>
        <v>0</v>
      </c>
      <c r="P240" s="275">
        <f>SUM(P241:P242)</f>
        <v>0</v>
      </c>
      <c r="Q240" s="275">
        <f>SUM(Q241:Q242)</f>
        <v>0</v>
      </c>
      <c r="R240" s="284">
        <f>O240+P240+Q240</f>
        <v>0</v>
      </c>
      <c r="S240" s="293">
        <f t="shared" ref="S240:X240" si="573">S241+S242</f>
        <v>0</v>
      </c>
      <c r="T240" s="293">
        <f t="shared" si="573"/>
        <v>0</v>
      </c>
      <c r="U240" s="293">
        <f t="shared" si="573"/>
        <v>0</v>
      </c>
      <c r="V240" s="293">
        <f t="shared" si="573"/>
        <v>0</v>
      </c>
      <c r="W240" s="293">
        <f t="shared" si="573"/>
        <v>0</v>
      </c>
      <c r="X240" s="293">
        <f t="shared" si="573"/>
        <v>0</v>
      </c>
      <c r="Y240" s="284">
        <f>SUM(S240:X240)</f>
        <v>0</v>
      </c>
      <c r="Z240" s="275">
        <f t="shared" ref="Z240:AE240" si="574">Z241+Z242</f>
        <v>0</v>
      </c>
      <c r="AA240" s="275">
        <f t="shared" si="574"/>
        <v>0</v>
      </c>
      <c r="AB240" s="275">
        <f t="shared" si="574"/>
        <v>0</v>
      </c>
      <c r="AC240" s="275">
        <f t="shared" si="574"/>
        <v>0</v>
      </c>
      <c r="AD240" s="275">
        <f t="shared" si="574"/>
        <v>0</v>
      </c>
      <c r="AE240" s="275">
        <f t="shared" si="574"/>
        <v>0</v>
      </c>
      <c r="AF240" s="284">
        <f t="shared" si="548"/>
        <v>0</v>
      </c>
      <c r="AG240" s="282">
        <f t="shared" si="524"/>
        <v>76168.040000000008</v>
      </c>
      <c r="AH240" s="236">
        <f>AH241+AH242+AH243+AH244</f>
        <v>7451483.5812000083</v>
      </c>
      <c r="AI240" s="236">
        <f>AI241+AI242+AI243+AI244</f>
        <v>6394929.5149000073</v>
      </c>
      <c r="AJ240" s="236">
        <f>AJ241+AJ242+AJ243+AJ244</f>
        <v>0</v>
      </c>
      <c r="AK240" s="260">
        <f t="shared" si="549"/>
        <v>13846413.096100016</v>
      </c>
      <c r="AL240" s="232">
        <f>AL241+AL242</f>
        <v>0</v>
      </c>
      <c r="AM240" s="232">
        <f>AM241+AM242</f>
        <v>0</v>
      </c>
      <c r="AN240" s="232">
        <f>AN241+AN242</f>
        <v>0</v>
      </c>
      <c r="AO240" s="260">
        <f>SUM(AL240:AN240)</f>
        <v>0</v>
      </c>
      <c r="AP240" s="236">
        <f t="shared" ref="AP240:AU240" si="575">AP241+AP242</f>
        <v>0</v>
      </c>
      <c r="AQ240" s="236">
        <f t="shared" si="575"/>
        <v>0</v>
      </c>
      <c r="AR240" s="236">
        <f t="shared" si="575"/>
        <v>0</v>
      </c>
      <c r="AS240" s="236">
        <f t="shared" si="575"/>
        <v>0</v>
      </c>
      <c r="AT240" s="236">
        <f t="shared" si="575"/>
        <v>0</v>
      </c>
      <c r="AU240" s="236">
        <f t="shared" si="575"/>
        <v>0</v>
      </c>
      <c r="AV240" s="260">
        <f>SUM(AP240:AU240)</f>
        <v>0</v>
      </c>
      <c r="AW240" s="236">
        <f t="shared" ref="AW240:BB240" si="576">AW241+AW242</f>
        <v>0</v>
      </c>
      <c r="AX240" s="236">
        <f t="shared" si="576"/>
        <v>0</v>
      </c>
      <c r="AY240" s="236">
        <f t="shared" si="576"/>
        <v>0</v>
      </c>
      <c r="AZ240" s="236">
        <f t="shared" si="576"/>
        <v>0</v>
      </c>
      <c r="BA240" s="236">
        <f t="shared" si="576"/>
        <v>0</v>
      </c>
      <c r="BB240" s="236">
        <f t="shared" si="576"/>
        <v>0</v>
      </c>
      <c r="BC240" s="260">
        <f t="shared" si="552"/>
        <v>0</v>
      </c>
      <c r="BD240" s="238">
        <f t="shared" si="545"/>
        <v>13846413.096100016</v>
      </c>
      <c r="BE240" s="244"/>
    </row>
    <row r="241" spans="1:202" ht="18" customHeight="1">
      <c r="A241" s="195"/>
      <c r="B241" s="223" t="s">
        <v>511</v>
      </c>
      <c r="C241" s="223"/>
      <c r="D241" s="134"/>
      <c r="E241" s="211">
        <v>2240.2800000000002</v>
      </c>
      <c r="F241" s="211">
        <v>2000</v>
      </c>
      <c r="G241" s="177">
        <f t="shared" si="566"/>
        <v>240.2800000000002</v>
      </c>
      <c r="H241" s="211">
        <v>2240.2800000000002</v>
      </c>
      <c r="I241" s="211">
        <v>2000</v>
      </c>
      <c r="J241" s="210">
        <f>H241-I241</f>
        <v>240.2800000000002</v>
      </c>
      <c r="K241" s="252">
        <v>7465.51</v>
      </c>
      <c r="L241" s="252">
        <v>6354.96</v>
      </c>
      <c r="M241" s="252"/>
      <c r="N241" s="287">
        <f t="shared" si="522"/>
        <v>13820.470000000001</v>
      </c>
      <c r="O241" s="252"/>
      <c r="P241" s="252"/>
      <c r="Q241" s="252"/>
      <c r="R241" s="287"/>
      <c r="S241" s="290"/>
      <c r="T241" s="273"/>
      <c r="U241" s="273"/>
      <c r="V241" s="273"/>
      <c r="W241" s="252"/>
      <c r="X241" s="273"/>
      <c r="Y241" s="142"/>
      <c r="Z241" s="273"/>
      <c r="AA241" s="273"/>
      <c r="AB241" s="273"/>
      <c r="AC241" s="273"/>
      <c r="AD241" s="273"/>
      <c r="AE241" s="273"/>
      <c r="AF241" s="287">
        <f t="shared" si="548"/>
        <v>0</v>
      </c>
      <c r="AG241" s="283">
        <f t="shared" si="524"/>
        <v>13820.470000000001</v>
      </c>
      <c r="AH241" s="228">
        <f t="shared" ref="AH241:AJ244" si="577">K241*$G241</f>
        <v>1793812.7428000015</v>
      </c>
      <c r="AI241" s="228">
        <f t="shared" si="577"/>
        <v>1526969.7888000014</v>
      </c>
      <c r="AJ241" s="228">
        <f t="shared" si="577"/>
        <v>0</v>
      </c>
      <c r="AK241" s="261">
        <f t="shared" si="549"/>
        <v>3320782.5316000031</v>
      </c>
      <c r="AL241" s="228">
        <f t="shared" ref="AL241:AN244" si="578">O241*$G241</f>
        <v>0</v>
      </c>
      <c r="AM241" s="228">
        <f t="shared" si="578"/>
        <v>0</v>
      </c>
      <c r="AN241" s="228">
        <f t="shared" si="578"/>
        <v>0</v>
      </c>
      <c r="AO241" s="261"/>
      <c r="AP241" s="228">
        <f t="shared" ref="AP241:AU244" si="579">S241*$J241</f>
        <v>0</v>
      </c>
      <c r="AQ241" s="228">
        <f t="shared" si="579"/>
        <v>0</v>
      </c>
      <c r="AR241" s="228">
        <f t="shared" si="579"/>
        <v>0</v>
      </c>
      <c r="AS241" s="228">
        <f t="shared" si="579"/>
        <v>0</v>
      </c>
      <c r="AT241" s="228">
        <f t="shared" si="579"/>
        <v>0</v>
      </c>
      <c r="AU241" s="228">
        <f t="shared" si="579"/>
        <v>0</v>
      </c>
      <c r="AV241" s="261"/>
      <c r="AW241" s="228">
        <f t="shared" ref="AW241:BB244" si="580">Z241*$J241</f>
        <v>0</v>
      </c>
      <c r="AX241" s="228">
        <f t="shared" si="580"/>
        <v>0</v>
      </c>
      <c r="AY241" s="228">
        <f t="shared" si="580"/>
        <v>0</v>
      </c>
      <c r="AZ241" s="228">
        <f t="shared" si="580"/>
        <v>0</v>
      </c>
      <c r="BA241" s="228">
        <f t="shared" si="580"/>
        <v>0</v>
      </c>
      <c r="BB241" s="228">
        <f t="shared" si="580"/>
        <v>0</v>
      </c>
      <c r="BC241" s="261">
        <f t="shared" si="552"/>
        <v>0</v>
      </c>
      <c r="BD241" s="239">
        <f t="shared" si="545"/>
        <v>3320782.5316000031</v>
      </c>
      <c r="BE241" s="244"/>
    </row>
    <row r="242" spans="1:202" ht="18" customHeight="1">
      <c r="A242" s="195"/>
      <c r="B242" s="223" t="s">
        <v>512</v>
      </c>
      <c r="C242" s="223"/>
      <c r="D242" s="134"/>
      <c r="E242" s="211">
        <v>2167.5100000000002</v>
      </c>
      <c r="F242" s="211">
        <v>2000</v>
      </c>
      <c r="G242" s="177">
        <f t="shared" si="566"/>
        <v>167.51000000000022</v>
      </c>
      <c r="H242" s="211">
        <v>2167.5100000000002</v>
      </c>
      <c r="I242" s="211">
        <v>2000</v>
      </c>
      <c r="J242" s="210">
        <f>H242-I242</f>
        <v>167.51000000000022</v>
      </c>
      <c r="K242" s="252">
        <v>30601.05</v>
      </c>
      <c r="L242" s="252">
        <v>26050.26</v>
      </c>
      <c r="M242" s="252"/>
      <c r="N242" s="287">
        <f t="shared" si="522"/>
        <v>56651.31</v>
      </c>
      <c r="O242" s="252"/>
      <c r="P242" s="252"/>
      <c r="Q242" s="252"/>
      <c r="R242" s="287"/>
      <c r="S242" s="290"/>
      <c r="T242" s="273"/>
      <c r="U242" s="273"/>
      <c r="V242" s="273"/>
      <c r="W242" s="252"/>
      <c r="X242" s="273"/>
      <c r="Y242" s="142"/>
      <c r="Z242" s="273"/>
      <c r="AA242" s="273"/>
      <c r="AB242" s="273"/>
      <c r="AC242" s="273"/>
      <c r="AD242" s="273"/>
      <c r="AE242" s="273"/>
      <c r="AF242" s="287">
        <f t="shared" si="548"/>
        <v>0</v>
      </c>
      <c r="AG242" s="283">
        <f t="shared" si="524"/>
        <v>56651.31</v>
      </c>
      <c r="AH242" s="228">
        <f t="shared" si="577"/>
        <v>5125981.8855000064</v>
      </c>
      <c r="AI242" s="228">
        <f t="shared" si="577"/>
        <v>4363679.0526000056</v>
      </c>
      <c r="AJ242" s="228">
        <f t="shared" si="577"/>
        <v>0</v>
      </c>
      <c r="AK242" s="261">
        <f t="shared" si="549"/>
        <v>9489660.938100012</v>
      </c>
      <c r="AL242" s="228">
        <f t="shared" si="578"/>
        <v>0</v>
      </c>
      <c r="AM242" s="228">
        <f t="shared" si="578"/>
        <v>0</v>
      </c>
      <c r="AN242" s="228">
        <f t="shared" si="578"/>
        <v>0</v>
      </c>
      <c r="AO242" s="261"/>
      <c r="AP242" s="228">
        <f t="shared" si="579"/>
        <v>0</v>
      </c>
      <c r="AQ242" s="228">
        <f t="shared" si="579"/>
        <v>0</v>
      </c>
      <c r="AR242" s="228">
        <f t="shared" si="579"/>
        <v>0</v>
      </c>
      <c r="AS242" s="228">
        <f t="shared" si="579"/>
        <v>0</v>
      </c>
      <c r="AT242" s="228">
        <f t="shared" si="579"/>
        <v>0</v>
      </c>
      <c r="AU242" s="228">
        <f t="shared" si="579"/>
        <v>0</v>
      </c>
      <c r="AV242" s="261"/>
      <c r="AW242" s="228">
        <f t="shared" si="580"/>
        <v>0</v>
      </c>
      <c r="AX242" s="228">
        <f t="shared" si="580"/>
        <v>0</v>
      </c>
      <c r="AY242" s="228">
        <f t="shared" si="580"/>
        <v>0</v>
      </c>
      <c r="AZ242" s="228">
        <f t="shared" si="580"/>
        <v>0</v>
      </c>
      <c r="BA242" s="228">
        <f t="shared" si="580"/>
        <v>0</v>
      </c>
      <c r="BB242" s="228">
        <f t="shared" si="580"/>
        <v>0</v>
      </c>
      <c r="BC242" s="261">
        <f t="shared" si="552"/>
        <v>0</v>
      </c>
      <c r="BD242" s="239">
        <f t="shared" si="545"/>
        <v>9489660.938100012</v>
      </c>
      <c r="BE242" s="244"/>
    </row>
    <row r="243" spans="1:202" ht="18" customHeight="1">
      <c r="A243" s="195"/>
      <c r="B243" s="223" t="s">
        <v>511</v>
      </c>
      <c r="C243" s="223"/>
      <c r="D243" s="134"/>
      <c r="E243" s="211">
        <v>2240.2800000000002</v>
      </c>
      <c r="F243" s="211">
        <v>2000</v>
      </c>
      <c r="G243" s="177">
        <f>E243-F243</f>
        <v>240.2800000000002</v>
      </c>
      <c r="H243" s="211">
        <v>2240.2800000000002</v>
      </c>
      <c r="I243" s="211">
        <v>2000</v>
      </c>
      <c r="J243" s="210">
        <f>H243-I243</f>
        <v>240.2800000000002</v>
      </c>
      <c r="K243" s="252">
        <v>567.98</v>
      </c>
      <c r="L243" s="252">
        <v>555.96</v>
      </c>
      <c r="M243" s="252"/>
      <c r="N243" s="287">
        <f t="shared" si="522"/>
        <v>1123.94</v>
      </c>
      <c r="O243" s="252"/>
      <c r="P243" s="252"/>
      <c r="Q243" s="252"/>
      <c r="R243" s="287"/>
      <c r="S243" s="290"/>
      <c r="T243" s="273"/>
      <c r="U243" s="273"/>
      <c r="V243" s="273"/>
      <c r="W243" s="252"/>
      <c r="X243" s="273"/>
      <c r="Y243" s="142"/>
      <c r="Z243" s="273"/>
      <c r="AA243" s="273"/>
      <c r="AB243" s="273"/>
      <c r="AC243" s="273"/>
      <c r="AD243" s="273"/>
      <c r="AE243" s="273"/>
      <c r="AF243" s="287">
        <f t="shared" si="548"/>
        <v>0</v>
      </c>
      <c r="AG243" s="283">
        <f t="shared" si="524"/>
        <v>1123.94</v>
      </c>
      <c r="AH243" s="228">
        <f t="shared" si="577"/>
        <v>136474.23440000013</v>
      </c>
      <c r="AI243" s="228">
        <f t="shared" si="577"/>
        <v>133586.06880000012</v>
      </c>
      <c r="AJ243" s="228">
        <f t="shared" si="577"/>
        <v>0</v>
      </c>
      <c r="AK243" s="261">
        <f t="shared" si="549"/>
        <v>270060.30320000026</v>
      </c>
      <c r="AL243" s="228">
        <f t="shared" si="578"/>
        <v>0</v>
      </c>
      <c r="AM243" s="228">
        <f t="shared" si="578"/>
        <v>0</v>
      </c>
      <c r="AN243" s="228">
        <f t="shared" si="578"/>
        <v>0</v>
      </c>
      <c r="AO243" s="261"/>
      <c r="AP243" s="228">
        <f t="shared" si="579"/>
        <v>0</v>
      </c>
      <c r="AQ243" s="228">
        <f t="shared" si="579"/>
        <v>0</v>
      </c>
      <c r="AR243" s="228">
        <f t="shared" si="579"/>
        <v>0</v>
      </c>
      <c r="AS243" s="228">
        <f t="shared" si="579"/>
        <v>0</v>
      </c>
      <c r="AT243" s="228">
        <f t="shared" si="579"/>
        <v>0</v>
      </c>
      <c r="AU243" s="228">
        <f t="shared" si="579"/>
        <v>0</v>
      </c>
      <c r="AV243" s="261"/>
      <c r="AW243" s="228">
        <f t="shared" si="580"/>
        <v>0</v>
      </c>
      <c r="AX243" s="228">
        <f t="shared" si="580"/>
        <v>0</v>
      </c>
      <c r="AY243" s="228">
        <f t="shared" si="580"/>
        <v>0</v>
      </c>
      <c r="AZ243" s="228">
        <f t="shared" si="580"/>
        <v>0</v>
      </c>
      <c r="BA243" s="228">
        <f t="shared" si="580"/>
        <v>0</v>
      </c>
      <c r="BB243" s="228">
        <f t="shared" si="580"/>
        <v>0</v>
      </c>
      <c r="BC243" s="261">
        <f t="shared" si="552"/>
        <v>0</v>
      </c>
      <c r="BD243" s="239">
        <f t="shared" si="545"/>
        <v>270060.30320000026</v>
      </c>
      <c r="BE243" s="244"/>
    </row>
    <row r="244" spans="1:202" ht="18" customHeight="1">
      <c r="A244" s="195"/>
      <c r="B244" s="223" t="s">
        <v>512</v>
      </c>
      <c r="C244" s="223"/>
      <c r="D244" s="134"/>
      <c r="E244" s="211">
        <v>2167.5100000000002</v>
      </c>
      <c r="F244" s="211">
        <v>2000</v>
      </c>
      <c r="G244" s="177">
        <f>E244-F244</f>
        <v>167.51000000000022</v>
      </c>
      <c r="H244" s="211">
        <v>2167.5100000000002</v>
      </c>
      <c r="I244" s="211">
        <v>2000</v>
      </c>
      <c r="J244" s="210">
        <f>H244-I244</f>
        <v>167.51000000000022</v>
      </c>
      <c r="K244" s="252">
        <v>2359.35</v>
      </c>
      <c r="L244" s="252">
        <v>2212.9699999999998</v>
      </c>
      <c r="M244" s="252"/>
      <c r="N244" s="287">
        <f t="shared" si="522"/>
        <v>4572.32</v>
      </c>
      <c r="O244" s="252"/>
      <c r="P244" s="252"/>
      <c r="Q244" s="252"/>
      <c r="R244" s="287"/>
      <c r="S244" s="290"/>
      <c r="T244" s="273"/>
      <c r="U244" s="273"/>
      <c r="V244" s="273"/>
      <c r="W244" s="252"/>
      <c r="X244" s="273"/>
      <c r="Y244" s="142"/>
      <c r="Z244" s="273"/>
      <c r="AA244" s="273"/>
      <c r="AB244" s="273"/>
      <c r="AC244" s="273"/>
      <c r="AD244" s="273"/>
      <c r="AE244" s="273"/>
      <c r="AF244" s="287">
        <f t="shared" si="548"/>
        <v>0</v>
      </c>
      <c r="AG244" s="283">
        <f t="shared" si="524"/>
        <v>4572.32</v>
      </c>
      <c r="AH244" s="228">
        <f t="shared" si="577"/>
        <v>395214.71850000048</v>
      </c>
      <c r="AI244" s="228">
        <f t="shared" si="577"/>
        <v>370694.60470000043</v>
      </c>
      <c r="AJ244" s="228">
        <f t="shared" si="577"/>
        <v>0</v>
      </c>
      <c r="AK244" s="261">
        <f t="shared" si="549"/>
        <v>765909.32320000092</v>
      </c>
      <c r="AL244" s="228">
        <f t="shared" si="578"/>
        <v>0</v>
      </c>
      <c r="AM244" s="228">
        <f t="shared" si="578"/>
        <v>0</v>
      </c>
      <c r="AN244" s="228">
        <f t="shared" si="578"/>
        <v>0</v>
      </c>
      <c r="AO244" s="261"/>
      <c r="AP244" s="228">
        <f t="shared" si="579"/>
        <v>0</v>
      </c>
      <c r="AQ244" s="228">
        <f t="shared" si="579"/>
        <v>0</v>
      </c>
      <c r="AR244" s="228">
        <f t="shared" si="579"/>
        <v>0</v>
      </c>
      <c r="AS244" s="228">
        <f t="shared" si="579"/>
        <v>0</v>
      </c>
      <c r="AT244" s="228">
        <f t="shared" si="579"/>
        <v>0</v>
      </c>
      <c r="AU244" s="228">
        <f t="shared" si="579"/>
        <v>0</v>
      </c>
      <c r="AV244" s="261"/>
      <c r="AW244" s="228">
        <f t="shared" si="580"/>
        <v>0</v>
      </c>
      <c r="AX244" s="228">
        <f t="shared" si="580"/>
        <v>0</v>
      </c>
      <c r="AY244" s="228">
        <f t="shared" si="580"/>
        <v>0</v>
      </c>
      <c r="AZ244" s="228">
        <f t="shared" si="580"/>
        <v>0</v>
      </c>
      <c r="BA244" s="228">
        <f t="shared" si="580"/>
        <v>0</v>
      </c>
      <c r="BB244" s="228">
        <f t="shared" si="580"/>
        <v>0</v>
      </c>
      <c r="BC244" s="261">
        <f t="shared" si="552"/>
        <v>0</v>
      </c>
      <c r="BD244" s="239">
        <f t="shared" si="545"/>
        <v>765909.32320000092</v>
      </c>
      <c r="BE244" s="244"/>
    </row>
    <row r="245" spans="1:202" s="83" customFormat="1" ht="12.75">
      <c r="A245" s="187" t="s">
        <v>26</v>
      </c>
      <c r="B245" s="170" t="s">
        <v>64</v>
      </c>
      <c r="C245" s="216" t="s">
        <v>232</v>
      </c>
      <c r="D245" s="138">
        <v>2909002440</v>
      </c>
      <c r="E245" s="147"/>
      <c r="F245" s="147"/>
      <c r="G245" s="177"/>
      <c r="H245" s="147"/>
      <c r="I245" s="147"/>
      <c r="J245" s="210"/>
      <c r="K245" s="251">
        <f>K246</f>
        <v>137.12</v>
      </c>
      <c r="L245" s="251">
        <f>L246</f>
        <v>137.12</v>
      </c>
      <c r="M245" s="251">
        <f>M246</f>
        <v>0</v>
      </c>
      <c r="N245" s="284">
        <f t="shared" si="522"/>
        <v>274.24</v>
      </c>
      <c r="O245" s="272">
        <f>O246</f>
        <v>0</v>
      </c>
      <c r="P245" s="272">
        <f>P246</f>
        <v>0</v>
      </c>
      <c r="Q245" s="272">
        <f>Q246</f>
        <v>0</v>
      </c>
      <c r="R245" s="284">
        <f>O245+P245+Q245</f>
        <v>0</v>
      </c>
      <c r="S245" s="289">
        <f t="shared" ref="S245:X245" si="581">S246</f>
        <v>0</v>
      </c>
      <c r="T245" s="289">
        <f t="shared" si="581"/>
        <v>0</v>
      </c>
      <c r="U245" s="289">
        <f t="shared" si="581"/>
        <v>0</v>
      </c>
      <c r="V245" s="289">
        <f t="shared" si="581"/>
        <v>0</v>
      </c>
      <c r="W245" s="289">
        <f t="shared" si="581"/>
        <v>0</v>
      </c>
      <c r="X245" s="289">
        <f t="shared" si="581"/>
        <v>0</v>
      </c>
      <c r="Y245" s="284">
        <f>SUM(S245:X245)</f>
        <v>0</v>
      </c>
      <c r="Z245" s="272">
        <f t="shared" ref="Z245:AE245" si="582">Z246</f>
        <v>0</v>
      </c>
      <c r="AA245" s="272">
        <f t="shared" si="582"/>
        <v>0</v>
      </c>
      <c r="AB245" s="272">
        <f t="shared" si="582"/>
        <v>0</v>
      </c>
      <c r="AC245" s="272">
        <f t="shared" si="582"/>
        <v>0</v>
      </c>
      <c r="AD245" s="272">
        <f t="shared" si="582"/>
        <v>0</v>
      </c>
      <c r="AE245" s="272">
        <f t="shared" si="582"/>
        <v>0</v>
      </c>
      <c r="AF245" s="284">
        <f t="shared" si="548"/>
        <v>0</v>
      </c>
      <c r="AG245" s="282">
        <f t="shared" si="524"/>
        <v>274.24</v>
      </c>
      <c r="AH245" s="227">
        <f>AH246</f>
        <v>269806.91039999999</v>
      </c>
      <c r="AI245" s="227">
        <f>AI246</f>
        <v>269806.91039999999</v>
      </c>
      <c r="AJ245" s="227">
        <f>AJ246</f>
        <v>0</v>
      </c>
      <c r="AK245" s="260">
        <f t="shared" si="549"/>
        <v>539613.82079999999</v>
      </c>
      <c r="AL245" s="227">
        <f>AL246</f>
        <v>0</v>
      </c>
      <c r="AM245" s="227">
        <f>AM246</f>
        <v>0</v>
      </c>
      <c r="AN245" s="227">
        <f>AN246</f>
        <v>0</v>
      </c>
      <c r="AO245" s="260">
        <f>SUM(AL245:AN245)</f>
        <v>0</v>
      </c>
      <c r="AP245" s="227">
        <f t="shared" ref="AP245:AU245" si="583">AP246</f>
        <v>0</v>
      </c>
      <c r="AQ245" s="227">
        <f t="shared" si="583"/>
        <v>0</v>
      </c>
      <c r="AR245" s="227">
        <f t="shared" si="583"/>
        <v>0</v>
      </c>
      <c r="AS245" s="227">
        <f t="shared" si="583"/>
        <v>0</v>
      </c>
      <c r="AT245" s="227">
        <f t="shared" si="583"/>
        <v>0</v>
      </c>
      <c r="AU245" s="227">
        <f t="shared" si="583"/>
        <v>0</v>
      </c>
      <c r="AV245" s="260">
        <f>SUM(AP245:AU245)</f>
        <v>0</v>
      </c>
      <c r="AW245" s="227">
        <f t="shared" ref="AW245:BB245" si="584">AW246</f>
        <v>0</v>
      </c>
      <c r="AX245" s="227">
        <f t="shared" si="584"/>
        <v>0</v>
      </c>
      <c r="AY245" s="227">
        <f t="shared" si="584"/>
        <v>0</v>
      </c>
      <c r="AZ245" s="227">
        <f t="shared" si="584"/>
        <v>0</v>
      </c>
      <c r="BA245" s="227">
        <f t="shared" si="584"/>
        <v>0</v>
      </c>
      <c r="BB245" s="227">
        <f t="shared" si="584"/>
        <v>0</v>
      </c>
      <c r="BC245" s="260">
        <f t="shared" si="552"/>
        <v>0</v>
      </c>
      <c r="BD245" s="238">
        <f t="shared" si="545"/>
        <v>539613.82079999999</v>
      </c>
      <c r="BE245" s="13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44"/>
      <c r="CC245" s="244"/>
      <c r="CD245" s="244"/>
      <c r="CE245" s="244"/>
      <c r="CF245" s="244"/>
      <c r="CG245" s="244"/>
      <c r="CH245" s="244"/>
      <c r="CI245" s="244"/>
      <c r="CJ245" s="244"/>
      <c r="CK245" s="244"/>
      <c r="CL245" s="244"/>
      <c r="CM245" s="244"/>
      <c r="CN245" s="244"/>
      <c r="CO245" s="244"/>
      <c r="CP245" s="244"/>
      <c r="CQ245" s="244"/>
      <c r="CR245" s="244"/>
      <c r="CS245" s="244"/>
      <c r="CT245" s="244"/>
      <c r="CU245" s="244"/>
      <c r="CV245" s="244"/>
      <c r="CW245" s="244"/>
      <c r="CX245" s="244"/>
      <c r="CY245" s="244"/>
      <c r="CZ245" s="244"/>
      <c r="DA245" s="244"/>
      <c r="DB245" s="244"/>
      <c r="DC245" s="244"/>
      <c r="DD245" s="244"/>
      <c r="DE245" s="244"/>
      <c r="DF245" s="244"/>
      <c r="DG245" s="244"/>
      <c r="DH245" s="244"/>
      <c r="DI245" s="244"/>
      <c r="DJ245" s="244"/>
      <c r="DK245" s="244"/>
      <c r="DL245" s="244"/>
      <c r="DM245" s="244"/>
      <c r="DN245" s="244"/>
      <c r="DO245" s="244"/>
      <c r="DP245" s="244"/>
      <c r="DQ245" s="244"/>
      <c r="DR245" s="244"/>
      <c r="DS245" s="244"/>
      <c r="DT245" s="244"/>
      <c r="DU245" s="244"/>
      <c r="DV245" s="244"/>
      <c r="DW245" s="244"/>
      <c r="DX245" s="244"/>
      <c r="DY245" s="244"/>
      <c r="DZ245" s="244"/>
      <c r="EA245" s="244"/>
      <c r="EB245" s="244"/>
      <c r="EC245" s="244"/>
      <c r="ED245" s="244"/>
      <c r="EE245" s="244"/>
      <c r="EF245" s="244"/>
      <c r="EG245" s="244"/>
      <c r="EH245" s="244"/>
      <c r="EI245" s="244"/>
      <c r="EJ245" s="244"/>
      <c r="EK245" s="244"/>
      <c r="EL245" s="244"/>
      <c r="EM245" s="244"/>
      <c r="EN245" s="244"/>
      <c r="EO245" s="244"/>
      <c r="EP245" s="244"/>
      <c r="EQ245" s="244"/>
      <c r="ER245" s="244"/>
      <c r="ES245" s="244"/>
      <c r="ET245" s="244"/>
      <c r="EU245" s="244"/>
      <c r="EV245" s="244"/>
      <c r="EW245" s="244"/>
      <c r="EX245" s="244"/>
      <c r="EY245" s="244"/>
      <c r="EZ245" s="244"/>
      <c r="FA245" s="244"/>
      <c r="FB245" s="244"/>
      <c r="FC245" s="244"/>
      <c r="FD245" s="244"/>
      <c r="FE245" s="244"/>
      <c r="FF245" s="244"/>
      <c r="FG245" s="244"/>
      <c r="FH245" s="244"/>
      <c r="FI245" s="244"/>
      <c r="FJ245" s="244"/>
      <c r="FK245" s="244"/>
      <c r="FL245" s="244"/>
      <c r="FM245" s="244"/>
      <c r="FN245" s="244"/>
      <c r="FO245" s="244"/>
      <c r="FP245" s="244"/>
      <c r="FQ245" s="244"/>
      <c r="FR245" s="244"/>
      <c r="FS245" s="244"/>
      <c r="FT245" s="244"/>
      <c r="FU245" s="244"/>
      <c r="FV245" s="244"/>
      <c r="FW245" s="244"/>
      <c r="FX245" s="244"/>
      <c r="FY245" s="244"/>
      <c r="FZ245" s="244"/>
      <c r="GA245" s="244"/>
      <c r="GB245" s="244"/>
      <c r="GC245" s="244"/>
      <c r="GD245" s="244"/>
      <c r="GE245" s="244"/>
      <c r="GF245" s="244"/>
      <c r="GG245" s="244"/>
      <c r="GH245" s="244"/>
      <c r="GI245" s="244"/>
      <c r="GJ245" s="244"/>
      <c r="GK245" s="244"/>
      <c r="GL245" s="244"/>
      <c r="GM245" s="244"/>
      <c r="GN245" s="244"/>
      <c r="GO245" s="244"/>
      <c r="GP245" s="244"/>
      <c r="GQ245" s="244"/>
      <c r="GR245" s="244"/>
      <c r="GS245" s="244"/>
      <c r="GT245" s="244"/>
    </row>
    <row r="246" spans="1:202" s="83" customFormat="1" ht="12.75">
      <c r="A246" s="191"/>
      <c r="B246" s="84"/>
      <c r="C246" s="216"/>
      <c r="D246" s="138"/>
      <c r="E246" s="147">
        <v>4127.67</v>
      </c>
      <c r="F246" s="147">
        <v>2160</v>
      </c>
      <c r="G246" s="177">
        <f t="shared" si="566"/>
        <v>1967.67</v>
      </c>
      <c r="H246" s="147">
        <v>4127.67</v>
      </c>
      <c r="I246" s="147">
        <v>2160</v>
      </c>
      <c r="J246" s="210">
        <f>H246-I246</f>
        <v>1967.67</v>
      </c>
      <c r="K246" s="252">
        <v>137.12</v>
      </c>
      <c r="L246" s="252">
        <v>137.12</v>
      </c>
      <c r="M246" s="252"/>
      <c r="N246" s="287">
        <f t="shared" si="522"/>
        <v>274.24</v>
      </c>
      <c r="O246" s="273"/>
      <c r="P246" s="273"/>
      <c r="Q246" s="290"/>
      <c r="R246" s="287"/>
      <c r="S246" s="290"/>
      <c r="T246" s="264"/>
      <c r="U246" s="273"/>
      <c r="V246" s="273"/>
      <c r="W246" s="290"/>
      <c r="X246" s="264"/>
      <c r="Y246" s="142"/>
      <c r="Z246" s="273"/>
      <c r="AA246" s="273"/>
      <c r="AB246" s="273"/>
      <c r="AC246" s="273"/>
      <c r="AD246" s="273"/>
      <c r="AE246" s="273"/>
      <c r="AF246" s="287">
        <f t="shared" si="548"/>
        <v>0</v>
      </c>
      <c r="AG246" s="283">
        <f t="shared" si="524"/>
        <v>274.24</v>
      </c>
      <c r="AH246" s="228">
        <f t="shared" ref="AH246:AJ247" si="585">K246*$G246</f>
        <v>269806.91039999999</v>
      </c>
      <c r="AI246" s="228">
        <f t="shared" si="585"/>
        <v>269806.91039999999</v>
      </c>
      <c r="AJ246" s="228">
        <f t="shared" si="585"/>
        <v>0</v>
      </c>
      <c r="AK246" s="261">
        <f t="shared" si="549"/>
        <v>539613.82079999999</v>
      </c>
      <c r="AL246" s="228">
        <f t="shared" ref="AL246:AN247" si="586">O246*$G246</f>
        <v>0</v>
      </c>
      <c r="AM246" s="228">
        <f t="shared" si="586"/>
        <v>0</v>
      </c>
      <c r="AN246" s="228">
        <f t="shared" si="586"/>
        <v>0</v>
      </c>
      <c r="AO246" s="261">
        <f>SUM(AL246:AN246)</f>
        <v>0</v>
      </c>
      <c r="AP246" s="228">
        <f t="shared" ref="AP246:AU247" si="587">S246*$J246</f>
        <v>0</v>
      </c>
      <c r="AQ246" s="228">
        <f t="shared" si="587"/>
        <v>0</v>
      </c>
      <c r="AR246" s="228">
        <f t="shared" si="587"/>
        <v>0</v>
      </c>
      <c r="AS246" s="228">
        <f t="shared" si="587"/>
        <v>0</v>
      </c>
      <c r="AT246" s="228">
        <f t="shared" si="587"/>
        <v>0</v>
      </c>
      <c r="AU246" s="228">
        <f t="shared" si="587"/>
        <v>0</v>
      </c>
      <c r="AV246" s="261"/>
      <c r="AW246" s="228">
        <f t="shared" ref="AW246:BB247" si="588">Z246*$J246</f>
        <v>0</v>
      </c>
      <c r="AX246" s="228">
        <f t="shared" si="588"/>
        <v>0</v>
      </c>
      <c r="AY246" s="228">
        <f t="shared" si="588"/>
        <v>0</v>
      </c>
      <c r="AZ246" s="228">
        <f t="shared" si="588"/>
        <v>0</v>
      </c>
      <c r="BA246" s="228">
        <f t="shared" si="588"/>
        <v>0</v>
      </c>
      <c r="BB246" s="228">
        <f t="shared" si="588"/>
        <v>0</v>
      </c>
      <c r="BC246" s="261">
        <f t="shared" si="552"/>
        <v>0</v>
      </c>
      <c r="BD246" s="239">
        <f t="shared" si="545"/>
        <v>539613.82079999999</v>
      </c>
      <c r="BE246" s="13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44"/>
      <c r="CC246" s="244"/>
      <c r="CD246" s="244"/>
      <c r="CE246" s="244"/>
      <c r="CF246" s="244"/>
      <c r="CG246" s="244"/>
      <c r="CH246" s="244"/>
      <c r="CI246" s="244"/>
      <c r="CJ246" s="244"/>
      <c r="CK246" s="244"/>
      <c r="CL246" s="244"/>
      <c r="CM246" s="244"/>
      <c r="CN246" s="244"/>
      <c r="CO246" s="244"/>
      <c r="CP246" s="244"/>
      <c r="CQ246" s="244"/>
      <c r="CR246" s="244"/>
      <c r="CS246" s="244"/>
      <c r="CT246" s="244"/>
      <c r="CU246" s="244"/>
      <c r="CV246" s="244"/>
      <c r="CW246" s="244"/>
      <c r="CX246" s="244"/>
      <c r="CY246" s="244"/>
      <c r="CZ246" s="244"/>
      <c r="DA246" s="244"/>
      <c r="DB246" s="244"/>
      <c r="DC246" s="244"/>
      <c r="DD246" s="244"/>
      <c r="DE246" s="244"/>
      <c r="DF246" s="244"/>
      <c r="DG246" s="244"/>
      <c r="DH246" s="244"/>
      <c r="DI246" s="244"/>
      <c r="DJ246" s="244"/>
      <c r="DK246" s="244"/>
      <c r="DL246" s="244"/>
      <c r="DM246" s="244"/>
      <c r="DN246" s="244"/>
      <c r="DO246" s="244"/>
      <c r="DP246" s="244"/>
      <c r="DQ246" s="244"/>
      <c r="DR246" s="244"/>
      <c r="DS246" s="244"/>
      <c r="DT246" s="244"/>
      <c r="DU246" s="244"/>
      <c r="DV246" s="244"/>
      <c r="DW246" s="244"/>
      <c r="DX246" s="244"/>
      <c r="DY246" s="244"/>
      <c r="DZ246" s="244"/>
      <c r="EA246" s="244"/>
      <c r="EB246" s="244"/>
      <c r="EC246" s="244"/>
      <c r="ED246" s="244"/>
      <c r="EE246" s="244"/>
      <c r="EF246" s="244"/>
      <c r="EG246" s="244"/>
      <c r="EH246" s="244"/>
      <c r="EI246" s="244"/>
      <c r="EJ246" s="244"/>
      <c r="EK246" s="244"/>
      <c r="EL246" s="244"/>
      <c r="EM246" s="244"/>
      <c r="EN246" s="244"/>
      <c r="EO246" s="244"/>
      <c r="EP246" s="244"/>
      <c r="EQ246" s="244"/>
      <c r="ER246" s="244"/>
      <c r="ES246" s="244"/>
      <c r="ET246" s="244"/>
      <c r="EU246" s="244"/>
      <c r="EV246" s="244"/>
      <c r="EW246" s="244"/>
      <c r="EX246" s="244"/>
      <c r="EY246" s="244"/>
      <c r="EZ246" s="244"/>
      <c r="FA246" s="244"/>
      <c r="FB246" s="244"/>
      <c r="FC246" s="244"/>
      <c r="FD246" s="244"/>
      <c r="FE246" s="244"/>
      <c r="FF246" s="244"/>
      <c r="FG246" s="244"/>
      <c r="FH246" s="244"/>
      <c r="FI246" s="244"/>
      <c r="FJ246" s="244"/>
      <c r="FK246" s="244"/>
      <c r="FL246" s="244"/>
      <c r="FM246" s="244"/>
      <c r="FN246" s="244"/>
      <c r="FO246" s="244"/>
      <c r="FP246" s="244"/>
      <c r="FQ246" s="244"/>
      <c r="FR246" s="244"/>
      <c r="FS246" s="244"/>
      <c r="FT246" s="244"/>
      <c r="FU246" s="244"/>
      <c r="FV246" s="244"/>
      <c r="FW246" s="244"/>
      <c r="FX246" s="244"/>
      <c r="FY246" s="244"/>
      <c r="FZ246" s="244"/>
      <c r="GA246" s="244"/>
      <c r="GB246" s="244"/>
      <c r="GC246" s="244"/>
      <c r="GD246" s="244"/>
      <c r="GE246" s="244"/>
      <c r="GF246" s="244"/>
      <c r="GG246" s="244"/>
      <c r="GH246" s="244"/>
      <c r="GI246" s="244"/>
      <c r="GJ246" s="244"/>
      <c r="GK246" s="244"/>
      <c r="GL246" s="244"/>
      <c r="GM246" s="244"/>
      <c r="GN246" s="244"/>
      <c r="GO246" s="244"/>
      <c r="GP246" s="244"/>
      <c r="GQ246" s="244"/>
      <c r="GR246" s="244"/>
      <c r="GS246" s="244"/>
      <c r="GT246" s="244"/>
    </row>
    <row r="247" spans="1:202" s="83" customFormat="1" ht="12.75">
      <c r="A247" s="187" t="s">
        <v>26</v>
      </c>
      <c r="B247" s="170" t="s">
        <v>66</v>
      </c>
      <c r="C247" s="216" t="s">
        <v>236</v>
      </c>
      <c r="D247" s="138">
        <v>2920012988</v>
      </c>
      <c r="E247" s="147"/>
      <c r="F247" s="147"/>
      <c r="G247" s="177"/>
      <c r="H247" s="147"/>
      <c r="I247" s="147"/>
      <c r="J247" s="210"/>
      <c r="K247" s="251"/>
      <c r="L247" s="251"/>
      <c r="M247" s="251"/>
      <c r="N247" s="284">
        <f t="shared" si="522"/>
        <v>0</v>
      </c>
      <c r="O247" s="272"/>
      <c r="P247" s="272"/>
      <c r="Q247" s="289"/>
      <c r="R247" s="284">
        <f>O247+P247+Q247</f>
        <v>0</v>
      </c>
      <c r="S247" s="289"/>
      <c r="T247" s="263"/>
      <c r="U247" s="272"/>
      <c r="V247" s="272"/>
      <c r="W247" s="289"/>
      <c r="X247" s="263"/>
      <c r="Y247" s="284">
        <f>SUM(S247:X247)</f>
        <v>0</v>
      </c>
      <c r="Z247" s="272"/>
      <c r="AA247" s="272"/>
      <c r="AB247" s="272"/>
      <c r="AC247" s="272"/>
      <c r="AD247" s="272"/>
      <c r="AE247" s="272"/>
      <c r="AF247" s="284">
        <f t="shared" si="548"/>
        <v>0</v>
      </c>
      <c r="AG247" s="282">
        <f t="shared" si="524"/>
        <v>0</v>
      </c>
      <c r="AH247" s="227">
        <f t="shared" si="585"/>
        <v>0</v>
      </c>
      <c r="AI247" s="227">
        <f t="shared" si="585"/>
        <v>0</v>
      </c>
      <c r="AJ247" s="227">
        <f t="shared" si="585"/>
        <v>0</v>
      </c>
      <c r="AK247" s="260">
        <f t="shared" si="549"/>
        <v>0</v>
      </c>
      <c r="AL247" s="227">
        <f t="shared" si="586"/>
        <v>0</v>
      </c>
      <c r="AM247" s="227">
        <f t="shared" si="586"/>
        <v>0</v>
      </c>
      <c r="AN247" s="227">
        <f t="shared" si="586"/>
        <v>0</v>
      </c>
      <c r="AO247" s="260">
        <f>SUM(AL247:AN247)</f>
        <v>0</v>
      </c>
      <c r="AP247" s="227">
        <f t="shared" si="587"/>
        <v>0</v>
      </c>
      <c r="AQ247" s="227">
        <f t="shared" si="587"/>
        <v>0</v>
      </c>
      <c r="AR247" s="227">
        <f t="shared" si="587"/>
        <v>0</v>
      </c>
      <c r="AS247" s="227">
        <f t="shared" si="587"/>
        <v>0</v>
      </c>
      <c r="AT247" s="227">
        <f t="shared" si="587"/>
        <v>0</v>
      </c>
      <c r="AU247" s="227">
        <f t="shared" si="587"/>
        <v>0</v>
      </c>
      <c r="AV247" s="260">
        <f>SUM(AP247:AU247)</f>
        <v>0</v>
      </c>
      <c r="AW247" s="227">
        <f t="shared" si="588"/>
        <v>0</v>
      </c>
      <c r="AX247" s="227">
        <f t="shared" si="588"/>
        <v>0</v>
      </c>
      <c r="AY247" s="227">
        <f t="shared" si="588"/>
        <v>0</v>
      </c>
      <c r="AZ247" s="227">
        <f t="shared" si="588"/>
        <v>0</v>
      </c>
      <c r="BA247" s="227">
        <f t="shared" si="588"/>
        <v>0</v>
      </c>
      <c r="BB247" s="227">
        <f t="shared" si="588"/>
        <v>0</v>
      </c>
      <c r="BC247" s="260">
        <f t="shared" si="552"/>
        <v>0</v>
      </c>
      <c r="BD247" s="238">
        <f t="shared" si="545"/>
        <v>0</v>
      </c>
      <c r="BE247" s="13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44"/>
      <c r="CC247" s="244"/>
      <c r="CD247" s="244"/>
      <c r="CE247" s="244"/>
      <c r="CF247" s="244"/>
      <c r="CG247" s="244"/>
      <c r="CH247" s="244"/>
      <c r="CI247" s="244"/>
      <c r="CJ247" s="244"/>
      <c r="CK247" s="244"/>
      <c r="CL247" s="244"/>
      <c r="CM247" s="244"/>
      <c r="CN247" s="244"/>
      <c r="CO247" s="244"/>
      <c r="CP247" s="244"/>
      <c r="CQ247" s="244"/>
      <c r="CR247" s="244"/>
      <c r="CS247" s="244"/>
      <c r="CT247" s="244"/>
      <c r="CU247" s="244"/>
      <c r="CV247" s="244"/>
      <c r="CW247" s="244"/>
      <c r="CX247" s="244"/>
      <c r="CY247" s="244"/>
      <c r="CZ247" s="244"/>
      <c r="DA247" s="244"/>
      <c r="DB247" s="244"/>
      <c r="DC247" s="244"/>
      <c r="DD247" s="244"/>
      <c r="DE247" s="244"/>
      <c r="DF247" s="244"/>
      <c r="DG247" s="244"/>
      <c r="DH247" s="244"/>
      <c r="DI247" s="244"/>
      <c r="DJ247" s="244"/>
      <c r="DK247" s="244"/>
      <c r="DL247" s="244"/>
      <c r="DM247" s="244"/>
      <c r="DN247" s="244"/>
      <c r="DO247" s="244"/>
      <c r="DP247" s="244"/>
      <c r="DQ247" s="244"/>
      <c r="DR247" s="244"/>
      <c r="DS247" s="244"/>
      <c r="DT247" s="244"/>
      <c r="DU247" s="244"/>
      <c r="DV247" s="244"/>
      <c r="DW247" s="244"/>
      <c r="DX247" s="244"/>
      <c r="DY247" s="244"/>
      <c r="DZ247" s="244"/>
      <c r="EA247" s="244"/>
      <c r="EB247" s="244"/>
      <c r="EC247" s="244"/>
      <c r="ED247" s="244"/>
      <c r="EE247" s="244"/>
      <c r="EF247" s="244"/>
      <c r="EG247" s="244"/>
      <c r="EH247" s="244"/>
      <c r="EI247" s="244"/>
      <c r="EJ247" s="244"/>
      <c r="EK247" s="244"/>
      <c r="EL247" s="244"/>
      <c r="EM247" s="244"/>
      <c r="EN247" s="244"/>
      <c r="EO247" s="244"/>
      <c r="EP247" s="244"/>
      <c r="EQ247" s="244"/>
      <c r="ER247" s="244"/>
      <c r="ES247" s="244"/>
      <c r="ET247" s="244"/>
      <c r="EU247" s="244"/>
      <c r="EV247" s="244"/>
      <c r="EW247" s="244"/>
      <c r="EX247" s="244"/>
      <c r="EY247" s="244"/>
      <c r="EZ247" s="244"/>
      <c r="FA247" s="244"/>
      <c r="FB247" s="244"/>
      <c r="FC247" s="244"/>
      <c r="FD247" s="244"/>
      <c r="FE247" s="244"/>
      <c r="FF247" s="244"/>
      <c r="FG247" s="244"/>
      <c r="FH247" s="244"/>
      <c r="FI247" s="244"/>
      <c r="FJ247" s="244"/>
      <c r="FK247" s="244"/>
      <c r="FL247" s="244"/>
      <c r="FM247" s="244"/>
      <c r="FN247" s="244"/>
      <c r="FO247" s="244"/>
      <c r="FP247" s="244"/>
      <c r="FQ247" s="244"/>
      <c r="FR247" s="244"/>
      <c r="FS247" s="244"/>
      <c r="FT247" s="244"/>
      <c r="FU247" s="244"/>
      <c r="FV247" s="244"/>
      <c r="FW247" s="244"/>
      <c r="FX247" s="244"/>
      <c r="FY247" s="244"/>
      <c r="FZ247" s="244"/>
      <c r="GA247" s="244"/>
      <c r="GB247" s="244"/>
      <c r="GC247" s="244"/>
      <c r="GD247" s="244"/>
      <c r="GE247" s="244"/>
      <c r="GF247" s="244"/>
      <c r="GG247" s="244"/>
      <c r="GH247" s="244"/>
      <c r="GI247" s="244"/>
      <c r="GJ247" s="244"/>
      <c r="GK247" s="244"/>
      <c r="GL247" s="244"/>
      <c r="GM247" s="244"/>
      <c r="GN247" s="244"/>
      <c r="GO247" s="244"/>
      <c r="GP247" s="244"/>
      <c r="GQ247" s="244"/>
      <c r="GR247" s="244"/>
      <c r="GS247" s="244"/>
      <c r="GT247" s="244"/>
    </row>
    <row r="248" spans="1:202" s="83" customFormat="1" ht="12.75">
      <c r="A248" s="187" t="s">
        <v>26</v>
      </c>
      <c r="B248" s="170" t="s">
        <v>68</v>
      </c>
      <c r="C248" s="216"/>
      <c r="D248" s="138">
        <v>2923007104</v>
      </c>
      <c r="E248" s="147"/>
      <c r="F248" s="147"/>
      <c r="G248" s="177"/>
      <c r="H248" s="147"/>
      <c r="I248" s="147"/>
      <c r="J248" s="210"/>
      <c r="K248" s="251">
        <f>K249</f>
        <v>719.17499999999995</v>
      </c>
      <c r="L248" s="251">
        <f>L249</f>
        <v>719.17499999999995</v>
      </c>
      <c r="M248" s="251">
        <f>M249</f>
        <v>0</v>
      </c>
      <c r="N248" s="284">
        <f t="shared" si="522"/>
        <v>1438.35</v>
      </c>
      <c r="O248" s="272">
        <f>O249</f>
        <v>0</v>
      </c>
      <c r="P248" s="272">
        <f>P249</f>
        <v>0</v>
      </c>
      <c r="Q248" s="272">
        <f>Q249</f>
        <v>0</v>
      </c>
      <c r="R248" s="284">
        <f>O248+P248+Q248</f>
        <v>0</v>
      </c>
      <c r="S248" s="289">
        <f t="shared" ref="S248:X248" si="589">S249</f>
        <v>0</v>
      </c>
      <c r="T248" s="289">
        <f t="shared" si="589"/>
        <v>0</v>
      </c>
      <c r="U248" s="289">
        <f t="shared" si="589"/>
        <v>0</v>
      </c>
      <c r="V248" s="289">
        <f t="shared" si="589"/>
        <v>0</v>
      </c>
      <c r="W248" s="289">
        <f t="shared" si="589"/>
        <v>0</v>
      </c>
      <c r="X248" s="289">
        <f t="shared" si="589"/>
        <v>0</v>
      </c>
      <c r="Y248" s="284">
        <f>SUM(S248:X248)</f>
        <v>0</v>
      </c>
      <c r="Z248" s="272">
        <f t="shared" ref="Z248:AE248" si="590">Z249</f>
        <v>0</v>
      </c>
      <c r="AA248" s="272">
        <f t="shared" si="590"/>
        <v>0</v>
      </c>
      <c r="AB248" s="272">
        <f t="shared" si="590"/>
        <v>0</v>
      </c>
      <c r="AC248" s="272">
        <f t="shared" si="590"/>
        <v>0</v>
      </c>
      <c r="AD248" s="272">
        <f t="shared" si="590"/>
        <v>0</v>
      </c>
      <c r="AE248" s="272">
        <f t="shared" si="590"/>
        <v>0</v>
      </c>
      <c r="AF248" s="284">
        <f t="shared" si="548"/>
        <v>0</v>
      </c>
      <c r="AG248" s="282">
        <f t="shared" si="524"/>
        <v>1438.35</v>
      </c>
      <c r="AH248" s="227">
        <f>AH249</f>
        <v>2425662.2069999999</v>
      </c>
      <c r="AI248" s="227">
        <f>AI249</f>
        <v>2425662.2069999999</v>
      </c>
      <c r="AJ248" s="227">
        <f>AJ249</f>
        <v>0</v>
      </c>
      <c r="AK248" s="260">
        <f t="shared" si="549"/>
        <v>4851324.4139999999</v>
      </c>
      <c r="AL248" s="227">
        <f>AL249</f>
        <v>0</v>
      </c>
      <c r="AM248" s="227">
        <f>AM249</f>
        <v>0</v>
      </c>
      <c r="AN248" s="227">
        <f>AN249</f>
        <v>0</v>
      </c>
      <c r="AO248" s="260">
        <f>SUM(AL248:AN248)</f>
        <v>0</v>
      </c>
      <c r="AP248" s="227">
        <f t="shared" ref="AP248:AU248" si="591">AP249</f>
        <v>0</v>
      </c>
      <c r="AQ248" s="227">
        <f t="shared" si="591"/>
        <v>0</v>
      </c>
      <c r="AR248" s="227">
        <f t="shared" si="591"/>
        <v>0</v>
      </c>
      <c r="AS248" s="227">
        <f t="shared" si="591"/>
        <v>0</v>
      </c>
      <c r="AT248" s="227">
        <f t="shared" si="591"/>
        <v>0</v>
      </c>
      <c r="AU248" s="227">
        <f t="shared" si="591"/>
        <v>0</v>
      </c>
      <c r="AV248" s="260">
        <f>SUM(AP248:AU248)</f>
        <v>0</v>
      </c>
      <c r="AW248" s="227">
        <f t="shared" ref="AW248:BB248" si="592">AW249</f>
        <v>0</v>
      </c>
      <c r="AX248" s="227">
        <f t="shared" si="592"/>
        <v>0</v>
      </c>
      <c r="AY248" s="227">
        <f t="shared" si="592"/>
        <v>0</v>
      </c>
      <c r="AZ248" s="227">
        <f t="shared" si="592"/>
        <v>0</v>
      </c>
      <c r="BA248" s="227">
        <f t="shared" si="592"/>
        <v>0</v>
      </c>
      <c r="BB248" s="227">
        <f t="shared" si="592"/>
        <v>0</v>
      </c>
      <c r="BC248" s="260">
        <f t="shared" si="552"/>
        <v>0</v>
      </c>
      <c r="BD248" s="238">
        <f t="shared" si="545"/>
        <v>4851324.4139999999</v>
      </c>
      <c r="BE248" s="13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44"/>
      <c r="CC248" s="244"/>
      <c r="CD248" s="244"/>
      <c r="CE248" s="244"/>
      <c r="CF248" s="244"/>
      <c r="CG248" s="244"/>
      <c r="CH248" s="244"/>
      <c r="CI248" s="244"/>
      <c r="CJ248" s="244"/>
      <c r="CK248" s="244"/>
      <c r="CL248" s="244"/>
      <c r="CM248" s="244"/>
      <c r="CN248" s="244"/>
      <c r="CO248" s="244"/>
      <c r="CP248" s="244"/>
      <c r="CQ248" s="244"/>
      <c r="CR248" s="244"/>
      <c r="CS248" s="244"/>
      <c r="CT248" s="244"/>
      <c r="CU248" s="244"/>
      <c r="CV248" s="244"/>
      <c r="CW248" s="244"/>
      <c r="CX248" s="244"/>
      <c r="CY248" s="244"/>
      <c r="CZ248" s="244"/>
      <c r="DA248" s="244"/>
      <c r="DB248" s="244"/>
      <c r="DC248" s="244"/>
      <c r="DD248" s="244"/>
      <c r="DE248" s="244"/>
      <c r="DF248" s="244"/>
      <c r="DG248" s="244"/>
      <c r="DH248" s="244"/>
      <c r="DI248" s="244"/>
      <c r="DJ248" s="244"/>
      <c r="DK248" s="244"/>
      <c r="DL248" s="244"/>
      <c r="DM248" s="244"/>
      <c r="DN248" s="244"/>
      <c r="DO248" s="244"/>
      <c r="DP248" s="244"/>
      <c r="DQ248" s="244"/>
      <c r="DR248" s="244"/>
      <c r="DS248" s="244"/>
      <c r="DT248" s="244"/>
      <c r="DU248" s="244"/>
      <c r="DV248" s="244"/>
      <c r="DW248" s="244"/>
      <c r="DX248" s="244"/>
      <c r="DY248" s="244"/>
      <c r="DZ248" s="244"/>
      <c r="EA248" s="244"/>
      <c r="EB248" s="244"/>
      <c r="EC248" s="244"/>
      <c r="ED248" s="244"/>
      <c r="EE248" s="244"/>
      <c r="EF248" s="244"/>
      <c r="EG248" s="244"/>
      <c r="EH248" s="244"/>
      <c r="EI248" s="244"/>
      <c r="EJ248" s="244"/>
      <c r="EK248" s="244"/>
      <c r="EL248" s="244"/>
      <c r="EM248" s="244"/>
      <c r="EN248" s="244"/>
      <c r="EO248" s="244"/>
      <c r="EP248" s="244"/>
      <c r="EQ248" s="244"/>
      <c r="ER248" s="244"/>
      <c r="ES248" s="244"/>
      <c r="ET248" s="244"/>
      <c r="EU248" s="244"/>
      <c r="EV248" s="244"/>
      <c r="EW248" s="244"/>
      <c r="EX248" s="244"/>
      <c r="EY248" s="244"/>
      <c r="EZ248" s="244"/>
      <c r="FA248" s="244"/>
      <c r="FB248" s="244"/>
      <c r="FC248" s="244"/>
      <c r="FD248" s="244"/>
      <c r="FE248" s="244"/>
      <c r="FF248" s="244"/>
      <c r="FG248" s="244"/>
      <c r="FH248" s="244"/>
      <c r="FI248" s="244"/>
      <c r="FJ248" s="244"/>
      <c r="FK248" s="244"/>
      <c r="FL248" s="244"/>
      <c r="FM248" s="244"/>
      <c r="FN248" s="244"/>
      <c r="FO248" s="244"/>
      <c r="FP248" s="244"/>
      <c r="FQ248" s="244"/>
      <c r="FR248" s="244"/>
      <c r="FS248" s="244"/>
      <c r="FT248" s="244"/>
      <c r="FU248" s="244"/>
      <c r="FV248" s="244"/>
      <c r="FW248" s="244"/>
      <c r="FX248" s="244"/>
      <c r="FY248" s="244"/>
      <c r="FZ248" s="244"/>
      <c r="GA248" s="244"/>
      <c r="GB248" s="244"/>
      <c r="GC248" s="244"/>
      <c r="GD248" s="244"/>
      <c r="GE248" s="244"/>
      <c r="GF248" s="244"/>
      <c r="GG248" s="244"/>
      <c r="GH248" s="244"/>
      <c r="GI248" s="244"/>
      <c r="GJ248" s="244"/>
      <c r="GK248" s="244"/>
      <c r="GL248" s="244"/>
      <c r="GM248" s="244"/>
      <c r="GN248" s="244"/>
      <c r="GO248" s="244"/>
      <c r="GP248" s="244"/>
      <c r="GQ248" s="244"/>
      <c r="GR248" s="244"/>
      <c r="GS248" s="244"/>
      <c r="GT248" s="244"/>
    </row>
    <row r="249" spans="1:202" s="83" customFormat="1" ht="30">
      <c r="A249" s="187"/>
      <c r="B249" s="170"/>
      <c r="C249" s="216" t="s">
        <v>575</v>
      </c>
      <c r="D249" s="138"/>
      <c r="E249" s="147">
        <v>5072.84</v>
      </c>
      <c r="F249" s="147">
        <v>1700</v>
      </c>
      <c r="G249" s="177">
        <f t="shared" ref="G249:G265" si="593">E249-F249</f>
        <v>3372.84</v>
      </c>
      <c r="H249" s="147">
        <v>5072.84</v>
      </c>
      <c r="I249" s="147">
        <v>1700</v>
      </c>
      <c r="J249" s="210">
        <f>H249-I249</f>
        <v>3372.84</v>
      </c>
      <c r="K249" s="251">
        <v>719.17499999999995</v>
      </c>
      <c r="L249" s="251">
        <v>719.17499999999995</v>
      </c>
      <c r="M249" s="251"/>
      <c r="N249" s="284">
        <f t="shared" si="522"/>
        <v>1438.35</v>
      </c>
      <c r="O249" s="272"/>
      <c r="P249" s="272"/>
      <c r="Q249" s="289"/>
      <c r="R249" s="284"/>
      <c r="S249" s="289"/>
      <c r="T249" s="263"/>
      <c r="U249" s="272"/>
      <c r="V249" s="272"/>
      <c r="W249" s="289"/>
      <c r="X249" s="263"/>
      <c r="Y249" s="284"/>
      <c r="Z249" s="272"/>
      <c r="AA249" s="272"/>
      <c r="AB249" s="272"/>
      <c r="AC249" s="272"/>
      <c r="AD249" s="272"/>
      <c r="AE249" s="272"/>
      <c r="AF249" s="284">
        <f t="shared" si="548"/>
        <v>0</v>
      </c>
      <c r="AG249" s="282">
        <f t="shared" ref="AG249:AG276" si="594">AF249+Y249+R249+N249</f>
        <v>1438.35</v>
      </c>
      <c r="AH249" s="227">
        <f>K249*$G249</f>
        <v>2425662.2069999999</v>
      </c>
      <c r="AI249" s="227">
        <f>L249*$G249</f>
        <v>2425662.2069999999</v>
      </c>
      <c r="AJ249" s="227">
        <f>M249*$G249</f>
        <v>0</v>
      </c>
      <c r="AK249" s="260">
        <f t="shared" si="549"/>
        <v>4851324.4139999999</v>
      </c>
      <c r="AL249" s="227">
        <f>O249*$G249</f>
        <v>0</v>
      </c>
      <c r="AM249" s="227">
        <f>P249*$G249</f>
        <v>0</v>
      </c>
      <c r="AN249" s="227">
        <f>Q249*$G249</f>
        <v>0</v>
      </c>
      <c r="AO249" s="260"/>
      <c r="AP249" s="227">
        <f t="shared" ref="AP249:AU249" si="595">S249*$J249</f>
        <v>0</v>
      </c>
      <c r="AQ249" s="227">
        <f t="shared" si="595"/>
        <v>0</v>
      </c>
      <c r="AR249" s="227">
        <f t="shared" si="595"/>
        <v>0</v>
      </c>
      <c r="AS249" s="227">
        <f t="shared" si="595"/>
        <v>0</v>
      </c>
      <c r="AT249" s="227">
        <f t="shared" si="595"/>
        <v>0</v>
      </c>
      <c r="AU249" s="227">
        <f t="shared" si="595"/>
        <v>0</v>
      </c>
      <c r="AV249" s="260"/>
      <c r="AW249" s="227">
        <f t="shared" ref="AW249:BB249" si="596">Z249*$J249</f>
        <v>0</v>
      </c>
      <c r="AX249" s="227">
        <f t="shared" si="596"/>
        <v>0</v>
      </c>
      <c r="AY249" s="227">
        <f t="shared" si="596"/>
        <v>0</v>
      </c>
      <c r="AZ249" s="227">
        <f t="shared" si="596"/>
        <v>0</v>
      </c>
      <c r="BA249" s="227">
        <f t="shared" si="596"/>
        <v>0</v>
      </c>
      <c r="BB249" s="227">
        <f t="shared" si="596"/>
        <v>0</v>
      </c>
      <c r="BC249" s="260">
        <f t="shared" si="552"/>
        <v>0</v>
      </c>
      <c r="BD249" s="238">
        <f t="shared" si="545"/>
        <v>4851324.4139999999</v>
      </c>
      <c r="BE249" s="13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44"/>
      <c r="CC249" s="244"/>
      <c r="CD249" s="244"/>
      <c r="CE249" s="244"/>
      <c r="CF249" s="244"/>
      <c r="CG249" s="244"/>
      <c r="CH249" s="244"/>
      <c r="CI249" s="244"/>
      <c r="CJ249" s="244"/>
      <c r="CK249" s="244"/>
      <c r="CL249" s="244"/>
      <c r="CM249" s="244"/>
      <c r="CN249" s="244"/>
      <c r="CO249" s="244"/>
      <c r="CP249" s="244"/>
      <c r="CQ249" s="244"/>
      <c r="CR249" s="244"/>
      <c r="CS249" s="244"/>
      <c r="CT249" s="244"/>
      <c r="CU249" s="244"/>
      <c r="CV249" s="244"/>
      <c r="CW249" s="244"/>
      <c r="CX249" s="244"/>
      <c r="CY249" s="244"/>
      <c r="CZ249" s="244"/>
      <c r="DA249" s="244"/>
      <c r="DB249" s="244"/>
      <c r="DC249" s="244"/>
      <c r="DD249" s="244"/>
      <c r="DE249" s="244"/>
      <c r="DF249" s="244"/>
      <c r="DG249" s="244"/>
      <c r="DH249" s="244"/>
      <c r="DI249" s="244"/>
      <c r="DJ249" s="244"/>
      <c r="DK249" s="244"/>
      <c r="DL249" s="244"/>
      <c r="DM249" s="244"/>
      <c r="DN249" s="244"/>
      <c r="DO249" s="244"/>
      <c r="DP249" s="244"/>
      <c r="DQ249" s="244"/>
      <c r="DR249" s="244"/>
      <c r="DS249" s="244"/>
      <c r="DT249" s="244"/>
      <c r="DU249" s="244"/>
      <c r="DV249" s="244"/>
      <c r="DW249" s="244"/>
      <c r="DX249" s="244"/>
      <c r="DY249" s="244"/>
      <c r="DZ249" s="244"/>
      <c r="EA249" s="244"/>
      <c r="EB249" s="244"/>
      <c r="EC249" s="244"/>
      <c r="ED249" s="244"/>
      <c r="EE249" s="244"/>
      <c r="EF249" s="244"/>
      <c r="EG249" s="244"/>
      <c r="EH249" s="244"/>
      <c r="EI249" s="244"/>
      <c r="EJ249" s="244"/>
      <c r="EK249" s="244"/>
      <c r="EL249" s="244"/>
      <c r="EM249" s="244"/>
      <c r="EN249" s="244"/>
      <c r="EO249" s="244"/>
      <c r="EP249" s="244"/>
      <c r="EQ249" s="244"/>
      <c r="ER249" s="244"/>
      <c r="ES249" s="244"/>
      <c r="ET249" s="244"/>
      <c r="EU249" s="244"/>
      <c r="EV249" s="244"/>
      <c r="EW249" s="244"/>
      <c r="EX249" s="244"/>
      <c r="EY249" s="244"/>
      <c r="EZ249" s="244"/>
      <c r="FA249" s="244"/>
      <c r="FB249" s="244"/>
      <c r="FC249" s="244"/>
      <c r="FD249" s="244"/>
      <c r="FE249" s="244"/>
      <c r="FF249" s="244"/>
      <c r="FG249" s="244"/>
      <c r="FH249" s="244"/>
      <c r="FI249" s="244"/>
      <c r="FJ249" s="244"/>
      <c r="FK249" s="244"/>
      <c r="FL249" s="244"/>
      <c r="FM249" s="244"/>
      <c r="FN249" s="244"/>
      <c r="FO249" s="244"/>
      <c r="FP249" s="244"/>
      <c r="FQ249" s="244"/>
      <c r="FR249" s="244"/>
      <c r="FS249" s="244"/>
      <c r="FT249" s="244"/>
      <c r="FU249" s="244"/>
      <c r="FV249" s="244"/>
      <c r="FW249" s="244"/>
      <c r="FX249" s="244"/>
      <c r="FY249" s="244"/>
      <c r="FZ249" s="244"/>
      <c r="GA249" s="244"/>
      <c r="GB249" s="244"/>
      <c r="GC249" s="244"/>
      <c r="GD249" s="244"/>
      <c r="GE249" s="244"/>
      <c r="GF249" s="244"/>
      <c r="GG249" s="244"/>
      <c r="GH249" s="244"/>
      <c r="GI249" s="244"/>
      <c r="GJ249" s="244"/>
      <c r="GK249" s="244"/>
      <c r="GL249" s="244"/>
      <c r="GM249" s="244"/>
      <c r="GN249" s="244"/>
      <c r="GO249" s="244"/>
      <c r="GP249" s="244"/>
      <c r="GQ249" s="244"/>
      <c r="GR249" s="244"/>
      <c r="GS249" s="244"/>
      <c r="GT249" s="244"/>
    </row>
    <row r="250" spans="1:202" s="83" customFormat="1" ht="12.75">
      <c r="A250" s="187" t="s">
        <v>26</v>
      </c>
      <c r="B250" s="170" t="s">
        <v>69</v>
      </c>
      <c r="C250" s="216"/>
      <c r="D250" s="138">
        <v>2906006238</v>
      </c>
      <c r="E250" s="147"/>
      <c r="F250" s="147"/>
      <c r="G250" s="177"/>
      <c r="H250" s="147"/>
      <c r="I250" s="147"/>
      <c r="J250" s="210"/>
      <c r="K250" s="251">
        <f>K251+K252+K253</f>
        <v>3024.808</v>
      </c>
      <c r="L250" s="251">
        <f>L251+L252+L253</f>
        <v>3161.3570000000004</v>
      </c>
      <c r="M250" s="251">
        <f>M251+M252+M253</f>
        <v>0</v>
      </c>
      <c r="N250" s="284">
        <f t="shared" si="522"/>
        <v>6186.1650000000009</v>
      </c>
      <c r="O250" s="272">
        <f>O251</f>
        <v>0</v>
      </c>
      <c r="P250" s="272">
        <f>P251</f>
        <v>0</v>
      </c>
      <c r="Q250" s="272">
        <f>Q251</f>
        <v>0</v>
      </c>
      <c r="R250" s="284">
        <f>O250+P250+Q250</f>
        <v>0</v>
      </c>
      <c r="S250" s="289">
        <f t="shared" ref="S250:X250" si="597">S251</f>
        <v>0</v>
      </c>
      <c r="T250" s="289">
        <f t="shared" si="597"/>
        <v>0</v>
      </c>
      <c r="U250" s="289">
        <f t="shared" si="597"/>
        <v>0</v>
      </c>
      <c r="V250" s="289">
        <f t="shared" si="597"/>
        <v>0</v>
      </c>
      <c r="W250" s="289">
        <f t="shared" si="597"/>
        <v>0</v>
      </c>
      <c r="X250" s="289">
        <f t="shared" si="597"/>
        <v>0</v>
      </c>
      <c r="Y250" s="284">
        <f>SUM(S250:X250)</f>
        <v>0</v>
      </c>
      <c r="Z250" s="272">
        <f t="shared" ref="Z250:AE250" si="598">Z251</f>
        <v>0</v>
      </c>
      <c r="AA250" s="272">
        <f t="shared" si="598"/>
        <v>0</v>
      </c>
      <c r="AB250" s="272">
        <f t="shared" si="598"/>
        <v>0</v>
      </c>
      <c r="AC250" s="272">
        <f t="shared" si="598"/>
        <v>0</v>
      </c>
      <c r="AD250" s="272">
        <f t="shared" si="598"/>
        <v>0</v>
      </c>
      <c r="AE250" s="272">
        <f t="shared" si="598"/>
        <v>0</v>
      </c>
      <c r="AF250" s="284">
        <f t="shared" si="548"/>
        <v>0</v>
      </c>
      <c r="AG250" s="282">
        <f t="shared" si="594"/>
        <v>6186.1650000000009</v>
      </c>
      <c r="AH250" s="227">
        <f>AH251+AH252+AH253</f>
        <v>12420708.594239999</v>
      </c>
      <c r="AI250" s="227">
        <f>AI251+AI252+AI253</f>
        <v>12981417.021959998</v>
      </c>
      <c r="AJ250" s="227">
        <f>AJ251</f>
        <v>0</v>
      </c>
      <c r="AK250" s="260">
        <f t="shared" si="549"/>
        <v>25402125.616199996</v>
      </c>
      <c r="AL250" s="227">
        <f>AL251</f>
        <v>0</v>
      </c>
      <c r="AM250" s="227">
        <f>AM251</f>
        <v>0</v>
      </c>
      <c r="AN250" s="227">
        <f>AN251</f>
        <v>0</v>
      </c>
      <c r="AO250" s="260">
        <f>SUM(AL250:AN250)</f>
        <v>0</v>
      </c>
      <c r="AP250" s="227">
        <f t="shared" ref="AP250:AU250" si="599">AP251</f>
        <v>0</v>
      </c>
      <c r="AQ250" s="227">
        <f t="shared" si="599"/>
        <v>0</v>
      </c>
      <c r="AR250" s="227">
        <f t="shared" si="599"/>
        <v>0</v>
      </c>
      <c r="AS250" s="227">
        <f t="shared" si="599"/>
        <v>0</v>
      </c>
      <c r="AT250" s="227">
        <f t="shared" si="599"/>
        <v>0</v>
      </c>
      <c r="AU250" s="227">
        <f t="shared" si="599"/>
        <v>0</v>
      </c>
      <c r="AV250" s="260">
        <f>SUM(AP250:AU250)</f>
        <v>0</v>
      </c>
      <c r="AW250" s="227">
        <f t="shared" ref="AW250:BB250" si="600">AW251</f>
        <v>0</v>
      </c>
      <c r="AX250" s="227">
        <f t="shared" si="600"/>
        <v>0</v>
      </c>
      <c r="AY250" s="227">
        <f t="shared" si="600"/>
        <v>0</v>
      </c>
      <c r="AZ250" s="227">
        <f t="shared" si="600"/>
        <v>0</v>
      </c>
      <c r="BA250" s="227">
        <f t="shared" si="600"/>
        <v>0</v>
      </c>
      <c r="BB250" s="227">
        <f t="shared" si="600"/>
        <v>0</v>
      </c>
      <c r="BC250" s="260">
        <f t="shared" si="552"/>
        <v>0</v>
      </c>
      <c r="BD250" s="238">
        <f t="shared" si="545"/>
        <v>25402125.616199996</v>
      </c>
      <c r="BE250" s="13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44"/>
      <c r="CC250" s="244"/>
      <c r="CD250" s="244"/>
      <c r="CE250" s="244"/>
      <c r="CF250" s="244"/>
      <c r="CG250" s="244"/>
      <c r="CH250" s="244"/>
      <c r="CI250" s="244"/>
      <c r="CJ250" s="244"/>
      <c r="CK250" s="244"/>
      <c r="CL250" s="244"/>
      <c r="CM250" s="244"/>
      <c r="CN250" s="244"/>
      <c r="CO250" s="244"/>
      <c r="CP250" s="244"/>
      <c r="CQ250" s="244"/>
      <c r="CR250" s="244"/>
      <c r="CS250" s="244"/>
      <c r="CT250" s="244"/>
      <c r="CU250" s="244"/>
      <c r="CV250" s="244"/>
      <c r="CW250" s="244"/>
      <c r="CX250" s="244"/>
      <c r="CY250" s="244"/>
      <c r="CZ250" s="244"/>
      <c r="DA250" s="244"/>
      <c r="DB250" s="244"/>
      <c r="DC250" s="244"/>
      <c r="DD250" s="244"/>
      <c r="DE250" s="244"/>
      <c r="DF250" s="244"/>
      <c r="DG250" s="244"/>
      <c r="DH250" s="244"/>
      <c r="DI250" s="244"/>
      <c r="DJ250" s="244"/>
      <c r="DK250" s="244"/>
      <c r="DL250" s="244"/>
      <c r="DM250" s="244"/>
      <c r="DN250" s="244"/>
      <c r="DO250" s="244"/>
      <c r="DP250" s="244"/>
      <c r="DQ250" s="244"/>
      <c r="DR250" s="244"/>
      <c r="DS250" s="244"/>
      <c r="DT250" s="244"/>
      <c r="DU250" s="244"/>
      <c r="DV250" s="244"/>
      <c r="DW250" s="244"/>
      <c r="DX250" s="244"/>
      <c r="DY250" s="244"/>
      <c r="DZ250" s="244"/>
      <c r="EA250" s="244"/>
      <c r="EB250" s="244"/>
      <c r="EC250" s="244"/>
      <c r="ED250" s="244"/>
      <c r="EE250" s="244"/>
      <c r="EF250" s="244"/>
      <c r="EG250" s="244"/>
      <c r="EH250" s="244"/>
      <c r="EI250" s="244"/>
      <c r="EJ250" s="244"/>
      <c r="EK250" s="244"/>
      <c r="EL250" s="244"/>
      <c r="EM250" s="244"/>
      <c r="EN250" s="244"/>
      <c r="EO250" s="244"/>
      <c r="EP250" s="244"/>
      <c r="EQ250" s="244"/>
      <c r="ER250" s="244"/>
      <c r="ES250" s="244"/>
      <c r="ET250" s="244"/>
      <c r="EU250" s="244"/>
      <c r="EV250" s="244"/>
      <c r="EW250" s="244"/>
      <c r="EX250" s="244"/>
      <c r="EY250" s="244"/>
      <c r="EZ250" s="244"/>
      <c r="FA250" s="244"/>
      <c r="FB250" s="244"/>
      <c r="FC250" s="244"/>
      <c r="FD250" s="244"/>
      <c r="FE250" s="244"/>
      <c r="FF250" s="244"/>
      <c r="FG250" s="244"/>
      <c r="FH250" s="244"/>
      <c r="FI250" s="244"/>
      <c r="FJ250" s="244"/>
      <c r="FK250" s="244"/>
      <c r="FL250" s="244"/>
      <c r="FM250" s="244"/>
      <c r="FN250" s="244"/>
      <c r="FO250" s="244"/>
      <c r="FP250" s="244"/>
      <c r="FQ250" s="244"/>
      <c r="FR250" s="244"/>
      <c r="FS250" s="244"/>
      <c r="FT250" s="244"/>
      <c r="FU250" s="244"/>
      <c r="FV250" s="244"/>
      <c r="FW250" s="244"/>
      <c r="FX250" s="244"/>
      <c r="FY250" s="244"/>
      <c r="FZ250" s="244"/>
      <c r="GA250" s="244"/>
      <c r="GB250" s="244"/>
      <c r="GC250" s="244"/>
      <c r="GD250" s="244"/>
      <c r="GE250" s="244"/>
      <c r="GF250" s="244"/>
      <c r="GG250" s="244"/>
      <c r="GH250" s="244"/>
      <c r="GI250" s="244"/>
      <c r="GJ250" s="244"/>
      <c r="GK250" s="244"/>
      <c r="GL250" s="244"/>
      <c r="GM250" s="244"/>
      <c r="GN250" s="244"/>
      <c r="GO250" s="244"/>
      <c r="GP250" s="244"/>
      <c r="GQ250" s="244"/>
      <c r="GR250" s="244"/>
      <c r="GS250" s="244"/>
      <c r="GT250" s="244"/>
    </row>
    <row r="251" spans="1:202" s="83" customFormat="1" ht="12.75">
      <c r="A251" s="191"/>
      <c r="B251" s="84" t="s">
        <v>649</v>
      </c>
      <c r="C251" s="216" t="s">
        <v>226</v>
      </c>
      <c r="D251" s="138"/>
      <c r="E251" s="147">
        <v>5632.11</v>
      </c>
      <c r="F251" s="147">
        <v>1525.83</v>
      </c>
      <c r="G251" s="177">
        <f t="shared" si="593"/>
        <v>4106.28</v>
      </c>
      <c r="H251" s="147">
        <v>5632.11</v>
      </c>
      <c r="I251" s="147">
        <v>1525.83</v>
      </c>
      <c r="J251" s="210">
        <f>H251-I251</f>
        <v>4106.28</v>
      </c>
      <c r="K251" s="252">
        <v>2884.9259999999999</v>
      </c>
      <c r="L251" s="252">
        <v>3038.123</v>
      </c>
      <c r="M251" s="252"/>
      <c r="N251" s="287">
        <f t="shared" si="522"/>
        <v>5923.049</v>
      </c>
      <c r="O251" s="273"/>
      <c r="P251" s="273"/>
      <c r="Q251" s="290"/>
      <c r="R251" s="287"/>
      <c r="S251" s="290"/>
      <c r="T251" s="264"/>
      <c r="U251" s="273"/>
      <c r="V251" s="273"/>
      <c r="W251" s="290"/>
      <c r="X251" s="264"/>
      <c r="Y251" s="142"/>
      <c r="Z251" s="273"/>
      <c r="AA251" s="273"/>
      <c r="AB251" s="273"/>
      <c r="AC251" s="273"/>
      <c r="AD251" s="273"/>
      <c r="AE251" s="273"/>
      <c r="AF251" s="287">
        <f t="shared" si="548"/>
        <v>0</v>
      </c>
      <c r="AG251" s="283">
        <f t="shared" si="594"/>
        <v>5923.049</v>
      </c>
      <c r="AH251" s="228">
        <f>K251*$G251</f>
        <v>11846313.935279999</v>
      </c>
      <c r="AI251" s="228">
        <f>L251*$G251</f>
        <v>12475383.712439999</v>
      </c>
      <c r="AJ251" s="228">
        <f>M251*$G251</f>
        <v>0</v>
      </c>
      <c r="AK251" s="261">
        <f t="shared" si="549"/>
        <v>24321697.647719998</v>
      </c>
      <c r="AL251" s="228">
        <f>O251*$G251</f>
        <v>0</v>
      </c>
      <c r="AM251" s="228">
        <f>P251*$G251</f>
        <v>0</v>
      </c>
      <c r="AN251" s="228">
        <f>Q251*$G251</f>
        <v>0</v>
      </c>
      <c r="AO251" s="261"/>
      <c r="AP251" s="228">
        <f t="shared" ref="AP251:AU251" si="601">S251*$J251</f>
        <v>0</v>
      </c>
      <c r="AQ251" s="228">
        <f t="shared" si="601"/>
        <v>0</v>
      </c>
      <c r="AR251" s="228">
        <f t="shared" si="601"/>
        <v>0</v>
      </c>
      <c r="AS251" s="228">
        <f t="shared" si="601"/>
        <v>0</v>
      </c>
      <c r="AT251" s="228">
        <f t="shared" si="601"/>
        <v>0</v>
      </c>
      <c r="AU251" s="228">
        <f t="shared" si="601"/>
        <v>0</v>
      </c>
      <c r="AV251" s="261"/>
      <c r="AW251" s="228">
        <f t="shared" ref="AW251:BB251" si="602">Z251*$J251</f>
        <v>0</v>
      </c>
      <c r="AX251" s="228">
        <f t="shared" si="602"/>
        <v>0</v>
      </c>
      <c r="AY251" s="228">
        <f t="shared" si="602"/>
        <v>0</v>
      </c>
      <c r="AZ251" s="228">
        <f t="shared" si="602"/>
        <v>0</v>
      </c>
      <c r="BA251" s="228">
        <f t="shared" si="602"/>
        <v>0</v>
      </c>
      <c r="BB251" s="228">
        <f t="shared" si="602"/>
        <v>0</v>
      </c>
      <c r="BC251" s="261">
        <f t="shared" si="552"/>
        <v>0</v>
      </c>
      <c r="BD251" s="239">
        <f t="shared" si="545"/>
        <v>24321697.647719998</v>
      </c>
      <c r="BE251" s="13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44"/>
      <c r="CC251" s="244"/>
      <c r="CD251" s="244"/>
      <c r="CE251" s="244"/>
      <c r="CF251" s="244"/>
      <c r="CG251" s="244"/>
      <c r="CH251" s="244"/>
      <c r="CI251" s="244"/>
      <c r="CJ251" s="244"/>
      <c r="CK251" s="244"/>
      <c r="CL251" s="244"/>
      <c r="CM251" s="244"/>
      <c r="CN251" s="244"/>
      <c r="CO251" s="244"/>
      <c r="CP251" s="244"/>
      <c r="CQ251" s="244"/>
      <c r="CR251" s="244"/>
      <c r="CS251" s="244"/>
      <c r="CT251" s="244"/>
      <c r="CU251" s="244"/>
      <c r="CV251" s="244"/>
      <c r="CW251" s="244"/>
      <c r="CX251" s="244"/>
      <c r="CY251" s="244"/>
      <c r="CZ251" s="244"/>
      <c r="DA251" s="244"/>
      <c r="DB251" s="244"/>
      <c r="DC251" s="244"/>
      <c r="DD251" s="244"/>
      <c r="DE251" s="244"/>
      <c r="DF251" s="244"/>
      <c r="DG251" s="244"/>
      <c r="DH251" s="244"/>
      <c r="DI251" s="244"/>
      <c r="DJ251" s="244"/>
      <c r="DK251" s="244"/>
      <c r="DL251" s="244"/>
      <c r="DM251" s="244"/>
      <c r="DN251" s="244"/>
      <c r="DO251" s="244"/>
      <c r="DP251" s="244"/>
      <c r="DQ251" s="244"/>
      <c r="DR251" s="244"/>
      <c r="DS251" s="244"/>
      <c r="DT251" s="244"/>
      <c r="DU251" s="244"/>
      <c r="DV251" s="244"/>
      <c r="DW251" s="244"/>
      <c r="DX251" s="244"/>
      <c r="DY251" s="244"/>
      <c r="DZ251" s="244"/>
      <c r="EA251" s="244"/>
      <c r="EB251" s="244"/>
      <c r="EC251" s="244"/>
      <c r="ED251" s="244"/>
      <c r="EE251" s="244"/>
      <c r="EF251" s="244"/>
      <c r="EG251" s="244"/>
      <c r="EH251" s="244"/>
      <c r="EI251" s="244"/>
      <c r="EJ251" s="244"/>
      <c r="EK251" s="244"/>
      <c r="EL251" s="244"/>
      <c r="EM251" s="244"/>
      <c r="EN251" s="244"/>
      <c r="EO251" s="244"/>
      <c r="EP251" s="244"/>
      <c r="EQ251" s="244"/>
      <c r="ER251" s="244"/>
      <c r="ES251" s="244"/>
      <c r="ET251" s="244"/>
      <c r="EU251" s="244"/>
      <c r="EV251" s="244"/>
      <c r="EW251" s="244"/>
      <c r="EX251" s="244"/>
      <c r="EY251" s="244"/>
      <c r="EZ251" s="244"/>
      <c r="FA251" s="244"/>
      <c r="FB251" s="244"/>
      <c r="FC251" s="244"/>
      <c r="FD251" s="244"/>
      <c r="FE251" s="244"/>
      <c r="FF251" s="244"/>
      <c r="FG251" s="244"/>
      <c r="FH251" s="244"/>
      <c r="FI251" s="244"/>
      <c r="FJ251" s="244"/>
      <c r="FK251" s="244"/>
      <c r="FL251" s="244"/>
      <c r="FM251" s="244"/>
      <c r="FN251" s="244"/>
      <c r="FO251" s="244"/>
      <c r="FP251" s="244"/>
      <c r="FQ251" s="244"/>
      <c r="FR251" s="244"/>
      <c r="FS251" s="244"/>
      <c r="FT251" s="244"/>
      <c r="FU251" s="244"/>
      <c r="FV251" s="244"/>
      <c r="FW251" s="244"/>
      <c r="FX251" s="244"/>
      <c r="FY251" s="244"/>
      <c r="FZ251" s="244"/>
      <c r="GA251" s="244"/>
      <c r="GB251" s="244"/>
      <c r="GC251" s="244"/>
      <c r="GD251" s="244"/>
      <c r="GE251" s="244"/>
      <c r="GF251" s="244"/>
      <c r="GG251" s="244"/>
      <c r="GH251" s="244"/>
      <c r="GI251" s="244"/>
      <c r="GJ251" s="244"/>
      <c r="GK251" s="244"/>
      <c r="GL251" s="244"/>
      <c r="GM251" s="244"/>
      <c r="GN251" s="244"/>
      <c r="GO251" s="244"/>
      <c r="GP251" s="244"/>
      <c r="GQ251" s="244"/>
      <c r="GR251" s="244"/>
      <c r="GS251" s="244"/>
      <c r="GT251" s="244"/>
    </row>
    <row r="252" spans="1:202" s="83" customFormat="1" ht="12.75">
      <c r="A252" s="191"/>
      <c r="B252" s="240" t="s">
        <v>650</v>
      </c>
      <c r="C252" s="216"/>
      <c r="D252" s="138"/>
      <c r="E252" s="147">
        <v>5632.11</v>
      </c>
      <c r="F252" s="147">
        <v>1525.83</v>
      </c>
      <c r="G252" s="177">
        <f>E252-F252</f>
        <v>4106.28</v>
      </c>
      <c r="H252" s="147">
        <v>5632.11</v>
      </c>
      <c r="I252" s="147">
        <v>1525.83</v>
      </c>
      <c r="J252" s="210">
        <f>H252-I252</f>
        <v>4106.28</v>
      </c>
      <c r="K252" s="252">
        <v>79.727000000000004</v>
      </c>
      <c r="L252" s="252">
        <v>68.724000000000004</v>
      </c>
      <c r="M252" s="252"/>
      <c r="N252" s="287">
        <f t="shared" si="522"/>
        <v>148.45100000000002</v>
      </c>
      <c r="O252" s="273"/>
      <c r="P252" s="273"/>
      <c r="Q252" s="290"/>
      <c r="R252" s="287"/>
      <c r="S252" s="290"/>
      <c r="T252" s="264"/>
      <c r="U252" s="273"/>
      <c r="V252" s="273"/>
      <c r="W252" s="290"/>
      <c r="X252" s="264"/>
      <c r="Y252" s="142"/>
      <c r="Z252" s="273"/>
      <c r="AA252" s="273"/>
      <c r="AB252" s="273"/>
      <c r="AC252" s="273"/>
      <c r="AD252" s="273"/>
      <c r="AE252" s="273"/>
      <c r="AF252" s="287"/>
      <c r="AG252" s="283">
        <f t="shared" si="594"/>
        <v>148.45100000000002</v>
      </c>
      <c r="AH252" s="228">
        <f>K252*$G252</f>
        <v>327381.38556000002</v>
      </c>
      <c r="AI252" s="228">
        <f>L252*$G252</f>
        <v>282199.98671999999</v>
      </c>
      <c r="AJ252" s="228"/>
      <c r="AK252" s="261">
        <f t="shared" si="549"/>
        <v>609581.37228000001</v>
      </c>
      <c r="AL252" s="228"/>
      <c r="AM252" s="228"/>
      <c r="AN252" s="228"/>
      <c r="AO252" s="261"/>
      <c r="AP252" s="228"/>
      <c r="AQ252" s="228"/>
      <c r="AR252" s="228"/>
      <c r="AS252" s="228"/>
      <c r="AT252" s="228"/>
      <c r="AU252" s="228"/>
      <c r="AV252" s="261"/>
      <c r="AW252" s="228"/>
      <c r="AX252" s="228"/>
      <c r="AY252" s="228"/>
      <c r="AZ252" s="228"/>
      <c r="BA252" s="228"/>
      <c r="BB252" s="228"/>
      <c r="BC252" s="261"/>
      <c r="BD252" s="239">
        <f t="shared" si="545"/>
        <v>609581.37228000001</v>
      </c>
      <c r="BE252" s="13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44"/>
      <c r="CC252" s="244"/>
      <c r="CD252" s="244"/>
      <c r="CE252" s="244"/>
      <c r="CF252" s="244"/>
      <c r="CG252" s="244"/>
      <c r="CH252" s="244"/>
      <c r="CI252" s="244"/>
      <c r="CJ252" s="244"/>
      <c r="CK252" s="244"/>
      <c r="CL252" s="244"/>
      <c r="CM252" s="244"/>
      <c r="CN252" s="244"/>
      <c r="CO252" s="244"/>
      <c r="CP252" s="244"/>
      <c r="CQ252" s="244"/>
      <c r="CR252" s="244"/>
      <c r="CS252" s="244"/>
      <c r="CT252" s="244"/>
      <c r="CU252" s="244"/>
      <c r="CV252" s="244"/>
      <c r="CW252" s="244"/>
      <c r="CX252" s="244"/>
      <c r="CY252" s="244"/>
      <c r="CZ252" s="244"/>
      <c r="DA252" s="244"/>
      <c r="DB252" s="244"/>
      <c r="DC252" s="244"/>
      <c r="DD252" s="244"/>
      <c r="DE252" s="244"/>
      <c r="DF252" s="244"/>
      <c r="DG252" s="244"/>
      <c r="DH252" s="244"/>
      <c r="DI252" s="244"/>
      <c r="DJ252" s="244"/>
      <c r="DK252" s="244"/>
      <c r="DL252" s="244"/>
      <c r="DM252" s="244"/>
      <c r="DN252" s="244"/>
      <c r="DO252" s="244"/>
      <c r="DP252" s="244"/>
      <c r="DQ252" s="244"/>
      <c r="DR252" s="244"/>
      <c r="DS252" s="244"/>
      <c r="DT252" s="244"/>
      <c r="DU252" s="244"/>
      <c r="DV252" s="244"/>
      <c r="DW252" s="244"/>
      <c r="DX252" s="244"/>
      <c r="DY252" s="244"/>
      <c r="DZ252" s="244"/>
      <c r="EA252" s="244"/>
      <c r="EB252" s="244"/>
      <c r="EC252" s="244"/>
      <c r="ED252" s="244"/>
      <c r="EE252" s="244"/>
      <c r="EF252" s="244"/>
      <c r="EG252" s="244"/>
      <c r="EH252" s="244"/>
      <c r="EI252" s="244"/>
      <c r="EJ252" s="244"/>
      <c r="EK252" s="244"/>
      <c r="EL252" s="244"/>
      <c r="EM252" s="244"/>
      <c r="EN252" s="244"/>
      <c r="EO252" s="244"/>
      <c r="EP252" s="244"/>
      <c r="EQ252" s="244"/>
      <c r="ER252" s="244"/>
      <c r="ES252" s="244"/>
      <c r="ET252" s="244"/>
      <c r="EU252" s="244"/>
      <c r="EV252" s="244"/>
      <c r="EW252" s="244"/>
      <c r="EX252" s="244"/>
      <c r="EY252" s="244"/>
      <c r="EZ252" s="244"/>
      <c r="FA252" s="244"/>
      <c r="FB252" s="244"/>
      <c r="FC252" s="244"/>
      <c r="FD252" s="244"/>
      <c r="FE252" s="244"/>
      <c r="FF252" s="244"/>
      <c r="FG252" s="244"/>
      <c r="FH252" s="244"/>
      <c r="FI252" s="244"/>
      <c r="FJ252" s="244"/>
      <c r="FK252" s="244"/>
      <c r="FL252" s="244"/>
      <c r="FM252" s="244"/>
      <c r="FN252" s="244"/>
      <c r="FO252" s="244"/>
      <c r="FP252" s="244"/>
      <c r="FQ252" s="244"/>
      <c r="FR252" s="244"/>
      <c r="FS252" s="244"/>
      <c r="FT252" s="244"/>
      <c r="FU252" s="244"/>
      <c r="FV252" s="244"/>
      <c r="FW252" s="244"/>
      <c r="FX252" s="244"/>
      <c r="FY252" s="244"/>
      <c r="FZ252" s="244"/>
      <c r="GA252" s="244"/>
      <c r="GB252" s="244"/>
      <c r="GC252" s="244"/>
      <c r="GD252" s="244"/>
      <c r="GE252" s="244"/>
      <c r="GF252" s="244"/>
      <c r="GG252" s="244"/>
      <c r="GH252" s="244"/>
      <c r="GI252" s="244"/>
      <c r="GJ252" s="244"/>
      <c r="GK252" s="244"/>
      <c r="GL252" s="244"/>
      <c r="GM252" s="244"/>
      <c r="GN252" s="244"/>
      <c r="GO252" s="244"/>
      <c r="GP252" s="244"/>
      <c r="GQ252" s="244"/>
      <c r="GR252" s="244"/>
      <c r="GS252" s="244"/>
      <c r="GT252" s="244"/>
    </row>
    <row r="253" spans="1:202" s="83" customFormat="1" ht="12.75">
      <c r="A253" s="191"/>
      <c r="B253" s="240" t="s">
        <v>651</v>
      </c>
      <c r="C253" s="216"/>
      <c r="D253" s="138"/>
      <c r="E253" s="147">
        <v>5632.11</v>
      </c>
      <c r="F253" s="147">
        <v>1525.83</v>
      </c>
      <c r="G253" s="177">
        <f>E253-F253</f>
        <v>4106.28</v>
      </c>
      <c r="H253" s="147">
        <v>5632.11</v>
      </c>
      <c r="I253" s="147">
        <v>1525.83</v>
      </c>
      <c r="J253" s="210">
        <f>H253-I253</f>
        <v>4106.28</v>
      </c>
      <c r="K253" s="252">
        <v>60.155000000000001</v>
      </c>
      <c r="L253" s="252">
        <v>54.51</v>
      </c>
      <c r="M253" s="252"/>
      <c r="N253" s="287">
        <f t="shared" si="522"/>
        <v>114.66499999999999</v>
      </c>
      <c r="O253" s="273"/>
      <c r="P253" s="273"/>
      <c r="Q253" s="290"/>
      <c r="R253" s="287"/>
      <c r="S253" s="290"/>
      <c r="T253" s="264"/>
      <c r="U253" s="273"/>
      <c r="V253" s="273"/>
      <c r="W253" s="290"/>
      <c r="X253" s="264"/>
      <c r="Y253" s="142"/>
      <c r="Z253" s="273"/>
      <c r="AA253" s="273"/>
      <c r="AB253" s="273"/>
      <c r="AC253" s="273"/>
      <c r="AD253" s="273"/>
      <c r="AE253" s="273"/>
      <c r="AF253" s="287"/>
      <c r="AG253" s="283">
        <f t="shared" si="594"/>
        <v>114.66499999999999</v>
      </c>
      <c r="AH253" s="228">
        <f>K253*$G253</f>
        <v>247013.27339999998</v>
      </c>
      <c r="AI253" s="228">
        <f>L253*$G253</f>
        <v>223833.32279999997</v>
      </c>
      <c r="AJ253" s="228"/>
      <c r="AK253" s="261">
        <f t="shared" si="549"/>
        <v>470846.59619999991</v>
      </c>
      <c r="AL253" s="228"/>
      <c r="AM253" s="228"/>
      <c r="AN253" s="228"/>
      <c r="AO253" s="261"/>
      <c r="AP253" s="228"/>
      <c r="AQ253" s="228"/>
      <c r="AR253" s="228"/>
      <c r="AS253" s="228"/>
      <c r="AT253" s="228"/>
      <c r="AU253" s="228"/>
      <c r="AV253" s="261"/>
      <c r="AW253" s="228"/>
      <c r="AX253" s="228"/>
      <c r="AY253" s="228"/>
      <c r="AZ253" s="228"/>
      <c r="BA253" s="228"/>
      <c r="BB253" s="228"/>
      <c r="BC253" s="261"/>
      <c r="BD253" s="239">
        <f t="shared" si="545"/>
        <v>470846.59619999991</v>
      </c>
      <c r="BE253" s="13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44"/>
      <c r="CC253" s="244"/>
      <c r="CD253" s="244"/>
      <c r="CE253" s="244"/>
      <c r="CF253" s="244"/>
      <c r="CG253" s="244"/>
      <c r="CH253" s="244"/>
      <c r="CI253" s="244"/>
      <c r="CJ253" s="244"/>
      <c r="CK253" s="244"/>
      <c r="CL253" s="244"/>
      <c r="CM253" s="244"/>
      <c r="CN253" s="244"/>
      <c r="CO253" s="244"/>
      <c r="CP253" s="244"/>
      <c r="CQ253" s="244"/>
      <c r="CR253" s="244"/>
      <c r="CS253" s="244"/>
      <c r="CT253" s="244"/>
      <c r="CU253" s="244"/>
      <c r="CV253" s="244"/>
      <c r="CW253" s="244"/>
      <c r="CX253" s="244"/>
      <c r="CY253" s="244"/>
      <c r="CZ253" s="244"/>
      <c r="DA253" s="244"/>
      <c r="DB253" s="244"/>
      <c r="DC253" s="244"/>
      <c r="DD253" s="244"/>
      <c r="DE253" s="244"/>
      <c r="DF253" s="244"/>
      <c r="DG253" s="244"/>
      <c r="DH253" s="244"/>
      <c r="DI253" s="244"/>
      <c r="DJ253" s="244"/>
      <c r="DK253" s="244"/>
      <c r="DL253" s="244"/>
      <c r="DM253" s="244"/>
      <c r="DN253" s="244"/>
      <c r="DO253" s="244"/>
      <c r="DP253" s="244"/>
      <c r="DQ253" s="244"/>
      <c r="DR253" s="244"/>
      <c r="DS253" s="244"/>
      <c r="DT253" s="244"/>
      <c r="DU253" s="244"/>
      <c r="DV253" s="244"/>
      <c r="DW253" s="244"/>
      <c r="DX253" s="244"/>
      <c r="DY253" s="244"/>
      <c r="DZ253" s="244"/>
      <c r="EA253" s="244"/>
      <c r="EB253" s="244"/>
      <c r="EC253" s="244"/>
      <c r="ED253" s="244"/>
      <c r="EE253" s="244"/>
      <c r="EF253" s="244"/>
      <c r="EG253" s="244"/>
      <c r="EH253" s="244"/>
      <c r="EI253" s="244"/>
      <c r="EJ253" s="244"/>
      <c r="EK253" s="244"/>
      <c r="EL253" s="244"/>
      <c r="EM253" s="244"/>
      <c r="EN253" s="244"/>
      <c r="EO253" s="244"/>
      <c r="EP253" s="244"/>
      <c r="EQ253" s="244"/>
      <c r="ER253" s="244"/>
      <c r="ES253" s="244"/>
      <c r="ET253" s="244"/>
      <c r="EU253" s="244"/>
      <c r="EV253" s="244"/>
      <c r="EW253" s="244"/>
      <c r="EX253" s="244"/>
      <c r="EY253" s="244"/>
      <c r="EZ253" s="244"/>
      <c r="FA253" s="244"/>
      <c r="FB253" s="244"/>
      <c r="FC253" s="244"/>
      <c r="FD253" s="244"/>
      <c r="FE253" s="244"/>
      <c r="FF253" s="244"/>
      <c r="FG253" s="244"/>
      <c r="FH253" s="244"/>
      <c r="FI253" s="244"/>
      <c r="FJ253" s="244"/>
      <c r="FK253" s="244"/>
      <c r="FL253" s="244"/>
      <c r="FM253" s="244"/>
      <c r="FN253" s="244"/>
      <c r="FO253" s="244"/>
      <c r="FP253" s="244"/>
      <c r="FQ253" s="244"/>
      <c r="FR253" s="244"/>
      <c r="FS253" s="244"/>
      <c r="FT253" s="244"/>
      <c r="FU253" s="244"/>
      <c r="FV253" s="244"/>
      <c r="FW253" s="244"/>
      <c r="FX253" s="244"/>
      <c r="FY253" s="244"/>
      <c r="FZ253" s="244"/>
      <c r="GA253" s="244"/>
      <c r="GB253" s="244"/>
      <c r="GC253" s="244"/>
      <c r="GD253" s="244"/>
      <c r="GE253" s="244"/>
      <c r="GF253" s="244"/>
      <c r="GG253" s="244"/>
      <c r="GH253" s="244"/>
      <c r="GI253" s="244"/>
      <c r="GJ253" s="244"/>
      <c r="GK253" s="244"/>
      <c r="GL253" s="244"/>
      <c r="GM253" s="244"/>
      <c r="GN253" s="244"/>
      <c r="GO253" s="244"/>
      <c r="GP253" s="244"/>
      <c r="GQ253" s="244"/>
      <c r="GR253" s="244"/>
      <c r="GS253" s="244"/>
      <c r="GT253" s="244"/>
    </row>
    <row r="254" spans="1:202" s="83" customFormat="1" ht="12.75">
      <c r="A254" s="187" t="s">
        <v>26</v>
      </c>
      <c r="B254" s="170" t="s">
        <v>70</v>
      </c>
      <c r="C254" s="216" t="s">
        <v>257</v>
      </c>
      <c r="D254" s="138">
        <v>2921126730</v>
      </c>
      <c r="E254" s="147"/>
      <c r="F254" s="147"/>
      <c r="G254" s="177"/>
      <c r="H254" s="147"/>
      <c r="I254" s="147"/>
      <c r="J254" s="210"/>
      <c r="K254" s="251">
        <f>SUM(K255:K258)</f>
        <v>805.51800000000003</v>
      </c>
      <c r="L254" s="251">
        <f>SUM(L255:L258)</f>
        <v>803.01800000000003</v>
      </c>
      <c r="M254" s="251">
        <f>SUM(M255:M257)</f>
        <v>0</v>
      </c>
      <c r="N254" s="284">
        <f t="shared" si="522"/>
        <v>1608.5360000000001</v>
      </c>
      <c r="O254" s="272">
        <f>SUM(O255:O257)</f>
        <v>0</v>
      </c>
      <c r="P254" s="272">
        <f>SUM(P255:P257)</f>
        <v>0</v>
      </c>
      <c r="Q254" s="272">
        <f>SUM(Q255:Q257)</f>
        <v>0</v>
      </c>
      <c r="R254" s="284">
        <f>O254+P254+Q254</f>
        <v>0</v>
      </c>
      <c r="S254" s="289">
        <f t="shared" ref="S254:X254" si="603">S255+S256+S257</f>
        <v>0</v>
      </c>
      <c r="T254" s="289">
        <f t="shared" si="603"/>
        <v>0</v>
      </c>
      <c r="U254" s="289">
        <f t="shared" si="603"/>
        <v>0</v>
      </c>
      <c r="V254" s="289">
        <f t="shared" si="603"/>
        <v>0</v>
      </c>
      <c r="W254" s="289">
        <f t="shared" si="603"/>
        <v>0</v>
      </c>
      <c r="X254" s="289">
        <f t="shared" si="603"/>
        <v>0</v>
      </c>
      <c r="Y254" s="262">
        <f>SUM(S254:X254)</f>
        <v>0</v>
      </c>
      <c r="Z254" s="272">
        <f t="shared" ref="Z254:AE254" si="604">Z255+Z256+Z257</f>
        <v>0</v>
      </c>
      <c r="AA254" s="272">
        <f t="shared" si="604"/>
        <v>0</v>
      </c>
      <c r="AB254" s="272">
        <f t="shared" si="604"/>
        <v>0</v>
      </c>
      <c r="AC254" s="272">
        <f t="shared" si="604"/>
        <v>0</v>
      </c>
      <c r="AD254" s="272">
        <f t="shared" si="604"/>
        <v>0</v>
      </c>
      <c r="AE254" s="272">
        <f t="shared" si="604"/>
        <v>0</v>
      </c>
      <c r="AF254" s="284">
        <f>SUM(AF255:AF257)</f>
        <v>0</v>
      </c>
      <c r="AG254" s="282">
        <f t="shared" si="594"/>
        <v>1608.5360000000001</v>
      </c>
      <c r="AH254" s="227">
        <f>SUM(AH255:AH258)</f>
        <v>4763758.0298000006</v>
      </c>
      <c r="AI254" s="227">
        <f>SUM(AI255:AI258)</f>
        <v>4748193.4548000004</v>
      </c>
      <c r="AJ254" s="227">
        <f>SUM(AJ255:AJ257)</f>
        <v>0</v>
      </c>
      <c r="AK254" s="260">
        <f t="shared" si="549"/>
        <v>9511951.4846000001</v>
      </c>
      <c r="AL254" s="227">
        <f>SUM(AL255:AL257)</f>
        <v>0</v>
      </c>
      <c r="AM254" s="227">
        <f>SUM(AM255:AM257)</f>
        <v>0</v>
      </c>
      <c r="AN254" s="227">
        <f>SUM(AN255:AN257)</f>
        <v>0</v>
      </c>
      <c r="AO254" s="260">
        <f>SUM(AL254:AN254)</f>
        <v>0</v>
      </c>
      <c r="AP254" s="227">
        <f t="shared" ref="AP254:AU254" si="605">SUM(AP255:AP257)</f>
        <v>0</v>
      </c>
      <c r="AQ254" s="227">
        <f t="shared" si="605"/>
        <v>0</v>
      </c>
      <c r="AR254" s="227">
        <f t="shared" si="605"/>
        <v>0</v>
      </c>
      <c r="AS254" s="227">
        <f t="shared" si="605"/>
        <v>0</v>
      </c>
      <c r="AT254" s="227">
        <f t="shared" si="605"/>
        <v>0</v>
      </c>
      <c r="AU254" s="227">
        <f t="shared" si="605"/>
        <v>0</v>
      </c>
      <c r="AV254" s="260">
        <f>SUM(AP254:AU254)</f>
        <v>0</v>
      </c>
      <c r="AW254" s="227">
        <f t="shared" ref="AW254:BB254" si="606">SUM(AW255:AW257)</f>
        <v>0</v>
      </c>
      <c r="AX254" s="227">
        <f t="shared" si="606"/>
        <v>0</v>
      </c>
      <c r="AY254" s="227">
        <f t="shared" si="606"/>
        <v>0</v>
      </c>
      <c r="AZ254" s="227">
        <f t="shared" si="606"/>
        <v>0</v>
      </c>
      <c r="BA254" s="227">
        <f t="shared" si="606"/>
        <v>0</v>
      </c>
      <c r="BB254" s="227">
        <f t="shared" si="606"/>
        <v>0</v>
      </c>
      <c r="BC254" s="260">
        <f>SUM(AW254:BB254)</f>
        <v>0</v>
      </c>
      <c r="BD254" s="238">
        <f t="shared" si="545"/>
        <v>9511951.4846000001</v>
      </c>
      <c r="BE254" s="13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44"/>
      <c r="CC254" s="244"/>
      <c r="CD254" s="244"/>
      <c r="CE254" s="244"/>
      <c r="CF254" s="244"/>
      <c r="CG254" s="244"/>
      <c r="CH254" s="244"/>
      <c r="CI254" s="244"/>
      <c r="CJ254" s="244"/>
      <c r="CK254" s="244"/>
      <c r="CL254" s="244"/>
      <c r="CM254" s="244"/>
      <c r="CN254" s="244"/>
      <c r="CO254" s="244"/>
      <c r="CP254" s="244"/>
      <c r="CQ254" s="244"/>
      <c r="CR254" s="244"/>
      <c r="CS254" s="244"/>
      <c r="CT254" s="244"/>
      <c r="CU254" s="244"/>
      <c r="CV254" s="244"/>
      <c r="CW254" s="244"/>
      <c r="CX254" s="244"/>
      <c r="CY254" s="244"/>
      <c r="CZ254" s="244"/>
      <c r="DA254" s="244"/>
      <c r="DB254" s="244"/>
      <c r="DC254" s="244"/>
      <c r="DD254" s="244"/>
      <c r="DE254" s="244"/>
      <c r="DF254" s="244"/>
      <c r="DG254" s="244"/>
      <c r="DH254" s="244"/>
      <c r="DI254" s="244"/>
      <c r="DJ254" s="244"/>
      <c r="DK254" s="244"/>
      <c r="DL254" s="244"/>
      <c r="DM254" s="244"/>
      <c r="DN254" s="244"/>
      <c r="DO254" s="244"/>
      <c r="DP254" s="244"/>
      <c r="DQ254" s="244"/>
      <c r="DR254" s="244"/>
      <c r="DS254" s="244"/>
      <c r="DT254" s="244"/>
      <c r="DU254" s="244"/>
      <c r="DV254" s="244"/>
      <c r="DW254" s="244"/>
      <c r="DX254" s="244"/>
      <c r="DY254" s="244"/>
      <c r="DZ254" s="244"/>
      <c r="EA254" s="244"/>
      <c r="EB254" s="244"/>
      <c r="EC254" s="244"/>
      <c r="ED254" s="244"/>
      <c r="EE254" s="244"/>
      <c r="EF254" s="244"/>
      <c r="EG254" s="244"/>
      <c r="EH254" s="244"/>
      <c r="EI254" s="244"/>
      <c r="EJ254" s="244"/>
      <c r="EK254" s="244"/>
      <c r="EL254" s="244"/>
      <c r="EM254" s="244"/>
      <c r="EN254" s="244"/>
      <c r="EO254" s="244"/>
      <c r="EP254" s="244"/>
      <c r="EQ254" s="244"/>
      <c r="ER254" s="244"/>
      <c r="ES254" s="244"/>
      <c r="ET254" s="244"/>
      <c r="EU254" s="244"/>
      <c r="EV254" s="244"/>
      <c r="EW254" s="244"/>
      <c r="EX254" s="244"/>
      <c r="EY254" s="244"/>
      <c r="EZ254" s="244"/>
      <c r="FA254" s="244"/>
      <c r="FB254" s="244"/>
      <c r="FC254" s="244"/>
      <c r="FD254" s="244"/>
      <c r="FE254" s="244"/>
      <c r="FF254" s="244"/>
      <c r="FG254" s="244"/>
      <c r="FH254" s="244"/>
      <c r="FI254" s="244"/>
      <c r="FJ254" s="244"/>
      <c r="FK254" s="244"/>
      <c r="FL254" s="244"/>
      <c r="FM254" s="244"/>
      <c r="FN254" s="244"/>
      <c r="FO254" s="244"/>
      <c r="FP254" s="244"/>
      <c r="FQ254" s="244"/>
      <c r="FR254" s="244"/>
      <c r="FS254" s="244"/>
      <c r="FT254" s="244"/>
      <c r="FU254" s="244"/>
      <c r="FV254" s="244"/>
      <c r="FW254" s="244"/>
      <c r="FX254" s="244"/>
      <c r="FY254" s="244"/>
      <c r="FZ254" s="244"/>
      <c r="GA254" s="244"/>
      <c r="GB254" s="244"/>
      <c r="GC254" s="244"/>
      <c r="GD254" s="244"/>
      <c r="GE254" s="244"/>
      <c r="GF254" s="244"/>
      <c r="GG254" s="244"/>
      <c r="GH254" s="244"/>
      <c r="GI254" s="244"/>
      <c r="GJ254" s="244"/>
      <c r="GK254" s="244"/>
      <c r="GL254" s="244"/>
      <c r="GM254" s="244"/>
      <c r="GN254" s="244"/>
      <c r="GO254" s="244"/>
      <c r="GP254" s="244"/>
      <c r="GQ254" s="244"/>
      <c r="GR254" s="244"/>
      <c r="GS254" s="244"/>
      <c r="GT254" s="244"/>
    </row>
    <row r="255" spans="1:202" s="83" customFormat="1" ht="12.75">
      <c r="A255" s="198"/>
      <c r="B255" s="343" t="s">
        <v>152</v>
      </c>
      <c r="C255" s="217"/>
      <c r="D255" s="149"/>
      <c r="E255" s="147">
        <v>6902.3</v>
      </c>
      <c r="F255" s="147">
        <v>1612.5</v>
      </c>
      <c r="G255" s="177">
        <f t="shared" si="593"/>
        <v>5289.8</v>
      </c>
      <c r="H255" s="147">
        <v>6902.3</v>
      </c>
      <c r="I255" s="147">
        <v>1612.5</v>
      </c>
      <c r="J255" s="210">
        <f>H255-I255</f>
        <v>5289.8</v>
      </c>
      <c r="K255" s="253">
        <v>399.40600000000001</v>
      </c>
      <c r="L255" s="253">
        <v>399.40600000000001</v>
      </c>
      <c r="M255" s="253"/>
      <c r="N255" s="287">
        <f t="shared" si="522"/>
        <v>798.81200000000001</v>
      </c>
      <c r="O255" s="274"/>
      <c r="P255" s="274"/>
      <c r="Q255" s="291"/>
      <c r="R255" s="287"/>
      <c r="S255" s="291"/>
      <c r="T255" s="265"/>
      <c r="U255" s="274"/>
      <c r="V255" s="274"/>
      <c r="W255" s="291"/>
      <c r="X255" s="265"/>
      <c r="Y255" s="142"/>
      <c r="Z255" s="274"/>
      <c r="AA255" s="274"/>
      <c r="AB255" s="274"/>
      <c r="AC255" s="274"/>
      <c r="AD255" s="274"/>
      <c r="AE255" s="274"/>
      <c r="AF255" s="287">
        <f>SUM(Z255:AE255)</f>
        <v>0</v>
      </c>
      <c r="AG255" s="283">
        <f t="shared" si="594"/>
        <v>798.81200000000001</v>
      </c>
      <c r="AH255" s="229">
        <f t="shared" ref="AH255:AJ258" si="607">K255*$G255</f>
        <v>2112777.8588</v>
      </c>
      <c r="AI255" s="229">
        <f t="shared" si="607"/>
        <v>2112777.8588</v>
      </c>
      <c r="AJ255" s="229">
        <f t="shared" si="607"/>
        <v>0</v>
      </c>
      <c r="AK255" s="261">
        <f t="shared" si="549"/>
        <v>4225555.7176000001</v>
      </c>
      <c r="AL255" s="229">
        <f t="shared" ref="AL255:AN257" si="608">O255*$G255</f>
        <v>0</v>
      </c>
      <c r="AM255" s="229">
        <f t="shared" si="608"/>
        <v>0</v>
      </c>
      <c r="AN255" s="229">
        <f t="shared" si="608"/>
        <v>0</v>
      </c>
      <c r="AO255" s="261"/>
      <c r="AP255" s="229">
        <f t="shared" ref="AP255:AU257" si="609">S255*$J255</f>
        <v>0</v>
      </c>
      <c r="AQ255" s="229">
        <f t="shared" si="609"/>
        <v>0</v>
      </c>
      <c r="AR255" s="229">
        <f t="shared" si="609"/>
        <v>0</v>
      </c>
      <c r="AS255" s="229">
        <f t="shared" si="609"/>
        <v>0</v>
      </c>
      <c r="AT255" s="229">
        <f t="shared" si="609"/>
        <v>0</v>
      </c>
      <c r="AU255" s="229">
        <f t="shared" si="609"/>
        <v>0</v>
      </c>
      <c r="AV255" s="261"/>
      <c r="AW255" s="229">
        <f t="shared" ref="AW255:BB257" si="610">Z255*$J255</f>
        <v>0</v>
      </c>
      <c r="AX255" s="229">
        <f t="shared" si="610"/>
        <v>0</v>
      </c>
      <c r="AY255" s="229">
        <f t="shared" si="610"/>
        <v>0</v>
      </c>
      <c r="AZ255" s="229">
        <f t="shared" si="610"/>
        <v>0</v>
      </c>
      <c r="BA255" s="229">
        <f t="shared" si="610"/>
        <v>0</v>
      </c>
      <c r="BB255" s="229">
        <f t="shared" si="610"/>
        <v>0</v>
      </c>
      <c r="BC255" s="261">
        <f>SUM(AW255:BB255)</f>
        <v>0</v>
      </c>
      <c r="BD255" s="239">
        <f t="shared" si="545"/>
        <v>4225555.7176000001</v>
      </c>
      <c r="BE255" s="13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44"/>
      <c r="CC255" s="244"/>
      <c r="CD255" s="244"/>
      <c r="CE255" s="244"/>
      <c r="CF255" s="244"/>
      <c r="CG255" s="244"/>
      <c r="CH255" s="244"/>
      <c r="CI255" s="244"/>
      <c r="CJ255" s="244"/>
      <c r="CK255" s="244"/>
      <c r="CL255" s="244"/>
      <c r="CM255" s="244"/>
      <c r="CN255" s="244"/>
      <c r="CO255" s="244"/>
      <c r="CP255" s="244"/>
      <c r="CQ255" s="244"/>
      <c r="CR255" s="244"/>
      <c r="CS255" s="244"/>
      <c r="CT255" s="244"/>
      <c r="CU255" s="244"/>
      <c r="CV255" s="244"/>
      <c r="CW255" s="244"/>
      <c r="CX255" s="244"/>
      <c r="CY255" s="244"/>
      <c r="CZ255" s="244"/>
      <c r="DA255" s="244"/>
      <c r="DB255" s="244"/>
      <c r="DC255" s="244"/>
      <c r="DD255" s="244"/>
      <c r="DE255" s="244"/>
      <c r="DF255" s="244"/>
      <c r="DG255" s="244"/>
      <c r="DH255" s="244"/>
      <c r="DI255" s="244"/>
      <c r="DJ255" s="244"/>
      <c r="DK255" s="244"/>
      <c r="DL255" s="244"/>
      <c r="DM255" s="244"/>
      <c r="DN255" s="244"/>
      <c r="DO255" s="244"/>
      <c r="DP255" s="244"/>
      <c r="DQ255" s="244"/>
      <c r="DR255" s="244"/>
      <c r="DS255" s="244"/>
      <c r="DT255" s="244"/>
      <c r="DU255" s="244"/>
      <c r="DV255" s="244"/>
      <c r="DW255" s="244"/>
      <c r="DX255" s="244"/>
      <c r="DY255" s="244"/>
      <c r="DZ255" s="244"/>
      <c r="EA255" s="244"/>
      <c r="EB255" s="244"/>
      <c r="EC255" s="244"/>
      <c r="ED255" s="244"/>
      <c r="EE255" s="244"/>
      <c r="EF255" s="244"/>
      <c r="EG255" s="244"/>
      <c r="EH255" s="244"/>
      <c r="EI255" s="244"/>
      <c r="EJ255" s="244"/>
      <c r="EK255" s="244"/>
      <c r="EL255" s="244"/>
      <c r="EM255" s="244"/>
      <c r="EN255" s="244"/>
      <c r="EO255" s="244"/>
      <c r="EP255" s="244"/>
      <c r="EQ255" s="244"/>
      <c r="ER255" s="244"/>
      <c r="ES255" s="244"/>
      <c r="ET255" s="244"/>
      <c r="EU255" s="244"/>
      <c r="EV255" s="244"/>
      <c r="EW255" s="244"/>
      <c r="EX255" s="244"/>
      <c r="EY255" s="244"/>
      <c r="EZ255" s="244"/>
      <c r="FA255" s="244"/>
      <c r="FB255" s="244"/>
      <c r="FC255" s="244"/>
      <c r="FD255" s="244"/>
      <c r="FE255" s="244"/>
      <c r="FF255" s="244"/>
      <c r="FG255" s="244"/>
      <c r="FH255" s="244"/>
      <c r="FI255" s="244"/>
      <c r="FJ255" s="244"/>
      <c r="FK255" s="244"/>
      <c r="FL255" s="244"/>
      <c r="FM255" s="244"/>
      <c r="FN255" s="244"/>
      <c r="FO255" s="244"/>
      <c r="FP255" s="244"/>
      <c r="FQ255" s="244"/>
      <c r="FR255" s="244"/>
      <c r="FS255" s="244"/>
      <c r="FT255" s="244"/>
      <c r="FU255" s="244"/>
      <c r="FV255" s="244"/>
      <c r="FW255" s="244"/>
      <c r="FX255" s="244"/>
      <c r="FY255" s="244"/>
      <c r="FZ255" s="244"/>
      <c r="GA255" s="244"/>
      <c r="GB255" s="244"/>
      <c r="GC255" s="244"/>
      <c r="GD255" s="244"/>
      <c r="GE255" s="244"/>
      <c r="GF255" s="244"/>
      <c r="GG255" s="244"/>
      <c r="GH255" s="244"/>
      <c r="GI255" s="244"/>
      <c r="GJ255" s="244"/>
      <c r="GK255" s="244"/>
      <c r="GL255" s="244"/>
      <c r="GM255" s="244"/>
      <c r="GN255" s="244"/>
      <c r="GO255" s="244"/>
      <c r="GP255" s="244"/>
      <c r="GQ255" s="244"/>
      <c r="GR255" s="244"/>
      <c r="GS255" s="244"/>
      <c r="GT255" s="244"/>
    </row>
    <row r="256" spans="1:202" s="83" customFormat="1" ht="12.75">
      <c r="A256" s="198"/>
      <c r="B256" s="343" t="s">
        <v>153</v>
      </c>
      <c r="C256" s="217"/>
      <c r="D256" s="149"/>
      <c r="E256" s="147">
        <v>8205.83</v>
      </c>
      <c r="F256" s="147">
        <v>1980</v>
      </c>
      <c r="G256" s="177">
        <f t="shared" si="593"/>
        <v>6225.83</v>
      </c>
      <c r="H256" s="147">
        <v>8205.83</v>
      </c>
      <c r="I256" s="147">
        <v>1980</v>
      </c>
      <c r="J256" s="210">
        <f>H256-I256</f>
        <v>6225.83</v>
      </c>
      <c r="K256" s="253">
        <v>252.83500000000001</v>
      </c>
      <c r="L256" s="253">
        <v>252.83500000000001</v>
      </c>
      <c r="M256" s="253"/>
      <c r="N256" s="287">
        <f t="shared" si="522"/>
        <v>505.67</v>
      </c>
      <c r="O256" s="274"/>
      <c r="P256" s="274"/>
      <c r="Q256" s="291"/>
      <c r="R256" s="287"/>
      <c r="S256" s="291"/>
      <c r="T256" s="265"/>
      <c r="U256" s="274"/>
      <c r="V256" s="274"/>
      <c r="W256" s="291"/>
      <c r="X256" s="265"/>
      <c r="Y256" s="142"/>
      <c r="Z256" s="274"/>
      <c r="AA256" s="274"/>
      <c r="AB256" s="274"/>
      <c r="AC256" s="274"/>
      <c r="AD256" s="274"/>
      <c r="AE256" s="274"/>
      <c r="AF256" s="287">
        <f>SUM(Z256:AE256)</f>
        <v>0</v>
      </c>
      <c r="AG256" s="283">
        <f t="shared" si="594"/>
        <v>505.67</v>
      </c>
      <c r="AH256" s="229">
        <f t="shared" si="607"/>
        <v>1574107.72805</v>
      </c>
      <c r="AI256" s="229">
        <f t="shared" si="607"/>
        <v>1574107.72805</v>
      </c>
      <c r="AJ256" s="229">
        <f t="shared" si="607"/>
        <v>0</v>
      </c>
      <c r="AK256" s="261">
        <f t="shared" si="549"/>
        <v>3148215.4561000001</v>
      </c>
      <c r="AL256" s="229">
        <f t="shared" si="608"/>
        <v>0</v>
      </c>
      <c r="AM256" s="229">
        <f t="shared" si="608"/>
        <v>0</v>
      </c>
      <c r="AN256" s="229">
        <f t="shared" si="608"/>
        <v>0</v>
      </c>
      <c r="AO256" s="261"/>
      <c r="AP256" s="229">
        <f t="shared" si="609"/>
        <v>0</v>
      </c>
      <c r="AQ256" s="229">
        <f t="shared" si="609"/>
        <v>0</v>
      </c>
      <c r="AR256" s="229">
        <f t="shared" si="609"/>
        <v>0</v>
      </c>
      <c r="AS256" s="229">
        <f t="shared" si="609"/>
        <v>0</v>
      </c>
      <c r="AT256" s="229">
        <f t="shared" si="609"/>
        <v>0</v>
      </c>
      <c r="AU256" s="229">
        <f t="shared" si="609"/>
        <v>0</v>
      </c>
      <c r="AV256" s="261"/>
      <c r="AW256" s="229">
        <f t="shared" si="610"/>
        <v>0</v>
      </c>
      <c r="AX256" s="229">
        <f t="shared" si="610"/>
        <v>0</v>
      </c>
      <c r="AY256" s="229">
        <f t="shared" si="610"/>
        <v>0</v>
      </c>
      <c r="AZ256" s="229">
        <f t="shared" si="610"/>
        <v>0</v>
      </c>
      <c r="BA256" s="229">
        <f t="shared" si="610"/>
        <v>0</v>
      </c>
      <c r="BB256" s="229">
        <f t="shared" si="610"/>
        <v>0</v>
      </c>
      <c r="BC256" s="261">
        <f>SUM(AW256:BB256)</f>
        <v>0</v>
      </c>
      <c r="BD256" s="239">
        <f t="shared" si="545"/>
        <v>3148215.4561000001</v>
      </c>
      <c r="BE256" s="13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44"/>
      <c r="CC256" s="244"/>
      <c r="CD256" s="244"/>
      <c r="CE256" s="244"/>
      <c r="CF256" s="244"/>
      <c r="CG256" s="244"/>
      <c r="CH256" s="244"/>
      <c r="CI256" s="244"/>
      <c r="CJ256" s="244"/>
      <c r="CK256" s="244"/>
      <c r="CL256" s="244"/>
      <c r="CM256" s="244"/>
      <c r="CN256" s="244"/>
      <c r="CO256" s="244"/>
      <c r="CP256" s="244"/>
      <c r="CQ256" s="244"/>
      <c r="CR256" s="244"/>
      <c r="CS256" s="244"/>
      <c r="CT256" s="244"/>
      <c r="CU256" s="244"/>
      <c r="CV256" s="244"/>
      <c r="CW256" s="244"/>
      <c r="CX256" s="244"/>
      <c r="CY256" s="244"/>
      <c r="CZ256" s="244"/>
      <c r="DA256" s="244"/>
      <c r="DB256" s="244"/>
      <c r="DC256" s="244"/>
      <c r="DD256" s="244"/>
      <c r="DE256" s="244"/>
      <c r="DF256" s="244"/>
      <c r="DG256" s="244"/>
      <c r="DH256" s="244"/>
      <c r="DI256" s="244"/>
      <c r="DJ256" s="244"/>
      <c r="DK256" s="244"/>
      <c r="DL256" s="244"/>
      <c r="DM256" s="244"/>
      <c r="DN256" s="244"/>
      <c r="DO256" s="244"/>
      <c r="DP256" s="244"/>
      <c r="DQ256" s="244"/>
      <c r="DR256" s="244"/>
      <c r="DS256" s="244"/>
      <c r="DT256" s="244"/>
      <c r="DU256" s="244"/>
      <c r="DV256" s="244"/>
      <c r="DW256" s="244"/>
      <c r="DX256" s="244"/>
      <c r="DY256" s="244"/>
      <c r="DZ256" s="244"/>
      <c r="EA256" s="244"/>
      <c r="EB256" s="244"/>
      <c r="EC256" s="244"/>
      <c r="ED256" s="244"/>
      <c r="EE256" s="244"/>
      <c r="EF256" s="244"/>
      <c r="EG256" s="244"/>
      <c r="EH256" s="244"/>
      <c r="EI256" s="244"/>
      <c r="EJ256" s="244"/>
      <c r="EK256" s="244"/>
      <c r="EL256" s="244"/>
      <c r="EM256" s="244"/>
      <c r="EN256" s="244"/>
      <c r="EO256" s="244"/>
      <c r="EP256" s="244"/>
      <c r="EQ256" s="244"/>
      <c r="ER256" s="244"/>
      <c r="ES256" s="244"/>
      <c r="ET256" s="244"/>
      <c r="EU256" s="244"/>
      <c r="EV256" s="244"/>
      <c r="EW256" s="244"/>
      <c r="EX256" s="244"/>
      <c r="EY256" s="244"/>
      <c r="EZ256" s="244"/>
      <c r="FA256" s="244"/>
      <c r="FB256" s="244"/>
      <c r="FC256" s="244"/>
      <c r="FD256" s="244"/>
      <c r="FE256" s="244"/>
      <c r="FF256" s="244"/>
      <c r="FG256" s="244"/>
      <c r="FH256" s="244"/>
      <c r="FI256" s="244"/>
      <c r="FJ256" s="244"/>
      <c r="FK256" s="244"/>
      <c r="FL256" s="244"/>
      <c r="FM256" s="244"/>
      <c r="FN256" s="244"/>
      <c r="FO256" s="244"/>
      <c r="FP256" s="244"/>
      <c r="FQ256" s="244"/>
      <c r="FR256" s="244"/>
      <c r="FS256" s="244"/>
      <c r="FT256" s="244"/>
      <c r="FU256" s="244"/>
      <c r="FV256" s="244"/>
      <c r="FW256" s="244"/>
      <c r="FX256" s="244"/>
      <c r="FY256" s="244"/>
      <c r="FZ256" s="244"/>
      <c r="GA256" s="244"/>
      <c r="GB256" s="244"/>
      <c r="GC256" s="244"/>
      <c r="GD256" s="244"/>
      <c r="GE256" s="244"/>
      <c r="GF256" s="244"/>
      <c r="GG256" s="244"/>
      <c r="GH256" s="244"/>
      <c r="GI256" s="244"/>
      <c r="GJ256" s="244"/>
      <c r="GK256" s="244"/>
      <c r="GL256" s="244"/>
      <c r="GM256" s="244"/>
      <c r="GN256" s="244"/>
      <c r="GO256" s="244"/>
      <c r="GP256" s="244"/>
      <c r="GQ256" s="244"/>
      <c r="GR256" s="244"/>
      <c r="GS256" s="244"/>
      <c r="GT256" s="244"/>
    </row>
    <row r="257" spans="1:202" s="83" customFormat="1" ht="12.75">
      <c r="A257" s="198"/>
      <c r="B257" s="343" t="s">
        <v>151</v>
      </c>
      <c r="C257" s="217"/>
      <c r="D257" s="149"/>
      <c r="E257" s="147">
        <v>9188.35</v>
      </c>
      <c r="F257" s="147">
        <v>1980</v>
      </c>
      <c r="G257" s="177">
        <f t="shared" si="593"/>
        <v>7208.35</v>
      </c>
      <c r="H257" s="147">
        <v>9188.35</v>
      </c>
      <c r="I257" s="147">
        <v>1980</v>
      </c>
      <c r="J257" s="210">
        <f>H257-I257</f>
        <v>7208.35</v>
      </c>
      <c r="K257" s="253">
        <v>124.777</v>
      </c>
      <c r="L257" s="253">
        <v>124.777</v>
      </c>
      <c r="M257" s="253"/>
      <c r="N257" s="287">
        <f t="shared" si="522"/>
        <v>249.554</v>
      </c>
      <c r="O257" s="274"/>
      <c r="P257" s="274"/>
      <c r="Q257" s="291"/>
      <c r="R257" s="287"/>
      <c r="S257" s="291"/>
      <c r="T257" s="265"/>
      <c r="U257" s="274"/>
      <c r="V257" s="274"/>
      <c r="W257" s="291"/>
      <c r="X257" s="265"/>
      <c r="Y257" s="142"/>
      <c r="Z257" s="274"/>
      <c r="AA257" s="274"/>
      <c r="AB257" s="274"/>
      <c r="AC257" s="274"/>
      <c r="AD257" s="274"/>
      <c r="AE257" s="274"/>
      <c r="AF257" s="287">
        <f>SUM(Z257:AE257)</f>
        <v>0</v>
      </c>
      <c r="AG257" s="283">
        <f t="shared" si="594"/>
        <v>249.554</v>
      </c>
      <c r="AH257" s="229">
        <f t="shared" si="607"/>
        <v>899436.28795000003</v>
      </c>
      <c r="AI257" s="229">
        <f t="shared" si="607"/>
        <v>899436.28795000003</v>
      </c>
      <c r="AJ257" s="229">
        <f t="shared" si="607"/>
        <v>0</v>
      </c>
      <c r="AK257" s="261">
        <f t="shared" si="549"/>
        <v>1798872.5759000001</v>
      </c>
      <c r="AL257" s="229">
        <f t="shared" si="608"/>
        <v>0</v>
      </c>
      <c r="AM257" s="229">
        <f t="shared" si="608"/>
        <v>0</v>
      </c>
      <c r="AN257" s="229">
        <f t="shared" si="608"/>
        <v>0</v>
      </c>
      <c r="AO257" s="261"/>
      <c r="AP257" s="229">
        <f t="shared" si="609"/>
        <v>0</v>
      </c>
      <c r="AQ257" s="229">
        <f t="shared" si="609"/>
        <v>0</v>
      </c>
      <c r="AR257" s="229">
        <f t="shared" si="609"/>
        <v>0</v>
      </c>
      <c r="AS257" s="229">
        <f t="shared" si="609"/>
        <v>0</v>
      </c>
      <c r="AT257" s="229">
        <f t="shared" si="609"/>
        <v>0</v>
      </c>
      <c r="AU257" s="229">
        <f t="shared" si="609"/>
        <v>0</v>
      </c>
      <c r="AV257" s="261"/>
      <c r="AW257" s="229">
        <f t="shared" si="610"/>
        <v>0</v>
      </c>
      <c r="AX257" s="229">
        <f t="shared" si="610"/>
        <v>0</v>
      </c>
      <c r="AY257" s="229">
        <f t="shared" si="610"/>
        <v>0</v>
      </c>
      <c r="AZ257" s="229">
        <f t="shared" si="610"/>
        <v>0</v>
      </c>
      <c r="BA257" s="229">
        <f t="shared" si="610"/>
        <v>0</v>
      </c>
      <c r="BB257" s="229">
        <f t="shared" si="610"/>
        <v>0</v>
      </c>
      <c r="BC257" s="261">
        <f>SUM(AW257:BB257)</f>
        <v>0</v>
      </c>
      <c r="BD257" s="239">
        <f t="shared" si="545"/>
        <v>1798872.5759000001</v>
      </c>
      <c r="BE257" s="13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44"/>
      <c r="CC257" s="244"/>
      <c r="CD257" s="244"/>
      <c r="CE257" s="244"/>
      <c r="CF257" s="244"/>
      <c r="CG257" s="244"/>
      <c r="CH257" s="244"/>
      <c r="CI257" s="244"/>
      <c r="CJ257" s="244"/>
      <c r="CK257" s="244"/>
      <c r="CL257" s="244"/>
      <c r="CM257" s="244"/>
      <c r="CN257" s="244"/>
      <c r="CO257" s="244"/>
      <c r="CP257" s="244"/>
      <c r="CQ257" s="244"/>
      <c r="CR257" s="244"/>
      <c r="CS257" s="244"/>
      <c r="CT257" s="244"/>
      <c r="CU257" s="244"/>
      <c r="CV257" s="244"/>
      <c r="CW257" s="244"/>
      <c r="CX257" s="244"/>
      <c r="CY257" s="244"/>
      <c r="CZ257" s="244"/>
      <c r="DA257" s="244"/>
      <c r="DB257" s="244"/>
      <c r="DC257" s="244"/>
      <c r="DD257" s="244"/>
      <c r="DE257" s="244"/>
      <c r="DF257" s="244"/>
      <c r="DG257" s="244"/>
      <c r="DH257" s="244"/>
      <c r="DI257" s="244"/>
      <c r="DJ257" s="244"/>
      <c r="DK257" s="244"/>
      <c r="DL257" s="244"/>
      <c r="DM257" s="244"/>
      <c r="DN257" s="244"/>
      <c r="DO257" s="244"/>
      <c r="DP257" s="244"/>
      <c r="DQ257" s="244"/>
      <c r="DR257" s="244"/>
      <c r="DS257" s="244"/>
      <c r="DT257" s="244"/>
      <c r="DU257" s="244"/>
      <c r="DV257" s="244"/>
      <c r="DW257" s="244"/>
      <c r="DX257" s="244"/>
      <c r="DY257" s="244"/>
      <c r="DZ257" s="244"/>
      <c r="EA257" s="244"/>
      <c r="EB257" s="244"/>
      <c r="EC257" s="244"/>
      <c r="ED257" s="244"/>
      <c r="EE257" s="244"/>
      <c r="EF257" s="244"/>
      <c r="EG257" s="244"/>
      <c r="EH257" s="244"/>
      <c r="EI257" s="244"/>
      <c r="EJ257" s="244"/>
      <c r="EK257" s="244"/>
      <c r="EL257" s="244"/>
      <c r="EM257" s="244"/>
      <c r="EN257" s="244"/>
      <c r="EO257" s="244"/>
      <c r="EP257" s="244"/>
      <c r="EQ257" s="244"/>
      <c r="ER257" s="244"/>
      <c r="ES257" s="244"/>
      <c r="ET257" s="244"/>
      <c r="EU257" s="244"/>
      <c r="EV257" s="244"/>
      <c r="EW257" s="244"/>
      <c r="EX257" s="244"/>
      <c r="EY257" s="244"/>
      <c r="EZ257" s="244"/>
      <c r="FA257" s="244"/>
      <c r="FB257" s="244"/>
      <c r="FC257" s="244"/>
      <c r="FD257" s="244"/>
      <c r="FE257" s="244"/>
      <c r="FF257" s="244"/>
      <c r="FG257" s="244"/>
      <c r="FH257" s="244"/>
      <c r="FI257" s="244"/>
      <c r="FJ257" s="244"/>
      <c r="FK257" s="244"/>
      <c r="FL257" s="244"/>
      <c r="FM257" s="244"/>
      <c r="FN257" s="244"/>
      <c r="FO257" s="244"/>
      <c r="FP257" s="244"/>
      <c r="FQ257" s="244"/>
      <c r="FR257" s="244"/>
      <c r="FS257" s="244"/>
      <c r="FT257" s="244"/>
      <c r="FU257" s="244"/>
      <c r="FV257" s="244"/>
      <c r="FW257" s="244"/>
      <c r="FX257" s="244"/>
      <c r="FY257" s="244"/>
      <c r="FZ257" s="244"/>
      <c r="GA257" s="244"/>
      <c r="GB257" s="244"/>
      <c r="GC257" s="244"/>
      <c r="GD257" s="244"/>
      <c r="GE257" s="244"/>
      <c r="GF257" s="244"/>
      <c r="GG257" s="244"/>
      <c r="GH257" s="244"/>
      <c r="GI257" s="244"/>
      <c r="GJ257" s="244"/>
      <c r="GK257" s="244"/>
      <c r="GL257" s="244"/>
      <c r="GM257" s="244"/>
      <c r="GN257" s="244"/>
      <c r="GO257" s="244"/>
      <c r="GP257" s="244"/>
      <c r="GQ257" s="244"/>
      <c r="GR257" s="244"/>
      <c r="GS257" s="244"/>
      <c r="GT257" s="244"/>
    </row>
    <row r="258" spans="1:202" s="83" customFormat="1" ht="12.75">
      <c r="A258" s="198"/>
      <c r="B258" s="343" t="s">
        <v>618</v>
      </c>
      <c r="C258" s="217"/>
      <c r="D258" s="149"/>
      <c r="E258" s="147">
        <v>8205.83</v>
      </c>
      <c r="F258" s="147">
        <v>1980</v>
      </c>
      <c r="G258" s="177">
        <f>E258-F258</f>
        <v>6225.83</v>
      </c>
      <c r="H258" s="147">
        <v>8205.83</v>
      </c>
      <c r="I258" s="147">
        <v>1980</v>
      </c>
      <c r="J258" s="210">
        <f>H258-I258</f>
        <v>6225.83</v>
      </c>
      <c r="K258" s="253">
        <v>28.5</v>
      </c>
      <c r="L258" s="253">
        <v>26</v>
      </c>
      <c r="M258" s="253"/>
      <c r="N258" s="287">
        <f t="shared" si="522"/>
        <v>54.5</v>
      </c>
      <c r="O258" s="274"/>
      <c r="P258" s="274"/>
      <c r="Q258" s="291"/>
      <c r="R258" s="287"/>
      <c r="S258" s="291"/>
      <c r="T258" s="265"/>
      <c r="U258" s="274"/>
      <c r="V258" s="274"/>
      <c r="W258" s="291"/>
      <c r="X258" s="265"/>
      <c r="Y258" s="142"/>
      <c r="Z258" s="274"/>
      <c r="AA258" s="274"/>
      <c r="AB258" s="274"/>
      <c r="AC258" s="274"/>
      <c r="AD258" s="274"/>
      <c r="AE258" s="274"/>
      <c r="AF258" s="287"/>
      <c r="AG258" s="283">
        <f t="shared" si="594"/>
        <v>54.5</v>
      </c>
      <c r="AH258" s="229">
        <f>K258*$G258</f>
        <v>177436.155</v>
      </c>
      <c r="AI258" s="229">
        <f t="shared" si="607"/>
        <v>161871.57999999999</v>
      </c>
      <c r="AJ258" s="229"/>
      <c r="AK258" s="261">
        <f t="shared" si="549"/>
        <v>339307.73499999999</v>
      </c>
      <c r="AL258" s="229"/>
      <c r="AM258" s="229"/>
      <c r="AN258" s="229"/>
      <c r="AO258" s="261"/>
      <c r="AP258" s="229"/>
      <c r="AQ258" s="229"/>
      <c r="AR258" s="229"/>
      <c r="AS258" s="229"/>
      <c r="AT258" s="229"/>
      <c r="AU258" s="229"/>
      <c r="AV258" s="261"/>
      <c r="AW258" s="229"/>
      <c r="AX258" s="229"/>
      <c r="AY258" s="229"/>
      <c r="AZ258" s="229"/>
      <c r="BA258" s="229"/>
      <c r="BB258" s="229"/>
      <c r="BC258" s="261"/>
      <c r="BD258" s="239">
        <f t="shared" si="545"/>
        <v>339307.73499999999</v>
      </c>
      <c r="BE258" s="13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44"/>
      <c r="CC258" s="244"/>
      <c r="CD258" s="244"/>
      <c r="CE258" s="244"/>
      <c r="CF258" s="244"/>
      <c r="CG258" s="244"/>
      <c r="CH258" s="244"/>
      <c r="CI258" s="244"/>
      <c r="CJ258" s="244"/>
      <c r="CK258" s="244"/>
      <c r="CL258" s="244"/>
      <c r="CM258" s="244"/>
      <c r="CN258" s="244"/>
      <c r="CO258" s="244"/>
      <c r="CP258" s="244"/>
      <c r="CQ258" s="244"/>
      <c r="CR258" s="244"/>
      <c r="CS258" s="244"/>
      <c r="CT258" s="244"/>
      <c r="CU258" s="244"/>
      <c r="CV258" s="244"/>
      <c r="CW258" s="244"/>
      <c r="CX258" s="244"/>
      <c r="CY258" s="244"/>
      <c r="CZ258" s="244"/>
      <c r="DA258" s="244"/>
      <c r="DB258" s="244"/>
      <c r="DC258" s="244"/>
      <c r="DD258" s="244"/>
      <c r="DE258" s="244"/>
      <c r="DF258" s="244"/>
      <c r="DG258" s="244"/>
      <c r="DH258" s="244"/>
      <c r="DI258" s="244"/>
      <c r="DJ258" s="244"/>
      <c r="DK258" s="244"/>
      <c r="DL258" s="244"/>
      <c r="DM258" s="244"/>
      <c r="DN258" s="244"/>
      <c r="DO258" s="244"/>
      <c r="DP258" s="244"/>
      <c r="DQ258" s="244"/>
      <c r="DR258" s="244"/>
      <c r="DS258" s="244"/>
      <c r="DT258" s="244"/>
      <c r="DU258" s="244"/>
      <c r="DV258" s="244"/>
      <c r="DW258" s="244"/>
      <c r="DX258" s="244"/>
      <c r="DY258" s="244"/>
      <c r="DZ258" s="244"/>
      <c r="EA258" s="244"/>
      <c r="EB258" s="244"/>
      <c r="EC258" s="244"/>
      <c r="ED258" s="244"/>
      <c r="EE258" s="244"/>
      <c r="EF258" s="244"/>
      <c r="EG258" s="244"/>
      <c r="EH258" s="244"/>
      <c r="EI258" s="244"/>
      <c r="EJ258" s="244"/>
      <c r="EK258" s="244"/>
      <c r="EL258" s="244"/>
      <c r="EM258" s="244"/>
      <c r="EN258" s="244"/>
      <c r="EO258" s="244"/>
      <c r="EP258" s="244"/>
      <c r="EQ258" s="244"/>
      <c r="ER258" s="244"/>
      <c r="ES258" s="244"/>
      <c r="ET258" s="244"/>
      <c r="EU258" s="244"/>
      <c r="EV258" s="244"/>
      <c r="EW258" s="244"/>
      <c r="EX258" s="244"/>
      <c r="EY258" s="244"/>
      <c r="EZ258" s="244"/>
      <c r="FA258" s="244"/>
      <c r="FB258" s="244"/>
      <c r="FC258" s="244"/>
      <c r="FD258" s="244"/>
      <c r="FE258" s="244"/>
      <c r="FF258" s="244"/>
      <c r="FG258" s="244"/>
      <c r="FH258" s="244"/>
      <c r="FI258" s="244"/>
      <c r="FJ258" s="244"/>
      <c r="FK258" s="244"/>
      <c r="FL258" s="244"/>
      <c r="FM258" s="244"/>
      <c r="FN258" s="244"/>
      <c r="FO258" s="244"/>
      <c r="FP258" s="244"/>
      <c r="FQ258" s="244"/>
      <c r="FR258" s="244"/>
      <c r="FS258" s="244"/>
      <c r="FT258" s="244"/>
      <c r="FU258" s="244"/>
      <c r="FV258" s="244"/>
      <c r="FW258" s="244"/>
      <c r="FX258" s="244"/>
      <c r="FY258" s="244"/>
      <c r="FZ258" s="244"/>
      <c r="GA258" s="244"/>
      <c r="GB258" s="244"/>
      <c r="GC258" s="244"/>
      <c r="GD258" s="244"/>
      <c r="GE258" s="244"/>
      <c r="GF258" s="244"/>
      <c r="GG258" s="244"/>
      <c r="GH258" s="244"/>
      <c r="GI258" s="244"/>
      <c r="GJ258" s="244"/>
      <c r="GK258" s="244"/>
      <c r="GL258" s="244"/>
      <c r="GM258" s="244"/>
      <c r="GN258" s="244"/>
      <c r="GO258" s="244"/>
      <c r="GP258" s="244"/>
      <c r="GQ258" s="244"/>
      <c r="GR258" s="244"/>
      <c r="GS258" s="244"/>
      <c r="GT258" s="244"/>
    </row>
    <row r="259" spans="1:202" s="83" customFormat="1" ht="12.75">
      <c r="A259" s="197" t="s">
        <v>56</v>
      </c>
      <c r="B259" s="183" t="s">
        <v>214</v>
      </c>
      <c r="C259" s="217" t="s">
        <v>257</v>
      </c>
      <c r="D259" s="149">
        <v>2901291990</v>
      </c>
      <c r="E259" s="147"/>
      <c r="F259" s="147"/>
      <c r="G259" s="177"/>
      <c r="H259" s="147"/>
      <c r="I259" s="147"/>
      <c r="J259" s="210"/>
      <c r="K259" s="258">
        <f>K260+K261</f>
        <v>0</v>
      </c>
      <c r="L259" s="258">
        <f>L260+L261</f>
        <v>0</v>
      </c>
      <c r="M259" s="258">
        <f>M260+M261</f>
        <v>0</v>
      </c>
      <c r="N259" s="284">
        <f>SUM(N260:N261)</f>
        <v>0</v>
      </c>
      <c r="O259" s="280">
        <f>O260+O261</f>
        <v>0</v>
      </c>
      <c r="P259" s="280">
        <f>P260+P261</f>
        <v>0</v>
      </c>
      <c r="Q259" s="297">
        <f>Q260+Q261</f>
        <v>0</v>
      </c>
      <c r="R259" s="284">
        <f>SUM(R260:R261)</f>
        <v>0</v>
      </c>
      <c r="S259" s="297">
        <f t="shared" ref="S259:X259" si="611">S260+S261</f>
        <v>0</v>
      </c>
      <c r="T259" s="271">
        <f t="shared" si="611"/>
        <v>0</v>
      </c>
      <c r="U259" s="280">
        <f t="shared" si="611"/>
        <v>0</v>
      </c>
      <c r="V259" s="280">
        <f t="shared" si="611"/>
        <v>0</v>
      </c>
      <c r="W259" s="297">
        <f t="shared" si="611"/>
        <v>0</v>
      </c>
      <c r="X259" s="271">
        <f t="shared" si="611"/>
        <v>0</v>
      </c>
      <c r="Y259" s="262">
        <f>SUM(Y260:Y261)</f>
        <v>0</v>
      </c>
      <c r="Z259" s="280">
        <f t="shared" ref="Z259:AE259" si="612">Z260+Z261</f>
        <v>0</v>
      </c>
      <c r="AA259" s="280">
        <f t="shared" si="612"/>
        <v>0</v>
      </c>
      <c r="AB259" s="280">
        <f t="shared" si="612"/>
        <v>0</v>
      </c>
      <c r="AC259" s="280">
        <f t="shared" si="612"/>
        <v>0</v>
      </c>
      <c r="AD259" s="280">
        <f t="shared" si="612"/>
        <v>0</v>
      </c>
      <c r="AE259" s="280">
        <f t="shared" si="612"/>
        <v>0</v>
      </c>
      <c r="AF259" s="284">
        <f>SUM(AF260:AF261)</f>
        <v>0</v>
      </c>
      <c r="AG259" s="282">
        <f t="shared" si="594"/>
        <v>0</v>
      </c>
      <c r="AH259" s="236">
        <f>AH260+AH261</f>
        <v>0</v>
      </c>
      <c r="AI259" s="236">
        <f>AI260+AI261</f>
        <v>0</v>
      </c>
      <c r="AJ259" s="236">
        <f>AJ260+AJ261</f>
        <v>0</v>
      </c>
      <c r="AK259" s="260">
        <f>SUM(AK260:AK261)</f>
        <v>0</v>
      </c>
      <c r="AL259" s="236">
        <f>AL260+AL261</f>
        <v>0</v>
      </c>
      <c r="AM259" s="236">
        <f>AM260+AM261</f>
        <v>0</v>
      </c>
      <c r="AN259" s="236">
        <f>AN260+AN261</f>
        <v>0</v>
      </c>
      <c r="AO259" s="260">
        <f>SUM(AL259:AN259)</f>
        <v>0</v>
      </c>
      <c r="AP259" s="236">
        <f t="shared" ref="AP259:AU259" si="613">AP260+AP261</f>
        <v>0</v>
      </c>
      <c r="AQ259" s="236">
        <f t="shared" si="613"/>
        <v>0</v>
      </c>
      <c r="AR259" s="236">
        <f t="shared" si="613"/>
        <v>0</v>
      </c>
      <c r="AS259" s="236">
        <f t="shared" si="613"/>
        <v>0</v>
      </c>
      <c r="AT259" s="236">
        <f t="shared" si="613"/>
        <v>0</v>
      </c>
      <c r="AU259" s="236">
        <f t="shared" si="613"/>
        <v>0</v>
      </c>
      <c r="AV259" s="260">
        <f>SUM(AP259:AU259)</f>
        <v>0</v>
      </c>
      <c r="AW259" s="236">
        <f t="shared" ref="AW259:BB259" si="614">AW260+AW261</f>
        <v>0</v>
      </c>
      <c r="AX259" s="236">
        <f t="shared" si="614"/>
        <v>0</v>
      </c>
      <c r="AY259" s="236">
        <f t="shared" si="614"/>
        <v>0</v>
      </c>
      <c r="AZ259" s="236">
        <f t="shared" si="614"/>
        <v>0</v>
      </c>
      <c r="BA259" s="236">
        <f t="shared" si="614"/>
        <v>0</v>
      </c>
      <c r="BB259" s="236">
        <f t="shared" si="614"/>
        <v>0</v>
      </c>
      <c r="BC259" s="260">
        <f t="shared" ref="BC259:BC278" si="615">SUM(AW259:BB259)</f>
        <v>0</v>
      </c>
      <c r="BD259" s="238">
        <f t="shared" si="545"/>
        <v>0</v>
      </c>
      <c r="BE259" s="13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44"/>
      <c r="CC259" s="244"/>
      <c r="CD259" s="244"/>
      <c r="CE259" s="244"/>
      <c r="CF259" s="244"/>
      <c r="CG259" s="244"/>
      <c r="CH259" s="244"/>
      <c r="CI259" s="244"/>
      <c r="CJ259" s="244"/>
      <c r="CK259" s="244"/>
      <c r="CL259" s="244"/>
      <c r="CM259" s="244"/>
      <c r="CN259" s="244"/>
      <c r="CO259" s="244"/>
      <c r="CP259" s="244"/>
      <c r="CQ259" s="244"/>
      <c r="CR259" s="244"/>
      <c r="CS259" s="244"/>
      <c r="CT259" s="244"/>
      <c r="CU259" s="244"/>
      <c r="CV259" s="244"/>
      <c r="CW259" s="244"/>
      <c r="CX259" s="244"/>
      <c r="CY259" s="244"/>
      <c r="CZ259" s="244"/>
      <c r="DA259" s="244"/>
      <c r="DB259" s="244"/>
      <c r="DC259" s="244"/>
      <c r="DD259" s="244"/>
      <c r="DE259" s="244"/>
      <c r="DF259" s="244"/>
      <c r="DG259" s="244"/>
      <c r="DH259" s="244"/>
      <c r="DI259" s="244"/>
      <c r="DJ259" s="244"/>
      <c r="DK259" s="244"/>
      <c r="DL259" s="244"/>
      <c r="DM259" s="244"/>
      <c r="DN259" s="244"/>
      <c r="DO259" s="244"/>
      <c r="DP259" s="244"/>
      <c r="DQ259" s="244"/>
      <c r="DR259" s="244"/>
      <c r="DS259" s="244"/>
      <c r="DT259" s="244"/>
      <c r="DU259" s="244"/>
      <c r="DV259" s="244"/>
      <c r="DW259" s="244"/>
      <c r="DX259" s="244"/>
      <c r="DY259" s="244"/>
      <c r="DZ259" s="244"/>
      <c r="EA259" s="244"/>
      <c r="EB259" s="244"/>
      <c r="EC259" s="244"/>
      <c r="ED259" s="244"/>
      <c r="EE259" s="244"/>
      <c r="EF259" s="244"/>
      <c r="EG259" s="244"/>
      <c r="EH259" s="244"/>
      <c r="EI259" s="244"/>
      <c r="EJ259" s="244"/>
      <c r="EK259" s="244"/>
      <c r="EL259" s="244"/>
      <c r="EM259" s="244"/>
      <c r="EN259" s="244"/>
      <c r="EO259" s="244"/>
      <c r="EP259" s="244"/>
      <c r="EQ259" s="244"/>
      <c r="ER259" s="244"/>
      <c r="ES259" s="244"/>
      <c r="ET259" s="244"/>
      <c r="EU259" s="244"/>
      <c r="EV259" s="244"/>
      <c r="EW259" s="244"/>
      <c r="EX259" s="244"/>
      <c r="EY259" s="244"/>
      <c r="EZ259" s="244"/>
      <c r="FA259" s="244"/>
      <c r="FB259" s="244"/>
      <c r="FC259" s="244"/>
      <c r="FD259" s="244"/>
      <c r="FE259" s="244"/>
      <c r="FF259" s="244"/>
      <c r="FG259" s="244"/>
      <c r="FH259" s="244"/>
      <c r="FI259" s="244"/>
      <c r="FJ259" s="244"/>
      <c r="FK259" s="244"/>
      <c r="FL259" s="244"/>
      <c r="FM259" s="244"/>
      <c r="FN259" s="244"/>
      <c r="FO259" s="244"/>
      <c r="FP259" s="244"/>
      <c r="FQ259" s="244"/>
      <c r="FR259" s="244"/>
      <c r="FS259" s="244"/>
      <c r="FT259" s="244"/>
      <c r="FU259" s="244"/>
      <c r="FV259" s="244"/>
      <c r="FW259" s="244"/>
      <c r="FX259" s="244"/>
      <c r="FY259" s="244"/>
      <c r="FZ259" s="244"/>
      <c r="GA259" s="244"/>
      <c r="GB259" s="244"/>
      <c r="GC259" s="244"/>
      <c r="GD259" s="244"/>
      <c r="GE259" s="244"/>
      <c r="GF259" s="244"/>
      <c r="GG259" s="244"/>
      <c r="GH259" s="244"/>
      <c r="GI259" s="244"/>
      <c r="GJ259" s="244"/>
      <c r="GK259" s="244"/>
      <c r="GL259" s="244"/>
      <c r="GM259" s="244"/>
      <c r="GN259" s="244"/>
      <c r="GO259" s="244"/>
      <c r="GP259" s="244"/>
      <c r="GQ259" s="244"/>
      <c r="GR259" s="244"/>
      <c r="GS259" s="244"/>
      <c r="GT259" s="244"/>
    </row>
    <row r="260" spans="1:202" s="83" customFormat="1" ht="14.25" customHeight="1">
      <c r="A260" s="189"/>
      <c r="B260" s="145" t="s">
        <v>327</v>
      </c>
      <c r="C260" s="216"/>
      <c r="D260" s="146"/>
      <c r="E260" s="147"/>
      <c r="F260" s="144"/>
      <c r="G260" s="177"/>
      <c r="H260" s="147"/>
      <c r="I260" s="144"/>
      <c r="J260" s="210"/>
      <c r="K260" s="252"/>
      <c r="L260" s="252"/>
      <c r="M260" s="252"/>
      <c r="N260" s="287">
        <f t="shared" ref="N260:N266" si="616">K260+L260+M260</f>
        <v>0</v>
      </c>
      <c r="O260" s="273"/>
      <c r="P260" s="273"/>
      <c r="Q260" s="290"/>
      <c r="R260" s="287">
        <f>O260+P260+Q260</f>
        <v>0</v>
      </c>
      <c r="S260" s="290"/>
      <c r="T260" s="264"/>
      <c r="U260" s="273"/>
      <c r="V260" s="273"/>
      <c r="W260" s="290"/>
      <c r="X260" s="264"/>
      <c r="Y260" s="142">
        <f>SUM(S260:X260)</f>
        <v>0</v>
      </c>
      <c r="Z260" s="273"/>
      <c r="AA260" s="273"/>
      <c r="AB260" s="273"/>
      <c r="AC260" s="273"/>
      <c r="AD260" s="273"/>
      <c r="AE260" s="273"/>
      <c r="AF260" s="287">
        <f>SUM(Z260:AE260)</f>
        <v>0</v>
      </c>
      <c r="AG260" s="283">
        <f t="shared" si="594"/>
        <v>0</v>
      </c>
      <c r="AH260" s="228">
        <f t="shared" ref="AH260:AJ261" si="617">K260*$G260</f>
        <v>0</v>
      </c>
      <c r="AI260" s="228">
        <f t="shared" si="617"/>
        <v>0</v>
      </c>
      <c r="AJ260" s="228">
        <f t="shared" si="617"/>
        <v>0</v>
      </c>
      <c r="AK260" s="261">
        <f t="shared" ref="AK260:AK283" si="618">AH260+AI260+AJ260</f>
        <v>0</v>
      </c>
      <c r="AL260" s="228">
        <f t="shared" ref="AL260:AN261" si="619">O260*$G260</f>
        <v>0</v>
      </c>
      <c r="AM260" s="228">
        <f t="shared" si="619"/>
        <v>0</v>
      </c>
      <c r="AN260" s="228">
        <f t="shared" si="619"/>
        <v>0</v>
      </c>
      <c r="AO260" s="261">
        <f>SUM(AL260:AN260)</f>
        <v>0</v>
      </c>
      <c r="AP260" s="228">
        <f t="shared" ref="AP260:AU261" si="620">S260*$J260</f>
        <v>0</v>
      </c>
      <c r="AQ260" s="228">
        <f t="shared" si="620"/>
        <v>0</v>
      </c>
      <c r="AR260" s="228">
        <f t="shared" si="620"/>
        <v>0</v>
      </c>
      <c r="AS260" s="228">
        <f t="shared" si="620"/>
        <v>0</v>
      </c>
      <c r="AT260" s="228">
        <f t="shared" si="620"/>
        <v>0</v>
      </c>
      <c r="AU260" s="228">
        <f t="shared" si="620"/>
        <v>0</v>
      </c>
      <c r="AV260" s="261">
        <f>SUM(AP260:AU260)</f>
        <v>0</v>
      </c>
      <c r="AW260" s="228">
        <f t="shared" ref="AW260:BB261" si="621">Z260*$J260</f>
        <v>0</v>
      </c>
      <c r="AX260" s="228">
        <f t="shared" si="621"/>
        <v>0</v>
      </c>
      <c r="AY260" s="228">
        <f t="shared" si="621"/>
        <v>0</v>
      </c>
      <c r="AZ260" s="228">
        <f t="shared" si="621"/>
        <v>0</v>
      </c>
      <c r="BA260" s="228">
        <f t="shared" si="621"/>
        <v>0</v>
      </c>
      <c r="BB260" s="228">
        <f t="shared" si="621"/>
        <v>0</v>
      </c>
      <c r="BC260" s="261">
        <f t="shared" si="615"/>
        <v>0</v>
      </c>
      <c r="BD260" s="239">
        <f t="shared" si="545"/>
        <v>0</v>
      </c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44"/>
      <c r="CC260" s="244"/>
      <c r="CD260" s="244"/>
      <c r="CE260" s="244"/>
      <c r="CF260" s="244"/>
      <c r="CG260" s="244"/>
      <c r="CH260" s="244"/>
      <c r="CI260" s="244"/>
      <c r="CJ260" s="244"/>
      <c r="CK260" s="244"/>
      <c r="CL260" s="244"/>
      <c r="CM260" s="244"/>
      <c r="CN260" s="244"/>
      <c r="CO260" s="244"/>
      <c r="CP260" s="244"/>
      <c r="CQ260" s="244"/>
      <c r="CR260" s="244"/>
      <c r="CS260" s="244"/>
      <c r="CT260" s="244"/>
      <c r="CU260" s="244"/>
      <c r="CV260" s="244"/>
      <c r="CW260" s="244"/>
      <c r="CX260" s="244"/>
      <c r="CY260" s="244"/>
      <c r="CZ260" s="244"/>
      <c r="DA260" s="244"/>
      <c r="DB260" s="244"/>
      <c r="DC260" s="244"/>
      <c r="DD260" s="244"/>
      <c r="DE260" s="244"/>
      <c r="DF260" s="244"/>
      <c r="DG260" s="244"/>
      <c r="DH260" s="244"/>
      <c r="DI260" s="244"/>
      <c r="DJ260" s="244"/>
      <c r="DK260" s="244"/>
      <c r="DL260" s="244"/>
      <c r="DM260" s="244"/>
      <c r="DN260" s="244"/>
      <c r="DO260" s="244"/>
      <c r="DP260" s="244"/>
      <c r="DQ260" s="244"/>
      <c r="DR260" s="244"/>
      <c r="DS260" s="244"/>
      <c r="DT260" s="244"/>
      <c r="DU260" s="244"/>
      <c r="DV260" s="244"/>
      <c r="DW260" s="244"/>
      <c r="DX260" s="244"/>
      <c r="DY260" s="244"/>
      <c r="DZ260" s="244"/>
      <c r="EA260" s="244"/>
      <c r="EB260" s="244"/>
      <c r="EC260" s="244"/>
      <c r="ED260" s="244"/>
      <c r="EE260" s="244"/>
      <c r="EF260" s="244"/>
      <c r="EG260" s="244"/>
      <c r="EH260" s="244"/>
      <c r="EI260" s="244"/>
      <c r="EJ260" s="244"/>
      <c r="EK260" s="244"/>
      <c r="EL260" s="244"/>
      <c r="EM260" s="244"/>
      <c r="EN260" s="244"/>
      <c r="EO260" s="244"/>
      <c r="EP260" s="244"/>
      <c r="EQ260" s="244"/>
      <c r="ER260" s="244"/>
      <c r="ES260" s="244"/>
      <c r="ET260" s="244"/>
      <c r="EU260" s="244"/>
      <c r="EV260" s="244"/>
      <c r="EW260" s="244"/>
      <c r="EX260" s="244"/>
      <c r="EY260" s="244"/>
      <c r="EZ260" s="244"/>
      <c r="FA260" s="244"/>
      <c r="FB260" s="244"/>
      <c r="FC260" s="244"/>
      <c r="FD260" s="244"/>
      <c r="FE260" s="244"/>
      <c r="FF260" s="244"/>
      <c r="FG260" s="244"/>
      <c r="FH260" s="244"/>
      <c r="FI260" s="244"/>
      <c r="FJ260" s="244"/>
      <c r="FK260" s="244"/>
      <c r="FL260" s="244"/>
      <c r="FM260" s="244"/>
      <c r="FN260" s="244"/>
      <c r="FO260" s="244"/>
      <c r="FP260" s="244"/>
      <c r="FQ260" s="244"/>
      <c r="FR260" s="244"/>
      <c r="FS260" s="244"/>
      <c r="FT260" s="244"/>
      <c r="FU260" s="244"/>
      <c r="FV260" s="244"/>
      <c r="FW260" s="244"/>
      <c r="FX260" s="244"/>
      <c r="FY260" s="244"/>
      <c r="FZ260" s="244"/>
      <c r="GA260" s="244"/>
      <c r="GB260" s="244"/>
      <c r="GC260" s="244"/>
      <c r="GD260" s="244"/>
      <c r="GE260" s="244"/>
      <c r="GF260" s="244"/>
      <c r="GG260" s="244"/>
      <c r="GH260" s="244"/>
      <c r="GI260" s="244"/>
      <c r="GJ260" s="244"/>
      <c r="GK260" s="244"/>
      <c r="GL260" s="244"/>
      <c r="GM260" s="244"/>
      <c r="GN260" s="244"/>
      <c r="GO260" s="244"/>
      <c r="GP260" s="244"/>
      <c r="GQ260" s="244"/>
      <c r="GR260" s="244"/>
      <c r="GS260" s="244"/>
      <c r="GT260" s="244"/>
    </row>
    <row r="261" spans="1:202" s="83" customFormat="1" ht="12.75">
      <c r="A261" s="189"/>
      <c r="B261" s="145" t="s">
        <v>328</v>
      </c>
      <c r="C261" s="216"/>
      <c r="D261" s="146"/>
      <c r="E261" s="147"/>
      <c r="F261" s="144"/>
      <c r="G261" s="177"/>
      <c r="H261" s="147"/>
      <c r="I261" s="144"/>
      <c r="J261" s="210"/>
      <c r="K261" s="252"/>
      <c r="L261" s="252"/>
      <c r="M261" s="252"/>
      <c r="N261" s="287">
        <f t="shared" si="616"/>
        <v>0</v>
      </c>
      <c r="O261" s="273"/>
      <c r="P261" s="273"/>
      <c r="Q261" s="290"/>
      <c r="R261" s="287">
        <f>O261+P261+Q261</f>
        <v>0</v>
      </c>
      <c r="S261" s="290"/>
      <c r="T261" s="264"/>
      <c r="U261" s="273"/>
      <c r="V261" s="273"/>
      <c r="W261" s="290"/>
      <c r="X261" s="264"/>
      <c r="Y261" s="142">
        <f>SUM(S261:X261)</f>
        <v>0</v>
      </c>
      <c r="Z261" s="273"/>
      <c r="AA261" s="273"/>
      <c r="AB261" s="273"/>
      <c r="AC261" s="273"/>
      <c r="AD261" s="273"/>
      <c r="AE261" s="273"/>
      <c r="AF261" s="287">
        <f>SUM(Z261:AE261)</f>
        <v>0</v>
      </c>
      <c r="AG261" s="283">
        <f t="shared" si="594"/>
        <v>0</v>
      </c>
      <c r="AH261" s="228">
        <f t="shared" si="617"/>
        <v>0</v>
      </c>
      <c r="AI261" s="228">
        <f t="shared" si="617"/>
        <v>0</v>
      </c>
      <c r="AJ261" s="228">
        <f t="shared" si="617"/>
        <v>0</v>
      </c>
      <c r="AK261" s="261">
        <f t="shared" si="618"/>
        <v>0</v>
      </c>
      <c r="AL261" s="228">
        <f t="shared" si="619"/>
        <v>0</v>
      </c>
      <c r="AM261" s="228">
        <f t="shared" si="619"/>
        <v>0</v>
      </c>
      <c r="AN261" s="228">
        <f t="shared" si="619"/>
        <v>0</v>
      </c>
      <c r="AO261" s="261">
        <f>SUM(AL261:AN261)</f>
        <v>0</v>
      </c>
      <c r="AP261" s="228">
        <f t="shared" si="620"/>
        <v>0</v>
      </c>
      <c r="AQ261" s="228">
        <f t="shared" si="620"/>
        <v>0</v>
      </c>
      <c r="AR261" s="228">
        <f t="shared" si="620"/>
        <v>0</v>
      </c>
      <c r="AS261" s="228">
        <f t="shared" si="620"/>
        <v>0</v>
      </c>
      <c r="AT261" s="228">
        <f t="shared" si="620"/>
        <v>0</v>
      </c>
      <c r="AU261" s="228">
        <f t="shared" si="620"/>
        <v>0</v>
      </c>
      <c r="AV261" s="261">
        <f>SUM(AP261:AU261)</f>
        <v>0</v>
      </c>
      <c r="AW261" s="228">
        <f t="shared" si="621"/>
        <v>0</v>
      </c>
      <c r="AX261" s="228">
        <f t="shared" si="621"/>
        <v>0</v>
      </c>
      <c r="AY261" s="228">
        <f t="shared" si="621"/>
        <v>0</v>
      </c>
      <c r="AZ261" s="228">
        <f t="shared" si="621"/>
        <v>0</v>
      </c>
      <c r="BA261" s="228">
        <f t="shared" si="621"/>
        <v>0</v>
      </c>
      <c r="BB261" s="228">
        <f t="shared" si="621"/>
        <v>0</v>
      </c>
      <c r="BC261" s="261">
        <f t="shared" si="615"/>
        <v>0</v>
      </c>
      <c r="BD261" s="239">
        <f t="shared" si="545"/>
        <v>0</v>
      </c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44"/>
      <c r="CC261" s="244"/>
      <c r="CD261" s="244"/>
      <c r="CE261" s="244"/>
      <c r="CF261" s="244"/>
      <c r="CG261" s="244"/>
      <c r="CH261" s="244"/>
      <c r="CI261" s="244"/>
      <c r="CJ261" s="244"/>
      <c r="CK261" s="244"/>
      <c r="CL261" s="244"/>
      <c r="CM261" s="244"/>
      <c r="CN261" s="244"/>
      <c r="CO261" s="244"/>
      <c r="CP261" s="244"/>
      <c r="CQ261" s="244"/>
      <c r="CR261" s="244"/>
      <c r="CS261" s="244"/>
      <c r="CT261" s="244"/>
      <c r="CU261" s="244"/>
      <c r="CV261" s="244"/>
      <c r="CW261" s="244"/>
      <c r="CX261" s="244"/>
      <c r="CY261" s="244"/>
      <c r="CZ261" s="244"/>
      <c r="DA261" s="244"/>
      <c r="DB261" s="244"/>
      <c r="DC261" s="244"/>
      <c r="DD261" s="244"/>
      <c r="DE261" s="244"/>
      <c r="DF261" s="244"/>
      <c r="DG261" s="244"/>
      <c r="DH261" s="244"/>
      <c r="DI261" s="244"/>
      <c r="DJ261" s="244"/>
      <c r="DK261" s="244"/>
      <c r="DL261" s="244"/>
      <c r="DM261" s="244"/>
      <c r="DN261" s="244"/>
      <c r="DO261" s="244"/>
      <c r="DP261" s="244"/>
      <c r="DQ261" s="244"/>
      <c r="DR261" s="244"/>
      <c r="DS261" s="244"/>
      <c r="DT261" s="244"/>
      <c r="DU261" s="244"/>
      <c r="DV261" s="244"/>
      <c r="DW261" s="244"/>
      <c r="DX261" s="244"/>
      <c r="DY261" s="244"/>
      <c r="DZ261" s="244"/>
      <c r="EA261" s="244"/>
      <c r="EB261" s="244"/>
      <c r="EC261" s="244"/>
      <c r="ED261" s="244"/>
      <c r="EE261" s="244"/>
      <c r="EF261" s="244"/>
      <c r="EG261" s="244"/>
      <c r="EH261" s="244"/>
      <c r="EI261" s="244"/>
      <c r="EJ261" s="244"/>
      <c r="EK261" s="244"/>
      <c r="EL261" s="244"/>
      <c r="EM261" s="244"/>
      <c r="EN261" s="244"/>
      <c r="EO261" s="244"/>
      <c r="EP261" s="244"/>
      <c r="EQ261" s="244"/>
      <c r="ER261" s="244"/>
      <c r="ES261" s="244"/>
      <c r="ET261" s="244"/>
      <c r="EU261" s="244"/>
      <c r="EV261" s="244"/>
      <c r="EW261" s="244"/>
      <c r="EX261" s="244"/>
      <c r="EY261" s="244"/>
      <c r="EZ261" s="244"/>
      <c r="FA261" s="244"/>
      <c r="FB261" s="244"/>
      <c r="FC261" s="244"/>
      <c r="FD261" s="244"/>
      <c r="FE261" s="244"/>
      <c r="FF261" s="244"/>
      <c r="FG261" s="244"/>
      <c r="FH261" s="244"/>
      <c r="FI261" s="244"/>
      <c r="FJ261" s="244"/>
      <c r="FK261" s="244"/>
      <c r="FL261" s="244"/>
      <c r="FM261" s="244"/>
      <c r="FN261" s="244"/>
      <c r="FO261" s="244"/>
      <c r="FP261" s="244"/>
      <c r="FQ261" s="244"/>
      <c r="FR261" s="244"/>
      <c r="FS261" s="244"/>
      <c r="FT261" s="244"/>
      <c r="FU261" s="244"/>
      <c r="FV261" s="244"/>
      <c r="FW261" s="244"/>
      <c r="FX261" s="244"/>
      <c r="FY261" s="244"/>
      <c r="FZ261" s="244"/>
      <c r="GA261" s="244"/>
      <c r="GB261" s="244"/>
      <c r="GC261" s="244"/>
      <c r="GD261" s="244"/>
      <c r="GE261" s="244"/>
      <c r="GF261" s="244"/>
      <c r="GG261" s="244"/>
      <c r="GH261" s="244"/>
      <c r="GI261" s="244"/>
      <c r="GJ261" s="244"/>
      <c r="GK261" s="244"/>
      <c r="GL261" s="244"/>
      <c r="GM261" s="244"/>
      <c r="GN261" s="244"/>
      <c r="GO261" s="244"/>
      <c r="GP261" s="244"/>
      <c r="GQ261" s="244"/>
      <c r="GR261" s="244"/>
      <c r="GS261" s="244"/>
      <c r="GT261" s="244"/>
    </row>
    <row r="262" spans="1:202" s="83" customFormat="1" ht="12.75">
      <c r="A262" s="197" t="s">
        <v>26</v>
      </c>
      <c r="B262" s="183" t="s">
        <v>582</v>
      </c>
      <c r="C262" s="217" t="s">
        <v>256</v>
      </c>
      <c r="D262" s="146">
        <v>2901250754</v>
      </c>
      <c r="E262" s="147"/>
      <c r="F262" s="144"/>
      <c r="G262" s="177"/>
      <c r="H262" s="147"/>
      <c r="I262" s="144"/>
      <c r="J262" s="210"/>
      <c r="K262" s="257">
        <f>SUM(K263:K265)</f>
        <v>2054.62</v>
      </c>
      <c r="L262" s="257">
        <f>SUM(L263:L265)</f>
        <v>2079.33</v>
      </c>
      <c r="M262" s="257">
        <f>SUM(M263:M265)</f>
        <v>0</v>
      </c>
      <c r="N262" s="284">
        <f t="shared" si="616"/>
        <v>4133.95</v>
      </c>
      <c r="O262" s="279">
        <f>SUM(O263:O265)</f>
        <v>0</v>
      </c>
      <c r="P262" s="279">
        <f>SUM(P263:P265)</f>
        <v>0</v>
      </c>
      <c r="Q262" s="279">
        <f>SUM(Q263:Q265)</f>
        <v>0</v>
      </c>
      <c r="R262" s="284"/>
      <c r="S262" s="296"/>
      <c r="T262" s="269"/>
      <c r="U262" s="279"/>
      <c r="V262" s="279"/>
      <c r="W262" s="296"/>
      <c r="X262" s="279"/>
      <c r="Y262" s="262"/>
      <c r="Z262" s="280"/>
      <c r="AA262" s="280"/>
      <c r="AB262" s="280"/>
      <c r="AC262" s="280"/>
      <c r="AD262" s="280"/>
      <c r="AE262" s="280"/>
      <c r="AF262" s="284">
        <f>SUM(AF263:AF265)</f>
        <v>0</v>
      </c>
      <c r="AG262" s="282">
        <f t="shared" si="594"/>
        <v>4133.95</v>
      </c>
      <c r="AH262" s="236">
        <f>SUM(AH263:AH265)</f>
        <v>12037241.229600001</v>
      </c>
      <c r="AI262" s="236">
        <f>SUM(AI263:AI265)</f>
        <v>11726897.817200001</v>
      </c>
      <c r="AJ262" s="236">
        <f>SUM(AJ263:AJ265)</f>
        <v>0</v>
      </c>
      <c r="AK262" s="260">
        <f t="shared" si="618"/>
        <v>23764139.046800002</v>
      </c>
      <c r="AL262" s="236">
        <f>SUM(AL263:AL265)</f>
        <v>0</v>
      </c>
      <c r="AM262" s="236">
        <f>SUM(AM263:AM265)</f>
        <v>0</v>
      </c>
      <c r="AN262" s="236">
        <f>SUM(AN263:AN265)</f>
        <v>0</v>
      </c>
      <c r="AO262" s="260"/>
      <c r="AP262" s="236">
        <f t="shared" ref="AP262:AU262" si="622">SUM(AP263:AP265)</f>
        <v>0</v>
      </c>
      <c r="AQ262" s="236">
        <f t="shared" si="622"/>
        <v>0</v>
      </c>
      <c r="AR262" s="236">
        <f t="shared" si="622"/>
        <v>0</v>
      </c>
      <c r="AS262" s="236">
        <f t="shared" si="622"/>
        <v>0</v>
      </c>
      <c r="AT262" s="236">
        <f t="shared" si="622"/>
        <v>0</v>
      </c>
      <c r="AU262" s="236">
        <f t="shared" si="622"/>
        <v>0</v>
      </c>
      <c r="AV262" s="260"/>
      <c r="AW262" s="236">
        <f t="shared" ref="AW262:BB262" si="623">SUM(AW263:AW265)</f>
        <v>0</v>
      </c>
      <c r="AX262" s="236">
        <f t="shared" si="623"/>
        <v>0</v>
      </c>
      <c r="AY262" s="236">
        <f t="shared" si="623"/>
        <v>0</v>
      </c>
      <c r="AZ262" s="236">
        <f t="shared" si="623"/>
        <v>0</v>
      </c>
      <c r="BA262" s="236">
        <f t="shared" si="623"/>
        <v>0</v>
      </c>
      <c r="BB262" s="236">
        <f t="shared" si="623"/>
        <v>0</v>
      </c>
      <c r="BC262" s="260">
        <f t="shared" si="615"/>
        <v>0</v>
      </c>
      <c r="BD262" s="238">
        <f t="shared" si="545"/>
        <v>23764139.046800002</v>
      </c>
      <c r="BE262" s="13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44"/>
      <c r="CC262" s="244"/>
      <c r="CD262" s="244"/>
      <c r="CE262" s="244"/>
      <c r="CF262" s="244"/>
      <c r="CG262" s="244"/>
      <c r="CH262" s="244"/>
      <c r="CI262" s="244"/>
      <c r="CJ262" s="244"/>
      <c r="CK262" s="244"/>
      <c r="CL262" s="244"/>
      <c r="CM262" s="244"/>
      <c r="CN262" s="244"/>
      <c r="CO262" s="244"/>
      <c r="CP262" s="244"/>
      <c r="CQ262" s="244"/>
      <c r="CR262" s="244"/>
      <c r="CS262" s="244"/>
      <c r="CT262" s="244"/>
      <c r="CU262" s="244"/>
      <c r="CV262" s="244"/>
      <c r="CW262" s="244"/>
      <c r="CX262" s="244"/>
      <c r="CY262" s="244"/>
      <c r="CZ262" s="244"/>
      <c r="DA262" s="244"/>
      <c r="DB262" s="244"/>
      <c r="DC262" s="244"/>
      <c r="DD262" s="244"/>
      <c r="DE262" s="244"/>
      <c r="DF262" s="244"/>
      <c r="DG262" s="244"/>
      <c r="DH262" s="244"/>
      <c r="DI262" s="244"/>
      <c r="DJ262" s="244"/>
      <c r="DK262" s="244"/>
      <c r="DL262" s="244"/>
      <c r="DM262" s="244"/>
      <c r="DN262" s="244"/>
      <c r="DO262" s="244"/>
      <c r="DP262" s="244"/>
      <c r="DQ262" s="244"/>
      <c r="DR262" s="244"/>
      <c r="DS262" s="244"/>
      <c r="DT262" s="244"/>
      <c r="DU262" s="244"/>
      <c r="DV262" s="244"/>
      <c r="DW262" s="244"/>
      <c r="DX262" s="244"/>
      <c r="DY262" s="244"/>
      <c r="DZ262" s="244"/>
      <c r="EA262" s="244"/>
      <c r="EB262" s="244"/>
      <c r="EC262" s="244"/>
      <c r="ED262" s="244"/>
      <c r="EE262" s="244"/>
      <c r="EF262" s="244"/>
      <c r="EG262" s="244"/>
      <c r="EH262" s="244"/>
      <c r="EI262" s="244"/>
      <c r="EJ262" s="244"/>
      <c r="EK262" s="244"/>
      <c r="EL262" s="244"/>
      <c r="EM262" s="244"/>
      <c r="EN262" s="244"/>
      <c r="EO262" s="244"/>
      <c r="EP262" s="244"/>
      <c r="EQ262" s="244"/>
      <c r="ER262" s="244"/>
      <c r="ES262" s="244"/>
      <c r="ET262" s="244"/>
      <c r="EU262" s="244"/>
      <c r="EV262" s="244"/>
      <c r="EW262" s="244"/>
      <c r="EX262" s="244"/>
      <c r="EY262" s="244"/>
      <c r="EZ262" s="244"/>
      <c r="FA262" s="244"/>
      <c r="FB262" s="244"/>
      <c r="FC262" s="244"/>
      <c r="FD262" s="244"/>
      <c r="FE262" s="244"/>
      <c r="FF262" s="244"/>
      <c r="FG262" s="244"/>
      <c r="FH262" s="244"/>
      <c r="FI262" s="244"/>
      <c r="FJ262" s="244"/>
      <c r="FK262" s="244"/>
      <c r="FL262" s="244"/>
      <c r="FM262" s="244"/>
      <c r="FN262" s="244"/>
      <c r="FO262" s="244"/>
      <c r="FP262" s="244"/>
      <c r="FQ262" s="244"/>
      <c r="FR262" s="244"/>
      <c r="FS262" s="244"/>
      <c r="FT262" s="244"/>
      <c r="FU262" s="244"/>
      <c r="FV262" s="244"/>
      <c r="FW262" s="244"/>
      <c r="FX262" s="244"/>
      <c r="FY262" s="244"/>
      <c r="FZ262" s="244"/>
      <c r="GA262" s="244"/>
      <c r="GB262" s="244"/>
      <c r="GC262" s="244"/>
      <c r="GD262" s="244"/>
      <c r="GE262" s="244"/>
      <c r="GF262" s="244"/>
      <c r="GG262" s="244"/>
      <c r="GH262" s="244"/>
      <c r="GI262" s="244"/>
      <c r="GJ262" s="244"/>
      <c r="GK262" s="244"/>
      <c r="GL262" s="244"/>
      <c r="GM262" s="244"/>
      <c r="GN262" s="244"/>
      <c r="GO262" s="244"/>
      <c r="GP262" s="244"/>
      <c r="GQ262" s="244"/>
      <c r="GR262" s="244"/>
      <c r="GS262" s="244"/>
      <c r="GT262" s="244"/>
    </row>
    <row r="263" spans="1:202" ht="12.75">
      <c r="A263" s="196"/>
      <c r="B263" s="84" t="s">
        <v>75</v>
      </c>
      <c r="C263" s="221" t="s">
        <v>577</v>
      </c>
      <c r="D263" s="78"/>
      <c r="E263" s="82">
        <v>10602.4</v>
      </c>
      <c r="F263" s="82">
        <v>1916</v>
      </c>
      <c r="G263" s="177">
        <f t="shared" si="593"/>
        <v>8686.4</v>
      </c>
      <c r="H263" s="82">
        <v>10602.4</v>
      </c>
      <c r="I263" s="82">
        <v>1916</v>
      </c>
      <c r="J263" s="210">
        <f t="shared" ref="J263:J269" si="624">H263-I263</f>
        <v>8686.4</v>
      </c>
      <c r="K263" s="255">
        <v>1332.24</v>
      </c>
      <c r="L263" s="255">
        <v>1291.68</v>
      </c>
      <c r="M263" s="255"/>
      <c r="N263" s="287">
        <f t="shared" si="616"/>
        <v>2623.92</v>
      </c>
      <c r="O263" s="276"/>
      <c r="P263" s="276"/>
      <c r="Q263" s="294"/>
      <c r="R263" s="287"/>
      <c r="S263" s="294"/>
      <c r="T263" s="267"/>
      <c r="U263" s="276"/>
      <c r="V263" s="276"/>
      <c r="W263" s="294"/>
      <c r="X263" s="264"/>
      <c r="Y263" s="142"/>
      <c r="Z263" s="276"/>
      <c r="AA263" s="276"/>
      <c r="AB263" s="276"/>
      <c r="AC263" s="276"/>
      <c r="AD263" s="276"/>
      <c r="AE263" s="276"/>
      <c r="AF263" s="287">
        <f>SUM(Z263:AE263)</f>
        <v>0</v>
      </c>
      <c r="AG263" s="283">
        <f t="shared" si="594"/>
        <v>2623.92</v>
      </c>
      <c r="AH263" s="230">
        <f t="shared" ref="AH263:AJ266" si="625">K263*$G263</f>
        <v>11572369.536</v>
      </c>
      <c r="AI263" s="230">
        <f t="shared" si="625"/>
        <v>11220049.152000001</v>
      </c>
      <c r="AJ263" s="230">
        <f t="shared" si="625"/>
        <v>0</v>
      </c>
      <c r="AK263" s="261">
        <f t="shared" si="618"/>
        <v>22792418.688000001</v>
      </c>
      <c r="AL263" s="230">
        <f t="shared" ref="AL263:AN266" si="626">O263*$G263</f>
        <v>0</v>
      </c>
      <c r="AM263" s="230">
        <f t="shared" si="626"/>
        <v>0</v>
      </c>
      <c r="AN263" s="230">
        <f t="shared" si="626"/>
        <v>0</v>
      </c>
      <c r="AO263" s="261"/>
      <c r="AP263" s="230">
        <f t="shared" ref="AP263:AU266" si="627">S263*$J263</f>
        <v>0</v>
      </c>
      <c r="AQ263" s="230">
        <f t="shared" si="627"/>
        <v>0</v>
      </c>
      <c r="AR263" s="230">
        <f t="shared" si="627"/>
        <v>0</v>
      </c>
      <c r="AS263" s="230">
        <f t="shared" si="627"/>
        <v>0</v>
      </c>
      <c r="AT263" s="230">
        <f t="shared" si="627"/>
        <v>0</v>
      </c>
      <c r="AU263" s="230">
        <f t="shared" si="627"/>
        <v>0</v>
      </c>
      <c r="AV263" s="261"/>
      <c r="AW263" s="230">
        <f t="shared" ref="AW263:BB266" si="628">Z263*$J263</f>
        <v>0</v>
      </c>
      <c r="AX263" s="230">
        <f t="shared" si="628"/>
        <v>0</v>
      </c>
      <c r="AY263" s="230">
        <f t="shared" si="628"/>
        <v>0</v>
      </c>
      <c r="AZ263" s="230">
        <f t="shared" si="628"/>
        <v>0</v>
      </c>
      <c r="BA263" s="230">
        <f t="shared" si="628"/>
        <v>0</v>
      </c>
      <c r="BB263" s="230">
        <f t="shared" si="628"/>
        <v>0</v>
      </c>
      <c r="BC263" s="261">
        <f t="shared" si="615"/>
        <v>0</v>
      </c>
      <c r="BD263" s="239">
        <f t="shared" si="545"/>
        <v>22792418.688000001</v>
      </c>
      <c r="BE263" s="243"/>
    </row>
    <row r="264" spans="1:202" ht="12.75">
      <c r="A264" s="196"/>
      <c r="B264" s="84" t="s">
        <v>75</v>
      </c>
      <c r="C264" s="221" t="s">
        <v>578</v>
      </c>
      <c r="D264" s="78"/>
      <c r="E264" s="82">
        <v>10602.4</v>
      </c>
      <c r="F264" s="82">
        <v>1916</v>
      </c>
      <c r="G264" s="177">
        <f t="shared" si="593"/>
        <v>8686.4</v>
      </c>
      <c r="H264" s="82">
        <v>10602.4</v>
      </c>
      <c r="I264" s="82">
        <v>1916</v>
      </c>
      <c r="J264" s="210">
        <f t="shared" si="624"/>
        <v>8686.4</v>
      </c>
      <c r="K264" s="255">
        <v>45.3</v>
      </c>
      <c r="L264" s="255">
        <v>49.39</v>
      </c>
      <c r="M264" s="255"/>
      <c r="N264" s="287">
        <f t="shared" si="616"/>
        <v>94.69</v>
      </c>
      <c r="O264" s="276"/>
      <c r="P264" s="276"/>
      <c r="Q264" s="294"/>
      <c r="R264" s="287"/>
      <c r="S264" s="294"/>
      <c r="T264" s="267"/>
      <c r="U264" s="276"/>
      <c r="V264" s="276"/>
      <c r="W264" s="294"/>
      <c r="X264" s="264"/>
      <c r="Y264" s="142"/>
      <c r="Z264" s="276"/>
      <c r="AA264" s="276"/>
      <c r="AB264" s="276"/>
      <c r="AC264" s="276"/>
      <c r="AD264" s="276"/>
      <c r="AE264" s="276"/>
      <c r="AF264" s="287">
        <f>SUM(Z264:AE264)</f>
        <v>0</v>
      </c>
      <c r="AG264" s="283">
        <f t="shared" si="594"/>
        <v>94.69</v>
      </c>
      <c r="AH264" s="230">
        <f t="shared" si="625"/>
        <v>393493.92</v>
      </c>
      <c r="AI264" s="230">
        <f t="shared" si="625"/>
        <v>429021.29599999997</v>
      </c>
      <c r="AJ264" s="230">
        <f t="shared" si="625"/>
        <v>0</v>
      </c>
      <c r="AK264" s="261">
        <f t="shared" si="618"/>
        <v>822515.21600000001</v>
      </c>
      <c r="AL264" s="230">
        <f t="shared" si="626"/>
        <v>0</v>
      </c>
      <c r="AM264" s="230">
        <f t="shared" si="626"/>
        <v>0</v>
      </c>
      <c r="AN264" s="230">
        <f t="shared" si="626"/>
        <v>0</v>
      </c>
      <c r="AO264" s="261"/>
      <c r="AP264" s="230">
        <f t="shared" si="627"/>
        <v>0</v>
      </c>
      <c r="AQ264" s="230">
        <f t="shared" si="627"/>
        <v>0</v>
      </c>
      <c r="AR264" s="230">
        <f t="shared" si="627"/>
        <v>0</v>
      </c>
      <c r="AS264" s="230">
        <f t="shared" si="627"/>
        <v>0</v>
      </c>
      <c r="AT264" s="230">
        <f t="shared" si="627"/>
        <v>0</v>
      </c>
      <c r="AU264" s="230">
        <f t="shared" si="627"/>
        <v>0</v>
      </c>
      <c r="AV264" s="261"/>
      <c r="AW264" s="230">
        <f t="shared" si="628"/>
        <v>0</v>
      </c>
      <c r="AX264" s="230">
        <f t="shared" si="628"/>
        <v>0</v>
      </c>
      <c r="AY264" s="230">
        <f t="shared" si="628"/>
        <v>0</v>
      </c>
      <c r="AZ264" s="230">
        <f t="shared" si="628"/>
        <v>0</v>
      </c>
      <c r="BA264" s="230">
        <f t="shared" si="628"/>
        <v>0</v>
      </c>
      <c r="BB264" s="230">
        <f t="shared" si="628"/>
        <v>0</v>
      </c>
      <c r="BC264" s="261">
        <f t="shared" si="615"/>
        <v>0</v>
      </c>
      <c r="BD264" s="239">
        <f t="shared" si="545"/>
        <v>822515.21600000001</v>
      </c>
      <c r="BE264" s="243"/>
    </row>
    <row r="265" spans="1:202" ht="12.75">
      <c r="A265" s="196"/>
      <c r="B265" s="84" t="s">
        <v>75</v>
      </c>
      <c r="C265" s="223" t="s">
        <v>579</v>
      </c>
      <c r="D265" s="241"/>
      <c r="E265" s="211">
        <v>173</v>
      </c>
      <c r="F265" s="211">
        <v>67.58</v>
      </c>
      <c r="G265" s="177">
        <f t="shared" si="593"/>
        <v>105.42</v>
      </c>
      <c r="H265" s="211">
        <v>173</v>
      </c>
      <c r="I265" s="211">
        <v>67.58</v>
      </c>
      <c r="J265" s="210">
        <f t="shared" si="624"/>
        <v>105.42</v>
      </c>
      <c r="K265" s="252">
        <v>677.08</v>
      </c>
      <c r="L265" s="252">
        <v>738.26</v>
      </c>
      <c r="M265" s="253"/>
      <c r="N265" s="287">
        <f t="shared" si="616"/>
        <v>1415.3400000000001</v>
      </c>
      <c r="O265" s="273"/>
      <c r="P265" s="273"/>
      <c r="Q265" s="291"/>
      <c r="R265" s="287"/>
      <c r="S265" s="290"/>
      <c r="T265" s="264"/>
      <c r="U265" s="273"/>
      <c r="V265" s="274"/>
      <c r="W265" s="291"/>
      <c r="X265" s="265"/>
      <c r="Y265" s="142"/>
      <c r="Z265" s="273"/>
      <c r="AA265" s="273"/>
      <c r="AB265" s="273"/>
      <c r="AC265" s="273"/>
      <c r="AD265" s="273"/>
      <c r="AE265" s="273"/>
      <c r="AF265" s="287">
        <f>SUM(Z265:AE265)</f>
        <v>0</v>
      </c>
      <c r="AG265" s="283">
        <f t="shared" si="594"/>
        <v>1415.3400000000001</v>
      </c>
      <c r="AH265" s="230">
        <f t="shared" si="625"/>
        <v>71377.7736</v>
      </c>
      <c r="AI265" s="230">
        <f t="shared" si="625"/>
        <v>77827.369200000001</v>
      </c>
      <c r="AJ265" s="230">
        <f t="shared" si="625"/>
        <v>0</v>
      </c>
      <c r="AK265" s="261">
        <f t="shared" si="618"/>
        <v>149205.1428</v>
      </c>
      <c r="AL265" s="228">
        <f t="shared" si="626"/>
        <v>0</v>
      </c>
      <c r="AM265" s="228">
        <f t="shared" si="626"/>
        <v>0</v>
      </c>
      <c r="AN265" s="229">
        <f t="shared" si="626"/>
        <v>0</v>
      </c>
      <c r="AO265" s="261"/>
      <c r="AP265" s="230">
        <f t="shared" si="627"/>
        <v>0</v>
      </c>
      <c r="AQ265" s="230">
        <f t="shared" si="627"/>
        <v>0</v>
      </c>
      <c r="AR265" s="230">
        <f t="shared" si="627"/>
        <v>0</v>
      </c>
      <c r="AS265" s="230">
        <f t="shared" si="627"/>
        <v>0</v>
      </c>
      <c r="AT265" s="230">
        <f t="shared" si="627"/>
        <v>0</v>
      </c>
      <c r="AU265" s="230">
        <f t="shared" si="627"/>
        <v>0</v>
      </c>
      <c r="AV265" s="261"/>
      <c r="AW265" s="228">
        <f t="shared" si="628"/>
        <v>0</v>
      </c>
      <c r="AX265" s="228">
        <f t="shared" si="628"/>
        <v>0</v>
      </c>
      <c r="AY265" s="228">
        <f t="shared" si="628"/>
        <v>0</v>
      </c>
      <c r="AZ265" s="228">
        <f t="shared" si="628"/>
        <v>0</v>
      </c>
      <c r="BA265" s="228">
        <f t="shared" si="628"/>
        <v>0</v>
      </c>
      <c r="BB265" s="228">
        <f t="shared" si="628"/>
        <v>0</v>
      </c>
      <c r="BC265" s="261">
        <f t="shared" si="615"/>
        <v>0</v>
      </c>
      <c r="BD265" s="239">
        <f t="shared" si="545"/>
        <v>149205.1428</v>
      </c>
      <c r="BE265" s="243"/>
    </row>
    <row r="266" spans="1:202" s="83" customFormat="1" ht="12.75">
      <c r="A266" s="197" t="s">
        <v>26</v>
      </c>
      <c r="B266" s="183" t="s">
        <v>253</v>
      </c>
      <c r="C266" s="217" t="s">
        <v>162</v>
      </c>
      <c r="D266" s="146">
        <v>2923006774</v>
      </c>
      <c r="E266" s="147"/>
      <c r="F266" s="144"/>
      <c r="G266" s="177">
        <f>E266-F266</f>
        <v>0</v>
      </c>
      <c r="H266" s="147"/>
      <c r="I266" s="144"/>
      <c r="J266" s="210">
        <f t="shared" si="624"/>
        <v>0</v>
      </c>
      <c r="K266" s="257"/>
      <c r="L266" s="257"/>
      <c r="M266" s="257"/>
      <c r="N266" s="284">
        <f t="shared" si="616"/>
        <v>0</v>
      </c>
      <c r="O266" s="279"/>
      <c r="P266" s="279"/>
      <c r="Q266" s="296"/>
      <c r="R266" s="284">
        <f>O266+P266+Q266</f>
        <v>0</v>
      </c>
      <c r="S266" s="296"/>
      <c r="T266" s="269"/>
      <c r="U266" s="279"/>
      <c r="V266" s="279"/>
      <c r="W266" s="296"/>
      <c r="X266" s="269"/>
      <c r="Y266" s="262">
        <f>SUM(S266:X266)</f>
        <v>0</v>
      </c>
      <c r="Z266" s="279"/>
      <c r="AA266" s="279"/>
      <c r="AB266" s="279"/>
      <c r="AC266" s="279"/>
      <c r="AD266" s="279"/>
      <c r="AE266" s="279"/>
      <c r="AF266" s="284">
        <f>SUM(Z266:AE266)</f>
        <v>0</v>
      </c>
      <c r="AG266" s="282">
        <f t="shared" si="594"/>
        <v>0</v>
      </c>
      <c r="AH266" s="234">
        <f t="shared" si="625"/>
        <v>0</v>
      </c>
      <c r="AI266" s="234">
        <f t="shared" si="625"/>
        <v>0</v>
      </c>
      <c r="AJ266" s="234">
        <f t="shared" si="625"/>
        <v>0</v>
      </c>
      <c r="AK266" s="260">
        <f t="shared" si="618"/>
        <v>0</v>
      </c>
      <c r="AL266" s="234">
        <f t="shared" si="626"/>
        <v>0</v>
      </c>
      <c r="AM266" s="234">
        <f t="shared" si="626"/>
        <v>0</v>
      </c>
      <c r="AN266" s="234">
        <f t="shared" si="626"/>
        <v>0</v>
      </c>
      <c r="AO266" s="260">
        <f>SUM(AL266:AN266)</f>
        <v>0</v>
      </c>
      <c r="AP266" s="234">
        <f t="shared" si="627"/>
        <v>0</v>
      </c>
      <c r="AQ266" s="234">
        <f t="shared" si="627"/>
        <v>0</v>
      </c>
      <c r="AR266" s="234">
        <f t="shared" si="627"/>
        <v>0</v>
      </c>
      <c r="AS266" s="234">
        <f t="shared" si="627"/>
        <v>0</v>
      </c>
      <c r="AT266" s="234">
        <f t="shared" si="627"/>
        <v>0</v>
      </c>
      <c r="AU266" s="234">
        <f t="shared" si="627"/>
        <v>0</v>
      </c>
      <c r="AV266" s="260">
        <f>SUM(AP266:AU266)</f>
        <v>0</v>
      </c>
      <c r="AW266" s="234">
        <f t="shared" si="628"/>
        <v>0</v>
      </c>
      <c r="AX266" s="234">
        <f t="shared" si="628"/>
        <v>0</v>
      </c>
      <c r="AY266" s="234">
        <f t="shared" si="628"/>
        <v>0</v>
      </c>
      <c r="AZ266" s="234">
        <f t="shared" si="628"/>
        <v>0</v>
      </c>
      <c r="BA266" s="234">
        <f t="shared" si="628"/>
        <v>0</v>
      </c>
      <c r="BB266" s="234">
        <f t="shared" si="628"/>
        <v>0</v>
      </c>
      <c r="BC266" s="260">
        <f t="shared" si="615"/>
        <v>0</v>
      </c>
      <c r="BD266" s="238">
        <f t="shared" si="545"/>
        <v>0</v>
      </c>
      <c r="BE266" s="13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44"/>
      <c r="CC266" s="244"/>
      <c r="CD266" s="244"/>
      <c r="CE266" s="244"/>
      <c r="CF266" s="244"/>
      <c r="CG266" s="244"/>
      <c r="CH266" s="244"/>
      <c r="CI266" s="244"/>
      <c r="CJ266" s="244"/>
      <c r="CK266" s="244"/>
      <c r="CL266" s="244"/>
      <c r="CM266" s="244"/>
      <c r="CN266" s="244"/>
      <c r="CO266" s="244"/>
      <c r="CP266" s="244"/>
      <c r="CQ266" s="244"/>
      <c r="CR266" s="244"/>
      <c r="CS266" s="244"/>
      <c r="CT266" s="244"/>
      <c r="CU266" s="244"/>
      <c r="CV266" s="244"/>
      <c r="CW266" s="244"/>
      <c r="CX266" s="244"/>
      <c r="CY266" s="244"/>
      <c r="CZ266" s="244"/>
      <c r="DA266" s="244"/>
      <c r="DB266" s="244"/>
      <c r="DC266" s="244"/>
      <c r="DD266" s="244"/>
      <c r="DE266" s="244"/>
      <c r="DF266" s="244"/>
      <c r="DG266" s="244"/>
      <c r="DH266" s="244"/>
      <c r="DI266" s="244"/>
      <c r="DJ266" s="244"/>
      <c r="DK266" s="244"/>
      <c r="DL266" s="244"/>
      <c r="DM266" s="244"/>
      <c r="DN266" s="244"/>
      <c r="DO266" s="244"/>
      <c r="DP266" s="244"/>
      <c r="DQ266" s="244"/>
      <c r="DR266" s="244"/>
      <c r="DS266" s="244"/>
      <c r="DT266" s="244"/>
      <c r="DU266" s="244"/>
      <c r="DV266" s="244"/>
      <c r="DW266" s="244"/>
      <c r="DX266" s="244"/>
      <c r="DY266" s="244"/>
      <c r="DZ266" s="244"/>
      <c r="EA266" s="244"/>
      <c r="EB266" s="244"/>
      <c r="EC266" s="244"/>
      <c r="ED266" s="244"/>
      <c r="EE266" s="244"/>
      <c r="EF266" s="244"/>
      <c r="EG266" s="244"/>
      <c r="EH266" s="244"/>
      <c r="EI266" s="244"/>
      <c r="EJ266" s="244"/>
      <c r="EK266" s="244"/>
      <c r="EL266" s="244"/>
      <c r="EM266" s="244"/>
      <c r="EN266" s="244"/>
      <c r="EO266" s="244"/>
      <c r="EP266" s="244"/>
      <c r="EQ266" s="244"/>
      <c r="ER266" s="244"/>
      <c r="ES266" s="244"/>
      <c r="ET266" s="244"/>
      <c r="EU266" s="244"/>
      <c r="EV266" s="244"/>
      <c r="EW266" s="244"/>
      <c r="EX266" s="244"/>
      <c r="EY266" s="244"/>
      <c r="EZ266" s="244"/>
      <c r="FA266" s="244"/>
      <c r="FB266" s="244"/>
      <c r="FC266" s="244"/>
      <c r="FD266" s="244"/>
      <c r="FE266" s="244"/>
      <c r="FF266" s="244"/>
      <c r="FG266" s="244"/>
      <c r="FH266" s="244"/>
      <c r="FI266" s="244"/>
      <c r="FJ266" s="244"/>
      <c r="FK266" s="244"/>
      <c r="FL266" s="244"/>
      <c r="FM266" s="244"/>
      <c r="FN266" s="244"/>
      <c r="FO266" s="244"/>
      <c r="FP266" s="244"/>
      <c r="FQ266" s="244"/>
      <c r="FR266" s="244"/>
      <c r="FS266" s="244"/>
      <c r="FT266" s="244"/>
      <c r="FU266" s="244"/>
      <c r="FV266" s="244"/>
      <c r="FW266" s="244"/>
      <c r="FX266" s="244"/>
      <c r="FY266" s="244"/>
      <c r="FZ266" s="244"/>
      <c r="GA266" s="244"/>
      <c r="GB266" s="244"/>
      <c r="GC266" s="244"/>
      <c r="GD266" s="244"/>
      <c r="GE266" s="244"/>
      <c r="GF266" s="244"/>
      <c r="GG266" s="244"/>
      <c r="GH266" s="244"/>
      <c r="GI266" s="244"/>
      <c r="GJ266" s="244"/>
      <c r="GK266" s="244"/>
      <c r="GL266" s="244"/>
      <c r="GM266" s="244"/>
      <c r="GN266" s="244"/>
      <c r="GO266" s="244"/>
      <c r="GP266" s="244"/>
      <c r="GQ266" s="244"/>
      <c r="GR266" s="244"/>
      <c r="GS266" s="244"/>
      <c r="GT266" s="244"/>
    </row>
    <row r="267" spans="1:202" s="83" customFormat="1" ht="12.75">
      <c r="A267" s="197" t="s">
        <v>26</v>
      </c>
      <c r="B267" s="183" t="s">
        <v>494</v>
      </c>
      <c r="C267" s="217" t="s">
        <v>161</v>
      </c>
      <c r="D267" s="146">
        <v>2910005276</v>
      </c>
      <c r="E267" s="147"/>
      <c r="F267" s="144"/>
      <c r="G267" s="177"/>
      <c r="H267" s="147"/>
      <c r="I267" s="144"/>
      <c r="J267" s="210"/>
      <c r="K267" s="257">
        <f t="shared" ref="K267:Q267" si="629">SUM(K268:K269)</f>
        <v>346.96000000000004</v>
      </c>
      <c r="L267" s="257">
        <f t="shared" si="629"/>
        <v>339.28200000000004</v>
      </c>
      <c r="M267" s="257">
        <f t="shared" si="629"/>
        <v>0</v>
      </c>
      <c r="N267" s="284">
        <f t="shared" si="629"/>
        <v>686.24199999999996</v>
      </c>
      <c r="O267" s="279">
        <f t="shared" si="629"/>
        <v>0</v>
      </c>
      <c r="P267" s="279">
        <f t="shared" si="629"/>
        <v>0</v>
      </c>
      <c r="Q267" s="279">
        <f t="shared" si="629"/>
        <v>0</v>
      </c>
      <c r="R267" s="284">
        <f>O267+P267+Q267</f>
        <v>0</v>
      </c>
      <c r="S267" s="296">
        <f t="shared" ref="S267:X267" si="630">S268+S269</f>
        <v>0</v>
      </c>
      <c r="T267" s="296">
        <f t="shared" si="630"/>
        <v>0</v>
      </c>
      <c r="U267" s="296">
        <f t="shared" si="630"/>
        <v>0</v>
      </c>
      <c r="V267" s="296">
        <f t="shared" si="630"/>
        <v>0</v>
      </c>
      <c r="W267" s="296">
        <f t="shared" si="630"/>
        <v>0</v>
      </c>
      <c r="X267" s="296">
        <f t="shared" si="630"/>
        <v>0</v>
      </c>
      <c r="Y267" s="262">
        <f>SUM(S267:X267)</f>
        <v>0</v>
      </c>
      <c r="Z267" s="280">
        <f t="shared" ref="Z267:AE267" si="631">Z268+Z269</f>
        <v>0</v>
      </c>
      <c r="AA267" s="280">
        <f t="shared" si="631"/>
        <v>0</v>
      </c>
      <c r="AB267" s="280">
        <f t="shared" si="631"/>
        <v>0</v>
      </c>
      <c r="AC267" s="280">
        <f t="shared" si="631"/>
        <v>0</v>
      </c>
      <c r="AD267" s="280">
        <f t="shared" si="631"/>
        <v>0</v>
      </c>
      <c r="AE267" s="280">
        <f t="shared" si="631"/>
        <v>0</v>
      </c>
      <c r="AF267" s="284">
        <f>SUM(AF268:AF269)</f>
        <v>0</v>
      </c>
      <c r="AG267" s="282">
        <f t="shared" si="594"/>
        <v>686.24199999999996</v>
      </c>
      <c r="AH267" s="236">
        <f>AH268+AH269</f>
        <v>1577801.44548</v>
      </c>
      <c r="AI267" s="236">
        <f>AI268+AI269</f>
        <v>1542759.13026</v>
      </c>
      <c r="AJ267" s="236">
        <f>AJ268+AJ269</f>
        <v>0</v>
      </c>
      <c r="AK267" s="260">
        <f t="shared" si="618"/>
        <v>3120560.5757400002</v>
      </c>
      <c r="AL267" s="236">
        <f>AL268+AL269</f>
        <v>0</v>
      </c>
      <c r="AM267" s="236">
        <f>AM268+AM269</f>
        <v>0</v>
      </c>
      <c r="AN267" s="236">
        <f>AN268+AN269</f>
        <v>0</v>
      </c>
      <c r="AO267" s="260">
        <f>SUM(AL267:AN267)</f>
        <v>0</v>
      </c>
      <c r="AP267" s="236">
        <f t="shared" ref="AP267:AU267" si="632">AP268+AP269</f>
        <v>0</v>
      </c>
      <c r="AQ267" s="236">
        <f t="shared" si="632"/>
        <v>0</v>
      </c>
      <c r="AR267" s="236">
        <f t="shared" si="632"/>
        <v>0</v>
      </c>
      <c r="AS267" s="236">
        <f t="shared" si="632"/>
        <v>0</v>
      </c>
      <c r="AT267" s="236">
        <f t="shared" si="632"/>
        <v>0</v>
      </c>
      <c r="AU267" s="236">
        <f t="shared" si="632"/>
        <v>0</v>
      </c>
      <c r="AV267" s="260">
        <f>SUM(AP267:AU267)</f>
        <v>0</v>
      </c>
      <c r="AW267" s="236">
        <f t="shared" ref="AW267:BB267" si="633">AW268+AW269</f>
        <v>0</v>
      </c>
      <c r="AX267" s="236">
        <f t="shared" si="633"/>
        <v>0</v>
      </c>
      <c r="AY267" s="236">
        <f t="shared" si="633"/>
        <v>0</v>
      </c>
      <c r="AZ267" s="236">
        <f t="shared" si="633"/>
        <v>0</v>
      </c>
      <c r="BA267" s="236">
        <f t="shared" si="633"/>
        <v>0</v>
      </c>
      <c r="BB267" s="236">
        <f t="shared" si="633"/>
        <v>0</v>
      </c>
      <c r="BC267" s="260">
        <f t="shared" si="615"/>
        <v>0</v>
      </c>
      <c r="BD267" s="238">
        <f t="shared" si="545"/>
        <v>3120560.5757400002</v>
      </c>
      <c r="BE267" s="13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44"/>
      <c r="CC267" s="244"/>
      <c r="CD267" s="244"/>
      <c r="CE267" s="244"/>
      <c r="CF267" s="244"/>
      <c r="CG267" s="244"/>
      <c r="CH267" s="244"/>
      <c r="CI267" s="244"/>
      <c r="CJ267" s="244"/>
      <c r="CK267" s="244"/>
      <c r="CL267" s="244"/>
      <c r="CM267" s="244"/>
      <c r="CN267" s="244"/>
      <c r="CO267" s="244"/>
      <c r="CP267" s="244"/>
      <c r="CQ267" s="244"/>
      <c r="CR267" s="244"/>
      <c r="CS267" s="244"/>
      <c r="CT267" s="244"/>
      <c r="CU267" s="244"/>
      <c r="CV267" s="244"/>
      <c r="CW267" s="244"/>
      <c r="CX267" s="244"/>
      <c r="CY267" s="244"/>
      <c r="CZ267" s="244"/>
      <c r="DA267" s="244"/>
      <c r="DB267" s="244"/>
      <c r="DC267" s="244"/>
      <c r="DD267" s="244"/>
      <c r="DE267" s="244"/>
      <c r="DF267" s="244"/>
      <c r="DG267" s="244"/>
      <c r="DH267" s="244"/>
      <c r="DI267" s="244"/>
      <c r="DJ267" s="244"/>
      <c r="DK267" s="244"/>
      <c r="DL267" s="244"/>
      <c r="DM267" s="244"/>
      <c r="DN267" s="244"/>
      <c r="DO267" s="244"/>
      <c r="DP267" s="244"/>
      <c r="DQ267" s="244"/>
      <c r="DR267" s="244"/>
      <c r="DS267" s="244"/>
      <c r="DT267" s="244"/>
      <c r="DU267" s="244"/>
      <c r="DV267" s="244"/>
      <c r="DW267" s="244"/>
      <c r="DX267" s="244"/>
      <c r="DY267" s="244"/>
      <c r="DZ267" s="244"/>
      <c r="EA267" s="244"/>
      <c r="EB267" s="244"/>
      <c r="EC267" s="244"/>
      <c r="ED267" s="244"/>
      <c r="EE267" s="244"/>
      <c r="EF267" s="244"/>
      <c r="EG267" s="244"/>
      <c r="EH267" s="244"/>
      <c r="EI267" s="244"/>
      <c r="EJ267" s="244"/>
      <c r="EK267" s="244"/>
      <c r="EL267" s="244"/>
      <c r="EM267" s="244"/>
      <c r="EN267" s="244"/>
      <c r="EO267" s="244"/>
      <c r="EP267" s="244"/>
      <c r="EQ267" s="244"/>
      <c r="ER267" s="244"/>
      <c r="ES267" s="244"/>
      <c r="ET267" s="244"/>
      <c r="EU267" s="244"/>
      <c r="EV267" s="244"/>
      <c r="EW267" s="244"/>
      <c r="EX267" s="244"/>
      <c r="EY267" s="244"/>
      <c r="EZ267" s="244"/>
      <c r="FA267" s="244"/>
      <c r="FB267" s="244"/>
      <c r="FC267" s="244"/>
      <c r="FD267" s="244"/>
      <c r="FE267" s="244"/>
      <c r="FF267" s="244"/>
      <c r="FG267" s="244"/>
      <c r="FH267" s="244"/>
      <c r="FI267" s="244"/>
      <c r="FJ267" s="244"/>
      <c r="FK267" s="244"/>
      <c r="FL267" s="244"/>
      <c r="FM267" s="244"/>
      <c r="FN267" s="244"/>
      <c r="FO267" s="244"/>
      <c r="FP267" s="244"/>
      <c r="FQ267" s="244"/>
      <c r="FR267" s="244"/>
      <c r="FS267" s="244"/>
      <c r="FT267" s="244"/>
      <c r="FU267" s="244"/>
      <c r="FV267" s="244"/>
      <c r="FW267" s="244"/>
      <c r="FX267" s="244"/>
      <c r="FY267" s="244"/>
      <c r="FZ267" s="244"/>
      <c r="GA267" s="244"/>
      <c r="GB267" s="244"/>
      <c r="GC267" s="244"/>
      <c r="GD267" s="244"/>
      <c r="GE267" s="244"/>
      <c r="GF267" s="244"/>
      <c r="GG267" s="244"/>
      <c r="GH267" s="244"/>
      <c r="GI267" s="244"/>
      <c r="GJ267" s="244"/>
      <c r="GK267" s="244"/>
      <c r="GL267" s="244"/>
      <c r="GM267" s="244"/>
      <c r="GN267" s="244"/>
      <c r="GO267" s="244"/>
      <c r="GP267" s="244"/>
      <c r="GQ267" s="244"/>
      <c r="GR267" s="244"/>
      <c r="GS267" s="244"/>
      <c r="GT267" s="244"/>
    </row>
    <row r="268" spans="1:202" ht="12.75">
      <c r="A268" s="196"/>
      <c r="B268" s="240" t="s">
        <v>495</v>
      </c>
      <c r="C268" s="223" t="s">
        <v>161</v>
      </c>
      <c r="D268" s="241"/>
      <c r="E268" s="211">
        <v>6406.38</v>
      </c>
      <c r="F268" s="211">
        <v>1874</v>
      </c>
      <c r="G268" s="177">
        <f t="shared" ref="G268:G282" si="634">E268-F268</f>
        <v>4532.38</v>
      </c>
      <c r="H268" s="211">
        <v>6406.38</v>
      </c>
      <c r="I268" s="211">
        <v>1874</v>
      </c>
      <c r="J268" s="210">
        <f t="shared" si="624"/>
        <v>4532.38</v>
      </c>
      <c r="K268" s="252">
        <v>180.97200000000001</v>
      </c>
      <c r="L268" s="252">
        <v>180.97200000000001</v>
      </c>
      <c r="M268" s="253"/>
      <c r="N268" s="287">
        <f t="shared" ref="N268:N283" si="635">K268+L268+M268</f>
        <v>361.94400000000002</v>
      </c>
      <c r="O268" s="273"/>
      <c r="P268" s="273"/>
      <c r="Q268" s="291"/>
      <c r="R268" s="287"/>
      <c r="S268" s="290"/>
      <c r="T268" s="264"/>
      <c r="U268" s="273"/>
      <c r="V268" s="274"/>
      <c r="W268" s="291"/>
      <c r="X268" s="265"/>
      <c r="Y268" s="142"/>
      <c r="Z268" s="273"/>
      <c r="AA268" s="273"/>
      <c r="AB268" s="273"/>
      <c r="AC268" s="273"/>
      <c r="AD268" s="273"/>
      <c r="AE268" s="273"/>
      <c r="AF268" s="287">
        <f>SUM(Z268:AE268)</f>
        <v>0</v>
      </c>
      <c r="AG268" s="283">
        <f t="shared" si="594"/>
        <v>361.94400000000002</v>
      </c>
      <c r="AH268" s="228">
        <f t="shared" ref="AH268:AJ270" si="636">K268*$G268</f>
        <v>820233.87336000009</v>
      </c>
      <c r="AI268" s="228">
        <f t="shared" si="636"/>
        <v>820233.87336000009</v>
      </c>
      <c r="AJ268" s="228">
        <f t="shared" si="636"/>
        <v>0</v>
      </c>
      <c r="AK268" s="261">
        <f t="shared" si="618"/>
        <v>1640467.7467200002</v>
      </c>
      <c r="AL268" s="228">
        <f t="shared" ref="AL268:AN270" si="637">O268*$G268</f>
        <v>0</v>
      </c>
      <c r="AM268" s="228">
        <f t="shared" si="637"/>
        <v>0</v>
      </c>
      <c r="AN268" s="229">
        <f t="shared" si="637"/>
        <v>0</v>
      </c>
      <c r="AO268" s="261"/>
      <c r="AP268" s="228">
        <f t="shared" ref="AP268:AU270" si="638">S268*$J268</f>
        <v>0</v>
      </c>
      <c r="AQ268" s="228">
        <f t="shared" si="638"/>
        <v>0</v>
      </c>
      <c r="AR268" s="228">
        <f t="shared" si="638"/>
        <v>0</v>
      </c>
      <c r="AS268" s="228">
        <f t="shared" si="638"/>
        <v>0</v>
      </c>
      <c r="AT268" s="228">
        <f t="shared" si="638"/>
        <v>0</v>
      </c>
      <c r="AU268" s="228">
        <f t="shared" si="638"/>
        <v>0</v>
      </c>
      <c r="AV268" s="261"/>
      <c r="AW268" s="228">
        <f t="shared" ref="AW268:BB270" si="639">Z268*$J268</f>
        <v>0</v>
      </c>
      <c r="AX268" s="228">
        <f t="shared" si="639"/>
        <v>0</v>
      </c>
      <c r="AY268" s="228">
        <f t="shared" si="639"/>
        <v>0</v>
      </c>
      <c r="AZ268" s="228">
        <f t="shared" si="639"/>
        <v>0</v>
      </c>
      <c r="BA268" s="228">
        <f t="shared" si="639"/>
        <v>0</v>
      </c>
      <c r="BB268" s="228">
        <f t="shared" si="639"/>
        <v>0</v>
      </c>
      <c r="BC268" s="261">
        <f t="shared" si="615"/>
        <v>0</v>
      </c>
      <c r="BD268" s="239">
        <f t="shared" si="545"/>
        <v>1640467.7467200002</v>
      </c>
      <c r="BE268" s="243"/>
    </row>
    <row r="269" spans="1:202" ht="12.75">
      <c r="A269" s="196"/>
      <c r="B269" s="240" t="s">
        <v>496</v>
      </c>
      <c r="C269" s="223" t="s">
        <v>161</v>
      </c>
      <c r="D269" s="241"/>
      <c r="E269" s="211">
        <v>6623.99</v>
      </c>
      <c r="F269" s="211">
        <v>2060</v>
      </c>
      <c r="G269" s="177">
        <f t="shared" si="634"/>
        <v>4563.99</v>
      </c>
      <c r="H269" s="211">
        <v>6623.99</v>
      </c>
      <c r="I269" s="211">
        <v>2060</v>
      </c>
      <c r="J269" s="210">
        <f t="shared" si="624"/>
        <v>4563.99</v>
      </c>
      <c r="K269" s="252">
        <v>165.988</v>
      </c>
      <c r="L269" s="252">
        <v>158.31</v>
      </c>
      <c r="M269" s="253"/>
      <c r="N269" s="287">
        <f t="shared" si="635"/>
        <v>324.298</v>
      </c>
      <c r="O269" s="273"/>
      <c r="P269" s="273"/>
      <c r="Q269" s="291"/>
      <c r="R269" s="287"/>
      <c r="S269" s="290"/>
      <c r="T269" s="264"/>
      <c r="U269" s="273"/>
      <c r="V269" s="274"/>
      <c r="W269" s="291"/>
      <c r="X269" s="265"/>
      <c r="Y269" s="142"/>
      <c r="Z269" s="273"/>
      <c r="AA269" s="273"/>
      <c r="AB269" s="273"/>
      <c r="AC269" s="273"/>
      <c r="AD269" s="273"/>
      <c r="AE269" s="273"/>
      <c r="AF269" s="287">
        <f>SUM(Z269:AE269)</f>
        <v>0</v>
      </c>
      <c r="AG269" s="283">
        <f t="shared" si="594"/>
        <v>324.298</v>
      </c>
      <c r="AH269" s="228">
        <f t="shared" si="636"/>
        <v>757567.57211999991</v>
      </c>
      <c r="AI269" s="228">
        <f t="shared" si="636"/>
        <v>722525.25689999992</v>
      </c>
      <c r="AJ269" s="228">
        <f t="shared" si="636"/>
        <v>0</v>
      </c>
      <c r="AK269" s="261">
        <f t="shared" si="618"/>
        <v>1480092.8290199998</v>
      </c>
      <c r="AL269" s="228">
        <f t="shared" si="637"/>
        <v>0</v>
      </c>
      <c r="AM269" s="228">
        <f t="shared" si="637"/>
        <v>0</v>
      </c>
      <c r="AN269" s="229">
        <f t="shared" si="637"/>
        <v>0</v>
      </c>
      <c r="AO269" s="261"/>
      <c r="AP269" s="228">
        <f t="shared" si="638"/>
        <v>0</v>
      </c>
      <c r="AQ269" s="228">
        <f t="shared" si="638"/>
        <v>0</v>
      </c>
      <c r="AR269" s="228">
        <f t="shared" si="638"/>
        <v>0</v>
      </c>
      <c r="AS269" s="228">
        <f t="shared" si="638"/>
        <v>0</v>
      </c>
      <c r="AT269" s="228">
        <f t="shared" si="638"/>
        <v>0</v>
      </c>
      <c r="AU269" s="228">
        <f t="shared" si="638"/>
        <v>0</v>
      </c>
      <c r="AV269" s="261"/>
      <c r="AW269" s="228">
        <f t="shared" si="639"/>
        <v>0</v>
      </c>
      <c r="AX269" s="228">
        <f t="shared" si="639"/>
        <v>0</v>
      </c>
      <c r="AY269" s="228">
        <f t="shared" si="639"/>
        <v>0</v>
      </c>
      <c r="AZ269" s="228">
        <f t="shared" si="639"/>
        <v>0</v>
      </c>
      <c r="BA269" s="228">
        <f t="shared" si="639"/>
        <v>0</v>
      </c>
      <c r="BB269" s="228">
        <f t="shared" si="639"/>
        <v>0</v>
      </c>
      <c r="BC269" s="261">
        <f t="shared" si="615"/>
        <v>0</v>
      </c>
      <c r="BD269" s="239">
        <f t="shared" si="545"/>
        <v>1480092.8290199998</v>
      </c>
      <c r="BE269" s="243"/>
    </row>
    <row r="270" spans="1:202" s="83" customFormat="1" ht="12.75">
      <c r="A270" s="187" t="s">
        <v>26</v>
      </c>
      <c r="B270" s="170" t="s">
        <v>73</v>
      </c>
      <c r="C270" s="216" t="s">
        <v>213</v>
      </c>
      <c r="D270" s="138">
        <v>2921012050</v>
      </c>
      <c r="E270" s="147"/>
      <c r="F270" s="147"/>
      <c r="G270" s="177"/>
      <c r="H270" s="147"/>
      <c r="I270" s="147"/>
      <c r="J270" s="210"/>
      <c r="K270" s="251"/>
      <c r="L270" s="251"/>
      <c r="M270" s="257"/>
      <c r="N270" s="284">
        <f t="shared" si="635"/>
        <v>0</v>
      </c>
      <c r="O270" s="272"/>
      <c r="P270" s="272"/>
      <c r="Q270" s="296"/>
      <c r="R270" s="284">
        <f>O270+P270+Q270</f>
        <v>0</v>
      </c>
      <c r="S270" s="289"/>
      <c r="T270" s="263"/>
      <c r="U270" s="272"/>
      <c r="V270" s="279"/>
      <c r="W270" s="296"/>
      <c r="X270" s="269"/>
      <c r="Y270" s="262">
        <f>SUM(S270:X270)</f>
        <v>0</v>
      </c>
      <c r="Z270" s="272"/>
      <c r="AA270" s="272"/>
      <c r="AB270" s="272"/>
      <c r="AC270" s="272"/>
      <c r="AD270" s="272"/>
      <c r="AE270" s="272"/>
      <c r="AF270" s="284">
        <f>SUM(Z270:AE270)</f>
        <v>0</v>
      </c>
      <c r="AG270" s="282">
        <f t="shared" si="594"/>
        <v>0</v>
      </c>
      <c r="AH270" s="227">
        <f t="shared" si="636"/>
        <v>0</v>
      </c>
      <c r="AI270" s="227">
        <f t="shared" si="636"/>
        <v>0</v>
      </c>
      <c r="AJ270" s="227">
        <f t="shared" si="636"/>
        <v>0</v>
      </c>
      <c r="AK270" s="260">
        <f t="shared" si="618"/>
        <v>0</v>
      </c>
      <c r="AL270" s="227">
        <f t="shared" si="637"/>
        <v>0</v>
      </c>
      <c r="AM270" s="227">
        <f t="shared" si="637"/>
        <v>0</v>
      </c>
      <c r="AN270" s="234">
        <f t="shared" si="637"/>
        <v>0</v>
      </c>
      <c r="AO270" s="260">
        <f>SUM(AL270:AN270)</f>
        <v>0</v>
      </c>
      <c r="AP270" s="227">
        <f t="shared" si="638"/>
        <v>0</v>
      </c>
      <c r="AQ270" s="227">
        <f t="shared" si="638"/>
        <v>0</v>
      </c>
      <c r="AR270" s="227">
        <f t="shared" si="638"/>
        <v>0</v>
      </c>
      <c r="AS270" s="227">
        <f t="shared" si="638"/>
        <v>0</v>
      </c>
      <c r="AT270" s="227">
        <f t="shared" si="638"/>
        <v>0</v>
      </c>
      <c r="AU270" s="227">
        <f t="shared" si="638"/>
        <v>0</v>
      </c>
      <c r="AV270" s="260">
        <f>SUM(AP270:AU270)</f>
        <v>0</v>
      </c>
      <c r="AW270" s="227">
        <f t="shared" si="639"/>
        <v>0</v>
      </c>
      <c r="AX270" s="227">
        <f t="shared" si="639"/>
        <v>0</v>
      </c>
      <c r="AY270" s="227">
        <f t="shared" si="639"/>
        <v>0</v>
      </c>
      <c r="AZ270" s="227">
        <f t="shared" si="639"/>
        <v>0</v>
      </c>
      <c r="BA270" s="227">
        <f t="shared" si="639"/>
        <v>0</v>
      </c>
      <c r="BB270" s="227">
        <f t="shared" si="639"/>
        <v>0</v>
      </c>
      <c r="BC270" s="260">
        <f t="shared" si="615"/>
        <v>0</v>
      </c>
      <c r="BD270" s="238">
        <f t="shared" si="545"/>
        <v>0</v>
      </c>
      <c r="BE270" s="13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44"/>
      <c r="CC270" s="244"/>
      <c r="CD270" s="244"/>
      <c r="CE270" s="244"/>
      <c r="CF270" s="244"/>
      <c r="CG270" s="244"/>
      <c r="CH270" s="244"/>
      <c r="CI270" s="244"/>
      <c r="CJ270" s="244"/>
      <c r="CK270" s="244"/>
      <c r="CL270" s="244"/>
      <c r="CM270" s="244"/>
      <c r="CN270" s="244"/>
      <c r="CO270" s="244"/>
      <c r="CP270" s="244"/>
      <c r="CQ270" s="244"/>
      <c r="CR270" s="244"/>
      <c r="CS270" s="244"/>
      <c r="CT270" s="244"/>
      <c r="CU270" s="244"/>
      <c r="CV270" s="244"/>
      <c r="CW270" s="244"/>
      <c r="CX270" s="244"/>
      <c r="CY270" s="244"/>
      <c r="CZ270" s="244"/>
      <c r="DA270" s="244"/>
      <c r="DB270" s="244"/>
      <c r="DC270" s="244"/>
      <c r="DD270" s="244"/>
      <c r="DE270" s="244"/>
      <c r="DF270" s="244"/>
      <c r="DG270" s="244"/>
      <c r="DH270" s="244"/>
      <c r="DI270" s="244"/>
      <c r="DJ270" s="244"/>
      <c r="DK270" s="244"/>
      <c r="DL270" s="244"/>
      <c r="DM270" s="244"/>
      <c r="DN270" s="244"/>
      <c r="DO270" s="244"/>
      <c r="DP270" s="244"/>
      <c r="DQ270" s="244"/>
      <c r="DR270" s="244"/>
      <c r="DS270" s="244"/>
      <c r="DT270" s="244"/>
      <c r="DU270" s="244"/>
      <c r="DV270" s="244"/>
      <c r="DW270" s="244"/>
      <c r="DX270" s="244"/>
      <c r="DY270" s="244"/>
      <c r="DZ270" s="244"/>
      <c r="EA270" s="244"/>
      <c r="EB270" s="244"/>
      <c r="EC270" s="244"/>
      <c r="ED270" s="244"/>
      <c r="EE270" s="244"/>
      <c r="EF270" s="244"/>
      <c r="EG270" s="244"/>
      <c r="EH270" s="244"/>
      <c r="EI270" s="244"/>
      <c r="EJ270" s="244"/>
      <c r="EK270" s="244"/>
      <c r="EL270" s="244"/>
      <c r="EM270" s="244"/>
      <c r="EN270" s="244"/>
      <c r="EO270" s="244"/>
      <c r="EP270" s="244"/>
      <c r="EQ270" s="244"/>
      <c r="ER270" s="244"/>
      <c r="ES270" s="244"/>
      <c r="ET270" s="244"/>
      <c r="EU270" s="244"/>
      <c r="EV270" s="244"/>
      <c r="EW270" s="244"/>
      <c r="EX270" s="244"/>
      <c r="EY270" s="244"/>
      <c r="EZ270" s="244"/>
      <c r="FA270" s="244"/>
      <c r="FB270" s="244"/>
      <c r="FC270" s="244"/>
      <c r="FD270" s="244"/>
      <c r="FE270" s="244"/>
      <c r="FF270" s="244"/>
      <c r="FG270" s="244"/>
      <c r="FH270" s="244"/>
      <c r="FI270" s="244"/>
      <c r="FJ270" s="244"/>
      <c r="FK270" s="244"/>
      <c r="FL270" s="244"/>
      <c r="FM270" s="244"/>
      <c r="FN270" s="244"/>
      <c r="FO270" s="244"/>
      <c r="FP270" s="244"/>
      <c r="FQ270" s="244"/>
      <c r="FR270" s="244"/>
      <c r="FS270" s="244"/>
      <c r="FT270" s="244"/>
      <c r="FU270" s="244"/>
      <c r="FV270" s="244"/>
      <c r="FW270" s="244"/>
      <c r="FX270" s="244"/>
      <c r="FY270" s="244"/>
      <c r="FZ270" s="244"/>
      <c r="GA270" s="244"/>
      <c r="GB270" s="244"/>
      <c r="GC270" s="244"/>
      <c r="GD270" s="244"/>
      <c r="GE270" s="244"/>
      <c r="GF270" s="244"/>
      <c r="GG270" s="244"/>
      <c r="GH270" s="244"/>
      <c r="GI270" s="244"/>
      <c r="GJ270" s="244"/>
      <c r="GK270" s="244"/>
      <c r="GL270" s="244"/>
      <c r="GM270" s="244"/>
      <c r="GN270" s="244"/>
      <c r="GO270" s="244"/>
      <c r="GP270" s="244"/>
      <c r="GQ270" s="244"/>
      <c r="GR270" s="244"/>
      <c r="GS270" s="244"/>
      <c r="GT270" s="244"/>
    </row>
    <row r="271" spans="1:202" s="83" customFormat="1" ht="12.75">
      <c r="A271" s="197" t="s">
        <v>26</v>
      </c>
      <c r="B271" s="183" t="s">
        <v>310</v>
      </c>
      <c r="C271" s="217"/>
      <c r="D271" s="149">
        <v>2901265373</v>
      </c>
      <c r="E271" s="147"/>
      <c r="F271" s="144"/>
      <c r="G271" s="177"/>
      <c r="H271" s="147"/>
      <c r="I271" s="144"/>
      <c r="J271" s="210"/>
      <c r="K271" s="257">
        <f>K272</f>
        <v>234.21899999999999</v>
      </c>
      <c r="L271" s="257">
        <f>L272</f>
        <v>228.50899999999999</v>
      </c>
      <c r="M271" s="257">
        <f>M272</f>
        <v>0</v>
      </c>
      <c r="N271" s="284">
        <f t="shared" si="635"/>
        <v>462.72799999999995</v>
      </c>
      <c r="O271" s="279">
        <f>O272</f>
        <v>0</v>
      </c>
      <c r="P271" s="279">
        <f>P272</f>
        <v>0</v>
      </c>
      <c r="Q271" s="279">
        <f>Q272</f>
        <v>0</v>
      </c>
      <c r="R271" s="284">
        <f>O271+P271+Q271</f>
        <v>0</v>
      </c>
      <c r="S271" s="296">
        <f t="shared" ref="S271:X271" si="640">S272</f>
        <v>0</v>
      </c>
      <c r="T271" s="296">
        <f t="shared" si="640"/>
        <v>0</v>
      </c>
      <c r="U271" s="296">
        <f t="shared" si="640"/>
        <v>0</v>
      </c>
      <c r="V271" s="296">
        <f t="shared" si="640"/>
        <v>0</v>
      </c>
      <c r="W271" s="296">
        <f t="shared" si="640"/>
        <v>0</v>
      </c>
      <c r="X271" s="296">
        <f t="shared" si="640"/>
        <v>0</v>
      </c>
      <c r="Y271" s="262">
        <f>SUM(S271:X271)</f>
        <v>0</v>
      </c>
      <c r="Z271" s="280">
        <f t="shared" ref="Z271:AE271" si="641">Z272</f>
        <v>0</v>
      </c>
      <c r="AA271" s="280">
        <f t="shared" si="641"/>
        <v>0</v>
      </c>
      <c r="AB271" s="280">
        <f t="shared" si="641"/>
        <v>0</v>
      </c>
      <c r="AC271" s="280">
        <f t="shared" si="641"/>
        <v>0</v>
      </c>
      <c r="AD271" s="280">
        <f t="shared" si="641"/>
        <v>0</v>
      </c>
      <c r="AE271" s="280">
        <f t="shared" si="641"/>
        <v>0</v>
      </c>
      <c r="AF271" s="284">
        <f>SUM(AF272:AF272)</f>
        <v>0</v>
      </c>
      <c r="AG271" s="282">
        <f t="shared" si="594"/>
        <v>462.72799999999995</v>
      </c>
      <c r="AH271" s="236">
        <f>AH272</f>
        <v>616244.2421400001</v>
      </c>
      <c r="AI271" s="236">
        <f>AI272</f>
        <v>601220.88954</v>
      </c>
      <c r="AJ271" s="236">
        <f>AJ272</f>
        <v>0</v>
      </c>
      <c r="AK271" s="260">
        <f t="shared" si="618"/>
        <v>1217465.1316800001</v>
      </c>
      <c r="AL271" s="236">
        <f>AL272</f>
        <v>0</v>
      </c>
      <c r="AM271" s="236">
        <f>AM272</f>
        <v>0</v>
      </c>
      <c r="AN271" s="236">
        <f>AN272</f>
        <v>0</v>
      </c>
      <c r="AO271" s="260">
        <f>SUM(AL271:AN271)</f>
        <v>0</v>
      </c>
      <c r="AP271" s="236">
        <f t="shared" ref="AP271:AU271" si="642">AP272</f>
        <v>0</v>
      </c>
      <c r="AQ271" s="236">
        <f t="shared" si="642"/>
        <v>0</v>
      </c>
      <c r="AR271" s="236">
        <f t="shared" si="642"/>
        <v>0</v>
      </c>
      <c r="AS271" s="236">
        <f t="shared" si="642"/>
        <v>0</v>
      </c>
      <c r="AT271" s="236">
        <f t="shared" si="642"/>
        <v>0</v>
      </c>
      <c r="AU271" s="236">
        <f t="shared" si="642"/>
        <v>0</v>
      </c>
      <c r="AV271" s="260">
        <f>SUM(AP271:AU271)</f>
        <v>0</v>
      </c>
      <c r="AW271" s="236">
        <f t="shared" ref="AW271:BB271" si="643">AW272</f>
        <v>0</v>
      </c>
      <c r="AX271" s="236">
        <f t="shared" si="643"/>
        <v>0</v>
      </c>
      <c r="AY271" s="236">
        <f t="shared" si="643"/>
        <v>0</v>
      </c>
      <c r="AZ271" s="236">
        <f t="shared" si="643"/>
        <v>0</v>
      </c>
      <c r="BA271" s="236">
        <f t="shared" si="643"/>
        <v>0</v>
      </c>
      <c r="BB271" s="236">
        <f t="shared" si="643"/>
        <v>0</v>
      </c>
      <c r="BC271" s="260">
        <f t="shared" si="615"/>
        <v>0</v>
      </c>
      <c r="BD271" s="238">
        <f t="shared" si="545"/>
        <v>1217465.1316800001</v>
      </c>
      <c r="BE271" s="13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44"/>
      <c r="CC271" s="244"/>
      <c r="CD271" s="244"/>
      <c r="CE271" s="244"/>
      <c r="CF271" s="244"/>
      <c r="CG271" s="244"/>
      <c r="CH271" s="244"/>
      <c r="CI271" s="244"/>
      <c r="CJ271" s="244"/>
      <c r="CK271" s="244"/>
      <c r="CL271" s="244"/>
      <c r="CM271" s="244"/>
      <c r="CN271" s="244"/>
      <c r="CO271" s="244"/>
      <c r="CP271" s="244"/>
      <c r="CQ271" s="244"/>
      <c r="CR271" s="244"/>
      <c r="CS271" s="244"/>
      <c r="CT271" s="244"/>
      <c r="CU271" s="244"/>
      <c r="CV271" s="244"/>
      <c r="CW271" s="244"/>
      <c r="CX271" s="244"/>
      <c r="CY271" s="244"/>
      <c r="CZ271" s="244"/>
      <c r="DA271" s="244"/>
      <c r="DB271" s="244"/>
      <c r="DC271" s="244"/>
      <c r="DD271" s="244"/>
      <c r="DE271" s="244"/>
      <c r="DF271" s="244"/>
      <c r="DG271" s="244"/>
      <c r="DH271" s="244"/>
      <c r="DI271" s="244"/>
      <c r="DJ271" s="244"/>
      <c r="DK271" s="244"/>
      <c r="DL271" s="244"/>
      <c r="DM271" s="244"/>
      <c r="DN271" s="244"/>
      <c r="DO271" s="244"/>
      <c r="DP271" s="244"/>
      <c r="DQ271" s="244"/>
      <c r="DR271" s="244"/>
      <c r="DS271" s="244"/>
      <c r="DT271" s="244"/>
      <c r="DU271" s="244"/>
      <c r="DV271" s="244"/>
      <c r="DW271" s="244"/>
      <c r="DX271" s="244"/>
      <c r="DY271" s="244"/>
      <c r="DZ271" s="244"/>
      <c r="EA271" s="244"/>
      <c r="EB271" s="244"/>
      <c r="EC271" s="244"/>
      <c r="ED271" s="244"/>
      <c r="EE271" s="244"/>
      <c r="EF271" s="244"/>
      <c r="EG271" s="244"/>
      <c r="EH271" s="244"/>
      <c r="EI271" s="244"/>
      <c r="EJ271" s="244"/>
      <c r="EK271" s="244"/>
      <c r="EL271" s="244"/>
      <c r="EM271" s="244"/>
      <c r="EN271" s="244"/>
      <c r="EO271" s="244"/>
      <c r="EP271" s="244"/>
      <c r="EQ271" s="244"/>
      <c r="ER271" s="244"/>
      <c r="ES271" s="244"/>
      <c r="ET271" s="244"/>
      <c r="EU271" s="244"/>
      <c r="EV271" s="244"/>
      <c r="EW271" s="244"/>
      <c r="EX271" s="244"/>
      <c r="EY271" s="244"/>
      <c r="EZ271" s="244"/>
      <c r="FA271" s="244"/>
      <c r="FB271" s="244"/>
      <c r="FC271" s="244"/>
      <c r="FD271" s="244"/>
      <c r="FE271" s="244"/>
      <c r="FF271" s="244"/>
      <c r="FG271" s="244"/>
      <c r="FH271" s="244"/>
      <c r="FI271" s="244"/>
      <c r="FJ271" s="244"/>
      <c r="FK271" s="244"/>
      <c r="FL271" s="244"/>
      <c r="FM271" s="244"/>
      <c r="FN271" s="244"/>
      <c r="FO271" s="244"/>
      <c r="FP271" s="244"/>
      <c r="FQ271" s="244"/>
      <c r="FR271" s="244"/>
      <c r="FS271" s="244"/>
      <c r="FT271" s="244"/>
      <c r="FU271" s="244"/>
      <c r="FV271" s="244"/>
      <c r="FW271" s="244"/>
      <c r="FX271" s="244"/>
      <c r="FY271" s="244"/>
      <c r="FZ271" s="244"/>
      <c r="GA271" s="244"/>
      <c r="GB271" s="244"/>
      <c r="GC271" s="244"/>
      <c r="GD271" s="244"/>
      <c r="GE271" s="244"/>
      <c r="GF271" s="244"/>
      <c r="GG271" s="244"/>
      <c r="GH271" s="244"/>
      <c r="GI271" s="244"/>
      <c r="GJ271" s="244"/>
      <c r="GK271" s="244"/>
      <c r="GL271" s="244"/>
      <c r="GM271" s="244"/>
      <c r="GN271" s="244"/>
      <c r="GO271" s="244"/>
      <c r="GP271" s="244"/>
      <c r="GQ271" s="244"/>
      <c r="GR271" s="244"/>
      <c r="GS271" s="244"/>
      <c r="GT271" s="244"/>
    </row>
    <row r="272" spans="1:202" ht="12.75">
      <c r="A272" s="344"/>
      <c r="B272" s="343"/>
      <c r="C272" s="225"/>
      <c r="D272" s="345"/>
      <c r="E272" s="211">
        <v>4560.0600000000004</v>
      </c>
      <c r="F272" s="211">
        <v>1929</v>
      </c>
      <c r="G272" s="177">
        <f t="shared" si="634"/>
        <v>2631.0600000000004</v>
      </c>
      <c r="H272" s="211">
        <v>4560.0600000000004</v>
      </c>
      <c r="I272" s="211">
        <v>1929</v>
      </c>
      <c r="J272" s="210">
        <f>H272-I272</f>
        <v>2631.0600000000004</v>
      </c>
      <c r="K272" s="346">
        <v>234.21899999999999</v>
      </c>
      <c r="L272" s="346">
        <v>228.50899999999999</v>
      </c>
      <c r="M272" s="346"/>
      <c r="N272" s="287">
        <f t="shared" si="635"/>
        <v>462.72799999999995</v>
      </c>
      <c r="O272" s="347"/>
      <c r="P272" s="347"/>
      <c r="Q272" s="348"/>
      <c r="R272" s="287"/>
      <c r="S272" s="348"/>
      <c r="T272" s="349"/>
      <c r="U272" s="347"/>
      <c r="V272" s="347"/>
      <c r="W272" s="348"/>
      <c r="X272" s="265"/>
      <c r="Y272" s="142"/>
      <c r="Z272" s="347"/>
      <c r="AA272" s="347"/>
      <c r="AB272" s="347"/>
      <c r="AC272" s="347"/>
      <c r="AD272" s="347"/>
      <c r="AE272" s="347"/>
      <c r="AF272" s="287">
        <f t="shared" ref="AF272:AF278" si="644">SUM(Z272:AE272)</f>
        <v>0</v>
      </c>
      <c r="AG272" s="283">
        <f t="shared" si="594"/>
        <v>462.72799999999995</v>
      </c>
      <c r="AH272" s="306">
        <f>K272*$G272</f>
        <v>616244.2421400001</v>
      </c>
      <c r="AI272" s="306">
        <f>L272*$G272</f>
        <v>601220.88954</v>
      </c>
      <c r="AJ272" s="306">
        <f>M272*$G272</f>
        <v>0</v>
      </c>
      <c r="AK272" s="261">
        <f t="shared" si="618"/>
        <v>1217465.1316800001</v>
      </c>
      <c r="AL272" s="306">
        <f>O272*$G272</f>
        <v>0</v>
      </c>
      <c r="AM272" s="306">
        <f>P272*$G272</f>
        <v>0</v>
      </c>
      <c r="AN272" s="306">
        <f>Q272*$G272</f>
        <v>0</v>
      </c>
      <c r="AO272" s="261"/>
      <c r="AP272" s="306">
        <f t="shared" ref="AP272:AU272" si="645">S272*$J272</f>
        <v>0</v>
      </c>
      <c r="AQ272" s="306">
        <f t="shared" si="645"/>
        <v>0</v>
      </c>
      <c r="AR272" s="306">
        <f t="shared" si="645"/>
        <v>0</v>
      </c>
      <c r="AS272" s="306">
        <f t="shared" si="645"/>
        <v>0</v>
      </c>
      <c r="AT272" s="306">
        <f t="shared" si="645"/>
        <v>0</v>
      </c>
      <c r="AU272" s="306">
        <f t="shared" si="645"/>
        <v>0</v>
      </c>
      <c r="AV272" s="261"/>
      <c r="AW272" s="306">
        <f t="shared" ref="AW272:BB272" si="646">Z272*$J272</f>
        <v>0</v>
      </c>
      <c r="AX272" s="306">
        <f t="shared" si="646"/>
        <v>0</v>
      </c>
      <c r="AY272" s="306">
        <f t="shared" si="646"/>
        <v>0</v>
      </c>
      <c r="AZ272" s="306">
        <f t="shared" si="646"/>
        <v>0</v>
      </c>
      <c r="BA272" s="306">
        <f t="shared" si="646"/>
        <v>0</v>
      </c>
      <c r="BB272" s="306">
        <f t="shared" si="646"/>
        <v>0</v>
      </c>
      <c r="BC272" s="261">
        <f t="shared" si="615"/>
        <v>0</v>
      </c>
      <c r="BD272" s="239">
        <f t="shared" si="545"/>
        <v>1217465.1316800001</v>
      </c>
      <c r="BE272" s="243"/>
    </row>
    <row r="273" spans="1:202" s="83" customFormat="1" ht="21" customHeight="1">
      <c r="A273" s="197" t="s">
        <v>56</v>
      </c>
      <c r="B273" s="183" t="s">
        <v>229</v>
      </c>
      <c r="C273" s="217" t="s">
        <v>536</v>
      </c>
      <c r="D273" s="149">
        <v>2923006943</v>
      </c>
      <c r="E273" s="147"/>
      <c r="F273" s="144"/>
      <c r="G273" s="177"/>
      <c r="H273" s="147"/>
      <c r="I273" s="144"/>
      <c r="J273" s="210"/>
      <c r="K273" s="258">
        <f>K274</f>
        <v>267.51</v>
      </c>
      <c r="L273" s="258">
        <f>L274</f>
        <v>265.44</v>
      </c>
      <c r="M273" s="258">
        <f>M274</f>
        <v>0</v>
      </c>
      <c r="N273" s="284">
        <f t="shared" si="635"/>
        <v>532.95000000000005</v>
      </c>
      <c r="O273" s="280">
        <f>O274</f>
        <v>0</v>
      </c>
      <c r="P273" s="280">
        <f>P274</f>
        <v>0</v>
      </c>
      <c r="Q273" s="280">
        <f>Q274</f>
        <v>0</v>
      </c>
      <c r="R273" s="284">
        <f>O273+P273+Q273</f>
        <v>0</v>
      </c>
      <c r="S273" s="297">
        <f t="shared" ref="S273:X273" si="647">S274</f>
        <v>0</v>
      </c>
      <c r="T273" s="297">
        <f t="shared" si="647"/>
        <v>0</v>
      </c>
      <c r="U273" s="297">
        <f t="shared" si="647"/>
        <v>0</v>
      </c>
      <c r="V273" s="297">
        <f t="shared" si="647"/>
        <v>0</v>
      </c>
      <c r="W273" s="297">
        <f t="shared" si="647"/>
        <v>0</v>
      </c>
      <c r="X273" s="297">
        <f t="shared" si="647"/>
        <v>0</v>
      </c>
      <c r="Y273" s="284">
        <f>SUM(S273:X273)</f>
        <v>0</v>
      </c>
      <c r="Z273" s="280">
        <f t="shared" ref="Z273:AE273" si="648">Z274</f>
        <v>0</v>
      </c>
      <c r="AA273" s="280">
        <f t="shared" si="648"/>
        <v>0</v>
      </c>
      <c r="AB273" s="280">
        <f t="shared" si="648"/>
        <v>0</v>
      </c>
      <c r="AC273" s="280">
        <f t="shared" si="648"/>
        <v>0</v>
      </c>
      <c r="AD273" s="280">
        <f t="shared" si="648"/>
        <v>0</v>
      </c>
      <c r="AE273" s="280">
        <f t="shared" si="648"/>
        <v>0</v>
      </c>
      <c r="AF273" s="284">
        <f t="shared" si="644"/>
        <v>0</v>
      </c>
      <c r="AG273" s="282">
        <f t="shared" si="594"/>
        <v>532.95000000000005</v>
      </c>
      <c r="AH273" s="236">
        <f>AH274</f>
        <v>1053828.8939999999</v>
      </c>
      <c r="AI273" s="236">
        <f>AI274</f>
        <v>1045674.3359999999</v>
      </c>
      <c r="AJ273" s="236">
        <f>AJ274</f>
        <v>0</v>
      </c>
      <c r="AK273" s="260">
        <f t="shared" si="618"/>
        <v>2099503.2299999995</v>
      </c>
      <c r="AL273" s="236">
        <f>AL274</f>
        <v>0</v>
      </c>
      <c r="AM273" s="236">
        <f>AM274</f>
        <v>0</v>
      </c>
      <c r="AN273" s="236">
        <f>AN274</f>
        <v>0</v>
      </c>
      <c r="AO273" s="260">
        <f>SUM(AL273:AN273)</f>
        <v>0</v>
      </c>
      <c r="AP273" s="236">
        <f t="shared" ref="AP273:AU273" si="649">AP274</f>
        <v>0</v>
      </c>
      <c r="AQ273" s="236">
        <f t="shared" si="649"/>
        <v>0</v>
      </c>
      <c r="AR273" s="236">
        <f t="shared" si="649"/>
        <v>0</v>
      </c>
      <c r="AS273" s="236">
        <f t="shared" si="649"/>
        <v>0</v>
      </c>
      <c r="AT273" s="236">
        <f t="shared" si="649"/>
        <v>0</v>
      </c>
      <c r="AU273" s="236">
        <f t="shared" si="649"/>
        <v>0</v>
      </c>
      <c r="AV273" s="260">
        <f>SUM(AP273:AU273)</f>
        <v>0</v>
      </c>
      <c r="AW273" s="236">
        <f t="shared" ref="AW273:BB273" si="650">AW274</f>
        <v>0</v>
      </c>
      <c r="AX273" s="236">
        <f t="shared" si="650"/>
        <v>0</v>
      </c>
      <c r="AY273" s="236">
        <f t="shared" si="650"/>
        <v>0</v>
      </c>
      <c r="AZ273" s="236">
        <f t="shared" si="650"/>
        <v>0</v>
      </c>
      <c r="BA273" s="236">
        <f t="shared" si="650"/>
        <v>0</v>
      </c>
      <c r="BB273" s="236">
        <f t="shared" si="650"/>
        <v>0</v>
      </c>
      <c r="BC273" s="260">
        <f t="shared" si="615"/>
        <v>0</v>
      </c>
      <c r="BD273" s="238">
        <f t="shared" si="545"/>
        <v>2099503.2299999995</v>
      </c>
      <c r="BE273" s="13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44"/>
      <c r="CC273" s="244"/>
      <c r="CD273" s="244"/>
      <c r="CE273" s="244"/>
      <c r="CF273" s="244"/>
      <c r="CG273" s="244"/>
      <c r="CH273" s="244"/>
      <c r="CI273" s="244"/>
      <c r="CJ273" s="244"/>
      <c r="CK273" s="244"/>
      <c r="CL273" s="244"/>
      <c r="CM273" s="244"/>
      <c r="CN273" s="244"/>
      <c r="CO273" s="244"/>
      <c r="CP273" s="244"/>
      <c r="CQ273" s="244"/>
      <c r="CR273" s="244"/>
      <c r="CS273" s="244"/>
      <c r="CT273" s="244"/>
      <c r="CU273" s="244"/>
      <c r="CV273" s="244"/>
      <c r="CW273" s="244"/>
      <c r="CX273" s="244"/>
      <c r="CY273" s="244"/>
      <c r="CZ273" s="244"/>
      <c r="DA273" s="244"/>
      <c r="DB273" s="244"/>
      <c r="DC273" s="244"/>
      <c r="DD273" s="244"/>
      <c r="DE273" s="244"/>
      <c r="DF273" s="244"/>
      <c r="DG273" s="244"/>
      <c r="DH273" s="244"/>
      <c r="DI273" s="244"/>
      <c r="DJ273" s="244"/>
      <c r="DK273" s="244"/>
      <c r="DL273" s="244"/>
      <c r="DM273" s="244"/>
      <c r="DN273" s="244"/>
      <c r="DO273" s="244"/>
      <c r="DP273" s="244"/>
      <c r="DQ273" s="244"/>
      <c r="DR273" s="244"/>
      <c r="DS273" s="244"/>
      <c r="DT273" s="244"/>
      <c r="DU273" s="244"/>
      <c r="DV273" s="244"/>
      <c r="DW273" s="244"/>
      <c r="DX273" s="244"/>
      <c r="DY273" s="244"/>
      <c r="DZ273" s="244"/>
      <c r="EA273" s="244"/>
      <c r="EB273" s="244"/>
      <c r="EC273" s="244"/>
      <c r="ED273" s="244"/>
      <c r="EE273" s="244"/>
      <c r="EF273" s="244"/>
      <c r="EG273" s="244"/>
      <c r="EH273" s="244"/>
      <c r="EI273" s="244"/>
      <c r="EJ273" s="244"/>
      <c r="EK273" s="244"/>
      <c r="EL273" s="244"/>
      <c r="EM273" s="244"/>
      <c r="EN273" s="244"/>
      <c r="EO273" s="244"/>
      <c r="EP273" s="244"/>
      <c r="EQ273" s="244"/>
      <c r="ER273" s="244"/>
      <c r="ES273" s="244"/>
      <c r="ET273" s="244"/>
      <c r="EU273" s="244"/>
      <c r="EV273" s="244"/>
      <c r="EW273" s="244"/>
      <c r="EX273" s="244"/>
      <c r="EY273" s="244"/>
      <c r="EZ273" s="244"/>
      <c r="FA273" s="244"/>
      <c r="FB273" s="244"/>
      <c r="FC273" s="244"/>
      <c r="FD273" s="244"/>
      <c r="FE273" s="244"/>
      <c r="FF273" s="244"/>
      <c r="FG273" s="244"/>
      <c r="FH273" s="244"/>
      <c r="FI273" s="244"/>
      <c r="FJ273" s="244"/>
      <c r="FK273" s="244"/>
      <c r="FL273" s="244"/>
      <c r="FM273" s="244"/>
      <c r="FN273" s="244"/>
      <c r="FO273" s="244"/>
      <c r="FP273" s="244"/>
      <c r="FQ273" s="244"/>
      <c r="FR273" s="244"/>
      <c r="FS273" s="244"/>
      <c r="FT273" s="244"/>
      <c r="FU273" s="244"/>
      <c r="FV273" s="244"/>
      <c r="FW273" s="244"/>
      <c r="FX273" s="244"/>
      <c r="FY273" s="244"/>
      <c r="FZ273" s="244"/>
      <c r="GA273" s="244"/>
      <c r="GB273" s="244"/>
      <c r="GC273" s="244"/>
      <c r="GD273" s="244"/>
      <c r="GE273" s="244"/>
      <c r="GF273" s="244"/>
      <c r="GG273" s="244"/>
      <c r="GH273" s="244"/>
      <c r="GI273" s="244"/>
      <c r="GJ273" s="244"/>
      <c r="GK273" s="244"/>
      <c r="GL273" s="244"/>
      <c r="GM273" s="244"/>
      <c r="GN273" s="244"/>
      <c r="GO273" s="244"/>
      <c r="GP273" s="244"/>
      <c r="GQ273" s="244"/>
      <c r="GR273" s="244"/>
      <c r="GS273" s="244"/>
      <c r="GT273" s="244"/>
    </row>
    <row r="274" spans="1:202" ht="12.75">
      <c r="A274" s="196"/>
      <c r="B274" s="84"/>
      <c r="C274" s="221"/>
      <c r="D274" s="78"/>
      <c r="E274" s="82">
        <v>5683.4</v>
      </c>
      <c r="F274" s="82">
        <v>1744</v>
      </c>
      <c r="G274" s="177">
        <f t="shared" si="634"/>
        <v>3939.3999999999996</v>
      </c>
      <c r="H274" s="82">
        <v>5683.4</v>
      </c>
      <c r="I274" s="82">
        <v>1744</v>
      </c>
      <c r="J274" s="210">
        <f>H274-I274</f>
        <v>3939.3999999999996</v>
      </c>
      <c r="K274" s="255">
        <v>267.51</v>
      </c>
      <c r="L274" s="255">
        <v>265.44</v>
      </c>
      <c r="M274" s="255"/>
      <c r="N274" s="287">
        <f t="shared" si="635"/>
        <v>532.95000000000005</v>
      </c>
      <c r="O274" s="276"/>
      <c r="P274" s="276"/>
      <c r="Q274" s="294"/>
      <c r="R274" s="287"/>
      <c r="S274" s="294"/>
      <c r="T274" s="267"/>
      <c r="U274" s="276"/>
      <c r="V274" s="276"/>
      <c r="W274" s="294"/>
      <c r="X274" s="264"/>
      <c r="Y274" s="142"/>
      <c r="Z274" s="276"/>
      <c r="AA274" s="276"/>
      <c r="AB274" s="276"/>
      <c r="AC274" s="276"/>
      <c r="AD274" s="276"/>
      <c r="AE274" s="276"/>
      <c r="AF274" s="287">
        <f t="shared" si="644"/>
        <v>0</v>
      </c>
      <c r="AG274" s="283">
        <f t="shared" si="594"/>
        <v>532.95000000000005</v>
      </c>
      <c r="AH274" s="230">
        <f>K274*$G274</f>
        <v>1053828.8939999999</v>
      </c>
      <c r="AI274" s="230">
        <f>L274*$G274</f>
        <v>1045674.3359999999</v>
      </c>
      <c r="AJ274" s="230">
        <f>M274*$G274</f>
        <v>0</v>
      </c>
      <c r="AK274" s="261">
        <f t="shared" si="618"/>
        <v>2099503.2299999995</v>
      </c>
      <c r="AL274" s="230">
        <f>O274*$G274</f>
        <v>0</v>
      </c>
      <c r="AM274" s="230">
        <f>P274*$G274</f>
        <v>0</v>
      </c>
      <c r="AN274" s="230">
        <f>Q274*$G274</f>
        <v>0</v>
      </c>
      <c r="AO274" s="261"/>
      <c r="AP274" s="230">
        <f t="shared" ref="AP274:AU274" si="651">S274*$J274</f>
        <v>0</v>
      </c>
      <c r="AQ274" s="230">
        <f t="shared" si="651"/>
        <v>0</v>
      </c>
      <c r="AR274" s="230">
        <f t="shared" si="651"/>
        <v>0</v>
      </c>
      <c r="AS274" s="230">
        <f t="shared" si="651"/>
        <v>0</v>
      </c>
      <c r="AT274" s="230">
        <f t="shared" si="651"/>
        <v>0</v>
      </c>
      <c r="AU274" s="230">
        <f t="shared" si="651"/>
        <v>0</v>
      </c>
      <c r="AV274" s="261"/>
      <c r="AW274" s="230">
        <f t="shared" ref="AW274:BB274" si="652">Z274*$J274</f>
        <v>0</v>
      </c>
      <c r="AX274" s="230">
        <f t="shared" si="652"/>
        <v>0</v>
      </c>
      <c r="AY274" s="230">
        <f t="shared" si="652"/>
        <v>0</v>
      </c>
      <c r="AZ274" s="230">
        <f t="shared" si="652"/>
        <v>0</v>
      </c>
      <c r="BA274" s="230">
        <f t="shared" si="652"/>
        <v>0</v>
      </c>
      <c r="BB274" s="230">
        <f t="shared" si="652"/>
        <v>0</v>
      </c>
      <c r="BC274" s="261">
        <f t="shared" si="615"/>
        <v>0</v>
      </c>
      <c r="BD274" s="239">
        <f t="shared" si="545"/>
        <v>2099503.2299999995</v>
      </c>
      <c r="BE274" s="243"/>
    </row>
    <row r="275" spans="1:202" s="83" customFormat="1" ht="24" customHeight="1">
      <c r="A275" s="197" t="s">
        <v>26</v>
      </c>
      <c r="B275" s="183" t="s">
        <v>205</v>
      </c>
      <c r="C275" s="217" t="s">
        <v>206</v>
      </c>
      <c r="D275" s="149">
        <v>2923007418</v>
      </c>
      <c r="E275" s="147"/>
      <c r="F275" s="144"/>
      <c r="G275" s="177"/>
      <c r="H275" s="147"/>
      <c r="I275" s="144"/>
      <c r="J275" s="210"/>
      <c r="K275" s="258">
        <f>K276</f>
        <v>294.47399999999999</v>
      </c>
      <c r="L275" s="258">
        <f>L276</f>
        <v>272.95499999999998</v>
      </c>
      <c r="M275" s="258">
        <f>M276</f>
        <v>0</v>
      </c>
      <c r="N275" s="284">
        <f t="shared" si="635"/>
        <v>567.42899999999997</v>
      </c>
      <c r="O275" s="280">
        <f>O276</f>
        <v>0</v>
      </c>
      <c r="P275" s="280">
        <f>P276</f>
        <v>0</v>
      </c>
      <c r="Q275" s="280">
        <f>Q276</f>
        <v>0</v>
      </c>
      <c r="R275" s="284">
        <f>O275+P275+Q275</f>
        <v>0</v>
      </c>
      <c r="S275" s="297">
        <f t="shared" ref="S275:X275" si="653">S276</f>
        <v>0</v>
      </c>
      <c r="T275" s="297">
        <f t="shared" si="653"/>
        <v>0</v>
      </c>
      <c r="U275" s="297">
        <f t="shared" si="653"/>
        <v>0</v>
      </c>
      <c r="V275" s="297">
        <f t="shared" si="653"/>
        <v>0</v>
      </c>
      <c r="W275" s="297">
        <f t="shared" si="653"/>
        <v>0</v>
      </c>
      <c r="X275" s="297">
        <f t="shared" si="653"/>
        <v>0</v>
      </c>
      <c r="Y275" s="284">
        <f>SUM(S275:X275)</f>
        <v>0</v>
      </c>
      <c r="Z275" s="280">
        <f t="shared" ref="Z275:AE275" si="654">Z276</f>
        <v>0</v>
      </c>
      <c r="AA275" s="280">
        <f t="shared" si="654"/>
        <v>0</v>
      </c>
      <c r="AB275" s="280">
        <f t="shared" si="654"/>
        <v>0</v>
      </c>
      <c r="AC275" s="280">
        <f t="shared" si="654"/>
        <v>0</v>
      </c>
      <c r="AD275" s="280">
        <f t="shared" si="654"/>
        <v>0</v>
      </c>
      <c r="AE275" s="280">
        <f t="shared" si="654"/>
        <v>0</v>
      </c>
      <c r="AF275" s="284">
        <f t="shared" si="644"/>
        <v>0</v>
      </c>
      <c r="AG275" s="282">
        <f t="shared" si="594"/>
        <v>567.42899999999997</v>
      </c>
      <c r="AH275" s="236">
        <f>AH276</f>
        <v>1089662.75538</v>
      </c>
      <c r="AI275" s="236">
        <f>AI276</f>
        <v>1010034.4933499999</v>
      </c>
      <c r="AJ275" s="236">
        <f>AJ276</f>
        <v>0</v>
      </c>
      <c r="AK275" s="260">
        <f t="shared" si="618"/>
        <v>2099697.2487300001</v>
      </c>
      <c r="AL275" s="236">
        <f>AL276</f>
        <v>0</v>
      </c>
      <c r="AM275" s="236">
        <f>AM276</f>
        <v>0</v>
      </c>
      <c r="AN275" s="236">
        <f>AN276</f>
        <v>0</v>
      </c>
      <c r="AO275" s="260">
        <f>SUM(AL275:AN275)</f>
        <v>0</v>
      </c>
      <c r="AP275" s="236">
        <f t="shared" ref="AP275:AU275" si="655">AP276</f>
        <v>0</v>
      </c>
      <c r="AQ275" s="236">
        <f t="shared" si="655"/>
        <v>0</v>
      </c>
      <c r="AR275" s="236">
        <f t="shared" si="655"/>
        <v>0</v>
      </c>
      <c r="AS275" s="236">
        <f t="shared" si="655"/>
        <v>0</v>
      </c>
      <c r="AT275" s="236">
        <f t="shared" si="655"/>
        <v>0</v>
      </c>
      <c r="AU275" s="236">
        <f t="shared" si="655"/>
        <v>0</v>
      </c>
      <c r="AV275" s="260">
        <f>SUM(AP275:AU275)</f>
        <v>0</v>
      </c>
      <c r="AW275" s="236">
        <f t="shared" ref="AW275:BB275" si="656">AW276</f>
        <v>0</v>
      </c>
      <c r="AX275" s="236">
        <f t="shared" si="656"/>
        <v>0</v>
      </c>
      <c r="AY275" s="236">
        <f t="shared" si="656"/>
        <v>0</v>
      </c>
      <c r="AZ275" s="236">
        <f t="shared" si="656"/>
        <v>0</v>
      </c>
      <c r="BA275" s="236">
        <f t="shared" si="656"/>
        <v>0</v>
      </c>
      <c r="BB275" s="236">
        <f t="shared" si="656"/>
        <v>0</v>
      </c>
      <c r="BC275" s="260">
        <f t="shared" si="615"/>
        <v>0</v>
      </c>
      <c r="BD275" s="238">
        <f t="shared" si="545"/>
        <v>2099697.2487300001</v>
      </c>
      <c r="BE275" s="13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44"/>
      <c r="CC275" s="244"/>
      <c r="CD275" s="244"/>
      <c r="CE275" s="244"/>
      <c r="CF275" s="244"/>
      <c r="CG275" s="244"/>
      <c r="CH275" s="244"/>
      <c r="CI275" s="244"/>
      <c r="CJ275" s="244"/>
      <c r="CK275" s="244"/>
      <c r="CL275" s="244"/>
      <c r="CM275" s="244"/>
      <c r="CN275" s="244"/>
      <c r="CO275" s="244"/>
      <c r="CP275" s="244"/>
      <c r="CQ275" s="244"/>
      <c r="CR275" s="244"/>
      <c r="CS275" s="244"/>
      <c r="CT275" s="244"/>
      <c r="CU275" s="244"/>
      <c r="CV275" s="244"/>
      <c r="CW275" s="244"/>
      <c r="CX275" s="244"/>
      <c r="CY275" s="244"/>
      <c r="CZ275" s="244"/>
      <c r="DA275" s="244"/>
      <c r="DB275" s="244"/>
      <c r="DC275" s="244"/>
      <c r="DD275" s="244"/>
      <c r="DE275" s="244"/>
      <c r="DF275" s="244"/>
      <c r="DG275" s="244"/>
      <c r="DH275" s="244"/>
      <c r="DI275" s="244"/>
      <c r="DJ275" s="244"/>
      <c r="DK275" s="244"/>
      <c r="DL275" s="244"/>
      <c r="DM275" s="244"/>
      <c r="DN275" s="244"/>
      <c r="DO275" s="244"/>
      <c r="DP275" s="244"/>
      <c r="DQ275" s="244"/>
      <c r="DR275" s="244"/>
      <c r="DS275" s="244"/>
      <c r="DT275" s="244"/>
      <c r="DU275" s="244"/>
      <c r="DV275" s="244"/>
      <c r="DW275" s="244"/>
      <c r="DX275" s="244"/>
      <c r="DY275" s="244"/>
      <c r="DZ275" s="244"/>
      <c r="EA275" s="244"/>
      <c r="EB275" s="244"/>
      <c r="EC275" s="244"/>
      <c r="ED275" s="244"/>
      <c r="EE275" s="244"/>
      <c r="EF275" s="244"/>
      <c r="EG275" s="244"/>
      <c r="EH275" s="244"/>
      <c r="EI275" s="244"/>
      <c r="EJ275" s="244"/>
      <c r="EK275" s="244"/>
      <c r="EL275" s="244"/>
      <c r="EM275" s="244"/>
      <c r="EN275" s="244"/>
      <c r="EO275" s="244"/>
      <c r="EP275" s="244"/>
      <c r="EQ275" s="244"/>
      <c r="ER275" s="244"/>
      <c r="ES275" s="244"/>
      <c r="ET275" s="244"/>
      <c r="EU275" s="244"/>
      <c r="EV275" s="244"/>
      <c r="EW275" s="244"/>
      <c r="EX275" s="244"/>
      <c r="EY275" s="244"/>
      <c r="EZ275" s="244"/>
      <c r="FA275" s="244"/>
      <c r="FB275" s="244"/>
      <c r="FC275" s="244"/>
      <c r="FD275" s="244"/>
      <c r="FE275" s="244"/>
      <c r="FF275" s="244"/>
      <c r="FG275" s="244"/>
      <c r="FH275" s="244"/>
      <c r="FI275" s="244"/>
      <c r="FJ275" s="244"/>
      <c r="FK275" s="244"/>
      <c r="FL275" s="244"/>
      <c r="FM275" s="244"/>
      <c r="FN275" s="244"/>
      <c r="FO275" s="244"/>
      <c r="FP275" s="244"/>
      <c r="FQ275" s="244"/>
      <c r="FR275" s="244"/>
      <c r="FS275" s="244"/>
      <c r="FT275" s="244"/>
      <c r="FU275" s="244"/>
      <c r="FV275" s="244"/>
      <c r="FW275" s="244"/>
      <c r="FX275" s="244"/>
      <c r="FY275" s="244"/>
      <c r="FZ275" s="244"/>
      <c r="GA275" s="244"/>
      <c r="GB275" s="244"/>
      <c r="GC275" s="244"/>
      <c r="GD275" s="244"/>
      <c r="GE275" s="244"/>
      <c r="GF275" s="244"/>
      <c r="GG275" s="244"/>
      <c r="GH275" s="244"/>
      <c r="GI275" s="244"/>
      <c r="GJ275" s="244"/>
      <c r="GK275" s="244"/>
      <c r="GL275" s="244"/>
      <c r="GM275" s="244"/>
      <c r="GN275" s="244"/>
      <c r="GO275" s="244"/>
      <c r="GP275" s="244"/>
      <c r="GQ275" s="244"/>
      <c r="GR275" s="244"/>
      <c r="GS275" s="244"/>
      <c r="GT275" s="244"/>
    </row>
    <row r="276" spans="1:202" ht="12.75">
      <c r="A276" s="196"/>
      <c r="B276" s="84"/>
      <c r="C276" s="221"/>
      <c r="D276" s="78"/>
      <c r="E276" s="82">
        <v>6076.37</v>
      </c>
      <c r="F276" s="82">
        <v>2376</v>
      </c>
      <c r="G276" s="177">
        <f t="shared" si="634"/>
        <v>3700.37</v>
      </c>
      <c r="H276" s="82">
        <v>6076.37</v>
      </c>
      <c r="I276" s="82">
        <v>2376</v>
      </c>
      <c r="J276" s="210">
        <f>H276-I276</f>
        <v>3700.37</v>
      </c>
      <c r="K276" s="255">
        <v>294.47399999999999</v>
      </c>
      <c r="L276" s="255">
        <v>272.95499999999998</v>
      </c>
      <c r="M276" s="255"/>
      <c r="N276" s="287">
        <f t="shared" si="635"/>
        <v>567.42899999999997</v>
      </c>
      <c r="O276" s="276"/>
      <c r="P276" s="276"/>
      <c r="Q276" s="294"/>
      <c r="R276" s="287"/>
      <c r="S276" s="294"/>
      <c r="T276" s="267"/>
      <c r="U276" s="276"/>
      <c r="V276" s="276"/>
      <c r="W276" s="294"/>
      <c r="X276" s="264"/>
      <c r="Y276" s="142">
        <f>SUM(S276:X276)</f>
        <v>0</v>
      </c>
      <c r="Z276" s="276"/>
      <c r="AA276" s="276"/>
      <c r="AB276" s="276"/>
      <c r="AC276" s="276"/>
      <c r="AD276" s="276"/>
      <c r="AE276" s="276"/>
      <c r="AF276" s="287">
        <f t="shared" si="644"/>
        <v>0</v>
      </c>
      <c r="AG276" s="283">
        <f t="shared" si="594"/>
        <v>567.42899999999997</v>
      </c>
      <c r="AH276" s="230">
        <f>K276*$G276</f>
        <v>1089662.75538</v>
      </c>
      <c r="AI276" s="230">
        <f>L276*$G276</f>
        <v>1010034.4933499999</v>
      </c>
      <c r="AJ276" s="230">
        <f>M276*$G276</f>
        <v>0</v>
      </c>
      <c r="AK276" s="261">
        <f t="shared" si="618"/>
        <v>2099697.2487300001</v>
      </c>
      <c r="AL276" s="230">
        <f>O276*$G276</f>
        <v>0</v>
      </c>
      <c r="AM276" s="230">
        <f>P276*$G276</f>
        <v>0</v>
      </c>
      <c r="AN276" s="230">
        <f>Q276*$G276</f>
        <v>0</v>
      </c>
      <c r="AO276" s="261"/>
      <c r="AP276" s="230">
        <f t="shared" ref="AP276:AU276" si="657">S276*$J276</f>
        <v>0</v>
      </c>
      <c r="AQ276" s="230">
        <f t="shared" si="657"/>
        <v>0</v>
      </c>
      <c r="AR276" s="230">
        <f t="shared" si="657"/>
        <v>0</v>
      </c>
      <c r="AS276" s="230">
        <f t="shared" si="657"/>
        <v>0</v>
      </c>
      <c r="AT276" s="230">
        <f t="shared" si="657"/>
        <v>0</v>
      </c>
      <c r="AU276" s="230">
        <f t="shared" si="657"/>
        <v>0</v>
      </c>
      <c r="AV276" s="261">
        <f>SUM(AP276:AU276)</f>
        <v>0</v>
      </c>
      <c r="AW276" s="230">
        <f t="shared" ref="AW276:BB276" si="658">Z276*$J276</f>
        <v>0</v>
      </c>
      <c r="AX276" s="230">
        <f t="shared" si="658"/>
        <v>0</v>
      </c>
      <c r="AY276" s="230">
        <f t="shared" si="658"/>
        <v>0</v>
      </c>
      <c r="AZ276" s="230">
        <f t="shared" si="658"/>
        <v>0</v>
      </c>
      <c r="BA276" s="230">
        <f t="shared" si="658"/>
        <v>0</v>
      </c>
      <c r="BB276" s="230">
        <f t="shared" si="658"/>
        <v>0</v>
      </c>
      <c r="BC276" s="261">
        <f t="shared" si="615"/>
        <v>0</v>
      </c>
      <c r="BD276" s="239">
        <f t="shared" si="545"/>
        <v>2099697.2487300001</v>
      </c>
      <c r="BE276" s="243"/>
    </row>
    <row r="277" spans="1:202" s="83" customFormat="1" ht="20.25">
      <c r="A277" s="187" t="s">
        <v>26</v>
      </c>
      <c r="B277" s="170" t="s">
        <v>146</v>
      </c>
      <c r="C277" s="216" t="s">
        <v>399</v>
      </c>
      <c r="D277" s="138">
        <f>0*2901127253+2901192407</f>
        <v>2901192407</v>
      </c>
      <c r="E277" s="147"/>
      <c r="F277" s="147"/>
      <c r="G277" s="177"/>
      <c r="H277" s="147"/>
      <c r="I277" s="147"/>
      <c r="J277" s="210"/>
      <c r="K277" s="251">
        <f>K278+K279+K280</f>
        <v>4492.7800000000007</v>
      </c>
      <c r="L277" s="251">
        <f>L278+L279+L280</f>
        <v>4397.7710000000006</v>
      </c>
      <c r="M277" s="251">
        <f>M278+M279+M280</f>
        <v>0</v>
      </c>
      <c r="N277" s="284">
        <f t="shared" si="635"/>
        <v>8890.5510000000013</v>
      </c>
      <c r="O277" s="272">
        <f>O278</f>
        <v>0</v>
      </c>
      <c r="P277" s="272">
        <f>P278</f>
        <v>0</v>
      </c>
      <c r="Q277" s="272">
        <f>Q278</f>
        <v>0</v>
      </c>
      <c r="R277" s="284">
        <f>O277+P277+Q277</f>
        <v>0</v>
      </c>
      <c r="S277" s="289">
        <f t="shared" ref="S277:X277" si="659">S278</f>
        <v>0</v>
      </c>
      <c r="T277" s="289">
        <f t="shared" si="659"/>
        <v>0</v>
      </c>
      <c r="U277" s="289">
        <f t="shared" si="659"/>
        <v>0</v>
      </c>
      <c r="V277" s="289">
        <f t="shared" si="659"/>
        <v>0</v>
      </c>
      <c r="W277" s="289">
        <f t="shared" si="659"/>
        <v>0</v>
      </c>
      <c r="X277" s="289">
        <f t="shared" si="659"/>
        <v>0</v>
      </c>
      <c r="Y277" s="284">
        <f>SUM(S277:X277)</f>
        <v>0</v>
      </c>
      <c r="Z277" s="272">
        <f t="shared" ref="Z277:AE277" si="660">Z278</f>
        <v>0</v>
      </c>
      <c r="AA277" s="272">
        <f t="shared" si="660"/>
        <v>0</v>
      </c>
      <c r="AB277" s="272">
        <f t="shared" si="660"/>
        <v>0</v>
      </c>
      <c r="AC277" s="272">
        <f t="shared" si="660"/>
        <v>0</v>
      </c>
      <c r="AD277" s="272">
        <f t="shared" si="660"/>
        <v>0</v>
      </c>
      <c r="AE277" s="272">
        <f t="shared" si="660"/>
        <v>0</v>
      </c>
      <c r="AF277" s="284">
        <f t="shared" si="644"/>
        <v>0</v>
      </c>
      <c r="AG277" s="282">
        <f>SUM(K277:M277)</f>
        <v>8890.5510000000013</v>
      </c>
      <c r="AH277" s="227">
        <f>AH278+AH279+AH280</f>
        <v>10964413.485240003</v>
      </c>
      <c r="AI277" s="227">
        <f>AI278+AI279+AI280</f>
        <v>10347377.4355</v>
      </c>
      <c r="AJ277" s="227">
        <f>AJ278+AJ279+AJ280</f>
        <v>0</v>
      </c>
      <c r="AK277" s="260">
        <f t="shared" si="618"/>
        <v>21311790.920740001</v>
      </c>
      <c r="AL277" s="227">
        <f>AL278</f>
        <v>0</v>
      </c>
      <c r="AM277" s="227">
        <f>AM278</f>
        <v>0</v>
      </c>
      <c r="AN277" s="227">
        <f>AN278</f>
        <v>0</v>
      </c>
      <c r="AO277" s="260">
        <f>SUM(AL277:AN277)</f>
        <v>0</v>
      </c>
      <c r="AP277" s="227">
        <f t="shared" ref="AP277:AU277" si="661">AP278</f>
        <v>0</v>
      </c>
      <c r="AQ277" s="227">
        <f t="shared" si="661"/>
        <v>0</v>
      </c>
      <c r="AR277" s="227">
        <f t="shared" si="661"/>
        <v>0</v>
      </c>
      <c r="AS277" s="227">
        <f t="shared" si="661"/>
        <v>0</v>
      </c>
      <c r="AT277" s="227">
        <f t="shared" si="661"/>
        <v>0</v>
      </c>
      <c r="AU277" s="227">
        <f t="shared" si="661"/>
        <v>0</v>
      </c>
      <c r="AV277" s="260">
        <f>SUM(AP277:AU277)</f>
        <v>0</v>
      </c>
      <c r="AW277" s="227">
        <f t="shared" ref="AW277:BB277" si="662">AW278</f>
        <v>0</v>
      </c>
      <c r="AX277" s="227">
        <f t="shared" si="662"/>
        <v>0</v>
      </c>
      <c r="AY277" s="227">
        <f t="shared" si="662"/>
        <v>0</v>
      </c>
      <c r="AZ277" s="227">
        <f t="shared" si="662"/>
        <v>0</v>
      </c>
      <c r="BA277" s="227">
        <f t="shared" si="662"/>
        <v>0</v>
      </c>
      <c r="BB277" s="227">
        <f t="shared" si="662"/>
        <v>0</v>
      </c>
      <c r="BC277" s="260">
        <f t="shared" si="615"/>
        <v>0</v>
      </c>
      <c r="BD277" s="238">
        <f t="shared" si="545"/>
        <v>21311790.920740001</v>
      </c>
      <c r="BE277" s="13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44"/>
      <c r="CC277" s="244"/>
      <c r="CD277" s="244"/>
      <c r="CE277" s="244"/>
      <c r="CF277" s="244"/>
      <c r="CG277" s="244"/>
      <c r="CH277" s="244"/>
      <c r="CI277" s="244"/>
      <c r="CJ277" s="244"/>
      <c r="CK277" s="244"/>
      <c r="CL277" s="244"/>
      <c r="CM277" s="244"/>
      <c r="CN277" s="244"/>
      <c r="CO277" s="244"/>
      <c r="CP277" s="244"/>
      <c r="CQ277" s="244"/>
      <c r="CR277" s="244"/>
      <c r="CS277" s="244"/>
      <c r="CT277" s="244"/>
      <c r="CU277" s="244"/>
      <c r="CV277" s="244"/>
      <c r="CW277" s="244"/>
      <c r="CX277" s="244"/>
      <c r="CY277" s="244"/>
      <c r="CZ277" s="244"/>
      <c r="DA277" s="244"/>
      <c r="DB277" s="244"/>
      <c r="DC277" s="244"/>
      <c r="DD277" s="244"/>
      <c r="DE277" s="244"/>
      <c r="DF277" s="244"/>
      <c r="DG277" s="244"/>
      <c r="DH277" s="244"/>
      <c r="DI277" s="244"/>
      <c r="DJ277" s="244"/>
      <c r="DK277" s="244"/>
      <c r="DL277" s="244"/>
      <c r="DM277" s="244"/>
      <c r="DN277" s="244"/>
      <c r="DO277" s="244"/>
      <c r="DP277" s="244"/>
      <c r="DQ277" s="244"/>
      <c r="DR277" s="244"/>
      <c r="DS277" s="244"/>
      <c r="DT277" s="244"/>
      <c r="DU277" s="244"/>
      <c r="DV277" s="244"/>
      <c r="DW277" s="244"/>
      <c r="DX277" s="244"/>
      <c r="DY277" s="244"/>
      <c r="DZ277" s="244"/>
      <c r="EA277" s="244"/>
      <c r="EB277" s="244"/>
      <c r="EC277" s="244"/>
      <c r="ED277" s="244"/>
      <c r="EE277" s="244"/>
      <c r="EF277" s="244"/>
      <c r="EG277" s="244"/>
      <c r="EH277" s="244"/>
      <c r="EI277" s="244"/>
      <c r="EJ277" s="244"/>
      <c r="EK277" s="244"/>
      <c r="EL277" s="244"/>
      <c r="EM277" s="244"/>
      <c r="EN277" s="244"/>
      <c r="EO277" s="244"/>
      <c r="EP277" s="244"/>
      <c r="EQ277" s="244"/>
      <c r="ER277" s="244"/>
      <c r="ES277" s="244"/>
      <c r="ET277" s="244"/>
      <c r="EU277" s="244"/>
      <c r="EV277" s="244"/>
      <c r="EW277" s="244"/>
      <c r="EX277" s="244"/>
      <c r="EY277" s="244"/>
      <c r="EZ277" s="244"/>
      <c r="FA277" s="244"/>
      <c r="FB277" s="244"/>
      <c r="FC277" s="244"/>
      <c r="FD277" s="244"/>
      <c r="FE277" s="244"/>
      <c r="FF277" s="244"/>
      <c r="FG277" s="244"/>
      <c r="FH277" s="244"/>
      <c r="FI277" s="244"/>
      <c r="FJ277" s="244"/>
      <c r="FK277" s="244"/>
      <c r="FL277" s="244"/>
      <c r="FM277" s="244"/>
      <c r="FN277" s="244"/>
      <c r="FO277" s="244"/>
      <c r="FP277" s="244"/>
      <c r="FQ277" s="244"/>
      <c r="FR277" s="244"/>
      <c r="FS277" s="244"/>
      <c r="FT277" s="244"/>
      <c r="FU277" s="244"/>
      <c r="FV277" s="244"/>
      <c r="FW277" s="244"/>
      <c r="FX277" s="244"/>
      <c r="FY277" s="244"/>
      <c r="FZ277" s="244"/>
      <c r="GA277" s="244"/>
      <c r="GB277" s="244"/>
      <c r="GC277" s="244"/>
      <c r="GD277" s="244"/>
      <c r="GE277" s="244"/>
      <c r="GF277" s="244"/>
      <c r="GG277" s="244"/>
      <c r="GH277" s="244"/>
      <c r="GI277" s="244"/>
      <c r="GJ277" s="244"/>
      <c r="GK277" s="244"/>
      <c r="GL277" s="244"/>
      <c r="GM277" s="244"/>
      <c r="GN277" s="244"/>
      <c r="GO277" s="244"/>
      <c r="GP277" s="244"/>
      <c r="GQ277" s="244"/>
      <c r="GR277" s="244"/>
      <c r="GS277" s="244"/>
      <c r="GT277" s="244"/>
    </row>
    <row r="278" spans="1:202" ht="12.75">
      <c r="A278" s="196"/>
      <c r="B278" s="84" t="s">
        <v>604</v>
      </c>
      <c r="C278" s="221"/>
      <c r="D278" s="78"/>
      <c r="E278" s="82">
        <v>5958.79</v>
      </c>
      <c r="F278" s="82">
        <v>1453.33</v>
      </c>
      <c r="G278" s="177">
        <f t="shared" si="634"/>
        <v>4505.46</v>
      </c>
      <c r="H278" s="82">
        <v>5958.79</v>
      </c>
      <c r="I278" s="82">
        <v>1453.33</v>
      </c>
      <c r="J278" s="210">
        <f>H278-I278</f>
        <v>4505.46</v>
      </c>
      <c r="K278" s="255">
        <v>2289.8850000000002</v>
      </c>
      <c r="L278" s="255">
        <v>2150.0059999999999</v>
      </c>
      <c r="M278" s="255"/>
      <c r="N278" s="287">
        <f t="shared" si="635"/>
        <v>4439.8909999999996</v>
      </c>
      <c r="O278" s="276"/>
      <c r="P278" s="276"/>
      <c r="Q278" s="294"/>
      <c r="R278" s="287"/>
      <c r="S278" s="294"/>
      <c r="T278" s="267"/>
      <c r="U278" s="276"/>
      <c r="V278" s="276"/>
      <c r="W278" s="294"/>
      <c r="X278" s="264"/>
      <c r="Y278" s="142"/>
      <c r="Z278" s="276"/>
      <c r="AA278" s="276"/>
      <c r="AB278" s="276"/>
      <c r="AC278" s="276"/>
      <c r="AD278" s="276"/>
      <c r="AE278" s="276"/>
      <c r="AF278" s="287">
        <f t="shared" si="644"/>
        <v>0</v>
      </c>
      <c r="AG278" s="283">
        <f t="shared" ref="AG278:AG309" si="663">AF278+Y278+R278+N278</f>
        <v>4439.8909999999996</v>
      </c>
      <c r="AH278" s="230">
        <f t="shared" ref="AH278:AJ280" si="664">K278*$G278</f>
        <v>10316985.272100002</v>
      </c>
      <c r="AI278" s="230">
        <f t="shared" si="664"/>
        <v>9686766.0327599999</v>
      </c>
      <c r="AJ278" s="230">
        <f t="shared" si="664"/>
        <v>0</v>
      </c>
      <c r="AK278" s="261">
        <f t="shared" si="618"/>
        <v>20003751.304860003</v>
      </c>
      <c r="AL278" s="230">
        <f>O278*$G278</f>
        <v>0</v>
      </c>
      <c r="AM278" s="230">
        <f>P278*$G278</f>
        <v>0</v>
      </c>
      <c r="AN278" s="230">
        <f>Q278*$G278</f>
        <v>0</v>
      </c>
      <c r="AO278" s="261"/>
      <c r="AP278" s="230">
        <f t="shared" ref="AP278:AU278" si="665">S278*$J278</f>
        <v>0</v>
      </c>
      <c r="AQ278" s="230">
        <f t="shared" si="665"/>
        <v>0</v>
      </c>
      <c r="AR278" s="230">
        <f t="shared" si="665"/>
        <v>0</v>
      </c>
      <c r="AS278" s="230">
        <f t="shared" si="665"/>
        <v>0</v>
      </c>
      <c r="AT278" s="230">
        <f t="shared" si="665"/>
        <v>0</v>
      </c>
      <c r="AU278" s="230">
        <f t="shared" si="665"/>
        <v>0</v>
      </c>
      <c r="AV278" s="261"/>
      <c r="AW278" s="230">
        <f t="shared" ref="AW278:BB278" si="666">Z278*$J278</f>
        <v>0</v>
      </c>
      <c r="AX278" s="230">
        <f t="shared" si="666"/>
        <v>0</v>
      </c>
      <c r="AY278" s="230">
        <f t="shared" si="666"/>
        <v>0</v>
      </c>
      <c r="AZ278" s="230">
        <f t="shared" si="666"/>
        <v>0</v>
      </c>
      <c r="BA278" s="230">
        <f t="shared" si="666"/>
        <v>0</v>
      </c>
      <c r="BB278" s="230">
        <f t="shared" si="666"/>
        <v>0</v>
      </c>
      <c r="BC278" s="261">
        <f t="shared" si="615"/>
        <v>0</v>
      </c>
      <c r="BD278" s="239">
        <f t="shared" si="545"/>
        <v>20003751.304860003</v>
      </c>
      <c r="BE278" s="243"/>
    </row>
    <row r="279" spans="1:202" ht="12.75">
      <c r="A279" s="344"/>
      <c r="B279" s="84" t="s">
        <v>605</v>
      </c>
      <c r="C279" s="225"/>
      <c r="D279" s="345"/>
      <c r="E279" s="82">
        <v>5958.79</v>
      </c>
      <c r="F279" s="82">
        <v>1453.33</v>
      </c>
      <c r="G279" s="177">
        <f>E279-F279</f>
        <v>4505.46</v>
      </c>
      <c r="H279" s="82">
        <v>5958.79</v>
      </c>
      <c r="I279" s="82">
        <v>1453.33</v>
      </c>
      <c r="J279" s="210">
        <f>H279-I279</f>
        <v>4505.46</v>
      </c>
      <c r="K279" s="253">
        <v>136.774</v>
      </c>
      <c r="L279" s="253">
        <v>139.559</v>
      </c>
      <c r="M279" s="253"/>
      <c r="N279" s="287">
        <f t="shared" si="635"/>
        <v>276.33299999999997</v>
      </c>
      <c r="O279" s="274"/>
      <c r="P279" s="274"/>
      <c r="Q279" s="291"/>
      <c r="R279" s="287"/>
      <c r="S279" s="291"/>
      <c r="T279" s="265"/>
      <c r="U279" s="274"/>
      <c r="V279" s="274"/>
      <c r="W279" s="291"/>
      <c r="X279" s="265"/>
      <c r="Y279" s="142"/>
      <c r="Z279" s="274"/>
      <c r="AA279" s="274"/>
      <c r="AB279" s="274"/>
      <c r="AC279" s="274"/>
      <c r="AD279" s="274"/>
      <c r="AE279" s="274"/>
      <c r="AF279" s="287"/>
      <c r="AG279" s="283">
        <f t="shared" si="663"/>
        <v>276.33299999999997</v>
      </c>
      <c r="AH279" s="230">
        <f t="shared" si="664"/>
        <v>616229.78604000004</v>
      </c>
      <c r="AI279" s="230">
        <f t="shared" si="664"/>
        <v>628777.49213999999</v>
      </c>
      <c r="AJ279" s="230">
        <f t="shared" si="664"/>
        <v>0</v>
      </c>
      <c r="AK279" s="261">
        <f t="shared" si="618"/>
        <v>1245007.2781799999</v>
      </c>
      <c r="AL279" s="228"/>
      <c r="AM279" s="228"/>
      <c r="AN279" s="228"/>
      <c r="AO279" s="261"/>
      <c r="AP279" s="229"/>
      <c r="AQ279" s="229"/>
      <c r="AR279" s="229"/>
      <c r="AS279" s="229"/>
      <c r="AT279" s="229"/>
      <c r="AU279" s="229"/>
      <c r="AV279" s="261"/>
      <c r="AW279" s="306"/>
      <c r="AX279" s="306"/>
      <c r="AY279" s="306"/>
      <c r="AZ279" s="306"/>
      <c r="BA279" s="306"/>
      <c r="BB279" s="306"/>
      <c r="BC279" s="261"/>
      <c r="BD279" s="239">
        <f t="shared" si="545"/>
        <v>1245007.2781799999</v>
      </c>
      <c r="BE279" s="243"/>
    </row>
    <row r="280" spans="1:202" ht="12.75">
      <c r="A280" s="344"/>
      <c r="B280" s="84" t="s">
        <v>606</v>
      </c>
      <c r="C280" s="225"/>
      <c r="D280" s="345"/>
      <c r="E280" s="211">
        <v>68.77</v>
      </c>
      <c r="F280" s="211">
        <v>53.67</v>
      </c>
      <c r="G280" s="177">
        <f>E280-F280</f>
        <v>15.099999999999994</v>
      </c>
      <c r="H280" s="211">
        <v>68.77</v>
      </c>
      <c r="I280" s="211">
        <v>53.67</v>
      </c>
      <c r="J280" s="210">
        <f>H280-I280</f>
        <v>15.099999999999994</v>
      </c>
      <c r="K280" s="253">
        <v>2066.1210000000001</v>
      </c>
      <c r="L280" s="253">
        <v>2108.2060000000001</v>
      </c>
      <c r="M280" s="253"/>
      <c r="N280" s="287">
        <f t="shared" si="635"/>
        <v>4174.3270000000002</v>
      </c>
      <c r="O280" s="274"/>
      <c r="P280" s="274"/>
      <c r="Q280" s="291"/>
      <c r="R280" s="287"/>
      <c r="S280" s="291"/>
      <c r="T280" s="265"/>
      <c r="U280" s="274"/>
      <c r="V280" s="274"/>
      <c r="W280" s="291"/>
      <c r="X280" s="265"/>
      <c r="Y280" s="142"/>
      <c r="Z280" s="274"/>
      <c r="AA280" s="274"/>
      <c r="AB280" s="274"/>
      <c r="AC280" s="274"/>
      <c r="AD280" s="274"/>
      <c r="AE280" s="274"/>
      <c r="AF280" s="287"/>
      <c r="AG280" s="283">
        <f t="shared" si="663"/>
        <v>4174.3270000000002</v>
      </c>
      <c r="AH280" s="230">
        <f t="shared" si="664"/>
        <v>31198.42709999999</v>
      </c>
      <c r="AI280" s="230">
        <f t="shared" si="664"/>
        <v>31833.910599999988</v>
      </c>
      <c r="AJ280" s="230">
        <f t="shared" si="664"/>
        <v>0</v>
      </c>
      <c r="AK280" s="261">
        <f t="shared" si="618"/>
        <v>63032.337699999975</v>
      </c>
      <c r="AL280" s="228"/>
      <c r="AM280" s="228"/>
      <c r="AN280" s="228"/>
      <c r="AO280" s="261"/>
      <c r="AP280" s="229"/>
      <c r="AQ280" s="229"/>
      <c r="AR280" s="229"/>
      <c r="AS280" s="229"/>
      <c r="AT280" s="229"/>
      <c r="AU280" s="229"/>
      <c r="AV280" s="261"/>
      <c r="AW280" s="306"/>
      <c r="AX280" s="306"/>
      <c r="AY280" s="306"/>
      <c r="AZ280" s="306"/>
      <c r="BA280" s="306"/>
      <c r="BB280" s="306"/>
      <c r="BC280" s="261"/>
      <c r="BD280" s="239">
        <f t="shared" si="545"/>
        <v>63032.337699999975</v>
      </c>
      <c r="BE280" s="243"/>
    </row>
    <row r="281" spans="1:202" s="83" customFormat="1" ht="24" customHeight="1">
      <c r="A281" s="197" t="s">
        <v>26</v>
      </c>
      <c r="B281" s="183" t="s">
        <v>370</v>
      </c>
      <c r="C281" s="217" t="s">
        <v>371</v>
      </c>
      <c r="D281" s="149">
        <v>2923007633</v>
      </c>
      <c r="E281" s="147"/>
      <c r="F281" s="209"/>
      <c r="G281" s="177"/>
      <c r="H281" s="147"/>
      <c r="I281" s="209"/>
      <c r="J281" s="210"/>
      <c r="K281" s="257">
        <f>K282</f>
        <v>172.321</v>
      </c>
      <c r="L281" s="257">
        <f>L282</f>
        <v>177.18799999999999</v>
      </c>
      <c r="M281" s="257">
        <f>M282</f>
        <v>0</v>
      </c>
      <c r="N281" s="284">
        <f t="shared" si="635"/>
        <v>349.50900000000001</v>
      </c>
      <c r="O281" s="279">
        <f>O282</f>
        <v>0</v>
      </c>
      <c r="P281" s="279">
        <f>P282</f>
        <v>0</v>
      </c>
      <c r="Q281" s="279">
        <f>Q282</f>
        <v>0</v>
      </c>
      <c r="R281" s="284">
        <f>O281+P281+Q281</f>
        <v>0</v>
      </c>
      <c r="S281" s="296">
        <f t="shared" ref="S281:X281" si="667">S282</f>
        <v>0</v>
      </c>
      <c r="T281" s="296">
        <f t="shared" si="667"/>
        <v>0</v>
      </c>
      <c r="U281" s="296">
        <f t="shared" si="667"/>
        <v>0</v>
      </c>
      <c r="V281" s="296">
        <f t="shared" si="667"/>
        <v>0</v>
      </c>
      <c r="W281" s="296">
        <f t="shared" si="667"/>
        <v>0</v>
      </c>
      <c r="X281" s="296">
        <f t="shared" si="667"/>
        <v>0</v>
      </c>
      <c r="Y281" s="284">
        <f>SUM(S281:X281)</f>
        <v>0</v>
      </c>
      <c r="Z281" s="279">
        <f t="shared" ref="Z281:AE281" si="668">Z282</f>
        <v>0</v>
      </c>
      <c r="AA281" s="279">
        <f t="shared" si="668"/>
        <v>0</v>
      </c>
      <c r="AB281" s="279">
        <f t="shared" si="668"/>
        <v>0</v>
      </c>
      <c r="AC281" s="279">
        <f t="shared" si="668"/>
        <v>0</v>
      </c>
      <c r="AD281" s="279">
        <f t="shared" si="668"/>
        <v>0</v>
      </c>
      <c r="AE281" s="279">
        <f t="shared" si="668"/>
        <v>0</v>
      </c>
      <c r="AF281" s="284">
        <f>SUM(Z281:AE281)</f>
        <v>0</v>
      </c>
      <c r="AG281" s="282">
        <f t="shared" si="663"/>
        <v>349.50900000000001</v>
      </c>
      <c r="AH281" s="227">
        <f>AH282</f>
        <v>769828.55860999995</v>
      </c>
      <c r="AI281" s="227">
        <f>AI282</f>
        <v>791571.44307999988</v>
      </c>
      <c r="AJ281" s="227">
        <f>AJ282</f>
        <v>0</v>
      </c>
      <c r="AK281" s="260">
        <f t="shared" si="618"/>
        <v>1561400.0016899998</v>
      </c>
      <c r="AL281" s="227">
        <f>AL282</f>
        <v>0</v>
      </c>
      <c r="AM281" s="227">
        <f>AM282</f>
        <v>0</v>
      </c>
      <c r="AN281" s="227">
        <f>AN282</f>
        <v>0</v>
      </c>
      <c r="AO281" s="260">
        <f>SUM(AL281:AN281)</f>
        <v>0</v>
      </c>
      <c r="AP281" s="234">
        <f t="shared" ref="AP281:AU281" si="669">AP282</f>
        <v>0</v>
      </c>
      <c r="AQ281" s="234">
        <f t="shared" si="669"/>
        <v>0</v>
      </c>
      <c r="AR281" s="234">
        <f t="shared" si="669"/>
        <v>0</v>
      </c>
      <c r="AS281" s="234">
        <f t="shared" si="669"/>
        <v>0</v>
      </c>
      <c r="AT281" s="234">
        <f t="shared" si="669"/>
        <v>0</v>
      </c>
      <c r="AU281" s="234">
        <f t="shared" si="669"/>
        <v>0</v>
      </c>
      <c r="AV281" s="260">
        <f>SUM(AP281:AU281)</f>
        <v>0</v>
      </c>
      <c r="AW281" s="236">
        <f t="shared" ref="AW281:BB281" si="670">AW282</f>
        <v>0</v>
      </c>
      <c r="AX281" s="236">
        <f t="shared" si="670"/>
        <v>0</v>
      </c>
      <c r="AY281" s="236">
        <f t="shared" si="670"/>
        <v>0</v>
      </c>
      <c r="AZ281" s="236">
        <f t="shared" si="670"/>
        <v>0</v>
      </c>
      <c r="BA281" s="236">
        <f t="shared" si="670"/>
        <v>0</v>
      </c>
      <c r="BB281" s="236">
        <f t="shared" si="670"/>
        <v>0</v>
      </c>
      <c r="BC281" s="260">
        <f t="shared" ref="BC281:BC288" si="671">SUM(AW281:BB281)</f>
        <v>0</v>
      </c>
      <c r="BD281" s="238">
        <f t="shared" si="545"/>
        <v>1561400.0016899998</v>
      </c>
      <c r="BE281" s="13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44"/>
      <c r="CC281" s="244"/>
      <c r="CD281" s="244"/>
      <c r="CE281" s="244"/>
      <c r="CF281" s="244"/>
      <c r="CG281" s="244"/>
      <c r="CH281" s="244"/>
      <c r="CI281" s="244"/>
      <c r="CJ281" s="244"/>
      <c r="CK281" s="244"/>
      <c r="CL281" s="244"/>
      <c r="CM281" s="244"/>
      <c r="CN281" s="244"/>
      <c r="CO281" s="244"/>
      <c r="CP281" s="244"/>
      <c r="CQ281" s="244"/>
      <c r="CR281" s="244"/>
      <c r="CS281" s="244"/>
      <c r="CT281" s="244"/>
      <c r="CU281" s="244"/>
      <c r="CV281" s="244"/>
      <c r="CW281" s="244"/>
      <c r="CX281" s="244"/>
      <c r="CY281" s="244"/>
      <c r="CZ281" s="244"/>
      <c r="DA281" s="244"/>
      <c r="DB281" s="244"/>
      <c r="DC281" s="244"/>
      <c r="DD281" s="244"/>
      <c r="DE281" s="244"/>
      <c r="DF281" s="244"/>
      <c r="DG281" s="244"/>
      <c r="DH281" s="244"/>
      <c r="DI281" s="244"/>
      <c r="DJ281" s="244"/>
      <c r="DK281" s="244"/>
      <c r="DL281" s="244"/>
      <c r="DM281" s="244"/>
      <c r="DN281" s="244"/>
      <c r="DO281" s="244"/>
      <c r="DP281" s="244"/>
      <c r="DQ281" s="244"/>
      <c r="DR281" s="244"/>
      <c r="DS281" s="244"/>
      <c r="DT281" s="244"/>
      <c r="DU281" s="244"/>
      <c r="DV281" s="244"/>
      <c r="DW281" s="244"/>
      <c r="DX281" s="244"/>
      <c r="DY281" s="244"/>
      <c r="DZ281" s="244"/>
      <c r="EA281" s="244"/>
      <c r="EB281" s="244"/>
      <c r="EC281" s="244"/>
      <c r="ED281" s="244"/>
      <c r="EE281" s="244"/>
      <c r="EF281" s="244"/>
      <c r="EG281" s="244"/>
      <c r="EH281" s="244"/>
      <c r="EI281" s="244"/>
      <c r="EJ281" s="244"/>
      <c r="EK281" s="244"/>
      <c r="EL281" s="244"/>
      <c r="EM281" s="244"/>
      <c r="EN281" s="244"/>
      <c r="EO281" s="244"/>
      <c r="EP281" s="244"/>
      <c r="EQ281" s="244"/>
      <c r="ER281" s="244"/>
      <c r="ES281" s="244"/>
      <c r="ET281" s="244"/>
      <c r="EU281" s="244"/>
      <c r="EV281" s="244"/>
      <c r="EW281" s="244"/>
      <c r="EX281" s="244"/>
      <c r="EY281" s="244"/>
      <c r="EZ281" s="244"/>
      <c r="FA281" s="244"/>
      <c r="FB281" s="244"/>
      <c r="FC281" s="244"/>
      <c r="FD281" s="244"/>
      <c r="FE281" s="244"/>
      <c r="FF281" s="244"/>
      <c r="FG281" s="244"/>
      <c r="FH281" s="244"/>
      <c r="FI281" s="244"/>
      <c r="FJ281" s="244"/>
      <c r="FK281" s="244"/>
      <c r="FL281" s="244"/>
      <c r="FM281" s="244"/>
      <c r="FN281" s="244"/>
      <c r="FO281" s="244"/>
      <c r="FP281" s="244"/>
      <c r="FQ281" s="244"/>
      <c r="FR281" s="244"/>
      <c r="FS281" s="244"/>
      <c r="FT281" s="244"/>
      <c r="FU281" s="244"/>
      <c r="FV281" s="244"/>
      <c r="FW281" s="244"/>
      <c r="FX281" s="244"/>
      <c r="FY281" s="244"/>
      <c r="FZ281" s="244"/>
      <c r="GA281" s="244"/>
      <c r="GB281" s="244"/>
      <c r="GC281" s="244"/>
      <c r="GD281" s="244"/>
      <c r="GE281" s="244"/>
      <c r="GF281" s="244"/>
      <c r="GG281" s="244"/>
      <c r="GH281" s="244"/>
      <c r="GI281" s="244"/>
      <c r="GJ281" s="244"/>
      <c r="GK281" s="244"/>
      <c r="GL281" s="244"/>
      <c r="GM281" s="244"/>
      <c r="GN281" s="244"/>
      <c r="GO281" s="244"/>
      <c r="GP281" s="244"/>
      <c r="GQ281" s="244"/>
      <c r="GR281" s="244"/>
      <c r="GS281" s="244"/>
      <c r="GT281" s="244"/>
    </row>
    <row r="282" spans="1:202" ht="12.75">
      <c r="A282" s="196"/>
      <c r="B282" s="84"/>
      <c r="C282" s="221"/>
      <c r="D282" s="78"/>
      <c r="E282" s="82">
        <v>6211.41</v>
      </c>
      <c r="F282" s="82">
        <v>1744</v>
      </c>
      <c r="G282" s="177">
        <f t="shared" si="634"/>
        <v>4467.41</v>
      </c>
      <c r="H282" s="82">
        <v>6211.41</v>
      </c>
      <c r="I282" s="82">
        <v>1744</v>
      </c>
      <c r="J282" s="210">
        <f>H282-I282</f>
        <v>4467.41</v>
      </c>
      <c r="K282" s="255">
        <v>172.321</v>
      </c>
      <c r="L282" s="255">
        <v>177.18799999999999</v>
      </c>
      <c r="M282" s="255"/>
      <c r="N282" s="287">
        <f t="shared" si="635"/>
        <v>349.50900000000001</v>
      </c>
      <c r="O282" s="276"/>
      <c r="P282" s="276"/>
      <c r="Q282" s="294"/>
      <c r="R282" s="287"/>
      <c r="S282" s="294"/>
      <c r="T282" s="267"/>
      <c r="U282" s="276"/>
      <c r="V282" s="276"/>
      <c r="W282" s="294"/>
      <c r="X282" s="264"/>
      <c r="Y282" s="142"/>
      <c r="Z282" s="276"/>
      <c r="AA282" s="276"/>
      <c r="AB282" s="276"/>
      <c r="AC282" s="276"/>
      <c r="AD282" s="276"/>
      <c r="AE282" s="276"/>
      <c r="AF282" s="287">
        <f>SUM(Z282:AE282)</f>
        <v>0</v>
      </c>
      <c r="AG282" s="283">
        <f t="shared" si="663"/>
        <v>349.50900000000001</v>
      </c>
      <c r="AH282" s="230">
        <f t="shared" ref="AH282:AJ283" si="672">K282*$G282</f>
        <v>769828.55860999995</v>
      </c>
      <c r="AI282" s="230">
        <f t="shared" si="672"/>
        <v>791571.44307999988</v>
      </c>
      <c r="AJ282" s="230">
        <f t="shared" si="672"/>
        <v>0</v>
      </c>
      <c r="AK282" s="261">
        <f t="shared" si="618"/>
        <v>1561400.0016899998</v>
      </c>
      <c r="AL282" s="230">
        <f t="shared" ref="AL282:AN283" si="673">O282*$G282</f>
        <v>0</v>
      </c>
      <c r="AM282" s="230">
        <f t="shared" si="673"/>
        <v>0</v>
      </c>
      <c r="AN282" s="230">
        <f t="shared" si="673"/>
        <v>0</v>
      </c>
      <c r="AO282" s="261"/>
      <c r="AP282" s="230">
        <f t="shared" ref="AP282:AU283" si="674">S282*$J282</f>
        <v>0</v>
      </c>
      <c r="AQ282" s="230">
        <f t="shared" si="674"/>
        <v>0</v>
      </c>
      <c r="AR282" s="230">
        <f t="shared" si="674"/>
        <v>0</v>
      </c>
      <c r="AS282" s="230">
        <f t="shared" si="674"/>
        <v>0</v>
      </c>
      <c r="AT282" s="230">
        <f t="shared" si="674"/>
        <v>0</v>
      </c>
      <c r="AU282" s="230">
        <f t="shared" si="674"/>
        <v>0</v>
      </c>
      <c r="AV282" s="261"/>
      <c r="AW282" s="230">
        <f t="shared" ref="AW282:BB283" si="675">Z282*$J282</f>
        <v>0</v>
      </c>
      <c r="AX282" s="230">
        <f t="shared" si="675"/>
        <v>0</v>
      </c>
      <c r="AY282" s="230">
        <f t="shared" si="675"/>
        <v>0</v>
      </c>
      <c r="AZ282" s="230">
        <f t="shared" si="675"/>
        <v>0</v>
      </c>
      <c r="BA282" s="230">
        <f t="shared" si="675"/>
        <v>0</v>
      </c>
      <c r="BB282" s="230">
        <f t="shared" si="675"/>
        <v>0</v>
      </c>
      <c r="BC282" s="261">
        <f t="shared" si="671"/>
        <v>0</v>
      </c>
      <c r="BD282" s="239">
        <f t="shared" si="545"/>
        <v>1561400.0016899998</v>
      </c>
      <c r="BE282" s="243"/>
    </row>
    <row r="283" spans="1:202" s="83" customFormat="1" ht="27" customHeight="1">
      <c r="A283" s="187" t="s">
        <v>26</v>
      </c>
      <c r="B283" s="170" t="s">
        <v>248</v>
      </c>
      <c r="C283" s="216" t="s">
        <v>236</v>
      </c>
      <c r="D283" s="138">
        <v>2920013847</v>
      </c>
      <c r="E283" s="147"/>
      <c r="F283" s="144"/>
      <c r="G283" s="177"/>
      <c r="H283" s="147"/>
      <c r="I283" s="147"/>
      <c r="J283" s="210"/>
      <c r="K283" s="251"/>
      <c r="L283" s="251"/>
      <c r="M283" s="251"/>
      <c r="N283" s="284">
        <f t="shared" si="635"/>
        <v>0</v>
      </c>
      <c r="O283" s="272"/>
      <c r="P283" s="272"/>
      <c r="Q283" s="289"/>
      <c r="R283" s="284">
        <f>O283+P283+Q283</f>
        <v>0</v>
      </c>
      <c r="S283" s="289"/>
      <c r="T283" s="263"/>
      <c r="U283" s="272"/>
      <c r="V283" s="272"/>
      <c r="W283" s="289"/>
      <c r="X283" s="263"/>
      <c r="Y283" s="262">
        <f>SUM(S283:X283)</f>
        <v>0</v>
      </c>
      <c r="Z283" s="272"/>
      <c r="AA283" s="272"/>
      <c r="AB283" s="272"/>
      <c r="AC283" s="272"/>
      <c r="AD283" s="272"/>
      <c r="AE283" s="272"/>
      <c r="AF283" s="284">
        <f>SUM(Z283:AE283)</f>
        <v>0</v>
      </c>
      <c r="AG283" s="282">
        <f t="shared" si="663"/>
        <v>0</v>
      </c>
      <c r="AH283" s="227">
        <f t="shared" si="672"/>
        <v>0</v>
      </c>
      <c r="AI283" s="227">
        <f t="shared" si="672"/>
        <v>0</v>
      </c>
      <c r="AJ283" s="227">
        <f t="shared" si="672"/>
        <v>0</v>
      </c>
      <c r="AK283" s="260">
        <f t="shared" si="618"/>
        <v>0</v>
      </c>
      <c r="AL283" s="227">
        <f t="shared" si="673"/>
        <v>0</v>
      </c>
      <c r="AM283" s="227">
        <f t="shared" si="673"/>
        <v>0</v>
      </c>
      <c r="AN283" s="227">
        <f t="shared" si="673"/>
        <v>0</v>
      </c>
      <c r="AO283" s="260">
        <f>SUM(AL283:AN283)</f>
        <v>0</v>
      </c>
      <c r="AP283" s="227">
        <f t="shared" si="674"/>
        <v>0</v>
      </c>
      <c r="AQ283" s="227">
        <f t="shared" si="674"/>
        <v>0</v>
      </c>
      <c r="AR283" s="227">
        <f t="shared" si="674"/>
        <v>0</v>
      </c>
      <c r="AS283" s="227">
        <f t="shared" si="674"/>
        <v>0</v>
      </c>
      <c r="AT283" s="227">
        <f t="shared" si="674"/>
        <v>0</v>
      </c>
      <c r="AU283" s="227">
        <f t="shared" si="674"/>
        <v>0</v>
      </c>
      <c r="AV283" s="260">
        <f>SUM(AP283:AU283)</f>
        <v>0</v>
      </c>
      <c r="AW283" s="227">
        <f t="shared" si="675"/>
        <v>0</v>
      </c>
      <c r="AX283" s="227">
        <f t="shared" si="675"/>
        <v>0</v>
      </c>
      <c r="AY283" s="227">
        <f t="shared" si="675"/>
        <v>0</v>
      </c>
      <c r="AZ283" s="227">
        <f t="shared" si="675"/>
        <v>0</v>
      </c>
      <c r="BA283" s="227">
        <f t="shared" si="675"/>
        <v>0</v>
      </c>
      <c r="BB283" s="227">
        <f t="shared" si="675"/>
        <v>0</v>
      </c>
      <c r="BC283" s="260">
        <f t="shared" si="671"/>
        <v>0</v>
      </c>
      <c r="BD283" s="238">
        <f t="shared" si="545"/>
        <v>0</v>
      </c>
      <c r="BE283" s="13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44"/>
      <c r="CC283" s="244"/>
      <c r="CD283" s="244"/>
      <c r="CE283" s="244"/>
      <c r="CF283" s="244"/>
      <c r="CG283" s="244"/>
      <c r="CH283" s="244"/>
      <c r="CI283" s="244"/>
      <c r="CJ283" s="244"/>
      <c r="CK283" s="244"/>
      <c r="CL283" s="244"/>
      <c r="CM283" s="244"/>
      <c r="CN283" s="244"/>
      <c r="CO283" s="244"/>
      <c r="CP283" s="244"/>
      <c r="CQ283" s="244"/>
      <c r="CR283" s="244"/>
      <c r="CS283" s="244"/>
      <c r="CT283" s="244"/>
      <c r="CU283" s="244"/>
      <c r="CV283" s="244"/>
      <c r="CW283" s="244"/>
      <c r="CX283" s="244"/>
      <c r="CY283" s="244"/>
      <c r="CZ283" s="244"/>
      <c r="DA283" s="244"/>
      <c r="DB283" s="244"/>
      <c r="DC283" s="244"/>
      <c r="DD283" s="244"/>
      <c r="DE283" s="244"/>
      <c r="DF283" s="244"/>
      <c r="DG283" s="244"/>
      <c r="DH283" s="244"/>
      <c r="DI283" s="244"/>
      <c r="DJ283" s="244"/>
      <c r="DK283" s="244"/>
      <c r="DL283" s="244"/>
      <c r="DM283" s="244"/>
      <c r="DN283" s="244"/>
      <c r="DO283" s="244"/>
      <c r="DP283" s="244"/>
      <c r="DQ283" s="244"/>
      <c r="DR283" s="244"/>
      <c r="DS283" s="244"/>
      <c r="DT283" s="244"/>
      <c r="DU283" s="244"/>
      <c r="DV283" s="244"/>
      <c r="DW283" s="244"/>
      <c r="DX283" s="244"/>
      <c r="DY283" s="244"/>
      <c r="DZ283" s="244"/>
      <c r="EA283" s="244"/>
      <c r="EB283" s="244"/>
      <c r="EC283" s="244"/>
      <c r="ED283" s="244"/>
      <c r="EE283" s="244"/>
      <c r="EF283" s="244"/>
      <c r="EG283" s="244"/>
      <c r="EH283" s="244"/>
      <c r="EI283" s="244"/>
      <c r="EJ283" s="244"/>
      <c r="EK283" s="244"/>
      <c r="EL283" s="244"/>
      <c r="EM283" s="244"/>
      <c r="EN283" s="244"/>
      <c r="EO283" s="244"/>
      <c r="EP283" s="244"/>
      <c r="EQ283" s="244"/>
      <c r="ER283" s="244"/>
      <c r="ES283" s="244"/>
      <c r="ET283" s="244"/>
      <c r="EU283" s="244"/>
      <c r="EV283" s="244"/>
      <c r="EW283" s="244"/>
      <c r="EX283" s="244"/>
      <c r="EY283" s="244"/>
      <c r="EZ283" s="244"/>
      <c r="FA283" s="244"/>
      <c r="FB283" s="244"/>
      <c r="FC283" s="244"/>
      <c r="FD283" s="244"/>
      <c r="FE283" s="244"/>
      <c r="FF283" s="244"/>
      <c r="FG283" s="244"/>
      <c r="FH283" s="244"/>
      <c r="FI283" s="244"/>
      <c r="FJ283" s="244"/>
      <c r="FK283" s="244"/>
      <c r="FL283" s="244"/>
      <c r="FM283" s="244"/>
      <c r="FN283" s="244"/>
      <c r="FO283" s="244"/>
      <c r="FP283" s="244"/>
      <c r="FQ283" s="244"/>
      <c r="FR283" s="244"/>
      <c r="FS283" s="244"/>
      <c r="FT283" s="244"/>
      <c r="FU283" s="244"/>
      <c r="FV283" s="244"/>
      <c r="FW283" s="244"/>
      <c r="FX283" s="244"/>
      <c r="FY283" s="244"/>
      <c r="FZ283" s="244"/>
      <c r="GA283" s="244"/>
      <c r="GB283" s="244"/>
      <c r="GC283" s="244"/>
      <c r="GD283" s="244"/>
      <c r="GE283" s="244"/>
      <c r="GF283" s="244"/>
      <c r="GG283" s="244"/>
      <c r="GH283" s="244"/>
      <c r="GI283" s="244"/>
      <c r="GJ283" s="244"/>
      <c r="GK283" s="244"/>
      <c r="GL283" s="244"/>
      <c r="GM283" s="244"/>
      <c r="GN283" s="244"/>
      <c r="GO283" s="244"/>
      <c r="GP283" s="244"/>
      <c r="GQ283" s="244"/>
      <c r="GR283" s="244"/>
      <c r="GS283" s="244"/>
      <c r="GT283" s="244"/>
    </row>
    <row r="284" spans="1:202" s="83" customFormat="1" ht="12.75">
      <c r="A284" s="187" t="s">
        <v>26</v>
      </c>
      <c r="B284" s="184" t="s">
        <v>75</v>
      </c>
      <c r="C284" s="222"/>
      <c r="D284" s="138">
        <v>2919006299</v>
      </c>
      <c r="E284" s="147"/>
      <c r="F284" s="144"/>
      <c r="G284" s="177"/>
      <c r="H284" s="147"/>
      <c r="I284" s="144"/>
      <c r="J284" s="210"/>
      <c r="K284" s="257">
        <f t="shared" ref="K284:X284" si="676">K285</f>
        <v>0</v>
      </c>
      <c r="L284" s="257">
        <f t="shared" si="676"/>
        <v>0</v>
      </c>
      <c r="M284" s="257">
        <f t="shared" si="676"/>
        <v>0</v>
      </c>
      <c r="N284" s="284">
        <f t="shared" si="676"/>
        <v>0</v>
      </c>
      <c r="O284" s="279">
        <f t="shared" si="676"/>
        <v>0</v>
      </c>
      <c r="P284" s="279">
        <f t="shared" si="676"/>
        <v>0</v>
      </c>
      <c r="Q284" s="279">
        <f t="shared" si="676"/>
        <v>0</v>
      </c>
      <c r="R284" s="284">
        <f t="shared" si="676"/>
        <v>0</v>
      </c>
      <c r="S284" s="296">
        <f t="shared" si="676"/>
        <v>0</v>
      </c>
      <c r="T284" s="296">
        <f t="shared" si="676"/>
        <v>0</v>
      </c>
      <c r="U284" s="296">
        <f t="shared" si="676"/>
        <v>0</v>
      </c>
      <c r="V284" s="296">
        <f t="shared" si="676"/>
        <v>0</v>
      </c>
      <c r="W284" s="296">
        <f t="shared" si="676"/>
        <v>0</v>
      </c>
      <c r="X284" s="296">
        <f t="shared" si="676"/>
        <v>0</v>
      </c>
      <c r="Y284" s="262">
        <f>SUM(Y285:Y285)</f>
        <v>0</v>
      </c>
      <c r="Z284" s="271">
        <f t="shared" ref="Z284:AE284" si="677">Z285</f>
        <v>0</v>
      </c>
      <c r="AA284" s="271">
        <f t="shared" si="677"/>
        <v>0</v>
      </c>
      <c r="AB284" s="271">
        <f t="shared" si="677"/>
        <v>0</v>
      </c>
      <c r="AC284" s="271">
        <f t="shared" si="677"/>
        <v>0</v>
      </c>
      <c r="AD284" s="271">
        <f t="shared" si="677"/>
        <v>0</v>
      </c>
      <c r="AE284" s="271">
        <f t="shared" si="677"/>
        <v>0</v>
      </c>
      <c r="AF284" s="284">
        <f>SUM(AF285:AF285)</f>
        <v>0</v>
      </c>
      <c r="AG284" s="282">
        <f t="shared" si="663"/>
        <v>0</v>
      </c>
      <c r="AH284" s="236">
        <f>AH285</f>
        <v>0</v>
      </c>
      <c r="AI284" s="236">
        <f>AI285</f>
        <v>0</v>
      </c>
      <c r="AJ284" s="236">
        <f>AJ285</f>
        <v>0</v>
      </c>
      <c r="AK284" s="260">
        <f>SUM(AK285:AK285)</f>
        <v>0</v>
      </c>
      <c r="AL284" s="236">
        <f>AL285</f>
        <v>0</v>
      </c>
      <c r="AM284" s="236">
        <f>AM285</f>
        <v>0</v>
      </c>
      <c r="AN284" s="236">
        <f>AN285</f>
        <v>0</v>
      </c>
      <c r="AO284" s="260">
        <f>SUM(AL284:AN284)</f>
        <v>0</v>
      </c>
      <c r="AP284" s="236">
        <f t="shared" ref="AP284:AU284" si="678">AP285</f>
        <v>0</v>
      </c>
      <c r="AQ284" s="236">
        <f t="shared" si="678"/>
        <v>0</v>
      </c>
      <c r="AR284" s="236">
        <f t="shared" si="678"/>
        <v>0</v>
      </c>
      <c r="AS284" s="236">
        <f t="shared" si="678"/>
        <v>0</v>
      </c>
      <c r="AT284" s="236">
        <f t="shared" si="678"/>
        <v>0</v>
      </c>
      <c r="AU284" s="236">
        <f t="shared" si="678"/>
        <v>0</v>
      </c>
      <c r="AV284" s="260">
        <f>SUM(AP284:AU284)</f>
        <v>0</v>
      </c>
      <c r="AW284" s="236">
        <f t="shared" ref="AW284:BB284" si="679">AW285</f>
        <v>0</v>
      </c>
      <c r="AX284" s="236">
        <f t="shared" si="679"/>
        <v>0</v>
      </c>
      <c r="AY284" s="236">
        <f t="shared" si="679"/>
        <v>0</v>
      </c>
      <c r="AZ284" s="236">
        <f t="shared" si="679"/>
        <v>0</v>
      </c>
      <c r="BA284" s="236">
        <f t="shared" si="679"/>
        <v>0</v>
      </c>
      <c r="BB284" s="236">
        <f t="shared" si="679"/>
        <v>0</v>
      </c>
      <c r="BC284" s="260">
        <f t="shared" si="671"/>
        <v>0</v>
      </c>
      <c r="BD284" s="238">
        <f t="shared" si="545"/>
        <v>0</v>
      </c>
      <c r="BE284" s="13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44"/>
      <c r="CC284" s="244"/>
      <c r="CD284" s="244"/>
      <c r="CE284" s="244"/>
      <c r="CF284" s="244"/>
      <c r="CG284" s="244"/>
      <c r="CH284" s="244"/>
      <c r="CI284" s="244"/>
      <c r="CJ284" s="244"/>
      <c r="CK284" s="244"/>
      <c r="CL284" s="244"/>
      <c r="CM284" s="244"/>
      <c r="CN284" s="244"/>
      <c r="CO284" s="244"/>
      <c r="CP284" s="244"/>
      <c r="CQ284" s="244"/>
      <c r="CR284" s="244"/>
      <c r="CS284" s="244"/>
      <c r="CT284" s="244"/>
      <c r="CU284" s="244"/>
      <c r="CV284" s="244"/>
      <c r="CW284" s="244"/>
      <c r="CX284" s="244"/>
      <c r="CY284" s="244"/>
      <c r="CZ284" s="244"/>
      <c r="DA284" s="244"/>
      <c r="DB284" s="244"/>
      <c r="DC284" s="244"/>
      <c r="DD284" s="244"/>
      <c r="DE284" s="244"/>
      <c r="DF284" s="244"/>
      <c r="DG284" s="244"/>
      <c r="DH284" s="244"/>
      <c r="DI284" s="244"/>
      <c r="DJ284" s="244"/>
      <c r="DK284" s="244"/>
      <c r="DL284" s="244"/>
      <c r="DM284" s="244"/>
      <c r="DN284" s="244"/>
      <c r="DO284" s="244"/>
      <c r="DP284" s="244"/>
      <c r="DQ284" s="244"/>
      <c r="DR284" s="244"/>
      <c r="DS284" s="244"/>
      <c r="DT284" s="244"/>
      <c r="DU284" s="244"/>
      <c r="DV284" s="244"/>
      <c r="DW284" s="244"/>
      <c r="DX284" s="244"/>
      <c r="DY284" s="244"/>
      <c r="DZ284" s="244"/>
      <c r="EA284" s="244"/>
      <c r="EB284" s="244"/>
      <c r="EC284" s="244"/>
      <c r="ED284" s="244"/>
      <c r="EE284" s="244"/>
      <c r="EF284" s="244"/>
      <c r="EG284" s="244"/>
      <c r="EH284" s="244"/>
      <c r="EI284" s="244"/>
      <c r="EJ284" s="244"/>
      <c r="EK284" s="244"/>
      <c r="EL284" s="244"/>
      <c r="EM284" s="244"/>
      <c r="EN284" s="244"/>
      <c r="EO284" s="244"/>
      <c r="EP284" s="244"/>
      <c r="EQ284" s="244"/>
      <c r="ER284" s="244"/>
      <c r="ES284" s="244"/>
      <c r="ET284" s="244"/>
      <c r="EU284" s="244"/>
      <c r="EV284" s="244"/>
      <c r="EW284" s="244"/>
      <c r="EX284" s="244"/>
      <c r="EY284" s="244"/>
      <c r="EZ284" s="244"/>
      <c r="FA284" s="244"/>
      <c r="FB284" s="244"/>
      <c r="FC284" s="244"/>
      <c r="FD284" s="244"/>
      <c r="FE284" s="244"/>
      <c r="FF284" s="244"/>
      <c r="FG284" s="244"/>
      <c r="FH284" s="244"/>
      <c r="FI284" s="244"/>
      <c r="FJ284" s="244"/>
      <c r="FK284" s="244"/>
      <c r="FL284" s="244"/>
      <c r="FM284" s="244"/>
      <c r="FN284" s="244"/>
      <c r="FO284" s="244"/>
      <c r="FP284" s="244"/>
      <c r="FQ284" s="244"/>
      <c r="FR284" s="244"/>
      <c r="FS284" s="244"/>
      <c r="FT284" s="244"/>
      <c r="FU284" s="244"/>
      <c r="FV284" s="244"/>
      <c r="FW284" s="244"/>
      <c r="FX284" s="244"/>
      <c r="FY284" s="244"/>
      <c r="FZ284" s="244"/>
      <c r="GA284" s="244"/>
      <c r="GB284" s="244"/>
      <c r="GC284" s="244"/>
      <c r="GD284" s="244"/>
      <c r="GE284" s="244"/>
      <c r="GF284" s="244"/>
      <c r="GG284" s="244"/>
      <c r="GH284" s="244"/>
      <c r="GI284" s="244"/>
      <c r="GJ284" s="244"/>
      <c r="GK284" s="244"/>
      <c r="GL284" s="244"/>
      <c r="GM284" s="244"/>
      <c r="GN284" s="244"/>
      <c r="GO284" s="244"/>
      <c r="GP284" s="244"/>
      <c r="GQ284" s="244"/>
      <c r="GR284" s="244"/>
      <c r="GS284" s="244"/>
      <c r="GT284" s="244"/>
    </row>
    <row r="285" spans="1:202" ht="12.75">
      <c r="A285" s="196"/>
      <c r="B285" s="84" t="s">
        <v>507</v>
      </c>
      <c r="C285" s="221" t="s">
        <v>237</v>
      </c>
      <c r="D285" s="78"/>
      <c r="E285" s="82"/>
      <c r="F285" s="82"/>
      <c r="G285" s="177"/>
      <c r="H285" s="82"/>
      <c r="I285" s="82"/>
      <c r="J285" s="210"/>
      <c r="K285" s="255"/>
      <c r="L285" s="255"/>
      <c r="M285" s="255"/>
      <c r="N285" s="287">
        <f t="shared" ref="N285:N292" si="680">K285+L285+M285</f>
        <v>0</v>
      </c>
      <c r="O285" s="276"/>
      <c r="P285" s="276"/>
      <c r="Q285" s="294"/>
      <c r="R285" s="287">
        <f>O285+P285+Q285</f>
        <v>0</v>
      </c>
      <c r="S285" s="294"/>
      <c r="T285" s="267"/>
      <c r="U285" s="276"/>
      <c r="V285" s="276"/>
      <c r="W285" s="294"/>
      <c r="X285" s="264"/>
      <c r="Y285" s="142">
        <f>SUM(S285:X285)</f>
        <v>0</v>
      </c>
      <c r="Z285" s="276"/>
      <c r="AA285" s="276"/>
      <c r="AB285" s="276"/>
      <c r="AC285" s="276"/>
      <c r="AD285" s="276"/>
      <c r="AE285" s="276"/>
      <c r="AF285" s="287">
        <f>SUM(Z285:AE285)</f>
        <v>0</v>
      </c>
      <c r="AG285" s="283">
        <f t="shared" si="663"/>
        <v>0</v>
      </c>
      <c r="AH285" s="230">
        <f>K285*$G285</f>
        <v>0</v>
      </c>
      <c r="AI285" s="230">
        <f>L285*$G285</f>
        <v>0</v>
      </c>
      <c r="AJ285" s="230">
        <f>M285*$G285</f>
        <v>0</v>
      </c>
      <c r="AK285" s="261">
        <f t="shared" ref="AK285:AK292" si="681">AH285+AI285+AJ285</f>
        <v>0</v>
      </c>
      <c r="AL285" s="230">
        <f>O285*$G285</f>
        <v>0</v>
      </c>
      <c r="AM285" s="230">
        <f>P285*$G285</f>
        <v>0</v>
      </c>
      <c r="AN285" s="230">
        <f>Q285*$G285</f>
        <v>0</v>
      </c>
      <c r="AO285" s="261">
        <f>SUM(AL285:AN285)</f>
        <v>0</v>
      </c>
      <c r="AP285" s="230">
        <f t="shared" ref="AP285:AU285" si="682">S285*$J285</f>
        <v>0</v>
      </c>
      <c r="AQ285" s="230">
        <f t="shared" si="682"/>
        <v>0</v>
      </c>
      <c r="AR285" s="230">
        <f t="shared" si="682"/>
        <v>0</v>
      </c>
      <c r="AS285" s="230">
        <f t="shared" si="682"/>
        <v>0</v>
      </c>
      <c r="AT285" s="230">
        <f t="shared" si="682"/>
        <v>0</v>
      </c>
      <c r="AU285" s="230">
        <f t="shared" si="682"/>
        <v>0</v>
      </c>
      <c r="AV285" s="261"/>
      <c r="AW285" s="230">
        <f t="shared" ref="AW285:BB285" si="683">Z285*$J285</f>
        <v>0</v>
      </c>
      <c r="AX285" s="230">
        <f t="shared" si="683"/>
        <v>0</v>
      </c>
      <c r="AY285" s="230">
        <f t="shared" si="683"/>
        <v>0</v>
      </c>
      <c r="AZ285" s="230">
        <f t="shared" si="683"/>
        <v>0</v>
      </c>
      <c r="BA285" s="230">
        <f t="shared" si="683"/>
        <v>0</v>
      </c>
      <c r="BB285" s="230">
        <f t="shared" si="683"/>
        <v>0</v>
      </c>
      <c r="BC285" s="261">
        <f t="shared" si="671"/>
        <v>0</v>
      </c>
      <c r="BD285" s="239">
        <f t="shared" ref="BD285:BD348" si="684">BC285+AV285+AO285+AK285</f>
        <v>0</v>
      </c>
      <c r="BE285" s="243"/>
    </row>
    <row r="286" spans="1:202" s="83" customFormat="1" ht="12.75">
      <c r="A286" s="197" t="s">
        <v>26</v>
      </c>
      <c r="B286" s="183" t="s">
        <v>224</v>
      </c>
      <c r="C286" s="217"/>
      <c r="D286" s="149">
        <v>2906008443</v>
      </c>
      <c r="E286" s="147"/>
      <c r="F286" s="144"/>
      <c r="G286" s="177"/>
      <c r="H286" s="147"/>
      <c r="I286" s="144"/>
      <c r="J286" s="210"/>
      <c r="K286" s="258">
        <f>SUM(K287:K289)</f>
        <v>260.09000000000003</v>
      </c>
      <c r="L286" s="258">
        <f>SUM(L287:L289)</f>
        <v>208.14</v>
      </c>
      <c r="M286" s="258">
        <f>SUM(M287:M289)</f>
        <v>0</v>
      </c>
      <c r="N286" s="284">
        <f t="shared" si="680"/>
        <v>468.23</v>
      </c>
      <c r="O286" s="280">
        <f>SUM(O287:O288)</f>
        <v>0</v>
      </c>
      <c r="P286" s="280">
        <f>SUM(P287:P288)</f>
        <v>0</v>
      </c>
      <c r="Q286" s="280">
        <f>SUM(Q287:Q288)</f>
        <v>0</v>
      </c>
      <c r="R286" s="284">
        <f>O286+P286+Q286</f>
        <v>0</v>
      </c>
      <c r="S286" s="297">
        <f t="shared" ref="S286:X286" si="685">S287+S288</f>
        <v>0</v>
      </c>
      <c r="T286" s="297">
        <f t="shared" si="685"/>
        <v>0</v>
      </c>
      <c r="U286" s="297">
        <f t="shared" si="685"/>
        <v>0</v>
      </c>
      <c r="V286" s="297">
        <f t="shared" si="685"/>
        <v>0</v>
      </c>
      <c r="W286" s="297">
        <f t="shared" si="685"/>
        <v>0</v>
      </c>
      <c r="X286" s="297">
        <f t="shared" si="685"/>
        <v>0</v>
      </c>
      <c r="Y286" s="262">
        <f>SUM(S286:X286)</f>
        <v>0</v>
      </c>
      <c r="Z286" s="280">
        <f t="shared" ref="Z286:AE286" si="686">Z287+Z288</f>
        <v>0</v>
      </c>
      <c r="AA286" s="280">
        <f t="shared" si="686"/>
        <v>0</v>
      </c>
      <c r="AB286" s="280">
        <f t="shared" si="686"/>
        <v>0</v>
      </c>
      <c r="AC286" s="280">
        <f t="shared" si="686"/>
        <v>0</v>
      </c>
      <c r="AD286" s="280">
        <f t="shared" si="686"/>
        <v>0</v>
      </c>
      <c r="AE286" s="280">
        <f t="shared" si="686"/>
        <v>0</v>
      </c>
      <c r="AF286" s="284">
        <f>SUM(Z286:AE286)</f>
        <v>0</v>
      </c>
      <c r="AG286" s="282">
        <f t="shared" si="663"/>
        <v>468.23</v>
      </c>
      <c r="AH286" s="236">
        <f>AH287+AH288+AH289</f>
        <v>2563124.7960000001</v>
      </c>
      <c r="AI286" s="236">
        <f>AI287+AI288+AI289</f>
        <v>2081438.162</v>
      </c>
      <c r="AJ286" s="236">
        <f>AJ287+AJ288</f>
        <v>0</v>
      </c>
      <c r="AK286" s="260">
        <f t="shared" si="681"/>
        <v>4644562.9580000006</v>
      </c>
      <c r="AL286" s="236">
        <f>AL287+AL288</f>
        <v>0</v>
      </c>
      <c r="AM286" s="236">
        <f>AM287+AM288</f>
        <v>0</v>
      </c>
      <c r="AN286" s="236">
        <f>AN287+AN288</f>
        <v>0</v>
      </c>
      <c r="AO286" s="260">
        <f>SUM(AL286:AN286)</f>
        <v>0</v>
      </c>
      <c r="AP286" s="236">
        <f t="shared" ref="AP286:AU286" si="687">AP287+AP288</f>
        <v>0</v>
      </c>
      <c r="AQ286" s="236">
        <f t="shared" si="687"/>
        <v>0</v>
      </c>
      <c r="AR286" s="236">
        <f t="shared" si="687"/>
        <v>0</v>
      </c>
      <c r="AS286" s="236">
        <f t="shared" si="687"/>
        <v>0</v>
      </c>
      <c r="AT286" s="236">
        <f t="shared" si="687"/>
        <v>0</v>
      </c>
      <c r="AU286" s="236">
        <f t="shared" si="687"/>
        <v>0</v>
      </c>
      <c r="AV286" s="260">
        <f>SUM(AP286:AU286)</f>
        <v>0</v>
      </c>
      <c r="AW286" s="236">
        <f t="shared" ref="AW286:BB286" si="688">AW287+AW288</f>
        <v>0</v>
      </c>
      <c r="AX286" s="236">
        <f t="shared" si="688"/>
        <v>0</v>
      </c>
      <c r="AY286" s="236">
        <f t="shared" si="688"/>
        <v>0</v>
      </c>
      <c r="AZ286" s="236">
        <f t="shared" si="688"/>
        <v>0</v>
      </c>
      <c r="BA286" s="236">
        <f t="shared" si="688"/>
        <v>0</v>
      </c>
      <c r="BB286" s="236">
        <f t="shared" si="688"/>
        <v>0</v>
      </c>
      <c r="BC286" s="260">
        <f t="shared" si="671"/>
        <v>0</v>
      </c>
      <c r="BD286" s="238">
        <f t="shared" si="684"/>
        <v>4644562.9580000006</v>
      </c>
      <c r="BE286" s="13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44"/>
      <c r="CC286" s="244"/>
      <c r="CD286" s="244"/>
      <c r="CE286" s="244"/>
      <c r="CF286" s="244"/>
      <c r="CG286" s="244"/>
      <c r="CH286" s="244"/>
      <c r="CI286" s="244"/>
      <c r="CJ286" s="244"/>
      <c r="CK286" s="244"/>
      <c r="CL286" s="244"/>
      <c r="CM286" s="244"/>
      <c r="CN286" s="244"/>
      <c r="CO286" s="244"/>
      <c r="CP286" s="244"/>
      <c r="CQ286" s="244"/>
      <c r="CR286" s="244"/>
      <c r="CS286" s="244"/>
      <c r="CT286" s="244"/>
      <c r="CU286" s="244"/>
      <c r="CV286" s="244"/>
      <c r="CW286" s="244"/>
      <c r="CX286" s="244"/>
      <c r="CY286" s="244"/>
      <c r="CZ286" s="244"/>
      <c r="DA286" s="244"/>
      <c r="DB286" s="244"/>
      <c r="DC286" s="244"/>
      <c r="DD286" s="244"/>
      <c r="DE286" s="244"/>
      <c r="DF286" s="244"/>
      <c r="DG286" s="244"/>
      <c r="DH286" s="244"/>
      <c r="DI286" s="244"/>
      <c r="DJ286" s="244"/>
      <c r="DK286" s="244"/>
      <c r="DL286" s="244"/>
      <c r="DM286" s="244"/>
      <c r="DN286" s="244"/>
      <c r="DO286" s="244"/>
      <c r="DP286" s="244"/>
      <c r="DQ286" s="244"/>
      <c r="DR286" s="244"/>
      <c r="DS286" s="244"/>
      <c r="DT286" s="244"/>
      <c r="DU286" s="244"/>
      <c r="DV286" s="244"/>
      <c r="DW286" s="244"/>
      <c r="DX286" s="244"/>
      <c r="DY286" s="244"/>
      <c r="DZ286" s="244"/>
      <c r="EA286" s="244"/>
      <c r="EB286" s="244"/>
      <c r="EC286" s="244"/>
      <c r="ED286" s="244"/>
      <c r="EE286" s="244"/>
      <c r="EF286" s="244"/>
      <c r="EG286" s="244"/>
      <c r="EH286" s="244"/>
      <c r="EI286" s="244"/>
      <c r="EJ286" s="244"/>
      <c r="EK286" s="244"/>
      <c r="EL286" s="244"/>
      <c r="EM286" s="244"/>
      <c r="EN286" s="244"/>
      <c r="EO286" s="244"/>
      <c r="EP286" s="244"/>
      <c r="EQ286" s="244"/>
      <c r="ER286" s="244"/>
      <c r="ES286" s="244"/>
      <c r="ET286" s="244"/>
      <c r="EU286" s="244"/>
      <c r="EV286" s="244"/>
      <c r="EW286" s="244"/>
      <c r="EX286" s="244"/>
      <c r="EY286" s="244"/>
      <c r="EZ286" s="244"/>
      <c r="FA286" s="244"/>
      <c r="FB286" s="244"/>
      <c r="FC286" s="244"/>
      <c r="FD286" s="244"/>
      <c r="FE286" s="244"/>
      <c r="FF286" s="244"/>
      <c r="FG286" s="244"/>
      <c r="FH286" s="244"/>
      <c r="FI286" s="244"/>
      <c r="FJ286" s="244"/>
      <c r="FK286" s="244"/>
      <c r="FL286" s="244"/>
      <c r="FM286" s="244"/>
      <c r="FN286" s="244"/>
      <c r="FO286" s="244"/>
      <c r="FP286" s="244"/>
      <c r="FQ286" s="244"/>
      <c r="FR286" s="244"/>
      <c r="FS286" s="244"/>
      <c r="FT286" s="244"/>
      <c r="FU286" s="244"/>
      <c r="FV286" s="244"/>
      <c r="FW286" s="244"/>
      <c r="FX286" s="244"/>
      <c r="FY286" s="244"/>
      <c r="FZ286" s="244"/>
      <c r="GA286" s="244"/>
      <c r="GB286" s="244"/>
      <c r="GC286" s="244"/>
      <c r="GD286" s="244"/>
      <c r="GE286" s="244"/>
      <c r="GF286" s="244"/>
      <c r="GG286" s="244"/>
      <c r="GH286" s="244"/>
      <c r="GI286" s="244"/>
      <c r="GJ286" s="244"/>
      <c r="GK286" s="244"/>
      <c r="GL286" s="244"/>
      <c r="GM286" s="244"/>
      <c r="GN286" s="244"/>
      <c r="GO286" s="244"/>
      <c r="GP286" s="244"/>
      <c r="GQ286" s="244"/>
      <c r="GR286" s="244"/>
      <c r="GS286" s="244"/>
      <c r="GT286" s="244"/>
    </row>
    <row r="287" spans="1:202" ht="20.25">
      <c r="A287" s="196"/>
      <c r="B287" s="240"/>
      <c r="C287" s="223" t="s">
        <v>415</v>
      </c>
      <c r="D287" s="241"/>
      <c r="E287" s="211">
        <v>5713.23</v>
      </c>
      <c r="F287" s="211">
        <v>1525.83</v>
      </c>
      <c r="G287" s="177">
        <f t="shared" ref="G287:G312" si="689">E287-F287</f>
        <v>4187.3999999999996</v>
      </c>
      <c r="H287" s="211">
        <v>5713.23</v>
      </c>
      <c r="I287" s="211">
        <v>1525.83</v>
      </c>
      <c r="J287" s="210">
        <f>H287-I287</f>
        <v>4187.3999999999996</v>
      </c>
      <c r="K287" s="252">
        <v>38.409999999999997</v>
      </c>
      <c r="L287" s="252">
        <v>38.409999999999997</v>
      </c>
      <c r="M287" s="252"/>
      <c r="N287" s="287">
        <f t="shared" si="680"/>
        <v>76.819999999999993</v>
      </c>
      <c r="O287" s="273"/>
      <c r="P287" s="273"/>
      <c r="Q287" s="290"/>
      <c r="R287" s="287"/>
      <c r="S287" s="290"/>
      <c r="T287" s="264"/>
      <c r="U287" s="273"/>
      <c r="V287" s="273"/>
      <c r="W287" s="290"/>
      <c r="X287" s="264"/>
      <c r="Y287" s="142"/>
      <c r="Z287" s="273"/>
      <c r="AA287" s="273"/>
      <c r="AB287" s="273"/>
      <c r="AC287" s="273"/>
      <c r="AD287" s="273"/>
      <c r="AE287" s="273"/>
      <c r="AF287" s="287">
        <f>SUM(Z287:AE287)</f>
        <v>0</v>
      </c>
      <c r="AG287" s="283">
        <f t="shared" si="663"/>
        <v>76.819999999999993</v>
      </c>
      <c r="AH287" s="228">
        <f t="shared" ref="AH287:AJ289" si="690">K287*$G287</f>
        <v>160838.03399999999</v>
      </c>
      <c r="AI287" s="228">
        <f t="shared" si="690"/>
        <v>160838.03399999999</v>
      </c>
      <c r="AJ287" s="228">
        <f t="shared" si="690"/>
        <v>0</v>
      </c>
      <c r="AK287" s="261">
        <f t="shared" si="681"/>
        <v>321676.06799999997</v>
      </c>
      <c r="AL287" s="228">
        <f t="shared" ref="AL287:AN288" si="691">O287*$G287</f>
        <v>0</v>
      </c>
      <c r="AM287" s="228">
        <f t="shared" si="691"/>
        <v>0</v>
      </c>
      <c r="AN287" s="228">
        <f t="shared" si="691"/>
        <v>0</v>
      </c>
      <c r="AO287" s="261"/>
      <c r="AP287" s="228">
        <f t="shared" ref="AP287:AU288" si="692">S287*$J287</f>
        <v>0</v>
      </c>
      <c r="AQ287" s="228">
        <f t="shared" si="692"/>
        <v>0</v>
      </c>
      <c r="AR287" s="228">
        <f t="shared" si="692"/>
        <v>0</v>
      </c>
      <c r="AS287" s="228">
        <f t="shared" si="692"/>
        <v>0</v>
      </c>
      <c r="AT287" s="228">
        <f t="shared" si="692"/>
        <v>0</v>
      </c>
      <c r="AU287" s="228">
        <f t="shared" si="692"/>
        <v>0</v>
      </c>
      <c r="AV287" s="261">
        <f>SUM(AP287:AU287)</f>
        <v>0</v>
      </c>
      <c r="AW287" s="228">
        <f t="shared" ref="AW287:BB288" si="693">Z287*$J287</f>
        <v>0</v>
      </c>
      <c r="AX287" s="228">
        <f t="shared" si="693"/>
        <v>0</v>
      </c>
      <c r="AY287" s="228">
        <f t="shared" si="693"/>
        <v>0</v>
      </c>
      <c r="AZ287" s="228">
        <f t="shared" si="693"/>
        <v>0</v>
      </c>
      <c r="BA287" s="228">
        <f t="shared" si="693"/>
        <v>0</v>
      </c>
      <c r="BB287" s="228">
        <f t="shared" si="693"/>
        <v>0</v>
      </c>
      <c r="BC287" s="261">
        <f t="shared" si="671"/>
        <v>0</v>
      </c>
      <c r="BD287" s="239">
        <f t="shared" si="684"/>
        <v>321676.06799999997</v>
      </c>
      <c r="BE287" s="243"/>
    </row>
    <row r="288" spans="1:202" ht="30">
      <c r="A288" s="196"/>
      <c r="B288" s="240"/>
      <c r="C288" s="223" t="s">
        <v>518</v>
      </c>
      <c r="D288" s="241"/>
      <c r="E288" s="211">
        <v>17170.23</v>
      </c>
      <c r="F288" s="211">
        <v>1525.83</v>
      </c>
      <c r="G288" s="177">
        <f t="shared" si="689"/>
        <v>15644.4</v>
      </c>
      <c r="H288" s="211">
        <v>17170.23</v>
      </c>
      <c r="I288" s="211">
        <v>1525.83</v>
      </c>
      <c r="J288" s="210">
        <f>H288-I288</f>
        <v>15644.4</v>
      </c>
      <c r="K288" s="252">
        <v>54.43</v>
      </c>
      <c r="L288" s="252">
        <v>54.43</v>
      </c>
      <c r="M288" s="252"/>
      <c r="N288" s="287">
        <f t="shared" si="680"/>
        <v>108.86</v>
      </c>
      <c r="O288" s="273"/>
      <c r="P288" s="273"/>
      <c r="Q288" s="290"/>
      <c r="R288" s="287"/>
      <c r="S288" s="290"/>
      <c r="T288" s="264"/>
      <c r="U288" s="273"/>
      <c r="V288" s="273"/>
      <c r="W288" s="290"/>
      <c r="X288" s="264"/>
      <c r="Y288" s="142"/>
      <c r="Z288" s="273"/>
      <c r="AA288" s="273"/>
      <c r="AB288" s="273"/>
      <c r="AC288" s="273"/>
      <c r="AD288" s="273"/>
      <c r="AE288" s="273"/>
      <c r="AF288" s="287">
        <f>SUM(Z288:AE288)</f>
        <v>0</v>
      </c>
      <c r="AG288" s="283">
        <f t="shared" si="663"/>
        <v>108.86</v>
      </c>
      <c r="AH288" s="228">
        <f t="shared" si="690"/>
        <v>851524.69199999992</v>
      </c>
      <c r="AI288" s="228">
        <f t="shared" si="690"/>
        <v>851524.69199999992</v>
      </c>
      <c r="AJ288" s="228">
        <f t="shared" si="690"/>
        <v>0</v>
      </c>
      <c r="AK288" s="261">
        <f t="shared" si="681"/>
        <v>1703049.3839999998</v>
      </c>
      <c r="AL288" s="228">
        <f t="shared" si="691"/>
        <v>0</v>
      </c>
      <c r="AM288" s="228">
        <f t="shared" si="691"/>
        <v>0</v>
      </c>
      <c r="AN288" s="228">
        <f t="shared" si="691"/>
        <v>0</v>
      </c>
      <c r="AO288" s="261"/>
      <c r="AP288" s="228">
        <f t="shared" si="692"/>
        <v>0</v>
      </c>
      <c r="AQ288" s="228">
        <f t="shared" si="692"/>
        <v>0</v>
      </c>
      <c r="AR288" s="228">
        <f t="shared" si="692"/>
        <v>0</v>
      </c>
      <c r="AS288" s="228">
        <f t="shared" si="692"/>
        <v>0</v>
      </c>
      <c r="AT288" s="228">
        <f t="shared" si="692"/>
        <v>0</v>
      </c>
      <c r="AU288" s="228">
        <f t="shared" si="692"/>
        <v>0</v>
      </c>
      <c r="AV288" s="261">
        <f>SUM(AP288:AU288)</f>
        <v>0</v>
      </c>
      <c r="AW288" s="228">
        <f t="shared" si="693"/>
        <v>0</v>
      </c>
      <c r="AX288" s="228">
        <f t="shared" si="693"/>
        <v>0</v>
      </c>
      <c r="AY288" s="228">
        <f t="shared" si="693"/>
        <v>0</v>
      </c>
      <c r="AZ288" s="228">
        <f t="shared" si="693"/>
        <v>0</v>
      </c>
      <c r="BA288" s="228">
        <f t="shared" si="693"/>
        <v>0</v>
      </c>
      <c r="BB288" s="228">
        <f t="shared" si="693"/>
        <v>0</v>
      </c>
      <c r="BC288" s="261">
        <f t="shared" si="671"/>
        <v>0</v>
      </c>
      <c r="BD288" s="239">
        <f t="shared" si="684"/>
        <v>1703049.3839999998</v>
      </c>
      <c r="BE288" s="243"/>
    </row>
    <row r="289" spans="1:202" ht="12.75">
      <c r="A289" s="196"/>
      <c r="B289" s="240"/>
      <c r="C289" s="223" t="s">
        <v>659</v>
      </c>
      <c r="D289" s="241"/>
      <c r="E289" s="211">
        <v>10797.95</v>
      </c>
      <c r="F289" s="211">
        <v>1525.83</v>
      </c>
      <c r="G289" s="177">
        <f t="shared" si="689"/>
        <v>9272.1200000000008</v>
      </c>
      <c r="H289" s="211">
        <v>10797.95</v>
      </c>
      <c r="I289" s="211">
        <v>1525.83</v>
      </c>
      <c r="J289" s="210">
        <f>H289-I289</f>
        <v>9272.1200000000008</v>
      </c>
      <c r="K289" s="252">
        <v>167.25</v>
      </c>
      <c r="L289" s="252">
        <v>115.3</v>
      </c>
      <c r="M289" s="252"/>
      <c r="N289" s="287">
        <f t="shared" si="680"/>
        <v>282.55</v>
      </c>
      <c r="O289" s="273"/>
      <c r="P289" s="273"/>
      <c r="Q289" s="290"/>
      <c r="R289" s="287"/>
      <c r="S289" s="290"/>
      <c r="T289" s="264"/>
      <c r="U289" s="273"/>
      <c r="V289" s="273"/>
      <c r="W289" s="290"/>
      <c r="X289" s="264"/>
      <c r="Y289" s="142"/>
      <c r="Z289" s="273"/>
      <c r="AA289" s="273"/>
      <c r="AB289" s="273"/>
      <c r="AC289" s="273"/>
      <c r="AD289" s="273"/>
      <c r="AE289" s="273"/>
      <c r="AF289" s="287"/>
      <c r="AG289" s="283">
        <f t="shared" si="663"/>
        <v>282.55</v>
      </c>
      <c r="AH289" s="228">
        <f>K289*$G289</f>
        <v>1550762.07</v>
      </c>
      <c r="AI289" s="228">
        <f t="shared" si="690"/>
        <v>1069075.436</v>
      </c>
      <c r="AJ289" s="228"/>
      <c r="AK289" s="261">
        <f t="shared" si="681"/>
        <v>2619837.5060000001</v>
      </c>
      <c r="AL289" s="228"/>
      <c r="AM289" s="228"/>
      <c r="AN289" s="228"/>
      <c r="AO289" s="261"/>
      <c r="AP289" s="228"/>
      <c r="AQ289" s="228"/>
      <c r="AR289" s="228"/>
      <c r="AS289" s="228"/>
      <c r="AT289" s="228"/>
      <c r="AU289" s="228"/>
      <c r="AV289" s="261">
        <f>SUM(AP289:AU289)</f>
        <v>0</v>
      </c>
      <c r="AW289" s="228"/>
      <c r="AX289" s="228"/>
      <c r="AY289" s="228"/>
      <c r="AZ289" s="228"/>
      <c r="BA289" s="228"/>
      <c r="BB289" s="228"/>
      <c r="BC289" s="261"/>
      <c r="BD289" s="239">
        <f t="shared" si="684"/>
        <v>2619837.5060000001</v>
      </c>
      <c r="BE289" s="243"/>
    </row>
    <row r="290" spans="1:202" s="83" customFormat="1" ht="12.75">
      <c r="A290" s="187" t="s">
        <v>26</v>
      </c>
      <c r="B290" s="170" t="s">
        <v>77</v>
      </c>
      <c r="C290" s="216"/>
      <c r="D290" s="138">
        <v>2918009770</v>
      </c>
      <c r="E290" s="147"/>
      <c r="F290" s="209"/>
      <c r="G290" s="177"/>
      <c r="H290" s="147"/>
      <c r="I290" s="144"/>
      <c r="J290" s="210"/>
      <c r="K290" s="251">
        <f>K291</f>
        <v>7.25</v>
      </c>
      <c r="L290" s="251">
        <f>L291</f>
        <v>7.25</v>
      </c>
      <c r="M290" s="251">
        <f>M291</f>
        <v>0</v>
      </c>
      <c r="N290" s="284">
        <f t="shared" si="680"/>
        <v>14.5</v>
      </c>
      <c r="O290" s="272">
        <f>O291</f>
        <v>0</v>
      </c>
      <c r="P290" s="272">
        <f>P291</f>
        <v>0</v>
      </c>
      <c r="Q290" s="272">
        <f>Q291</f>
        <v>0</v>
      </c>
      <c r="R290" s="284">
        <f>O290+P290+Q290</f>
        <v>0</v>
      </c>
      <c r="S290" s="289">
        <f t="shared" ref="S290:X290" si="694">S291</f>
        <v>0</v>
      </c>
      <c r="T290" s="289">
        <f t="shared" si="694"/>
        <v>0</v>
      </c>
      <c r="U290" s="289">
        <f t="shared" si="694"/>
        <v>0</v>
      </c>
      <c r="V290" s="289">
        <f t="shared" si="694"/>
        <v>0</v>
      </c>
      <c r="W290" s="289">
        <f t="shared" si="694"/>
        <v>0</v>
      </c>
      <c r="X290" s="289">
        <f t="shared" si="694"/>
        <v>0</v>
      </c>
      <c r="Y290" s="262">
        <f>SUM(S290:X290)</f>
        <v>0</v>
      </c>
      <c r="Z290" s="272">
        <f t="shared" ref="Z290:AE290" si="695">Z291</f>
        <v>0</v>
      </c>
      <c r="AA290" s="272">
        <f t="shared" si="695"/>
        <v>0</v>
      </c>
      <c r="AB290" s="272">
        <f t="shared" si="695"/>
        <v>0</v>
      </c>
      <c r="AC290" s="272">
        <f t="shared" si="695"/>
        <v>0</v>
      </c>
      <c r="AD290" s="272">
        <f t="shared" si="695"/>
        <v>0</v>
      </c>
      <c r="AE290" s="272">
        <f t="shared" si="695"/>
        <v>0</v>
      </c>
      <c r="AF290" s="284">
        <f>SUM(Z290:AE290)</f>
        <v>0</v>
      </c>
      <c r="AG290" s="282">
        <f t="shared" si="663"/>
        <v>14.5</v>
      </c>
      <c r="AH290" s="227">
        <f>AH291</f>
        <v>46348.525000000001</v>
      </c>
      <c r="AI290" s="227">
        <f>AI291</f>
        <v>46348.525000000001</v>
      </c>
      <c r="AJ290" s="227">
        <f>AJ291</f>
        <v>0</v>
      </c>
      <c r="AK290" s="260">
        <f t="shared" si="681"/>
        <v>92697.05</v>
      </c>
      <c r="AL290" s="227">
        <f>AL291</f>
        <v>0</v>
      </c>
      <c r="AM290" s="227">
        <f>AM291</f>
        <v>0</v>
      </c>
      <c r="AN290" s="227">
        <f>AN291</f>
        <v>0</v>
      </c>
      <c r="AO290" s="260">
        <f>SUM(AL290:AN290)</f>
        <v>0</v>
      </c>
      <c r="AP290" s="227">
        <f t="shared" ref="AP290:AU290" si="696">AP291</f>
        <v>0</v>
      </c>
      <c r="AQ290" s="227">
        <f t="shared" si="696"/>
        <v>0</v>
      </c>
      <c r="AR290" s="227">
        <f t="shared" si="696"/>
        <v>0</v>
      </c>
      <c r="AS290" s="227">
        <f t="shared" si="696"/>
        <v>0</v>
      </c>
      <c r="AT290" s="227">
        <f t="shared" si="696"/>
        <v>0</v>
      </c>
      <c r="AU290" s="227">
        <f t="shared" si="696"/>
        <v>0</v>
      </c>
      <c r="AV290" s="260">
        <f>SUM(AP290:AU290)</f>
        <v>0</v>
      </c>
      <c r="AW290" s="227">
        <f t="shared" ref="AW290:BB290" si="697">AW291</f>
        <v>0</v>
      </c>
      <c r="AX290" s="227">
        <f t="shared" si="697"/>
        <v>0</v>
      </c>
      <c r="AY290" s="227">
        <f t="shared" si="697"/>
        <v>0</v>
      </c>
      <c r="AZ290" s="227">
        <f t="shared" si="697"/>
        <v>0</v>
      </c>
      <c r="BA290" s="227">
        <f t="shared" si="697"/>
        <v>0</v>
      </c>
      <c r="BB290" s="227">
        <f t="shared" si="697"/>
        <v>0</v>
      </c>
      <c r="BC290" s="260">
        <f t="shared" ref="BC290:BC301" si="698">SUM(AW290:BB290)</f>
        <v>0</v>
      </c>
      <c r="BD290" s="238">
        <f t="shared" si="684"/>
        <v>92697.05</v>
      </c>
      <c r="BE290" s="13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44"/>
      <c r="CC290" s="244"/>
      <c r="CD290" s="244"/>
      <c r="CE290" s="244"/>
      <c r="CF290" s="244"/>
      <c r="CG290" s="244"/>
      <c r="CH290" s="244"/>
      <c r="CI290" s="244"/>
      <c r="CJ290" s="244"/>
      <c r="CK290" s="244"/>
      <c r="CL290" s="244"/>
      <c r="CM290" s="244"/>
      <c r="CN290" s="244"/>
      <c r="CO290" s="244"/>
      <c r="CP290" s="244"/>
      <c r="CQ290" s="244"/>
      <c r="CR290" s="244"/>
      <c r="CS290" s="244"/>
      <c r="CT290" s="244"/>
      <c r="CU290" s="244"/>
      <c r="CV290" s="244"/>
      <c r="CW290" s="244"/>
      <c r="CX290" s="244"/>
      <c r="CY290" s="244"/>
      <c r="CZ290" s="244"/>
      <c r="DA290" s="244"/>
      <c r="DB290" s="244"/>
      <c r="DC290" s="244"/>
      <c r="DD290" s="244"/>
      <c r="DE290" s="244"/>
      <c r="DF290" s="244"/>
      <c r="DG290" s="244"/>
      <c r="DH290" s="244"/>
      <c r="DI290" s="244"/>
      <c r="DJ290" s="244"/>
      <c r="DK290" s="244"/>
      <c r="DL290" s="244"/>
      <c r="DM290" s="244"/>
      <c r="DN290" s="244"/>
      <c r="DO290" s="244"/>
      <c r="DP290" s="244"/>
      <c r="DQ290" s="244"/>
      <c r="DR290" s="244"/>
      <c r="DS290" s="244"/>
      <c r="DT290" s="244"/>
      <c r="DU290" s="244"/>
      <c r="DV290" s="244"/>
      <c r="DW290" s="244"/>
      <c r="DX290" s="244"/>
      <c r="DY290" s="244"/>
      <c r="DZ290" s="244"/>
      <c r="EA290" s="244"/>
      <c r="EB290" s="244"/>
      <c r="EC290" s="244"/>
      <c r="ED290" s="244"/>
      <c r="EE290" s="244"/>
      <c r="EF290" s="244"/>
      <c r="EG290" s="244"/>
      <c r="EH290" s="244"/>
      <c r="EI290" s="244"/>
      <c r="EJ290" s="244"/>
      <c r="EK290" s="244"/>
      <c r="EL290" s="244"/>
      <c r="EM290" s="244"/>
      <c r="EN290" s="244"/>
      <c r="EO290" s="244"/>
      <c r="EP290" s="244"/>
      <c r="EQ290" s="244"/>
      <c r="ER290" s="244"/>
      <c r="ES290" s="244"/>
      <c r="ET290" s="244"/>
      <c r="EU290" s="244"/>
      <c r="EV290" s="244"/>
      <c r="EW290" s="244"/>
      <c r="EX290" s="244"/>
      <c r="EY290" s="244"/>
      <c r="EZ290" s="244"/>
      <c r="FA290" s="244"/>
      <c r="FB290" s="244"/>
      <c r="FC290" s="244"/>
      <c r="FD290" s="244"/>
      <c r="FE290" s="244"/>
      <c r="FF290" s="244"/>
      <c r="FG290" s="244"/>
      <c r="FH290" s="244"/>
      <c r="FI290" s="244"/>
      <c r="FJ290" s="244"/>
      <c r="FK290" s="244"/>
      <c r="FL290" s="244"/>
      <c r="FM290" s="244"/>
      <c r="FN290" s="244"/>
      <c r="FO290" s="244"/>
      <c r="FP290" s="244"/>
      <c r="FQ290" s="244"/>
      <c r="FR290" s="244"/>
      <c r="FS290" s="244"/>
      <c r="FT290" s="244"/>
      <c r="FU290" s="244"/>
      <c r="FV290" s="244"/>
      <c r="FW290" s="244"/>
      <c r="FX290" s="244"/>
      <c r="FY290" s="244"/>
      <c r="FZ290" s="244"/>
      <c r="GA290" s="244"/>
      <c r="GB290" s="244"/>
      <c r="GC290" s="244"/>
      <c r="GD290" s="244"/>
      <c r="GE290" s="244"/>
      <c r="GF290" s="244"/>
      <c r="GG290" s="244"/>
      <c r="GH290" s="244"/>
      <c r="GI290" s="244"/>
      <c r="GJ290" s="244"/>
      <c r="GK290" s="244"/>
      <c r="GL290" s="244"/>
      <c r="GM290" s="244"/>
      <c r="GN290" s="244"/>
      <c r="GO290" s="244"/>
      <c r="GP290" s="244"/>
      <c r="GQ290" s="244"/>
      <c r="GR290" s="244"/>
      <c r="GS290" s="244"/>
      <c r="GT290" s="244"/>
    </row>
    <row r="291" spans="1:202" ht="22.5" customHeight="1">
      <c r="A291" s="196"/>
      <c r="B291" s="84"/>
      <c r="C291" s="221" t="s">
        <v>574</v>
      </c>
      <c r="D291" s="78"/>
      <c r="E291" s="82">
        <v>8012.6</v>
      </c>
      <c r="F291" s="82">
        <v>1619.7</v>
      </c>
      <c r="G291" s="177">
        <f t="shared" si="689"/>
        <v>6392.9000000000005</v>
      </c>
      <c r="H291" s="82">
        <v>8012.6</v>
      </c>
      <c r="I291" s="82">
        <v>1619.7</v>
      </c>
      <c r="J291" s="210">
        <f>H291-I291</f>
        <v>6392.9000000000005</v>
      </c>
      <c r="K291" s="255">
        <v>7.25</v>
      </c>
      <c r="L291" s="255">
        <v>7.25</v>
      </c>
      <c r="M291" s="255"/>
      <c r="N291" s="287">
        <f t="shared" si="680"/>
        <v>14.5</v>
      </c>
      <c r="O291" s="276"/>
      <c r="P291" s="276"/>
      <c r="Q291" s="294"/>
      <c r="R291" s="287"/>
      <c r="S291" s="294"/>
      <c r="T291" s="267"/>
      <c r="U291" s="276"/>
      <c r="V291" s="276"/>
      <c r="W291" s="294"/>
      <c r="X291" s="264"/>
      <c r="Y291" s="142"/>
      <c r="Z291" s="276"/>
      <c r="AA291" s="276"/>
      <c r="AB291" s="276"/>
      <c r="AC291" s="276"/>
      <c r="AD291" s="276"/>
      <c r="AE291" s="276"/>
      <c r="AF291" s="287">
        <f>SUM(Z291:AE291)</f>
        <v>0</v>
      </c>
      <c r="AG291" s="283">
        <f t="shared" si="663"/>
        <v>14.5</v>
      </c>
      <c r="AH291" s="230">
        <f t="shared" ref="AH291:AJ292" si="699">K291*$G291</f>
        <v>46348.525000000001</v>
      </c>
      <c r="AI291" s="230">
        <f t="shared" si="699"/>
        <v>46348.525000000001</v>
      </c>
      <c r="AJ291" s="230">
        <f t="shared" si="699"/>
        <v>0</v>
      </c>
      <c r="AK291" s="261">
        <f t="shared" si="681"/>
        <v>92697.05</v>
      </c>
      <c r="AL291" s="230">
        <f t="shared" ref="AL291:AN292" si="700">O291*$G291</f>
        <v>0</v>
      </c>
      <c r="AM291" s="230">
        <f t="shared" si="700"/>
        <v>0</v>
      </c>
      <c r="AN291" s="230">
        <f t="shared" si="700"/>
        <v>0</v>
      </c>
      <c r="AO291" s="261"/>
      <c r="AP291" s="230">
        <f t="shared" ref="AP291:AU292" si="701">S291*$J291</f>
        <v>0</v>
      </c>
      <c r="AQ291" s="230">
        <f t="shared" si="701"/>
        <v>0</v>
      </c>
      <c r="AR291" s="230">
        <f t="shared" si="701"/>
        <v>0</v>
      </c>
      <c r="AS291" s="230">
        <f t="shared" si="701"/>
        <v>0</v>
      </c>
      <c r="AT291" s="230">
        <f t="shared" si="701"/>
        <v>0</v>
      </c>
      <c r="AU291" s="230">
        <f t="shared" si="701"/>
        <v>0</v>
      </c>
      <c r="AV291" s="261"/>
      <c r="AW291" s="230">
        <f t="shared" ref="AW291:BB292" si="702">Z291*$J291</f>
        <v>0</v>
      </c>
      <c r="AX291" s="230">
        <f t="shared" si="702"/>
        <v>0</v>
      </c>
      <c r="AY291" s="230">
        <f t="shared" si="702"/>
        <v>0</v>
      </c>
      <c r="AZ291" s="230">
        <f t="shared" si="702"/>
        <v>0</v>
      </c>
      <c r="BA291" s="230">
        <f t="shared" si="702"/>
        <v>0</v>
      </c>
      <c r="BB291" s="230">
        <f t="shared" si="702"/>
        <v>0</v>
      </c>
      <c r="BC291" s="261">
        <f t="shared" si="698"/>
        <v>0</v>
      </c>
      <c r="BD291" s="239">
        <f t="shared" si="684"/>
        <v>92697.05</v>
      </c>
      <c r="BE291" s="243"/>
    </row>
    <row r="292" spans="1:202" s="83" customFormat="1" ht="12.75">
      <c r="A292" s="187" t="s">
        <v>56</v>
      </c>
      <c r="B292" s="170" t="s">
        <v>529</v>
      </c>
      <c r="C292" s="216"/>
      <c r="D292" s="138">
        <v>2907018652</v>
      </c>
      <c r="E292" s="147"/>
      <c r="F292" s="209"/>
      <c r="G292" s="177"/>
      <c r="H292" s="147"/>
      <c r="I292" s="144"/>
      <c r="J292" s="210"/>
      <c r="K292" s="251"/>
      <c r="L292" s="251"/>
      <c r="M292" s="251"/>
      <c r="N292" s="284">
        <f t="shared" si="680"/>
        <v>0</v>
      </c>
      <c r="O292" s="272"/>
      <c r="P292" s="272"/>
      <c r="Q292" s="289"/>
      <c r="R292" s="284">
        <f>O292+P292+Q292</f>
        <v>0</v>
      </c>
      <c r="S292" s="289"/>
      <c r="T292" s="263"/>
      <c r="U292" s="272"/>
      <c r="V292" s="272"/>
      <c r="W292" s="289"/>
      <c r="X292" s="263"/>
      <c r="Y292" s="262">
        <f>SUM(S292:X292)</f>
        <v>0</v>
      </c>
      <c r="Z292" s="272"/>
      <c r="AA292" s="272"/>
      <c r="AB292" s="272"/>
      <c r="AC292" s="272"/>
      <c r="AD292" s="272"/>
      <c r="AE292" s="272"/>
      <c r="AF292" s="284">
        <f>SUM(Z292:AE292)</f>
        <v>0</v>
      </c>
      <c r="AG292" s="282">
        <f t="shared" si="663"/>
        <v>0</v>
      </c>
      <c r="AH292" s="227">
        <f t="shared" si="699"/>
        <v>0</v>
      </c>
      <c r="AI292" s="227">
        <f t="shared" si="699"/>
        <v>0</v>
      </c>
      <c r="AJ292" s="227">
        <f t="shared" si="699"/>
        <v>0</v>
      </c>
      <c r="AK292" s="260">
        <f t="shared" si="681"/>
        <v>0</v>
      </c>
      <c r="AL292" s="227">
        <f t="shared" si="700"/>
        <v>0</v>
      </c>
      <c r="AM292" s="227">
        <f t="shared" si="700"/>
        <v>0</v>
      </c>
      <c r="AN292" s="227">
        <f t="shared" si="700"/>
        <v>0</v>
      </c>
      <c r="AO292" s="260">
        <f t="shared" ref="AO292:AO298" si="703">SUM(AL292:AN292)</f>
        <v>0</v>
      </c>
      <c r="AP292" s="227">
        <f t="shared" si="701"/>
        <v>0</v>
      </c>
      <c r="AQ292" s="227">
        <f t="shared" si="701"/>
        <v>0</v>
      </c>
      <c r="AR292" s="227">
        <f t="shared" si="701"/>
        <v>0</v>
      </c>
      <c r="AS292" s="227">
        <f t="shared" si="701"/>
        <v>0</v>
      </c>
      <c r="AT292" s="227">
        <f t="shared" si="701"/>
        <v>0</v>
      </c>
      <c r="AU292" s="227">
        <f t="shared" si="701"/>
        <v>0</v>
      </c>
      <c r="AV292" s="260">
        <f t="shared" ref="AV292:AV298" si="704">SUM(AP292:AU292)</f>
        <v>0</v>
      </c>
      <c r="AW292" s="227">
        <f t="shared" si="702"/>
        <v>0</v>
      </c>
      <c r="AX292" s="227">
        <f t="shared" si="702"/>
        <v>0</v>
      </c>
      <c r="AY292" s="227">
        <f t="shared" si="702"/>
        <v>0</v>
      </c>
      <c r="AZ292" s="227">
        <f t="shared" si="702"/>
        <v>0</v>
      </c>
      <c r="BA292" s="227">
        <f t="shared" si="702"/>
        <v>0</v>
      </c>
      <c r="BB292" s="227">
        <f t="shared" si="702"/>
        <v>0</v>
      </c>
      <c r="BC292" s="260">
        <f t="shared" si="698"/>
        <v>0</v>
      </c>
      <c r="BD292" s="238">
        <f t="shared" si="684"/>
        <v>0</v>
      </c>
      <c r="BE292" s="13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44"/>
      <c r="CC292" s="244"/>
      <c r="CD292" s="244"/>
      <c r="CE292" s="244"/>
      <c r="CF292" s="244"/>
      <c r="CG292" s="244"/>
      <c r="CH292" s="244"/>
      <c r="CI292" s="244"/>
      <c r="CJ292" s="244"/>
      <c r="CK292" s="244"/>
      <c r="CL292" s="244"/>
      <c r="CM292" s="244"/>
      <c r="CN292" s="244"/>
      <c r="CO292" s="244"/>
      <c r="CP292" s="244"/>
      <c r="CQ292" s="244"/>
      <c r="CR292" s="244"/>
      <c r="CS292" s="244"/>
      <c r="CT292" s="244"/>
      <c r="CU292" s="244"/>
      <c r="CV292" s="244"/>
      <c r="CW292" s="244"/>
      <c r="CX292" s="244"/>
      <c r="CY292" s="244"/>
      <c r="CZ292" s="244"/>
      <c r="DA292" s="244"/>
      <c r="DB292" s="244"/>
      <c r="DC292" s="244"/>
      <c r="DD292" s="244"/>
      <c r="DE292" s="244"/>
      <c r="DF292" s="244"/>
      <c r="DG292" s="244"/>
      <c r="DH292" s="244"/>
      <c r="DI292" s="244"/>
      <c r="DJ292" s="244"/>
      <c r="DK292" s="244"/>
      <c r="DL292" s="244"/>
      <c r="DM292" s="244"/>
      <c r="DN292" s="244"/>
      <c r="DO292" s="244"/>
      <c r="DP292" s="244"/>
      <c r="DQ292" s="244"/>
      <c r="DR292" s="244"/>
      <c r="DS292" s="244"/>
      <c r="DT292" s="244"/>
      <c r="DU292" s="244"/>
      <c r="DV292" s="244"/>
      <c r="DW292" s="244"/>
      <c r="DX292" s="244"/>
      <c r="DY292" s="244"/>
      <c r="DZ292" s="244"/>
      <c r="EA292" s="244"/>
      <c r="EB292" s="244"/>
      <c r="EC292" s="244"/>
      <c r="ED292" s="244"/>
      <c r="EE292" s="244"/>
      <c r="EF292" s="244"/>
      <c r="EG292" s="244"/>
      <c r="EH292" s="244"/>
      <c r="EI292" s="244"/>
      <c r="EJ292" s="244"/>
      <c r="EK292" s="244"/>
      <c r="EL292" s="244"/>
      <c r="EM292" s="244"/>
      <c r="EN292" s="244"/>
      <c r="EO292" s="244"/>
      <c r="EP292" s="244"/>
      <c r="EQ292" s="244"/>
      <c r="ER292" s="244"/>
      <c r="ES292" s="244"/>
      <c r="ET292" s="244"/>
      <c r="EU292" s="244"/>
      <c r="EV292" s="244"/>
      <c r="EW292" s="244"/>
      <c r="EX292" s="244"/>
      <c r="EY292" s="244"/>
      <c r="EZ292" s="244"/>
      <c r="FA292" s="244"/>
      <c r="FB292" s="244"/>
      <c r="FC292" s="244"/>
      <c r="FD292" s="244"/>
      <c r="FE292" s="244"/>
      <c r="FF292" s="244"/>
      <c r="FG292" s="244"/>
      <c r="FH292" s="244"/>
      <c r="FI292" s="244"/>
      <c r="FJ292" s="244"/>
      <c r="FK292" s="244"/>
      <c r="FL292" s="244"/>
      <c r="FM292" s="244"/>
      <c r="FN292" s="244"/>
      <c r="FO292" s="244"/>
      <c r="FP292" s="244"/>
      <c r="FQ292" s="244"/>
      <c r="FR292" s="244"/>
      <c r="FS292" s="244"/>
      <c r="FT292" s="244"/>
      <c r="FU292" s="244"/>
      <c r="FV292" s="244"/>
      <c r="FW292" s="244"/>
      <c r="FX292" s="244"/>
      <c r="FY292" s="244"/>
      <c r="FZ292" s="244"/>
      <c r="GA292" s="244"/>
      <c r="GB292" s="244"/>
      <c r="GC292" s="244"/>
      <c r="GD292" s="244"/>
      <c r="GE292" s="244"/>
      <c r="GF292" s="244"/>
      <c r="GG292" s="244"/>
      <c r="GH292" s="244"/>
      <c r="GI292" s="244"/>
      <c r="GJ292" s="244"/>
      <c r="GK292" s="244"/>
      <c r="GL292" s="244"/>
      <c r="GM292" s="244"/>
      <c r="GN292" s="244"/>
      <c r="GO292" s="244"/>
      <c r="GP292" s="244"/>
      <c r="GQ292" s="244"/>
      <c r="GR292" s="244"/>
      <c r="GS292" s="244"/>
      <c r="GT292" s="244"/>
    </row>
    <row r="293" spans="1:202" ht="20.25">
      <c r="A293" s="193" t="s">
        <v>26</v>
      </c>
      <c r="B293" s="182" t="s">
        <v>172</v>
      </c>
      <c r="C293" s="221" t="s">
        <v>183</v>
      </c>
      <c r="D293" s="73">
        <v>2907017176</v>
      </c>
      <c r="E293" s="82"/>
      <c r="F293" s="82"/>
      <c r="G293" s="177"/>
      <c r="H293" s="82"/>
      <c r="I293" s="82"/>
      <c r="J293" s="210"/>
      <c r="K293" s="254">
        <f t="shared" ref="K293:Q293" si="705">SUM(K294:K296)</f>
        <v>0</v>
      </c>
      <c r="L293" s="254">
        <f t="shared" si="705"/>
        <v>0</v>
      </c>
      <c r="M293" s="254">
        <f t="shared" si="705"/>
        <v>0</v>
      </c>
      <c r="N293" s="284">
        <f t="shared" si="705"/>
        <v>0</v>
      </c>
      <c r="O293" s="275">
        <f t="shared" si="705"/>
        <v>0</v>
      </c>
      <c r="P293" s="275">
        <f t="shared" si="705"/>
        <v>0</v>
      </c>
      <c r="Q293" s="293">
        <f t="shared" si="705"/>
        <v>0</v>
      </c>
      <c r="R293" s="284">
        <f t="shared" ref="R293:AF293" si="706">SUM(R294:R296)</f>
        <v>0</v>
      </c>
      <c r="S293" s="293">
        <f t="shared" si="706"/>
        <v>0</v>
      </c>
      <c r="T293" s="293">
        <f t="shared" si="706"/>
        <v>0</v>
      </c>
      <c r="U293" s="293">
        <f t="shared" si="706"/>
        <v>0</v>
      </c>
      <c r="V293" s="293">
        <f t="shared" si="706"/>
        <v>0</v>
      </c>
      <c r="W293" s="293">
        <f t="shared" si="706"/>
        <v>0</v>
      </c>
      <c r="X293" s="293">
        <f t="shared" si="706"/>
        <v>0</v>
      </c>
      <c r="Y293" s="262">
        <f t="shared" si="706"/>
        <v>0</v>
      </c>
      <c r="Z293" s="275">
        <f t="shared" si="706"/>
        <v>0</v>
      </c>
      <c r="AA293" s="275">
        <f t="shared" si="706"/>
        <v>0</v>
      </c>
      <c r="AB293" s="275">
        <f t="shared" si="706"/>
        <v>0</v>
      </c>
      <c r="AC293" s="275">
        <f t="shared" si="706"/>
        <v>0</v>
      </c>
      <c r="AD293" s="275">
        <f t="shared" si="706"/>
        <v>0</v>
      </c>
      <c r="AE293" s="275">
        <f t="shared" si="706"/>
        <v>0</v>
      </c>
      <c r="AF293" s="284">
        <f t="shared" si="706"/>
        <v>0</v>
      </c>
      <c r="AG293" s="282">
        <f t="shared" si="663"/>
        <v>0</v>
      </c>
      <c r="AH293" s="232">
        <f t="shared" ref="AH293:AN293" si="707">SUM(AH294:AH296)</f>
        <v>0</v>
      </c>
      <c r="AI293" s="232">
        <f t="shared" si="707"/>
        <v>0</v>
      </c>
      <c r="AJ293" s="232">
        <f t="shared" si="707"/>
        <v>0</v>
      </c>
      <c r="AK293" s="260">
        <f t="shared" si="707"/>
        <v>0</v>
      </c>
      <c r="AL293" s="232">
        <f t="shared" si="707"/>
        <v>0</v>
      </c>
      <c r="AM293" s="232">
        <f t="shared" si="707"/>
        <v>0</v>
      </c>
      <c r="AN293" s="232">
        <f t="shared" si="707"/>
        <v>0</v>
      </c>
      <c r="AO293" s="260">
        <f t="shared" si="703"/>
        <v>0</v>
      </c>
      <c r="AP293" s="232">
        <f t="shared" ref="AP293:AU293" si="708">SUM(AP294:AP296)</f>
        <v>0</v>
      </c>
      <c r="AQ293" s="232">
        <f t="shared" si="708"/>
        <v>0</v>
      </c>
      <c r="AR293" s="232">
        <f t="shared" si="708"/>
        <v>0</v>
      </c>
      <c r="AS293" s="232">
        <f t="shared" si="708"/>
        <v>0</v>
      </c>
      <c r="AT293" s="232">
        <f t="shared" si="708"/>
        <v>0</v>
      </c>
      <c r="AU293" s="232">
        <f t="shared" si="708"/>
        <v>0</v>
      </c>
      <c r="AV293" s="260">
        <f t="shared" si="704"/>
        <v>0</v>
      </c>
      <c r="AW293" s="232">
        <f t="shared" ref="AW293:BB293" si="709">SUM(AW294:AW296)</f>
        <v>0</v>
      </c>
      <c r="AX293" s="232">
        <f t="shared" si="709"/>
        <v>0</v>
      </c>
      <c r="AY293" s="232">
        <f t="shared" si="709"/>
        <v>0</v>
      </c>
      <c r="AZ293" s="232">
        <f t="shared" si="709"/>
        <v>0</v>
      </c>
      <c r="BA293" s="232">
        <f t="shared" si="709"/>
        <v>0</v>
      </c>
      <c r="BB293" s="232">
        <f t="shared" si="709"/>
        <v>0</v>
      </c>
      <c r="BC293" s="260">
        <f t="shared" si="698"/>
        <v>0</v>
      </c>
      <c r="BD293" s="238">
        <f t="shared" si="684"/>
        <v>0</v>
      </c>
    </row>
    <row r="294" spans="1:202" ht="12.75">
      <c r="A294" s="196"/>
      <c r="B294" s="84" t="s">
        <v>173</v>
      </c>
      <c r="C294" s="221"/>
      <c r="D294" s="78"/>
      <c r="E294" s="82"/>
      <c r="F294" s="82"/>
      <c r="G294" s="177"/>
      <c r="H294" s="82"/>
      <c r="I294" s="82"/>
      <c r="J294" s="210"/>
      <c r="K294" s="255"/>
      <c r="L294" s="255"/>
      <c r="M294" s="255"/>
      <c r="N294" s="287">
        <f>K294+L294+M294</f>
        <v>0</v>
      </c>
      <c r="O294" s="276"/>
      <c r="P294" s="276"/>
      <c r="Q294" s="294"/>
      <c r="R294" s="287">
        <f>O294+P294+Q294</f>
        <v>0</v>
      </c>
      <c r="S294" s="294"/>
      <c r="T294" s="267"/>
      <c r="U294" s="276"/>
      <c r="V294" s="276"/>
      <c r="W294" s="294"/>
      <c r="X294" s="264"/>
      <c r="Y294" s="142">
        <f>SUM(S294:X294)</f>
        <v>0</v>
      </c>
      <c r="Z294" s="276"/>
      <c r="AA294" s="276"/>
      <c r="AB294" s="276"/>
      <c r="AC294" s="276"/>
      <c r="AD294" s="276"/>
      <c r="AE294" s="276"/>
      <c r="AF294" s="287">
        <f>SUM(Z294:AE294)</f>
        <v>0</v>
      </c>
      <c r="AG294" s="283">
        <f t="shared" si="663"/>
        <v>0</v>
      </c>
      <c r="AH294" s="230">
        <f t="shared" ref="AH294:AJ297" si="710">K294*$G294</f>
        <v>0</v>
      </c>
      <c r="AI294" s="230">
        <f t="shared" si="710"/>
        <v>0</v>
      </c>
      <c r="AJ294" s="230">
        <f t="shared" si="710"/>
        <v>0</v>
      </c>
      <c r="AK294" s="261">
        <f t="shared" ref="AK294:AK299" si="711">AH294+AI294+AJ294</f>
        <v>0</v>
      </c>
      <c r="AL294" s="230">
        <f t="shared" ref="AL294:AN297" si="712">O294*$G294</f>
        <v>0</v>
      </c>
      <c r="AM294" s="230">
        <f t="shared" si="712"/>
        <v>0</v>
      </c>
      <c r="AN294" s="230">
        <f t="shared" si="712"/>
        <v>0</v>
      </c>
      <c r="AO294" s="261">
        <f t="shared" si="703"/>
        <v>0</v>
      </c>
      <c r="AP294" s="230">
        <f t="shared" ref="AP294:AU297" si="713">S294*$J294</f>
        <v>0</v>
      </c>
      <c r="AQ294" s="230">
        <f t="shared" si="713"/>
        <v>0</v>
      </c>
      <c r="AR294" s="230">
        <f t="shared" si="713"/>
        <v>0</v>
      </c>
      <c r="AS294" s="230">
        <f t="shared" si="713"/>
        <v>0</v>
      </c>
      <c r="AT294" s="230">
        <f t="shared" si="713"/>
        <v>0</v>
      </c>
      <c r="AU294" s="230">
        <f t="shared" si="713"/>
        <v>0</v>
      </c>
      <c r="AV294" s="261">
        <f t="shared" si="704"/>
        <v>0</v>
      </c>
      <c r="AW294" s="230">
        <f t="shared" ref="AW294:BB297" si="714">Z294*$J294</f>
        <v>0</v>
      </c>
      <c r="AX294" s="230">
        <f t="shared" si="714"/>
        <v>0</v>
      </c>
      <c r="AY294" s="230">
        <f t="shared" si="714"/>
        <v>0</v>
      </c>
      <c r="AZ294" s="230">
        <f t="shared" si="714"/>
        <v>0</v>
      </c>
      <c r="BA294" s="230">
        <f t="shared" si="714"/>
        <v>0</v>
      </c>
      <c r="BB294" s="230">
        <f t="shared" si="714"/>
        <v>0</v>
      </c>
      <c r="BC294" s="261">
        <f t="shared" si="698"/>
        <v>0</v>
      </c>
      <c r="BD294" s="239">
        <f t="shared" si="684"/>
        <v>0</v>
      </c>
      <c r="BE294" s="243"/>
    </row>
    <row r="295" spans="1:202" ht="12.75">
      <c r="A295" s="196"/>
      <c r="B295" s="84" t="s">
        <v>174</v>
      </c>
      <c r="C295" s="221"/>
      <c r="D295" s="78"/>
      <c r="E295" s="82"/>
      <c r="F295" s="82"/>
      <c r="G295" s="177"/>
      <c r="H295" s="82"/>
      <c r="I295" s="82"/>
      <c r="J295" s="210"/>
      <c r="K295" s="255"/>
      <c r="L295" s="255"/>
      <c r="M295" s="255"/>
      <c r="N295" s="287">
        <f>K295+L295+M295</f>
        <v>0</v>
      </c>
      <c r="O295" s="276"/>
      <c r="P295" s="276"/>
      <c r="Q295" s="294"/>
      <c r="R295" s="287">
        <f>O295+P295+Q295</f>
        <v>0</v>
      </c>
      <c r="S295" s="294"/>
      <c r="T295" s="267"/>
      <c r="U295" s="276"/>
      <c r="V295" s="276"/>
      <c r="W295" s="294"/>
      <c r="X295" s="264"/>
      <c r="Y295" s="142">
        <f>SUM(S295:X295)</f>
        <v>0</v>
      </c>
      <c r="Z295" s="276"/>
      <c r="AA295" s="276"/>
      <c r="AB295" s="276"/>
      <c r="AC295" s="276"/>
      <c r="AD295" s="276"/>
      <c r="AE295" s="276"/>
      <c r="AF295" s="287">
        <f>SUM(Z295:AE295)</f>
        <v>0</v>
      </c>
      <c r="AG295" s="283">
        <f t="shared" si="663"/>
        <v>0</v>
      </c>
      <c r="AH295" s="230">
        <f t="shared" si="710"/>
        <v>0</v>
      </c>
      <c r="AI295" s="230">
        <f t="shared" si="710"/>
        <v>0</v>
      </c>
      <c r="AJ295" s="230">
        <f t="shared" si="710"/>
        <v>0</v>
      </c>
      <c r="AK295" s="261">
        <f t="shared" si="711"/>
        <v>0</v>
      </c>
      <c r="AL295" s="230">
        <f t="shared" si="712"/>
        <v>0</v>
      </c>
      <c r="AM295" s="230">
        <f t="shared" si="712"/>
        <v>0</v>
      </c>
      <c r="AN295" s="230">
        <f t="shared" si="712"/>
        <v>0</v>
      </c>
      <c r="AO295" s="261">
        <f t="shared" si="703"/>
        <v>0</v>
      </c>
      <c r="AP295" s="230">
        <f t="shared" si="713"/>
        <v>0</v>
      </c>
      <c r="AQ295" s="230">
        <f t="shared" si="713"/>
        <v>0</v>
      </c>
      <c r="AR295" s="230">
        <f t="shared" si="713"/>
        <v>0</v>
      </c>
      <c r="AS295" s="230">
        <f t="shared" si="713"/>
        <v>0</v>
      </c>
      <c r="AT295" s="230">
        <f t="shared" si="713"/>
        <v>0</v>
      </c>
      <c r="AU295" s="230">
        <f t="shared" si="713"/>
        <v>0</v>
      </c>
      <c r="AV295" s="261">
        <f t="shared" si="704"/>
        <v>0</v>
      </c>
      <c r="AW295" s="230">
        <f t="shared" si="714"/>
        <v>0</v>
      </c>
      <c r="AX295" s="230">
        <f t="shared" si="714"/>
        <v>0</v>
      </c>
      <c r="AY295" s="230">
        <f t="shared" si="714"/>
        <v>0</v>
      </c>
      <c r="AZ295" s="230">
        <f t="shared" si="714"/>
        <v>0</v>
      </c>
      <c r="BA295" s="230">
        <f t="shared" si="714"/>
        <v>0</v>
      </c>
      <c r="BB295" s="230">
        <f t="shared" si="714"/>
        <v>0</v>
      </c>
      <c r="BC295" s="261">
        <f t="shared" si="698"/>
        <v>0</v>
      </c>
      <c r="BD295" s="239">
        <f t="shared" si="684"/>
        <v>0</v>
      </c>
      <c r="BE295" s="243"/>
    </row>
    <row r="296" spans="1:202" ht="12.75">
      <c r="A296" s="196"/>
      <c r="B296" s="84" t="s">
        <v>175</v>
      </c>
      <c r="C296" s="221"/>
      <c r="D296" s="78"/>
      <c r="E296" s="82"/>
      <c r="F296" s="82"/>
      <c r="G296" s="177"/>
      <c r="H296" s="82"/>
      <c r="I296" s="82"/>
      <c r="J296" s="210"/>
      <c r="K296" s="255"/>
      <c r="L296" s="255"/>
      <c r="M296" s="255"/>
      <c r="N296" s="287">
        <f>K296+L296+M296</f>
        <v>0</v>
      </c>
      <c r="O296" s="276"/>
      <c r="P296" s="276"/>
      <c r="Q296" s="294"/>
      <c r="R296" s="287">
        <f>O296+P296+Q296</f>
        <v>0</v>
      </c>
      <c r="S296" s="294"/>
      <c r="T296" s="267"/>
      <c r="U296" s="276"/>
      <c r="V296" s="276"/>
      <c r="W296" s="294"/>
      <c r="X296" s="264"/>
      <c r="Y296" s="142">
        <f>SUM(S296:X296)</f>
        <v>0</v>
      </c>
      <c r="Z296" s="276"/>
      <c r="AA296" s="276"/>
      <c r="AB296" s="276"/>
      <c r="AC296" s="276"/>
      <c r="AD296" s="276"/>
      <c r="AE296" s="276"/>
      <c r="AF296" s="287">
        <f>SUM(Z296:AE296)</f>
        <v>0</v>
      </c>
      <c r="AG296" s="283">
        <f t="shared" si="663"/>
        <v>0</v>
      </c>
      <c r="AH296" s="230">
        <f t="shared" si="710"/>
        <v>0</v>
      </c>
      <c r="AI296" s="230">
        <f t="shared" si="710"/>
        <v>0</v>
      </c>
      <c r="AJ296" s="230">
        <f t="shared" si="710"/>
        <v>0</v>
      </c>
      <c r="AK296" s="261">
        <f t="shared" si="711"/>
        <v>0</v>
      </c>
      <c r="AL296" s="230">
        <f t="shared" si="712"/>
        <v>0</v>
      </c>
      <c r="AM296" s="230">
        <f t="shared" si="712"/>
        <v>0</v>
      </c>
      <c r="AN296" s="230">
        <f t="shared" si="712"/>
        <v>0</v>
      </c>
      <c r="AO296" s="261">
        <f t="shared" si="703"/>
        <v>0</v>
      </c>
      <c r="AP296" s="230">
        <f t="shared" si="713"/>
        <v>0</v>
      </c>
      <c r="AQ296" s="230">
        <f t="shared" si="713"/>
        <v>0</v>
      </c>
      <c r="AR296" s="230">
        <f t="shared" si="713"/>
        <v>0</v>
      </c>
      <c r="AS296" s="230">
        <f t="shared" si="713"/>
        <v>0</v>
      </c>
      <c r="AT296" s="230">
        <f t="shared" si="713"/>
        <v>0</v>
      </c>
      <c r="AU296" s="230">
        <f t="shared" si="713"/>
        <v>0</v>
      </c>
      <c r="AV296" s="261">
        <f t="shared" si="704"/>
        <v>0</v>
      </c>
      <c r="AW296" s="230">
        <f t="shared" si="714"/>
        <v>0</v>
      </c>
      <c r="AX296" s="230">
        <f t="shared" si="714"/>
        <v>0</v>
      </c>
      <c r="AY296" s="230">
        <f t="shared" si="714"/>
        <v>0</v>
      </c>
      <c r="AZ296" s="230">
        <f t="shared" si="714"/>
        <v>0</v>
      </c>
      <c r="BA296" s="230">
        <f t="shared" si="714"/>
        <v>0</v>
      </c>
      <c r="BB296" s="230">
        <f t="shared" si="714"/>
        <v>0</v>
      </c>
      <c r="BC296" s="261">
        <f t="shared" si="698"/>
        <v>0</v>
      </c>
      <c r="BD296" s="239">
        <f t="shared" si="684"/>
        <v>0</v>
      </c>
      <c r="BE296" s="243"/>
    </row>
    <row r="297" spans="1:202" ht="18" customHeight="1">
      <c r="A297" s="193" t="s">
        <v>26</v>
      </c>
      <c r="B297" s="182" t="s">
        <v>225</v>
      </c>
      <c r="C297" s="221" t="s">
        <v>227</v>
      </c>
      <c r="D297" s="73">
        <v>2920016252</v>
      </c>
      <c r="E297" s="82"/>
      <c r="F297" s="82"/>
      <c r="G297" s="177"/>
      <c r="H297" s="82"/>
      <c r="I297" s="82"/>
      <c r="J297" s="210"/>
      <c r="K297" s="254"/>
      <c r="L297" s="254"/>
      <c r="M297" s="254"/>
      <c r="N297" s="284">
        <f>K297+L297+M297</f>
        <v>0</v>
      </c>
      <c r="O297" s="275"/>
      <c r="P297" s="275"/>
      <c r="Q297" s="293"/>
      <c r="R297" s="284">
        <f>O297+P297+Q297</f>
        <v>0</v>
      </c>
      <c r="S297" s="293"/>
      <c r="T297" s="266"/>
      <c r="U297" s="275"/>
      <c r="V297" s="275"/>
      <c r="W297" s="293"/>
      <c r="X297" s="263"/>
      <c r="Y297" s="262">
        <f>SUM(S297:X297)</f>
        <v>0</v>
      </c>
      <c r="Z297" s="275"/>
      <c r="AA297" s="275"/>
      <c r="AB297" s="275"/>
      <c r="AC297" s="275"/>
      <c r="AD297" s="275"/>
      <c r="AE297" s="275"/>
      <c r="AF297" s="284">
        <f>SUM(Z297:AE297)</f>
        <v>0</v>
      </c>
      <c r="AG297" s="282">
        <f t="shared" si="663"/>
        <v>0</v>
      </c>
      <c r="AH297" s="232">
        <f t="shared" si="710"/>
        <v>0</v>
      </c>
      <c r="AI297" s="232">
        <f t="shared" si="710"/>
        <v>0</v>
      </c>
      <c r="AJ297" s="232">
        <f t="shared" si="710"/>
        <v>0</v>
      </c>
      <c r="AK297" s="260">
        <f t="shared" si="711"/>
        <v>0</v>
      </c>
      <c r="AL297" s="232">
        <f t="shared" si="712"/>
        <v>0</v>
      </c>
      <c r="AM297" s="232">
        <f t="shared" si="712"/>
        <v>0</v>
      </c>
      <c r="AN297" s="232">
        <f t="shared" si="712"/>
        <v>0</v>
      </c>
      <c r="AO297" s="260">
        <f t="shared" si="703"/>
        <v>0</v>
      </c>
      <c r="AP297" s="232">
        <f t="shared" si="713"/>
        <v>0</v>
      </c>
      <c r="AQ297" s="232">
        <f t="shared" si="713"/>
        <v>0</v>
      </c>
      <c r="AR297" s="232">
        <f t="shared" si="713"/>
        <v>0</v>
      </c>
      <c r="AS297" s="232">
        <f t="shared" si="713"/>
        <v>0</v>
      </c>
      <c r="AT297" s="232">
        <f t="shared" si="713"/>
        <v>0</v>
      </c>
      <c r="AU297" s="232">
        <f t="shared" si="713"/>
        <v>0</v>
      </c>
      <c r="AV297" s="260">
        <f t="shared" si="704"/>
        <v>0</v>
      </c>
      <c r="AW297" s="232">
        <f t="shared" si="714"/>
        <v>0</v>
      </c>
      <c r="AX297" s="232">
        <f t="shared" si="714"/>
        <v>0</v>
      </c>
      <c r="AY297" s="232">
        <f t="shared" si="714"/>
        <v>0</v>
      </c>
      <c r="AZ297" s="232">
        <f t="shared" si="714"/>
        <v>0</v>
      </c>
      <c r="BA297" s="232">
        <f t="shared" si="714"/>
        <v>0</v>
      </c>
      <c r="BB297" s="232">
        <f t="shared" si="714"/>
        <v>0</v>
      </c>
      <c r="BC297" s="260">
        <f t="shared" si="698"/>
        <v>0</v>
      </c>
      <c r="BD297" s="238">
        <f t="shared" si="684"/>
        <v>0</v>
      </c>
    </row>
    <row r="298" spans="1:202" s="79" customFormat="1" ht="11.25" customHeight="1">
      <c r="A298" s="193" t="s">
        <v>26</v>
      </c>
      <c r="B298" s="182" t="s">
        <v>149</v>
      </c>
      <c r="C298" s="221" t="s">
        <v>238</v>
      </c>
      <c r="D298" s="73">
        <v>2907016373</v>
      </c>
      <c r="E298" s="214"/>
      <c r="F298" s="214"/>
      <c r="G298" s="177"/>
      <c r="H298" s="214"/>
      <c r="I298" s="214"/>
      <c r="J298" s="210"/>
      <c r="K298" s="254">
        <f>SUM(K299:K312)</f>
        <v>2009.6059999999998</v>
      </c>
      <c r="L298" s="254">
        <f>SUM(L299:L312)</f>
        <v>2002.8120000000001</v>
      </c>
      <c r="M298" s="254">
        <f>SUM(M300:M312)</f>
        <v>0</v>
      </c>
      <c r="N298" s="284">
        <f t="shared" ref="N298:N312" si="715">SUM(K298:M298)</f>
        <v>4012.4179999999997</v>
      </c>
      <c r="O298" s="275">
        <f>SUM(O300:O312)</f>
        <v>0</v>
      </c>
      <c r="P298" s="275">
        <f>SUM(P300:P312)</f>
        <v>0</v>
      </c>
      <c r="Q298" s="275">
        <f>SUM(Q300:Q312)</f>
        <v>0</v>
      </c>
      <c r="R298" s="284">
        <f>O298+P298+Q298</f>
        <v>0</v>
      </c>
      <c r="S298" s="293">
        <f t="shared" ref="S298:X298" si="716">SUM(S300:S312)</f>
        <v>0</v>
      </c>
      <c r="T298" s="293">
        <f t="shared" si="716"/>
        <v>0</v>
      </c>
      <c r="U298" s="293">
        <f t="shared" si="716"/>
        <v>0</v>
      </c>
      <c r="V298" s="293">
        <f t="shared" si="716"/>
        <v>0</v>
      </c>
      <c r="W298" s="293">
        <f t="shared" si="716"/>
        <v>0</v>
      </c>
      <c r="X298" s="293">
        <f t="shared" si="716"/>
        <v>0</v>
      </c>
      <c r="Y298" s="284">
        <f>SUM(S298:X298)</f>
        <v>0</v>
      </c>
      <c r="Z298" s="275">
        <f t="shared" ref="Z298:AF298" si="717">SUM(Z300:Z312)</f>
        <v>0</v>
      </c>
      <c r="AA298" s="275">
        <f t="shared" si="717"/>
        <v>0</v>
      </c>
      <c r="AB298" s="275">
        <f t="shared" si="717"/>
        <v>0</v>
      </c>
      <c r="AC298" s="275">
        <f t="shared" si="717"/>
        <v>0</v>
      </c>
      <c r="AD298" s="275">
        <f t="shared" si="717"/>
        <v>0</v>
      </c>
      <c r="AE298" s="275">
        <f t="shared" si="717"/>
        <v>0</v>
      </c>
      <c r="AF298" s="284">
        <f t="shared" si="717"/>
        <v>0</v>
      </c>
      <c r="AG298" s="282">
        <f t="shared" si="663"/>
        <v>4012.4179999999997</v>
      </c>
      <c r="AH298" s="232">
        <f>SUM(AH299:AH312)</f>
        <v>4409496.6341200005</v>
      </c>
      <c r="AI298" s="232">
        <f>SUM(AI299:AI312)</f>
        <v>4392490.2447800003</v>
      </c>
      <c r="AJ298" s="232">
        <f>SUM(AJ300:AJ312)</f>
        <v>0</v>
      </c>
      <c r="AK298" s="260">
        <f t="shared" si="711"/>
        <v>8801986.8789000008</v>
      </c>
      <c r="AL298" s="232">
        <f>SUM(AL300:AL312)</f>
        <v>0</v>
      </c>
      <c r="AM298" s="232">
        <f>SUM(AM300:AM312)</f>
        <v>0</v>
      </c>
      <c r="AN298" s="232">
        <f>SUM(AN300:AN312)</f>
        <v>0</v>
      </c>
      <c r="AO298" s="260">
        <f t="shared" si="703"/>
        <v>0</v>
      </c>
      <c r="AP298" s="232">
        <f t="shared" ref="AP298:AU298" si="718">SUM(AP300:AP312)</f>
        <v>0</v>
      </c>
      <c r="AQ298" s="232">
        <f t="shared" si="718"/>
        <v>0</v>
      </c>
      <c r="AR298" s="232">
        <f t="shared" si="718"/>
        <v>0</v>
      </c>
      <c r="AS298" s="232">
        <f t="shared" si="718"/>
        <v>0</v>
      </c>
      <c r="AT298" s="232">
        <f t="shared" si="718"/>
        <v>0</v>
      </c>
      <c r="AU298" s="232">
        <f t="shared" si="718"/>
        <v>0</v>
      </c>
      <c r="AV298" s="260">
        <f t="shared" si="704"/>
        <v>0</v>
      </c>
      <c r="AW298" s="232">
        <f t="shared" ref="AW298:BB298" si="719">SUM(AW300:AW312)</f>
        <v>0</v>
      </c>
      <c r="AX298" s="232">
        <f t="shared" si="719"/>
        <v>0</v>
      </c>
      <c r="AY298" s="232">
        <f t="shared" si="719"/>
        <v>0</v>
      </c>
      <c r="AZ298" s="232">
        <f t="shared" si="719"/>
        <v>0</v>
      </c>
      <c r="BA298" s="232">
        <f t="shared" si="719"/>
        <v>0</v>
      </c>
      <c r="BB298" s="232">
        <f t="shared" si="719"/>
        <v>0</v>
      </c>
      <c r="BC298" s="260">
        <f t="shared" si="698"/>
        <v>0</v>
      </c>
      <c r="BD298" s="238">
        <f t="shared" si="684"/>
        <v>8801986.8789000008</v>
      </c>
      <c r="BE298" s="13"/>
      <c r="BF298" s="243"/>
      <c r="BG298" s="243"/>
      <c r="BH298" s="243"/>
      <c r="BI298" s="243"/>
      <c r="BJ298" s="243"/>
      <c r="BK298" s="243"/>
      <c r="BL298" s="243"/>
      <c r="BM298" s="243"/>
      <c r="BN298" s="243"/>
      <c r="BO298" s="243"/>
      <c r="BP298" s="243"/>
      <c r="BQ298" s="243"/>
      <c r="BR298" s="243"/>
      <c r="BS298" s="243"/>
      <c r="BT298" s="243"/>
      <c r="BU298" s="243"/>
      <c r="BV298" s="243"/>
      <c r="BW298" s="243"/>
      <c r="BX298" s="243"/>
      <c r="BY298" s="243"/>
      <c r="BZ298" s="243"/>
      <c r="CA298" s="243"/>
      <c r="CB298" s="243"/>
      <c r="CC298" s="243"/>
      <c r="CD298" s="243"/>
      <c r="CE298" s="243"/>
      <c r="CF298" s="243"/>
      <c r="CG298" s="243"/>
      <c r="CH298" s="243"/>
      <c r="CI298" s="243"/>
      <c r="CJ298" s="243"/>
      <c r="CK298" s="243"/>
      <c r="CL298" s="243"/>
      <c r="CM298" s="243"/>
      <c r="CN298" s="243"/>
      <c r="CO298" s="243"/>
      <c r="CP298" s="243"/>
      <c r="CQ298" s="243"/>
      <c r="CR298" s="243"/>
      <c r="CS298" s="243"/>
      <c r="CT298" s="243"/>
      <c r="CU298" s="243"/>
      <c r="CV298" s="243"/>
      <c r="CW298" s="243"/>
      <c r="CX298" s="243"/>
      <c r="CY298" s="243"/>
      <c r="CZ298" s="243"/>
      <c r="DA298" s="243"/>
      <c r="DB298" s="243"/>
      <c r="DC298" s="243"/>
      <c r="DD298" s="243"/>
      <c r="DE298" s="243"/>
      <c r="DF298" s="243"/>
      <c r="DG298" s="243"/>
      <c r="DH298" s="243"/>
      <c r="DI298" s="243"/>
      <c r="DJ298" s="243"/>
      <c r="DK298" s="243"/>
      <c r="DL298" s="243"/>
      <c r="DM298" s="243"/>
      <c r="DN298" s="243"/>
      <c r="DO298" s="243"/>
      <c r="DP298" s="243"/>
      <c r="DQ298" s="243"/>
      <c r="DR298" s="243"/>
      <c r="DS298" s="243"/>
      <c r="DT298" s="243"/>
      <c r="DU298" s="243"/>
      <c r="DV298" s="243"/>
      <c r="DW298" s="243"/>
      <c r="DX298" s="243"/>
      <c r="DY298" s="243"/>
      <c r="DZ298" s="243"/>
      <c r="EA298" s="243"/>
      <c r="EB298" s="243"/>
      <c r="EC298" s="243"/>
      <c r="ED298" s="243"/>
      <c r="EE298" s="243"/>
      <c r="EF298" s="243"/>
      <c r="EG298" s="243"/>
      <c r="EH298" s="243"/>
      <c r="EI298" s="243"/>
      <c r="EJ298" s="243"/>
      <c r="EK298" s="243"/>
      <c r="EL298" s="243"/>
      <c r="EM298" s="243"/>
      <c r="EN298" s="243"/>
      <c r="EO298" s="243"/>
      <c r="EP298" s="243"/>
      <c r="EQ298" s="243"/>
      <c r="ER298" s="243"/>
      <c r="ES298" s="243"/>
      <c r="ET298" s="243"/>
      <c r="EU298" s="243"/>
      <c r="EV298" s="243"/>
      <c r="EW298" s="243"/>
      <c r="EX298" s="243"/>
      <c r="EY298" s="243"/>
      <c r="EZ298" s="243"/>
      <c r="FA298" s="243"/>
      <c r="FB298" s="243"/>
      <c r="FC298" s="243"/>
      <c r="FD298" s="243"/>
      <c r="FE298" s="243"/>
      <c r="FF298" s="243"/>
      <c r="FG298" s="243"/>
      <c r="FH298" s="243"/>
      <c r="FI298" s="243"/>
      <c r="FJ298" s="243"/>
      <c r="FK298" s="243"/>
      <c r="FL298" s="243"/>
      <c r="FM298" s="243"/>
      <c r="FN298" s="243"/>
      <c r="FO298" s="243"/>
      <c r="FP298" s="243"/>
      <c r="FQ298" s="243"/>
      <c r="FR298" s="243"/>
      <c r="FS298" s="243"/>
      <c r="FT298" s="243"/>
      <c r="FU298" s="243"/>
      <c r="FV298" s="243"/>
      <c r="FW298" s="243"/>
      <c r="FX298" s="243"/>
      <c r="FY298" s="243"/>
      <c r="FZ298" s="243"/>
      <c r="GA298" s="243"/>
      <c r="GB298" s="243"/>
      <c r="GC298" s="243"/>
      <c r="GD298" s="243"/>
      <c r="GE298" s="243"/>
      <c r="GF298" s="243"/>
      <c r="GG298" s="243"/>
      <c r="GH298" s="243"/>
      <c r="GI298" s="243"/>
      <c r="GJ298" s="243"/>
      <c r="GK298" s="243"/>
      <c r="GL298" s="243"/>
      <c r="GM298" s="243"/>
      <c r="GN298" s="243"/>
      <c r="GO298" s="243"/>
      <c r="GP298" s="243"/>
      <c r="GQ298" s="243"/>
      <c r="GR298" s="243"/>
      <c r="GS298" s="243"/>
      <c r="GT298" s="243"/>
    </row>
    <row r="299" spans="1:202" s="79" customFormat="1" ht="11.25" customHeight="1">
      <c r="A299" s="196"/>
      <c r="B299" s="84" t="s">
        <v>588</v>
      </c>
      <c r="C299" s="221"/>
      <c r="D299" s="78"/>
      <c r="E299" s="309">
        <f>11064.54*0+11563.29</f>
        <v>11563.29</v>
      </c>
      <c r="F299" s="82">
        <v>1580</v>
      </c>
      <c r="G299" s="177">
        <f>E299-F299</f>
        <v>9983.2900000000009</v>
      </c>
      <c r="H299" s="82">
        <f>11064.54*0+11563.29</f>
        <v>11563.29</v>
      </c>
      <c r="I299" s="82">
        <v>1580</v>
      </c>
      <c r="J299" s="210">
        <f>H299-I299</f>
        <v>9983.2900000000009</v>
      </c>
      <c r="K299" s="255">
        <v>26.166</v>
      </c>
      <c r="L299" s="255">
        <v>26.166</v>
      </c>
      <c r="M299" s="255"/>
      <c r="N299" s="287">
        <f t="shared" si="715"/>
        <v>52.332000000000001</v>
      </c>
      <c r="O299" s="276"/>
      <c r="P299" s="276"/>
      <c r="Q299" s="294"/>
      <c r="R299" s="287"/>
      <c r="S299" s="294"/>
      <c r="T299" s="267"/>
      <c r="U299" s="276"/>
      <c r="V299" s="276"/>
      <c r="W299" s="294"/>
      <c r="X299" s="273"/>
      <c r="Y299" s="142"/>
      <c r="Z299" s="276"/>
      <c r="AA299" s="276"/>
      <c r="AB299" s="276"/>
      <c r="AC299" s="276"/>
      <c r="AD299" s="276"/>
      <c r="AE299" s="276"/>
      <c r="AF299" s="287">
        <f>SUM(Z299:AE299)</f>
        <v>0</v>
      </c>
      <c r="AG299" s="283">
        <f t="shared" si="663"/>
        <v>52.332000000000001</v>
      </c>
      <c r="AH299" s="230">
        <f t="shared" ref="AH299:AH312" si="720">K299*$G299</f>
        <v>261222.76614000002</v>
      </c>
      <c r="AI299" s="230">
        <f t="shared" ref="AI299:AI312" si="721">L299*$G299</f>
        <v>261222.76614000002</v>
      </c>
      <c r="AJ299" s="230">
        <f t="shared" ref="AJ299:AJ312" si="722">M299*$G299</f>
        <v>0</v>
      </c>
      <c r="AK299" s="261">
        <f t="shared" si="711"/>
        <v>522445.53228000004</v>
      </c>
      <c r="AL299" s="230">
        <f t="shared" ref="AL299:AL312" si="723">O299*$G299</f>
        <v>0</v>
      </c>
      <c r="AM299" s="230">
        <f t="shared" ref="AM299:AM312" si="724">P299*$G299</f>
        <v>0</v>
      </c>
      <c r="AN299" s="230">
        <f t="shared" ref="AN299:AN312" si="725">Q299*$G299</f>
        <v>0</v>
      </c>
      <c r="AO299" s="261"/>
      <c r="AP299" s="230">
        <f t="shared" ref="AP299:AP312" si="726">S299*$J299</f>
        <v>0</v>
      </c>
      <c r="AQ299" s="230">
        <f t="shared" ref="AQ299:AQ312" si="727">T299*$J299</f>
        <v>0</v>
      </c>
      <c r="AR299" s="230">
        <f t="shared" ref="AR299:AR312" si="728">U299*$J299</f>
        <v>0</v>
      </c>
      <c r="AS299" s="230">
        <f t="shared" ref="AS299:AS312" si="729">V299*$J299</f>
        <v>0</v>
      </c>
      <c r="AT299" s="230">
        <f t="shared" ref="AT299:AT312" si="730">W299*$J299</f>
        <v>0</v>
      </c>
      <c r="AU299" s="230">
        <f t="shared" ref="AU299:AU312" si="731">X299*$J299</f>
        <v>0</v>
      </c>
      <c r="AV299" s="261"/>
      <c r="AW299" s="230">
        <f t="shared" ref="AW299:AW312" si="732">Z299*$J299</f>
        <v>0</v>
      </c>
      <c r="AX299" s="230">
        <f t="shared" ref="AX299:AX312" si="733">AA299*$J299</f>
        <v>0</v>
      </c>
      <c r="AY299" s="230">
        <f t="shared" ref="AY299:AY312" si="734">AB299*$J299</f>
        <v>0</v>
      </c>
      <c r="AZ299" s="230">
        <f t="shared" ref="AZ299:AZ312" si="735">AC299*$J299</f>
        <v>0</v>
      </c>
      <c r="BA299" s="230">
        <f t="shared" ref="BA299:BA312" si="736">AD299*$J299</f>
        <v>0</v>
      </c>
      <c r="BB299" s="230">
        <f t="shared" ref="BB299:BB312" si="737">AE299*$J299</f>
        <v>0</v>
      </c>
      <c r="BC299" s="261">
        <f t="shared" si="698"/>
        <v>0</v>
      </c>
      <c r="BD299" s="239">
        <f t="shared" si="684"/>
        <v>522445.53228000004</v>
      </c>
      <c r="BE299" s="243"/>
      <c r="BF299" s="243"/>
      <c r="BG299" s="243"/>
      <c r="BH299" s="243"/>
      <c r="BI299" s="243"/>
      <c r="BJ299" s="243"/>
      <c r="BK299" s="243"/>
      <c r="BL299" s="243"/>
      <c r="BM299" s="243"/>
      <c r="BN299" s="243"/>
      <c r="BO299" s="243"/>
      <c r="BP299" s="243"/>
      <c r="BQ299" s="243"/>
      <c r="BR299" s="243"/>
      <c r="BS299" s="243"/>
      <c r="BT299" s="243"/>
      <c r="BU299" s="243"/>
      <c r="BV299" s="243"/>
      <c r="BW299" s="243"/>
      <c r="BX299" s="243"/>
      <c r="BY299" s="243"/>
      <c r="BZ299" s="243"/>
      <c r="CA299" s="243"/>
      <c r="CB299" s="243"/>
      <c r="CC299" s="243"/>
      <c r="CD299" s="243"/>
      <c r="CE299" s="243"/>
      <c r="CF299" s="243"/>
      <c r="CG299" s="243"/>
      <c r="CH299" s="243"/>
      <c r="CI299" s="243"/>
      <c r="CJ299" s="243"/>
      <c r="CK299" s="243"/>
      <c r="CL299" s="243"/>
      <c r="CM299" s="243"/>
      <c r="CN299" s="243"/>
      <c r="CO299" s="243"/>
      <c r="CP299" s="243"/>
      <c r="CQ299" s="243"/>
      <c r="CR299" s="243"/>
      <c r="CS299" s="243"/>
      <c r="CT299" s="243"/>
      <c r="CU299" s="243"/>
      <c r="CV299" s="243"/>
      <c r="CW299" s="243"/>
      <c r="CX299" s="243"/>
      <c r="CY299" s="243"/>
      <c r="CZ299" s="243"/>
      <c r="DA299" s="243"/>
      <c r="DB299" s="243"/>
      <c r="DC299" s="243"/>
      <c r="DD299" s="243"/>
      <c r="DE299" s="243"/>
      <c r="DF299" s="243"/>
      <c r="DG299" s="243"/>
      <c r="DH299" s="243"/>
      <c r="DI299" s="243"/>
      <c r="DJ299" s="243"/>
      <c r="DK299" s="243"/>
      <c r="DL299" s="243"/>
      <c r="DM299" s="243"/>
      <c r="DN299" s="243"/>
      <c r="DO299" s="243"/>
      <c r="DP299" s="243"/>
      <c r="DQ299" s="243"/>
      <c r="DR299" s="243"/>
      <c r="DS299" s="243"/>
      <c r="DT299" s="243"/>
      <c r="DU299" s="243"/>
      <c r="DV299" s="243"/>
      <c r="DW299" s="243"/>
      <c r="DX299" s="243"/>
      <c r="DY299" s="243"/>
      <c r="DZ299" s="243"/>
      <c r="EA299" s="243"/>
      <c r="EB299" s="243"/>
      <c r="EC299" s="243"/>
      <c r="ED299" s="243"/>
      <c r="EE299" s="243"/>
      <c r="EF299" s="243"/>
      <c r="EG299" s="243"/>
      <c r="EH299" s="243"/>
      <c r="EI299" s="243"/>
      <c r="EJ299" s="243"/>
      <c r="EK299" s="243"/>
      <c r="EL299" s="243"/>
      <c r="EM299" s="243"/>
      <c r="EN299" s="243"/>
      <c r="EO299" s="243"/>
      <c r="EP299" s="243"/>
      <c r="EQ299" s="243"/>
      <c r="ER299" s="243"/>
      <c r="ES299" s="243"/>
      <c r="ET299" s="243"/>
      <c r="EU299" s="243"/>
      <c r="EV299" s="243"/>
      <c r="EW299" s="243"/>
      <c r="EX299" s="243"/>
      <c r="EY299" s="243"/>
      <c r="EZ299" s="243"/>
      <c r="FA299" s="243"/>
      <c r="FB299" s="243"/>
      <c r="FC299" s="243"/>
      <c r="FD299" s="243"/>
      <c r="FE299" s="243"/>
      <c r="FF299" s="243"/>
      <c r="FG299" s="243"/>
      <c r="FH299" s="243"/>
      <c r="FI299" s="243"/>
      <c r="FJ299" s="243"/>
      <c r="FK299" s="243"/>
      <c r="FL299" s="243"/>
      <c r="FM299" s="243"/>
      <c r="FN299" s="243"/>
      <c r="FO299" s="243"/>
      <c r="FP299" s="243"/>
      <c r="FQ299" s="243"/>
      <c r="FR299" s="243"/>
      <c r="FS299" s="243"/>
      <c r="FT299" s="243"/>
      <c r="FU299" s="243"/>
      <c r="FV299" s="243"/>
      <c r="FW299" s="243"/>
      <c r="FX299" s="243"/>
      <c r="FY299" s="243"/>
      <c r="FZ299" s="243"/>
      <c r="GA299" s="243"/>
      <c r="GB299" s="243"/>
      <c r="GC299" s="243"/>
      <c r="GD299" s="243"/>
      <c r="GE299" s="243"/>
      <c r="GF299" s="243"/>
      <c r="GG299" s="243"/>
      <c r="GH299" s="243"/>
      <c r="GI299" s="243"/>
      <c r="GJ299" s="243"/>
      <c r="GK299" s="243"/>
      <c r="GL299" s="243"/>
      <c r="GM299" s="243"/>
      <c r="GN299" s="243"/>
      <c r="GO299" s="243"/>
      <c r="GP299" s="243"/>
      <c r="GQ299" s="243"/>
      <c r="GR299" s="243"/>
      <c r="GS299" s="243"/>
      <c r="GT299" s="243"/>
    </row>
    <row r="300" spans="1:202" s="79" customFormat="1" ht="11.25" customHeight="1">
      <c r="A300" s="196"/>
      <c r="B300" s="84" t="s">
        <v>565</v>
      </c>
      <c r="C300" s="221"/>
      <c r="D300" s="78"/>
      <c r="E300" s="309">
        <f>3220.6*0+3342.42</f>
        <v>3342.42</v>
      </c>
      <c r="F300" s="309">
        <f>1166.67*0+1271.66</f>
        <v>1271.6600000000001</v>
      </c>
      <c r="G300" s="177">
        <f t="shared" si="689"/>
        <v>2070.7600000000002</v>
      </c>
      <c r="H300" s="82">
        <f>3220.6*0+3342.42</f>
        <v>3342.42</v>
      </c>
      <c r="I300" s="82">
        <f>1166.67*0+1271.66</f>
        <v>1271.6600000000001</v>
      </c>
      <c r="J300" s="210">
        <f>H300-I300</f>
        <v>2070.7600000000002</v>
      </c>
      <c r="K300" s="255">
        <v>156.155</v>
      </c>
      <c r="L300" s="255">
        <v>155.96700000000001</v>
      </c>
      <c r="M300" s="255"/>
      <c r="N300" s="287">
        <f t="shared" si="715"/>
        <v>312.12200000000001</v>
      </c>
      <c r="O300" s="276"/>
      <c r="P300" s="276"/>
      <c r="Q300" s="294"/>
      <c r="R300" s="287"/>
      <c r="S300" s="294"/>
      <c r="T300" s="267"/>
      <c r="U300" s="276"/>
      <c r="V300" s="276"/>
      <c r="W300" s="294"/>
      <c r="X300" s="273"/>
      <c r="Y300" s="142"/>
      <c r="Z300" s="276"/>
      <c r="AA300" s="276"/>
      <c r="AB300" s="276"/>
      <c r="AC300" s="276"/>
      <c r="AD300" s="276"/>
      <c r="AE300" s="276"/>
      <c r="AF300" s="287">
        <f>SUM(Z300:AE300)</f>
        <v>0</v>
      </c>
      <c r="AG300" s="283">
        <f t="shared" si="663"/>
        <v>312.12200000000001</v>
      </c>
      <c r="AH300" s="230">
        <f t="shared" si="720"/>
        <v>323359.52780000004</v>
      </c>
      <c r="AI300" s="230">
        <f t="shared" si="721"/>
        <v>322970.22492000007</v>
      </c>
      <c r="AJ300" s="230">
        <f t="shared" si="722"/>
        <v>0</v>
      </c>
      <c r="AK300" s="261">
        <f t="shared" ref="AK300:AK312" si="738">AH300+AI300+AJ300</f>
        <v>646329.75272000011</v>
      </c>
      <c r="AL300" s="230">
        <f t="shared" si="723"/>
        <v>0</v>
      </c>
      <c r="AM300" s="230">
        <f t="shared" si="724"/>
        <v>0</v>
      </c>
      <c r="AN300" s="230">
        <f t="shared" si="725"/>
        <v>0</v>
      </c>
      <c r="AO300" s="261"/>
      <c r="AP300" s="230">
        <f t="shared" si="726"/>
        <v>0</v>
      </c>
      <c r="AQ300" s="230">
        <f t="shared" si="727"/>
        <v>0</v>
      </c>
      <c r="AR300" s="230">
        <f t="shared" si="728"/>
        <v>0</v>
      </c>
      <c r="AS300" s="230">
        <f t="shared" si="729"/>
        <v>0</v>
      </c>
      <c r="AT300" s="230">
        <f t="shared" si="730"/>
        <v>0</v>
      </c>
      <c r="AU300" s="230">
        <f t="shared" si="731"/>
        <v>0</v>
      </c>
      <c r="AV300" s="261"/>
      <c r="AW300" s="230">
        <f t="shared" si="732"/>
        <v>0</v>
      </c>
      <c r="AX300" s="230">
        <f t="shared" si="733"/>
        <v>0</v>
      </c>
      <c r="AY300" s="230">
        <f t="shared" si="734"/>
        <v>0</v>
      </c>
      <c r="AZ300" s="230">
        <f t="shared" si="735"/>
        <v>0</v>
      </c>
      <c r="BA300" s="230">
        <f t="shared" si="736"/>
        <v>0</v>
      </c>
      <c r="BB300" s="230">
        <f t="shared" si="737"/>
        <v>0</v>
      </c>
      <c r="BC300" s="261">
        <f t="shared" si="698"/>
        <v>0</v>
      </c>
      <c r="BD300" s="239">
        <f t="shared" si="684"/>
        <v>646329.75272000011</v>
      </c>
      <c r="BE300" s="243"/>
      <c r="BF300" s="243"/>
      <c r="BG300" s="243"/>
      <c r="BH300" s="243"/>
      <c r="BI300" s="243"/>
      <c r="BJ300" s="243"/>
      <c r="BK300" s="243"/>
      <c r="BL300" s="243"/>
      <c r="BM300" s="243"/>
      <c r="BN300" s="243"/>
      <c r="BO300" s="243"/>
      <c r="BP300" s="243"/>
      <c r="BQ300" s="243"/>
      <c r="BR300" s="243"/>
      <c r="BS300" s="243"/>
      <c r="BT300" s="243"/>
      <c r="BU300" s="243"/>
      <c r="BV300" s="243"/>
      <c r="BW300" s="243"/>
      <c r="BX300" s="243"/>
      <c r="BY300" s="243"/>
      <c r="BZ300" s="243"/>
      <c r="CA300" s="243"/>
      <c r="CB300" s="243"/>
      <c r="CC300" s="243"/>
      <c r="CD300" s="243"/>
      <c r="CE300" s="243"/>
      <c r="CF300" s="243"/>
      <c r="CG300" s="243"/>
      <c r="CH300" s="243"/>
      <c r="CI300" s="243"/>
      <c r="CJ300" s="243"/>
      <c r="CK300" s="243"/>
      <c r="CL300" s="243"/>
      <c r="CM300" s="243"/>
      <c r="CN300" s="243"/>
      <c r="CO300" s="243"/>
      <c r="CP300" s="243"/>
      <c r="CQ300" s="243"/>
      <c r="CR300" s="243"/>
      <c r="CS300" s="243"/>
      <c r="CT300" s="243"/>
      <c r="CU300" s="243"/>
      <c r="CV300" s="243"/>
      <c r="CW300" s="243"/>
      <c r="CX300" s="243"/>
      <c r="CY300" s="243"/>
      <c r="CZ300" s="243"/>
      <c r="DA300" s="243"/>
      <c r="DB300" s="243"/>
      <c r="DC300" s="243"/>
      <c r="DD300" s="243"/>
      <c r="DE300" s="243"/>
      <c r="DF300" s="243"/>
      <c r="DG300" s="243"/>
      <c r="DH300" s="243"/>
      <c r="DI300" s="243"/>
      <c r="DJ300" s="243"/>
      <c r="DK300" s="243"/>
      <c r="DL300" s="243"/>
      <c r="DM300" s="243"/>
      <c r="DN300" s="243"/>
      <c r="DO300" s="243"/>
      <c r="DP300" s="243"/>
      <c r="DQ300" s="243"/>
      <c r="DR300" s="243"/>
      <c r="DS300" s="243"/>
      <c r="DT300" s="243"/>
      <c r="DU300" s="243"/>
      <c r="DV300" s="243"/>
      <c r="DW300" s="243"/>
      <c r="DX300" s="243"/>
      <c r="DY300" s="243"/>
      <c r="DZ300" s="243"/>
      <c r="EA300" s="243"/>
      <c r="EB300" s="243"/>
      <c r="EC300" s="243"/>
      <c r="ED300" s="243"/>
      <c r="EE300" s="243"/>
      <c r="EF300" s="243"/>
      <c r="EG300" s="243"/>
      <c r="EH300" s="243"/>
      <c r="EI300" s="243"/>
      <c r="EJ300" s="243"/>
      <c r="EK300" s="243"/>
      <c r="EL300" s="243"/>
      <c r="EM300" s="243"/>
      <c r="EN300" s="243"/>
      <c r="EO300" s="243"/>
      <c r="EP300" s="243"/>
      <c r="EQ300" s="243"/>
      <c r="ER300" s="243"/>
      <c r="ES300" s="243"/>
      <c r="ET300" s="243"/>
      <c r="EU300" s="243"/>
      <c r="EV300" s="243"/>
      <c r="EW300" s="243"/>
      <c r="EX300" s="243"/>
      <c r="EY300" s="243"/>
      <c r="EZ300" s="243"/>
      <c r="FA300" s="243"/>
      <c r="FB300" s="243"/>
      <c r="FC300" s="243"/>
      <c r="FD300" s="243"/>
      <c r="FE300" s="243"/>
      <c r="FF300" s="243"/>
      <c r="FG300" s="243"/>
      <c r="FH300" s="243"/>
      <c r="FI300" s="243"/>
      <c r="FJ300" s="243"/>
      <c r="FK300" s="243"/>
      <c r="FL300" s="243"/>
      <c r="FM300" s="243"/>
      <c r="FN300" s="243"/>
      <c r="FO300" s="243"/>
      <c r="FP300" s="243"/>
      <c r="FQ300" s="243"/>
      <c r="FR300" s="243"/>
      <c r="FS300" s="243"/>
      <c r="FT300" s="243"/>
      <c r="FU300" s="243"/>
      <c r="FV300" s="243"/>
      <c r="FW300" s="243"/>
      <c r="FX300" s="243"/>
      <c r="FY300" s="243"/>
      <c r="FZ300" s="243"/>
      <c r="GA300" s="243"/>
      <c r="GB300" s="243"/>
      <c r="GC300" s="243"/>
      <c r="GD300" s="243"/>
      <c r="GE300" s="243"/>
      <c r="GF300" s="243"/>
      <c r="GG300" s="243"/>
      <c r="GH300" s="243"/>
      <c r="GI300" s="243"/>
      <c r="GJ300" s="243"/>
      <c r="GK300" s="243"/>
      <c r="GL300" s="243"/>
      <c r="GM300" s="243"/>
      <c r="GN300" s="243"/>
      <c r="GO300" s="243"/>
      <c r="GP300" s="243"/>
      <c r="GQ300" s="243"/>
      <c r="GR300" s="243"/>
      <c r="GS300" s="243"/>
      <c r="GT300" s="243"/>
    </row>
    <row r="301" spans="1:202" s="79" customFormat="1" ht="11.25" customHeight="1">
      <c r="A301" s="196"/>
      <c r="B301" s="84" t="s">
        <v>411</v>
      </c>
      <c r="C301" s="221"/>
      <c r="D301" s="78"/>
      <c r="E301" s="309">
        <v>4767.68</v>
      </c>
      <c r="F301" s="82">
        <v>1689.17</v>
      </c>
      <c r="G301" s="177">
        <f>E301-F301</f>
        <v>3078.51</v>
      </c>
      <c r="H301" s="82">
        <v>4767.68</v>
      </c>
      <c r="I301" s="82">
        <v>1689.17</v>
      </c>
      <c r="J301" s="210">
        <f>H301-I301</f>
        <v>3078.51</v>
      </c>
      <c r="K301" s="255">
        <v>32.707000000000001</v>
      </c>
      <c r="L301" s="255">
        <v>32.707000000000001</v>
      </c>
      <c r="M301" s="255"/>
      <c r="N301" s="287">
        <f t="shared" si="715"/>
        <v>65.414000000000001</v>
      </c>
      <c r="O301" s="276"/>
      <c r="P301" s="276"/>
      <c r="Q301" s="294"/>
      <c r="R301" s="287"/>
      <c r="S301" s="294"/>
      <c r="T301" s="267"/>
      <c r="U301" s="276"/>
      <c r="V301" s="276"/>
      <c r="W301" s="294"/>
      <c r="X301" s="273"/>
      <c r="Y301" s="142"/>
      <c r="Z301" s="276"/>
      <c r="AA301" s="276"/>
      <c r="AB301" s="276"/>
      <c r="AC301" s="276"/>
      <c r="AD301" s="276"/>
      <c r="AE301" s="276"/>
      <c r="AF301" s="287">
        <f>SUM(Z301:AE301)</f>
        <v>0</v>
      </c>
      <c r="AG301" s="283">
        <f t="shared" si="663"/>
        <v>65.414000000000001</v>
      </c>
      <c r="AH301" s="230">
        <f t="shared" si="720"/>
        <v>100688.82657</v>
      </c>
      <c r="AI301" s="230">
        <f t="shared" si="721"/>
        <v>100688.82657</v>
      </c>
      <c r="AJ301" s="230">
        <f t="shared" si="722"/>
        <v>0</v>
      </c>
      <c r="AK301" s="261">
        <f t="shared" si="738"/>
        <v>201377.65314000001</v>
      </c>
      <c r="AL301" s="230">
        <f t="shared" si="723"/>
        <v>0</v>
      </c>
      <c r="AM301" s="230">
        <f t="shared" si="724"/>
        <v>0</v>
      </c>
      <c r="AN301" s="230">
        <f t="shared" si="725"/>
        <v>0</v>
      </c>
      <c r="AO301" s="261"/>
      <c r="AP301" s="230">
        <f t="shared" si="726"/>
        <v>0</v>
      </c>
      <c r="AQ301" s="230">
        <f t="shared" si="727"/>
        <v>0</v>
      </c>
      <c r="AR301" s="230">
        <f t="shared" si="728"/>
        <v>0</v>
      </c>
      <c r="AS301" s="230">
        <f t="shared" si="729"/>
        <v>0</v>
      </c>
      <c r="AT301" s="230">
        <f t="shared" si="730"/>
        <v>0</v>
      </c>
      <c r="AU301" s="230">
        <f t="shared" si="731"/>
        <v>0</v>
      </c>
      <c r="AV301" s="261"/>
      <c r="AW301" s="230">
        <f t="shared" si="732"/>
        <v>0</v>
      </c>
      <c r="AX301" s="230">
        <f t="shared" si="733"/>
        <v>0</v>
      </c>
      <c r="AY301" s="230">
        <f t="shared" si="734"/>
        <v>0</v>
      </c>
      <c r="AZ301" s="230">
        <f t="shared" si="735"/>
        <v>0</v>
      </c>
      <c r="BA301" s="230">
        <f t="shared" si="736"/>
        <v>0</v>
      </c>
      <c r="BB301" s="230">
        <f t="shared" si="737"/>
        <v>0</v>
      </c>
      <c r="BC301" s="261">
        <f t="shared" si="698"/>
        <v>0</v>
      </c>
      <c r="BD301" s="239">
        <f t="shared" si="684"/>
        <v>201377.65314000001</v>
      </c>
      <c r="BE301" s="243"/>
      <c r="BF301" s="243"/>
      <c r="BG301" s="243"/>
      <c r="BH301" s="243"/>
      <c r="BI301" s="243"/>
      <c r="BJ301" s="243"/>
      <c r="BK301" s="243"/>
      <c r="BL301" s="243"/>
      <c r="BM301" s="243"/>
      <c r="BN301" s="243"/>
      <c r="BO301" s="243"/>
      <c r="BP301" s="243"/>
      <c r="BQ301" s="243"/>
      <c r="BR301" s="243"/>
      <c r="BS301" s="243"/>
      <c r="BT301" s="243"/>
      <c r="BU301" s="243"/>
      <c r="BV301" s="243"/>
      <c r="BW301" s="243"/>
      <c r="BX301" s="243"/>
      <c r="BY301" s="243"/>
      <c r="BZ301" s="243"/>
      <c r="CA301" s="243"/>
      <c r="CB301" s="243"/>
      <c r="CC301" s="243"/>
      <c r="CD301" s="243"/>
      <c r="CE301" s="243"/>
      <c r="CF301" s="243"/>
      <c r="CG301" s="243"/>
      <c r="CH301" s="243"/>
      <c r="CI301" s="243"/>
      <c r="CJ301" s="243"/>
      <c r="CK301" s="243"/>
      <c r="CL301" s="243"/>
      <c r="CM301" s="243"/>
      <c r="CN301" s="243"/>
      <c r="CO301" s="243"/>
      <c r="CP301" s="243"/>
      <c r="CQ301" s="243"/>
      <c r="CR301" s="243"/>
      <c r="CS301" s="243"/>
      <c r="CT301" s="243"/>
      <c r="CU301" s="243"/>
      <c r="CV301" s="243"/>
      <c r="CW301" s="243"/>
      <c r="CX301" s="243"/>
      <c r="CY301" s="243"/>
      <c r="CZ301" s="243"/>
      <c r="DA301" s="243"/>
      <c r="DB301" s="243"/>
      <c r="DC301" s="243"/>
      <c r="DD301" s="243"/>
      <c r="DE301" s="243"/>
      <c r="DF301" s="243"/>
      <c r="DG301" s="243"/>
      <c r="DH301" s="243"/>
      <c r="DI301" s="243"/>
      <c r="DJ301" s="243"/>
      <c r="DK301" s="243"/>
      <c r="DL301" s="243"/>
      <c r="DM301" s="243"/>
      <c r="DN301" s="243"/>
      <c r="DO301" s="243"/>
      <c r="DP301" s="243"/>
      <c r="DQ301" s="243"/>
      <c r="DR301" s="243"/>
      <c r="DS301" s="243"/>
      <c r="DT301" s="243"/>
      <c r="DU301" s="243"/>
      <c r="DV301" s="243"/>
      <c r="DW301" s="243"/>
      <c r="DX301" s="243"/>
      <c r="DY301" s="243"/>
      <c r="DZ301" s="243"/>
      <c r="EA301" s="243"/>
      <c r="EB301" s="243"/>
      <c r="EC301" s="243"/>
      <c r="ED301" s="243"/>
      <c r="EE301" s="243"/>
      <c r="EF301" s="243"/>
      <c r="EG301" s="243"/>
      <c r="EH301" s="243"/>
      <c r="EI301" s="243"/>
      <c r="EJ301" s="243"/>
      <c r="EK301" s="243"/>
      <c r="EL301" s="243"/>
      <c r="EM301" s="243"/>
      <c r="EN301" s="243"/>
      <c r="EO301" s="243"/>
      <c r="EP301" s="243"/>
      <c r="EQ301" s="243"/>
      <c r="ER301" s="243"/>
      <c r="ES301" s="243"/>
      <c r="ET301" s="243"/>
      <c r="EU301" s="243"/>
      <c r="EV301" s="243"/>
      <c r="EW301" s="243"/>
      <c r="EX301" s="243"/>
      <c r="EY301" s="243"/>
      <c r="EZ301" s="243"/>
      <c r="FA301" s="243"/>
      <c r="FB301" s="243"/>
      <c r="FC301" s="243"/>
      <c r="FD301" s="243"/>
      <c r="FE301" s="243"/>
      <c r="FF301" s="243"/>
      <c r="FG301" s="243"/>
      <c r="FH301" s="243"/>
      <c r="FI301" s="243"/>
      <c r="FJ301" s="243"/>
      <c r="FK301" s="243"/>
      <c r="FL301" s="243"/>
      <c r="FM301" s="243"/>
      <c r="FN301" s="243"/>
      <c r="FO301" s="243"/>
      <c r="FP301" s="243"/>
      <c r="FQ301" s="243"/>
      <c r="FR301" s="243"/>
      <c r="FS301" s="243"/>
      <c r="FT301" s="243"/>
      <c r="FU301" s="243"/>
      <c r="FV301" s="243"/>
      <c r="FW301" s="243"/>
      <c r="FX301" s="243"/>
      <c r="FY301" s="243"/>
      <c r="FZ301" s="243"/>
      <c r="GA301" s="243"/>
      <c r="GB301" s="243"/>
      <c r="GC301" s="243"/>
      <c r="GD301" s="243"/>
      <c r="GE301" s="243"/>
      <c r="GF301" s="243"/>
      <c r="GG301" s="243"/>
      <c r="GH301" s="243"/>
      <c r="GI301" s="243"/>
      <c r="GJ301" s="243"/>
      <c r="GK301" s="243"/>
      <c r="GL301" s="243"/>
      <c r="GM301" s="243"/>
      <c r="GN301" s="243"/>
      <c r="GO301" s="243"/>
      <c r="GP301" s="243"/>
      <c r="GQ301" s="243"/>
      <c r="GR301" s="243"/>
      <c r="GS301" s="243"/>
      <c r="GT301" s="243"/>
    </row>
    <row r="302" spans="1:202" s="79" customFormat="1" ht="11.25" customHeight="1">
      <c r="A302" s="196"/>
      <c r="B302" s="84" t="s">
        <v>409</v>
      </c>
      <c r="C302" s="221"/>
      <c r="D302" s="78"/>
      <c r="E302" s="82">
        <v>3697.5</v>
      </c>
      <c r="F302" s="82">
        <v>1689.17</v>
      </c>
      <c r="G302" s="177">
        <f t="shared" si="689"/>
        <v>2008.33</v>
      </c>
      <c r="H302" s="82">
        <v>3697.5</v>
      </c>
      <c r="I302" s="82">
        <v>1689.17</v>
      </c>
      <c r="J302" s="210">
        <f t="shared" ref="J302:J312" si="739">H302-I302</f>
        <v>2008.33</v>
      </c>
      <c r="K302" s="255">
        <v>269.15899999999999</v>
      </c>
      <c r="L302" s="255">
        <v>271.31400000000002</v>
      </c>
      <c r="M302" s="255"/>
      <c r="N302" s="287">
        <f t="shared" si="715"/>
        <v>540.47299999999996</v>
      </c>
      <c r="O302" s="276"/>
      <c r="P302" s="276"/>
      <c r="Q302" s="294"/>
      <c r="R302" s="287"/>
      <c r="S302" s="294"/>
      <c r="T302" s="267"/>
      <c r="U302" s="276"/>
      <c r="V302" s="276"/>
      <c r="W302" s="294"/>
      <c r="X302" s="273"/>
      <c r="Y302" s="142"/>
      <c r="Z302" s="276"/>
      <c r="AA302" s="276"/>
      <c r="AB302" s="276"/>
      <c r="AC302" s="276"/>
      <c r="AD302" s="276"/>
      <c r="AE302" s="276"/>
      <c r="AF302" s="287">
        <f t="shared" ref="AF302:AF312" si="740">SUM(Z302:AE302)</f>
        <v>0</v>
      </c>
      <c r="AG302" s="283">
        <f t="shared" si="663"/>
        <v>540.47299999999996</v>
      </c>
      <c r="AH302" s="230">
        <f t="shared" si="720"/>
        <v>540560.09447000001</v>
      </c>
      <c r="AI302" s="230">
        <f t="shared" si="721"/>
        <v>544888.04561999999</v>
      </c>
      <c r="AJ302" s="230">
        <f t="shared" si="722"/>
        <v>0</v>
      </c>
      <c r="AK302" s="261">
        <f t="shared" si="738"/>
        <v>1085448.1400899999</v>
      </c>
      <c r="AL302" s="230">
        <f t="shared" si="723"/>
        <v>0</v>
      </c>
      <c r="AM302" s="230">
        <f t="shared" si="724"/>
        <v>0</v>
      </c>
      <c r="AN302" s="230">
        <f t="shared" si="725"/>
        <v>0</v>
      </c>
      <c r="AO302" s="261"/>
      <c r="AP302" s="230">
        <f t="shared" si="726"/>
        <v>0</v>
      </c>
      <c r="AQ302" s="230">
        <f t="shared" si="727"/>
        <v>0</v>
      </c>
      <c r="AR302" s="230">
        <f t="shared" si="728"/>
        <v>0</v>
      </c>
      <c r="AS302" s="230">
        <f t="shared" si="729"/>
        <v>0</v>
      </c>
      <c r="AT302" s="230">
        <f t="shared" si="730"/>
        <v>0</v>
      </c>
      <c r="AU302" s="230">
        <f t="shared" si="731"/>
        <v>0</v>
      </c>
      <c r="AV302" s="261"/>
      <c r="AW302" s="230">
        <f t="shared" si="732"/>
        <v>0</v>
      </c>
      <c r="AX302" s="230">
        <f t="shared" si="733"/>
        <v>0</v>
      </c>
      <c r="AY302" s="230">
        <f t="shared" si="734"/>
        <v>0</v>
      </c>
      <c r="AZ302" s="230">
        <f t="shared" si="735"/>
        <v>0</v>
      </c>
      <c r="BA302" s="230">
        <f t="shared" si="736"/>
        <v>0</v>
      </c>
      <c r="BB302" s="230">
        <f t="shared" si="737"/>
        <v>0</v>
      </c>
      <c r="BC302" s="261">
        <f t="shared" ref="BC302:BC312" si="741">SUM(AW302:BB302)</f>
        <v>0</v>
      </c>
      <c r="BD302" s="239">
        <f t="shared" si="684"/>
        <v>1085448.1400899999</v>
      </c>
      <c r="BE302" s="243"/>
      <c r="BF302" s="243"/>
      <c r="BG302" s="243"/>
      <c r="BH302" s="243"/>
      <c r="BI302" s="243"/>
      <c r="BJ302" s="243"/>
      <c r="BK302" s="243"/>
      <c r="BL302" s="243"/>
      <c r="BM302" s="243"/>
      <c r="BN302" s="243"/>
      <c r="BO302" s="243"/>
      <c r="BP302" s="243"/>
      <c r="BQ302" s="243"/>
      <c r="BR302" s="243"/>
      <c r="BS302" s="243"/>
      <c r="BT302" s="243"/>
      <c r="BU302" s="243"/>
      <c r="BV302" s="243"/>
      <c r="BW302" s="243"/>
      <c r="BX302" s="243"/>
      <c r="BY302" s="243"/>
      <c r="BZ302" s="243"/>
      <c r="CA302" s="243"/>
      <c r="CB302" s="243"/>
      <c r="CC302" s="243"/>
      <c r="CD302" s="243"/>
      <c r="CE302" s="243"/>
      <c r="CF302" s="243"/>
      <c r="CG302" s="243"/>
      <c r="CH302" s="243"/>
      <c r="CI302" s="243"/>
      <c r="CJ302" s="243"/>
      <c r="CK302" s="243"/>
      <c r="CL302" s="243"/>
      <c r="CM302" s="243"/>
      <c r="CN302" s="243"/>
      <c r="CO302" s="243"/>
      <c r="CP302" s="243"/>
      <c r="CQ302" s="243"/>
      <c r="CR302" s="243"/>
      <c r="CS302" s="243"/>
      <c r="CT302" s="243"/>
      <c r="CU302" s="243"/>
      <c r="CV302" s="243"/>
      <c r="CW302" s="243"/>
      <c r="CX302" s="243"/>
      <c r="CY302" s="243"/>
      <c r="CZ302" s="243"/>
      <c r="DA302" s="243"/>
      <c r="DB302" s="243"/>
      <c r="DC302" s="243"/>
      <c r="DD302" s="243"/>
      <c r="DE302" s="243"/>
      <c r="DF302" s="243"/>
      <c r="DG302" s="243"/>
      <c r="DH302" s="243"/>
      <c r="DI302" s="243"/>
      <c r="DJ302" s="243"/>
      <c r="DK302" s="243"/>
      <c r="DL302" s="243"/>
      <c r="DM302" s="243"/>
      <c r="DN302" s="243"/>
      <c r="DO302" s="243"/>
      <c r="DP302" s="243"/>
      <c r="DQ302" s="243"/>
      <c r="DR302" s="243"/>
      <c r="DS302" s="243"/>
      <c r="DT302" s="243"/>
      <c r="DU302" s="243"/>
      <c r="DV302" s="243"/>
      <c r="DW302" s="243"/>
      <c r="DX302" s="243"/>
      <c r="DY302" s="243"/>
      <c r="DZ302" s="243"/>
      <c r="EA302" s="243"/>
      <c r="EB302" s="243"/>
      <c r="EC302" s="243"/>
      <c r="ED302" s="243"/>
      <c r="EE302" s="243"/>
      <c r="EF302" s="243"/>
      <c r="EG302" s="243"/>
      <c r="EH302" s="243"/>
      <c r="EI302" s="243"/>
      <c r="EJ302" s="243"/>
      <c r="EK302" s="243"/>
      <c r="EL302" s="243"/>
      <c r="EM302" s="243"/>
      <c r="EN302" s="243"/>
      <c r="EO302" s="243"/>
      <c r="EP302" s="243"/>
      <c r="EQ302" s="243"/>
      <c r="ER302" s="243"/>
      <c r="ES302" s="243"/>
      <c r="ET302" s="243"/>
      <c r="EU302" s="243"/>
      <c r="EV302" s="243"/>
      <c r="EW302" s="243"/>
      <c r="EX302" s="243"/>
      <c r="EY302" s="243"/>
      <c r="EZ302" s="243"/>
      <c r="FA302" s="243"/>
      <c r="FB302" s="243"/>
      <c r="FC302" s="243"/>
      <c r="FD302" s="243"/>
      <c r="FE302" s="243"/>
      <c r="FF302" s="243"/>
      <c r="FG302" s="243"/>
      <c r="FH302" s="243"/>
      <c r="FI302" s="243"/>
      <c r="FJ302" s="243"/>
      <c r="FK302" s="243"/>
      <c r="FL302" s="243"/>
      <c r="FM302" s="243"/>
      <c r="FN302" s="243"/>
      <c r="FO302" s="243"/>
      <c r="FP302" s="243"/>
      <c r="FQ302" s="243"/>
      <c r="FR302" s="243"/>
      <c r="FS302" s="243"/>
      <c r="FT302" s="243"/>
      <c r="FU302" s="243"/>
      <c r="FV302" s="243"/>
      <c r="FW302" s="243"/>
      <c r="FX302" s="243"/>
      <c r="FY302" s="243"/>
      <c r="FZ302" s="243"/>
      <c r="GA302" s="243"/>
      <c r="GB302" s="243"/>
      <c r="GC302" s="243"/>
      <c r="GD302" s="243"/>
      <c r="GE302" s="243"/>
      <c r="GF302" s="243"/>
      <c r="GG302" s="243"/>
      <c r="GH302" s="243"/>
      <c r="GI302" s="243"/>
      <c r="GJ302" s="243"/>
      <c r="GK302" s="243"/>
      <c r="GL302" s="243"/>
      <c r="GM302" s="243"/>
      <c r="GN302" s="243"/>
      <c r="GO302" s="243"/>
      <c r="GP302" s="243"/>
      <c r="GQ302" s="243"/>
      <c r="GR302" s="243"/>
      <c r="GS302" s="243"/>
      <c r="GT302" s="243"/>
    </row>
    <row r="303" spans="1:202" s="79" customFormat="1" ht="11.25" customHeight="1">
      <c r="A303" s="196"/>
      <c r="B303" s="84" t="s">
        <v>410</v>
      </c>
      <c r="C303" s="221"/>
      <c r="D303" s="78"/>
      <c r="E303" s="82">
        <v>3697.5</v>
      </c>
      <c r="F303" s="82">
        <v>1492.5</v>
      </c>
      <c r="G303" s="177">
        <f t="shared" si="689"/>
        <v>2205</v>
      </c>
      <c r="H303" s="82">
        <v>3697.5</v>
      </c>
      <c r="I303" s="82">
        <v>1492.5</v>
      </c>
      <c r="J303" s="210">
        <f t="shared" si="739"/>
        <v>2205</v>
      </c>
      <c r="K303" s="255">
        <v>25.015000000000001</v>
      </c>
      <c r="L303" s="255">
        <v>25.015000000000001</v>
      </c>
      <c r="M303" s="255"/>
      <c r="N303" s="287">
        <f t="shared" si="715"/>
        <v>50.03</v>
      </c>
      <c r="O303" s="276"/>
      <c r="P303" s="276"/>
      <c r="Q303" s="294"/>
      <c r="R303" s="287"/>
      <c r="S303" s="294"/>
      <c r="T303" s="267"/>
      <c r="U303" s="276"/>
      <c r="V303" s="276"/>
      <c r="W303" s="294"/>
      <c r="X303" s="273"/>
      <c r="Y303" s="142"/>
      <c r="Z303" s="276"/>
      <c r="AA303" s="276"/>
      <c r="AB303" s="276"/>
      <c r="AC303" s="276"/>
      <c r="AD303" s="276"/>
      <c r="AE303" s="276"/>
      <c r="AF303" s="287">
        <f t="shared" si="740"/>
        <v>0</v>
      </c>
      <c r="AG303" s="283">
        <f t="shared" si="663"/>
        <v>50.03</v>
      </c>
      <c r="AH303" s="230">
        <f t="shared" si="720"/>
        <v>55158.075000000004</v>
      </c>
      <c r="AI303" s="230">
        <f t="shared" si="721"/>
        <v>55158.075000000004</v>
      </c>
      <c r="AJ303" s="230">
        <f t="shared" si="722"/>
        <v>0</v>
      </c>
      <c r="AK303" s="261">
        <f t="shared" si="738"/>
        <v>110316.15000000001</v>
      </c>
      <c r="AL303" s="230">
        <f t="shared" si="723"/>
        <v>0</v>
      </c>
      <c r="AM303" s="230">
        <f t="shared" si="724"/>
        <v>0</v>
      </c>
      <c r="AN303" s="230">
        <f t="shared" si="725"/>
        <v>0</v>
      </c>
      <c r="AO303" s="261"/>
      <c r="AP303" s="230">
        <f t="shared" si="726"/>
        <v>0</v>
      </c>
      <c r="AQ303" s="230">
        <f t="shared" si="727"/>
        <v>0</v>
      </c>
      <c r="AR303" s="230">
        <f t="shared" si="728"/>
        <v>0</v>
      </c>
      <c r="AS303" s="230">
        <f t="shared" si="729"/>
        <v>0</v>
      </c>
      <c r="AT303" s="230">
        <f t="shared" si="730"/>
        <v>0</v>
      </c>
      <c r="AU303" s="230">
        <f t="shared" si="731"/>
        <v>0</v>
      </c>
      <c r="AV303" s="261"/>
      <c r="AW303" s="230">
        <f t="shared" si="732"/>
        <v>0</v>
      </c>
      <c r="AX303" s="230">
        <f t="shared" si="733"/>
        <v>0</v>
      </c>
      <c r="AY303" s="230">
        <f t="shared" si="734"/>
        <v>0</v>
      </c>
      <c r="AZ303" s="230">
        <f t="shared" si="735"/>
        <v>0</v>
      </c>
      <c r="BA303" s="230">
        <f t="shared" si="736"/>
        <v>0</v>
      </c>
      <c r="BB303" s="230">
        <f t="shared" si="737"/>
        <v>0</v>
      </c>
      <c r="BC303" s="261">
        <f t="shared" si="741"/>
        <v>0</v>
      </c>
      <c r="BD303" s="239">
        <f t="shared" si="684"/>
        <v>110316.15000000001</v>
      </c>
      <c r="BE303" s="243"/>
      <c r="BF303" s="243"/>
      <c r="BG303" s="243"/>
      <c r="BH303" s="243"/>
      <c r="BI303" s="243"/>
      <c r="BJ303" s="243"/>
      <c r="BK303" s="243"/>
      <c r="BL303" s="243"/>
      <c r="BM303" s="243"/>
      <c r="BN303" s="243"/>
      <c r="BO303" s="243"/>
      <c r="BP303" s="243"/>
      <c r="BQ303" s="243"/>
      <c r="BR303" s="243"/>
      <c r="BS303" s="243"/>
      <c r="BT303" s="243"/>
      <c r="BU303" s="243"/>
      <c r="BV303" s="243"/>
      <c r="BW303" s="243"/>
      <c r="BX303" s="243"/>
      <c r="BY303" s="243"/>
      <c r="BZ303" s="243"/>
      <c r="CA303" s="243"/>
      <c r="CB303" s="243"/>
      <c r="CC303" s="243"/>
      <c r="CD303" s="243"/>
      <c r="CE303" s="243"/>
      <c r="CF303" s="243"/>
      <c r="CG303" s="243"/>
      <c r="CH303" s="243"/>
      <c r="CI303" s="243"/>
      <c r="CJ303" s="243"/>
      <c r="CK303" s="243"/>
      <c r="CL303" s="243"/>
      <c r="CM303" s="243"/>
      <c r="CN303" s="243"/>
      <c r="CO303" s="243"/>
      <c r="CP303" s="243"/>
      <c r="CQ303" s="243"/>
      <c r="CR303" s="243"/>
      <c r="CS303" s="243"/>
      <c r="CT303" s="243"/>
      <c r="CU303" s="243"/>
      <c r="CV303" s="243"/>
      <c r="CW303" s="243"/>
      <c r="CX303" s="243"/>
      <c r="CY303" s="243"/>
      <c r="CZ303" s="243"/>
      <c r="DA303" s="243"/>
      <c r="DB303" s="243"/>
      <c r="DC303" s="243"/>
      <c r="DD303" s="243"/>
      <c r="DE303" s="243"/>
      <c r="DF303" s="243"/>
      <c r="DG303" s="243"/>
      <c r="DH303" s="243"/>
      <c r="DI303" s="243"/>
      <c r="DJ303" s="243"/>
      <c r="DK303" s="243"/>
      <c r="DL303" s="243"/>
      <c r="DM303" s="243"/>
      <c r="DN303" s="243"/>
      <c r="DO303" s="243"/>
      <c r="DP303" s="243"/>
      <c r="DQ303" s="243"/>
      <c r="DR303" s="243"/>
      <c r="DS303" s="243"/>
      <c r="DT303" s="243"/>
      <c r="DU303" s="243"/>
      <c r="DV303" s="243"/>
      <c r="DW303" s="243"/>
      <c r="DX303" s="243"/>
      <c r="DY303" s="243"/>
      <c r="DZ303" s="243"/>
      <c r="EA303" s="243"/>
      <c r="EB303" s="243"/>
      <c r="EC303" s="243"/>
      <c r="ED303" s="243"/>
      <c r="EE303" s="243"/>
      <c r="EF303" s="243"/>
      <c r="EG303" s="243"/>
      <c r="EH303" s="243"/>
      <c r="EI303" s="243"/>
      <c r="EJ303" s="243"/>
      <c r="EK303" s="243"/>
      <c r="EL303" s="243"/>
      <c r="EM303" s="243"/>
      <c r="EN303" s="243"/>
      <c r="EO303" s="243"/>
      <c r="EP303" s="243"/>
      <c r="EQ303" s="243"/>
      <c r="ER303" s="243"/>
      <c r="ES303" s="243"/>
      <c r="ET303" s="243"/>
      <c r="EU303" s="243"/>
      <c r="EV303" s="243"/>
      <c r="EW303" s="243"/>
      <c r="EX303" s="243"/>
      <c r="EY303" s="243"/>
      <c r="EZ303" s="243"/>
      <c r="FA303" s="243"/>
      <c r="FB303" s="243"/>
      <c r="FC303" s="243"/>
      <c r="FD303" s="243"/>
      <c r="FE303" s="243"/>
      <c r="FF303" s="243"/>
      <c r="FG303" s="243"/>
      <c r="FH303" s="243"/>
      <c r="FI303" s="243"/>
      <c r="FJ303" s="243"/>
      <c r="FK303" s="243"/>
      <c r="FL303" s="243"/>
      <c r="FM303" s="243"/>
      <c r="FN303" s="243"/>
      <c r="FO303" s="243"/>
      <c r="FP303" s="243"/>
      <c r="FQ303" s="243"/>
      <c r="FR303" s="243"/>
      <c r="FS303" s="243"/>
      <c r="FT303" s="243"/>
      <c r="FU303" s="243"/>
      <c r="FV303" s="243"/>
      <c r="FW303" s="243"/>
      <c r="FX303" s="243"/>
      <c r="FY303" s="243"/>
      <c r="FZ303" s="243"/>
      <c r="GA303" s="243"/>
      <c r="GB303" s="243"/>
      <c r="GC303" s="243"/>
      <c r="GD303" s="243"/>
      <c r="GE303" s="243"/>
      <c r="GF303" s="243"/>
      <c r="GG303" s="243"/>
      <c r="GH303" s="243"/>
      <c r="GI303" s="243"/>
      <c r="GJ303" s="243"/>
      <c r="GK303" s="243"/>
      <c r="GL303" s="243"/>
      <c r="GM303" s="243"/>
      <c r="GN303" s="243"/>
      <c r="GO303" s="243"/>
      <c r="GP303" s="243"/>
      <c r="GQ303" s="243"/>
      <c r="GR303" s="243"/>
      <c r="GS303" s="243"/>
      <c r="GT303" s="243"/>
    </row>
    <row r="304" spans="1:202" s="79" customFormat="1" ht="11.25" customHeight="1">
      <c r="A304" s="196"/>
      <c r="B304" s="84" t="s">
        <v>262</v>
      </c>
      <c r="C304" s="221"/>
      <c r="D304" s="78"/>
      <c r="E304" s="82">
        <v>3697.5</v>
      </c>
      <c r="F304" s="82">
        <v>1373.33</v>
      </c>
      <c r="G304" s="177">
        <f t="shared" si="689"/>
        <v>2324.17</v>
      </c>
      <c r="H304" s="82">
        <v>3697.5</v>
      </c>
      <c r="I304" s="82">
        <v>1373.33</v>
      </c>
      <c r="J304" s="210">
        <f t="shared" si="739"/>
        <v>2324.17</v>
      </c>
      <c r="K304" s="255">
        <v>66.225999999999999</v>
      </c>
      <c r="L304" s="255">
        <v>56.268999999999998</v>
      </c>
      <c r="M304" s="255"/>
      <c r="N304" s="287">
        <f t="shared" si="715"/>
        <v>122.495</v>
      </c>
      <c r="O304" s="276"/>
      <c r="P304" s="276"/>
      <c r="Q304" s="294"/>
      <c r="R304" s="287"/>
      <c r="S304" s="294"/>
      <c r="T304" s="267"/>
      <c r="U304" s="276"/>
      <c r="V304" s="276"/>
      <c r="W304" s="294"/>
      <c r="X304" s="273"/>
      <c r="Y304" s="142"/>
      <c r="Z304" s="276"/>
      <c r="AA304" s="276"/>
      <c r="AB304" s="276"/>
      <c r="AC304" s="276"/>
      <c r="AD304" s="276"/>
      <c r="AE304" s="276"/>
      <c r="AF304" s="287">
        <f t="shared" si="740"/>
        <v>0</v>
      </c>
      <c r="AG304" s="283">
        <f t="shared" si="663"/>
        <v>122.495</v>
      </c>
      <c r="AH304" s="230">
        <f t="shared" si="720"/>
        <v>153920.48242000001</v>
      </c>
      <c r="AI304" s="230">
        <f t="shared" si="721"/>
        <v>130778.72173</v>
      </c>
      <c r="AJ304" s="230">
        <f t="shared" si="722"/>
        <v>0</v>
      </c>
      <c r="AK304" s="261">
        <f t="shared" si="738"/>
        <v>284699.20415000001</v>
      </c>
      <c r="AL304" s="230">
        <f t="shared" si="723"/>
        <v>0</v>
      </c>
      <c r="AM304" s="230">
        <f t="shared" si="724"/>
        <v>0</v>
      </c>
      <c r="AN304" s="230">
        <f t="shared" si="725"/>
        <v>0</v>
      </c>
      <c r="AO304" s="261"/>
      <c r="AP304" s="230">
        <f t="shared" si="726"/>
        <v>0</v>
      </c>
      <c r="AQ304" s="230">
        <f t="shared" si="727"/>
        <v>0</v>
      </c>
      <c r="AR304" s="230">
        <f t="shared" si="728"/>
        <v>0</v>
      </c>
      <c r="AS304" s="230">
        <f t="shared" si="729"/>
        <v>0</v>
      </c>
      <c r="AT304" s="230">
        <f t="shared" si="730"/>
        <v>0</v>
      </c>
      <c r="AU304" s="230">
        <f t="shared" si="731"/>
        <v>0</v>
      </c>
      <c r="AV304" s="261"/>
      <c r="AW304" s="230">
        <f t="shared" si="732"/>
        <v>0</v>
      </c>
      <c r="AX304" s="230">
        <f t="shared" si="733"/>
        <v>0</v>
      </c>
      <c r="AY304" s="230">
        <f t="shared" si="734"/>
        <v>0</v>
      </c>
      <c r="AZ304" s="230">
        <f t="shared" si="735"/>
        <v>0</v>
      </c>
      <c r="BA304" s="230">
        <f t="shared" si="736"/>
        <v>0</v>
      </c>
      <c r="BB304" s="230">
        <f t="shared" si="737"/>
        <v>0</v>
      </c>
      <c r="BC304" s="261">
        <f t="shared" si="741"/>
        <v>0</v>
      </c>
      <c r="BD304" s="239">
        <f t="shared" si="684"/>
        <v>284699.20415000001</v>
      </c>
      <c r="BE304" s="243"/>
      <c r="BF304" s="243"/>
      <c r="BG304" s="243"/>
      <c r="BH304" s="243"/>
      <c r="BI304" s="243"/>
      <c r="BJ304" s="243"/>
      <c r="BK304" s="243"/>
      <c r="BL304" s="243"/>
      <c r="BM304" s="243"/>
      <c r="BN304" s="243"/>
      <c r="BO304" s="243"/>
      <c r="BP304" s="243"/>
      <c r="BQ304" s="243"/>
      <c r="BR304" s="243"/>
      <c r="BS304" s="243"/>
      <c r="BT304" s="243"/>
      <c r="BU304" s="243"/>
      <c r="BV304" s="243"/>
      <c r="BW304" s="243"/>
      <c r="BX304" s="243"/>
      <c r="BY304" s="243"/>
      <c r="BZ304" s="243"/>
      <c r="CA304" s="243"/>
      <c r="CB304" s="243"/>
      <c r="CC304" s="243"/>
      <c r="CD304" s="243"/>
      <c r="CE304" s="243"/>
      <c r="CF304" s="243"/>
      <c r="CG304" s="243"/>
      <c r="CH304" s="243"/>
      <c r="CI304" s="243"/>
      <c r="CJ304" s="243"/>
      <c r="CK304" s="243"/>
      <c r="CL304" s="243"/>
      <c r="CM304" s="243"/>
      <c r="CN304" s="243"/>
      <c r="CO304" s="243"/>
      <c r="CP304" s="243"/>
      <c r="CQ304" s="243"/>
      <c r="CR304" s="243"/>
      <c r="CS304" s="243"/>
      <c r="CT304" s="243"/>
      <c r="CU304" s="243"/>
      <c r="CV304" s="243"/>
      <c r="CW304" s="243"/>
      <c r="CX304" s="243"/>
      <c r="CY304" s="243"/>
      <c r="CZ304" s="243"/>
      <c r="DA304" s="243"/>
      <c r="DB304" s="243"/>
      <c r="DC304" s="243"/>
      <c r="DD304" s="243"/>
      <c r="DE304" s="243"/>
      <c r="DF304" s="243"/>
      <c r="DG304" s="243"/>
      <c r="DH304" s="243"/>
      <c r="DI304" s="243"/>
      <c r="DJ304" s="243"/>
      <c r="DK304" s="243"/>
      <c r="DL304" s="243"/>
      <c r="DM304" s="243"/>
      <c r="DN304" s="243"/>
      <c r="DO304" s="243"/>
      <c r="DP304" s="243"/>
      <c r="DQ304" s="243"/>
      <c r="DR304" s="243"/>
      <c r="DS304" s="243"/>
      <c r="DT304" s="243"/>
      <c r="DU304" s="243"/>
      <c r="DV304" s="243"/>
      <c r="DW304" s="243"/>
      <c r="DX304" s="243"/>
      <c r="DY304" s="243"/>
      <c r="DZ304" s="243"/>
      <c r="EA304" s="243"/>
      <c r="EB304" s="243"/>
      <c r="EC304" s="243"/>
      <c r="ED304" s="243"/>
      <c r="EE304" s="243"/>
      <c r="EF304" s="243"/>
      <c r="EG304" s="243"/>
      <c r="EH304" s="243"/>
      <c r="EI304" s="243"/>
      <c r="EJ304" s="243"/>
      <c r="EK304" s="243"/>
      <c r="EL304" s="243"/>
      <c r="EM304" s="243"/>
      <c r="EN304" s="243"/>
      <c r="EO304" s="243"/>
      <c r="EP304" s="243"/>
      <c r="EQ304" s="243"/>
      <c r="ER304" s="243"/>
      <c r="ES304" s="243"/>
      <c r="ET304" s="243"/>
      <c r="EU304" s="243"/>
      <c r="EV304" s="243"/>
      <c r="EW304" s="243"/>
      <c r="EX304" s="243"/>
      <c r="EY304" s="243"/>
      <c r="EZ304" s="243"/>
      <c r="FA304" s="243"/>
      <c r="FB304" s="243"/>
      <c r="FC304" s="243"/>
      <c r="FD304" s="243"/>
      <c r="FE304" s="243"/>
      <c r="FF304" s="243"/>
      <c r="FG304" s="243"/>
      <c r="FH304" s="243"/>
      <c r="FI304" s="243"/>
      <c r="FJ304" s="243"/>
      <c r="FK304" s="243"/>
      <c r="FL304" s="243"/>
      <c r="FM304" s="243"/>
      <c r="FN304" s="243"/>
      <c r="FO304" s="243"/>
      <c r="FP304" s="243"/>
      <c r="FQ304" s="243"/>
      <c r="FR304" s="243"/>
      <c r="FS304" s="243"/>
      <c r="FT304" s="243"/>
      <c r="FU304" s="243"/>
      <c r="FV304" s="243"/>
      <c r="FW304" s="243"/>
      <c r="FX304" s="243"/>
      <c r="FY304" s="243"/>
      <c r="FZ304" s="243"/>
      <c r="GA304" s="243"/>
      <c r="GB304" s="243"/>
      <c r="GC304" s="243"/>
      <c r="GD304" s="243"/>
      <c r="GE304" s="243"/>
      <c r="GF304" s="243"/>
      <c r="GG304" s="243"/>
      <c r="GH304" s="243"/>
      <c r="GI304" s="243"/>
      <c r="GJ304" s="243"/>
      <c r="GK304" s="243"/>
      <c r="GL304" s="243"/>
      <c r="GM304" s="243"/>
      <c r="GN304" s="243"/>
      <c r="GO304" s="243"/>
      <c r="GP304" s="243"/>
      <c r="GQ304" s="243"/>
      <c r="GR304" s="243"/>
      <c r="GS304" s="243"/>
      <c r="GT304" s="243"/>
    </row>
    <row r="305" spans="1:202" s="79" customFormat="1" ht="11.25" customHeight="1">
      <c r="A305" s="196"/>
      <c r="B305" s="84" t="s">
        <v>263</v>
      </c>
      <c r="C305" s="221"/>
      <c r="D305" s="78"/>
      <c r="E305" s="82">
        <v>3697.5</v>
      </c>
      <c r="F305" s="82">
        <v>1787.5</v>
      </c>
      <c r="G305" s="177">
        <f t="shared" si="689"/>
        <v>1910</v>
      </c>
      <c r="H305" s="82">
        <v>3697.5</v>
      </c>
      <c r="I305" s="82">
        <v>1787.5</v>
      </c>
      <c r="J305" s="210">
        <f t="shared" si="739"/>
        <v>1910</v>
      </c>
      <c r="K305" s="255">
        <v>35.344999999999999</v>
      </c>
      <c r="L305" s="255">
        <v>35.344999999999999</v>
      </c>
      <c r="M305" s="255"/>
      <c r="N305" s="287">
        <f t="shared" si="715"/>
        <v>70.69</v>
      </c>
      <c r="O305" s="276"/>
      <c r="P305" s="276"/>
      <c r="Q305" s="294"/>
      <c r="R305" s="287"/>
      <c r="S305" s="294"/>
      <c r="T305" s="267"/>
      <c r="U305" s="276"/>
      <c r="V305" s="276"/>
      <c r="W305" s="294"/>
      <c r="X305" s="273"/>
      <c r="Y305" s="142"/>
      <c r="Z305" s="276"/>
      <c r="AA305" s="276"/>
      <c r="AB305" s="276"/>
      <c r="AC305" s="276"/>
      <c r="AD305" s="276"/>
      <c r="AE305" s="276"/>
      <c r="AF305" s="287">
        <f t="shared" si="740"/>
        <v>0</v>
      </c>
      <c r="AG305" s="283">
        <f t="shared" si="663"/>
        <v>70.69</v>
      </c>
      <c r="AH305" s="230">
        <f t="shared" si="720"/>
        <v>67508.95</v>
      </c>
      <c r="AI305" s="230">
        <f t="shared" si="721"/>
        <v>67508.95</v>
      </c>
      <c r="AJ305" s="230">
        <f t="shared" si="722"/>
        <v>0</v>
      </c>
      <c r="AK305" s="261">
        <f t="shared" si="738"/>
        <v>135017.9</v>
      </c>
      <c r="AL305" s="230">
        <f t="shared" si="723"/>
        <v>0</v>
      </c>
      <c r="AM305" s="230">
        <f t="shared" si="724"/>
        <v>0</v>
      </c>
      <c r="AN305" s="230">
        <f t="shared" si="725"/>
        <v>0</v>
      </c>
      <c r="AO305" s="261"/>
      <c r="AP305" s="230">
        <f t="shared" si="726"/>
        <v>0</v>
      </c>
      <c r="AQ305" s="230">
        <f t="shared" si="727"/>
        <v>0</v>
      </c>
      <c r="AR305" s="230">
        <f t="shared" si="728"/>
        <v>0</v>
      </c>
      <c r="AS305" s="230">
        <f t="shared" si="729"/>
        <v>0</v>
      </c>
      <c r="AT305" s="230">
        <f t="shared" si="730"/>
        <v>0</v>
      </c>
      <c r="AU305" s="230">
        <f t="shared" si="731"/>
        <v>0</v>
      </c>
      <c r="AV305" s="261"/>
      <c r="AW305" s="230">
        <f t="shared" si="732"/>
        <v>0</v>
      </c>
      <c r="AX305" s="230">
        <f t="shared" si="733"/>
        <v>0</v>
      </c>
      <c r="AY305" s="230">
        <f t="shared" si="734"/>
        <v>0</v>
      </c>
      <c r="AZ305" s="230">
        <f t="shared" si="735"/>
        <v>0</v>
      </c>
      <c r="BA305" s="230">
        <f t="shared" si="736"/>
        <v>0</v>
      </c>
      <c r="BB305" s="230">
        <f t="shared" si="737"/>
        <v>0</v>
      </c>
      <c r="BC305" s="261">
        <f t="shared" si="741"/>
        <v>0</v>
      </c>
      <c r="BD305" s="239">
        <f t="shared" si="684"/>
        <v>135017.9</v>
      </c>
      <c r="BE305" s="243"/>
      <c r="BF305" s="243"/>
      <c r="BG305" s="243"/>
      <c r="BH305" s="243"/>
      <c r="BI305" s="243"/>
      <c r="BJ305" s="243"/>
      <c r="BK305" s="243"/>
      <c r="BL305" s="243"/>
      <c r="BM305" s="243"/>
      <c r="BN305" s="243"/>
      <c r="BO305" s="243"/>
      <c r="BP305" s="243"/>
      <c r="BQ305" s="243"/>
      <c r="BR305" s="243"/>
      <c r="BS305" s="243"/>
      <c r="BT305" s="243"/>
      <c r="BU305" s="243"/>
      <c r="BV305" s="243"/>
      <c r="BW305" s="243"/>
      <c r="BX305" s="243"/>
      <c r="BY305" s="243"/>
      <c r="BZ305" s="243"/>
      <c r="CA305" s="243"/>
      <c r="CB305" s="243"/>
      <c r="CC305" s="243"/>
      <c r="CD305" s="243"/>
      <c r="CE305" s="243"/>
      <c r="CF305" s="243"/>
      <c r="CG305" s="243"/>
      <c r="CH305" s="243"/>
      <c r="CI305" s="243"/>
      <c r="CJ305" s="243"/>
      <c r="CK305" s="243"/>
      <c r="CL305" s="243"/>
      <c r="CM305" s="243"/>
      <c r="CN305" s="243"/>
      <c r="CO305" s="243"/>
      <c r="CP305" s="243"/>
      <c r="CQ305" s="243"/>
      <c r="CR305" s="243"/>
      <c r="CS305" s="243"/>
      <c r="CT305" s="243"/>
      <c r="CU305" s="243"/>
      <c r="CV305" s="243"/>
      <c r="CW305" s="243"/>
      <c r="CX305" s="243"/>
      <c r="CY305" s="243"/>
      <c r="CZ305" s="243"/>
      <c r="DA305" s="243"/>
      <c r="DB305" s="243"/>
      <c r="DC305" s="243"/>
      <c r="DD305" s="243"/>
      <c r="DE305" s="243"/>
      <c r="DF305" s="243"/>
      <c r="DG305" s="243"/>
      <c r="DH305" s="243"/>
      <c r="DI305" s="243"/>
      <c r="DJ305" s="243"/>
      <c r="DK305" s="243"/>
      <c r="DL305" s="243"/>
      <c r="DM305" s="243"/>
      <c r="DN305" s="243"/>
      <c r="DO305" s="243"/>
      <c r="DP305" s="243"/>
      <c r="DQ305" s="243"/>
      <c r="DR305" s="243"/>
      <c r="DS305" s="243"/>
      <c r="DT305" s="243"/>
      <c r="DU305" s="243"/>
      <c r="DV305" s="243"/>
      <c r="DW305" s="243"/>
      <c r="DX305" s="243"/>
      <c r="DY305" s="243"/>
      <c r="DZ305" s="243"/>
      <c r="EA305" s="243"/>
      <c r="EB305" s="243"/>
      <c r="EC305" s="243"/>
      <c r="ED305" s="243"/>
      <c r="EE305" s="243"/>
      <c r="EF305" s="243"/>
      <c r="EG305" s="243"/>
      <c r="EH305" s="243"/>
      <c r="EI305" s="243"/>
      <c r="EJ305" s="243"/>
      <c r="EK305" s="243"/>
      <c r="EL305" s="243"/>
      <c r="EM305" s="243"/>
      <c r="EN305" s="243"/>
      <c r="EO305" s="243"/>
      <c r="EP305" s="243"/>
      <c r="EQ305" s="243"/>
      <c r="ER305" s="243"/>
      <c r="ES305" s="243"/>
      <c r="ET305" s="243"/>
      <c r="EU305" s="243"/>
      <c r="EV305" s="243"/>
      <c r="EW305" s="243"/>
      <c r="EX305" s="243"/>
      <c r="EY305" s="243"/>
      <c r="EZ305" s="243"/>
      <c r="FA305" s="243"/>
      <c r="FB305" s="243"/>
      <c r="FC305" s="243"/>
      <c r="FD305" s="243"/>
      <c r="FE305" s="243"/>
      <c r="FF305" s="243"/>
      <c r="FG305" s="243"/>
      <c r="FH305" s="243"/>
      <c r="FI305" s="243"/>
      <c r="FJ305" s="243"/>
      <c r="FK305" s="243"/>
      <c r="FL305" s="243"/>
      <c r="FM305" s="243"/>
      <c r="FN305" s="243"/>
      <c r="FO305" s="243"/>
      <c r="FP305" s="243"/>
      <c r="FQ305" s="243"/>
      <c r="FR305" s="243"/>
      <c r="FS305" s="243"/>
      <c r="FT305" s="243"/>
      <c r="FU305" s="243"/>
      <c r="FV305" s="243"/>
      <c r="FW305" s="243"/>
      <c r="FX305" s="243"/>
      <c r="FY305" s="243"/>
      <c r="FZ305" s="243"/>
      <c r="GA305" s="243"/>
      <c r="GB305" s="243"/>
      <c r="GC305" s="243"/>
      <c r="GD305" s="243"/>
      <c r="GE305" s="243"/>
      <c r="GF305" s="243"/>
      <c r="GG305" s="243"/>
      <c r="GH305" s="243"/>
      <c r="GI305" s="243"/>
      <c r="GJ305" s="243"/>
      <c r="GK305" s="243"/>
      <c r="GL305" s="243"/>
      <c r="GM305" s="243"/>
      <c r="GN305" s="243"/>
      <c r="GO305" s="243"/>
      <c r="GP305" s="243"/>
      <c r="GQ305" s="243"/>
      <c r="GR305" s="243"/>
      <c r="GS305" s="243"/>
      <c r="GT305" s="243"/>
    </row>
    <row r="306" spans="1:202" s="79" customFormat="1" ht="11.25" customHeight="1">
      <c r="A306" s="196"/>
      <c r="B306" s="84" t="s">
        <v>338</v>
      </c>
      <c r="C306" s="221"/>
      <c r="D306" s="78"/>
      <c r="E306" s="82">
        <v>3697.5</v>
      </c>
      <c r="F306" s="82">
        <v>1373.33</v>
      </c>
      <c r="G306" s="177">
        <f t="shared" si="689"/>
        <v>2324.17</v>
      </c>
      <c r="H306" s="82">
        <v>3697.5</v>
      </c>
      <c r="I306" s="82">
        <v>1373.33</v>
      </c>
      <c r="J306" s="210">
        <f t="shared" si="739"/>
        <v>2324.17</v>
      </c>
      <c r="K306" s="255">
        <v>63.091000000000001</v>
      </c>
      <c r="L306" s="255">
        <v>63.091000000000001</v>
      </c>
      <c r="M306" s="255"/>
      <c r="N306" s="287">
        <f t="shared" si="715"/>
        <v>126.182</v>
      </c>
      <c r="O306" s="276"/>
      <c r="P306" s="276"/>
      <c r="Q306" s="294"/>
      <c r="R306" s="287"/>
      <c r="S306" s="294"/>
      <c r="T306" s="267"/>
      <c r="U306" s="276"/>
      <c r="V306" s="276"/>
      <c r="W306" s="294"/>
      <c r="X306" s="273"/>
      <c r="Y306" s="142"/>
      <c r="Z306" s="276"/>
      <c r="AA306" s="276"/>
      <c r="AB306" s="276"/>
      <c r="AC306" s="276"/>
      <c r="AD306" s="276"/>
      <c r="AE306" s="276"/>
      <c r="AF306" s="287">
        <f t="shared" si="740"/>
        <v>0</v>
      </c>
      <c r="AG306" s="283">
        <f t="shared" si="663"/>
        <v>126.182</v>
      </c>
      <c r="AH306" s="230">
        <f t="shared" si="720"/>
        <v>146634.20947</v>
      </c>
      <c r="AI306" s="230">
        <f t="shared" si="721"/>
        <v>146634.20947</v>
      </c>
      <c r="AJ306" s="230">
        <f t="shared" si="722"/>
        <v>0</v>
      </c>
      <c r="AK306" s="261">
        <f t="shared" si="738"/>
        <v>293268.41894</v>
      </c>
      <c r="AL306" s="230">
        <f t="shared" si="723"/>
        <v>0</v>
      </c>
      <c r="AM306" s="230">
        <f t="shared" si="724"/>
        <v>0</v>
      </c>
      <c r="AN306" s="230">
        <f t="shared" si="725"/>
        <v>0</v>
      </c>
      <c r="AO306" s="261"/>
      <c r="AP306" s="230">
        <f t="shared" si="726"/>
        <v>0</v>
      </c>
      <c r="AQ306" s="230">
        <f t="shared" si="727"/>
        <v>0</v>
      </c>
      <c r="AR306" s="230">
        <f t="shared" si="728"/>
        <v>0</v>
      </c>
      <c r="AS306" s="230">
        <f t="shared" si="729"/>
        <v>0</v>
      </c>
      <c r="AT306" s="230">
        <f t="shared" si="730"/>
        <v>0</v>
      </c>
      <c r="AU306" s="230">
        <f t="shared" si="731"/>
        <v>0</v>
      </c>
      <c r="AV306" s="261"/>
      <c r="AW306" s="230">
        <f t="shared" si="732"/>
        <v>0</v>
      </c>
      <c r="AX306" s="230">
        <f t="shared" si="733"/>
        <v>0</v>
      </c>
      <c r="AY306" s="230">
        <f t="shared" si="734"/>
        <v>0</v>
      </c>
      <c r="AZ306" s="230">
        <f t="shared" si="735"/>
        <v>0</v>
      </c>
      <c r="BA306" s="230">
        <f t="shared" si="736"/>
        <v>0</v>
      </c>
      <c r="BB306" s="230">
        <f t="shared" si="737"/>
        <v>0</v>
      </c>
      <c r="BC306" s="261">
        <f t="shared" si="741"/>
        <v>0</v>
      </c>
      <c r="BD306" s="239">
        <f t="shared" si="684"/>
        <v>293268.41894</v>
      </c>
      <c r="BE306" s="243"/>
      <c r="BF306" s="243"/>
      <c r="BG306" s="243"/>
      <c r="BH306" s="243"/>
      <c r="BI306" s="243"/>
      <c r="BJ306" s="243"/>
      <c r="BK306" s="243"/>
      <c r="BL306" s="243"/>
      <c r="BM306" s="243"/>
      <c r="BN306" s="243"/>
      <c r="BO306" s="243"/>
      <c r="BP306" s="243"/>
      <c r="BQ306" s="243"/>
      <c r="BR306" s="243"/>
      <c r="BS306" s="243"/>
      <c r="BT306" s="243"/>
      <c r="BU306" s="243"/>
      <c r="BV306" s="243"/>
      <c r="BW306" s="243"/>
      <c r="BX306" s="243"/>
      <c r="BY306" s="243"/>
      <c r="BZ306" s="243"/>
      <c r="CA306" s="243"/>
      <c r="CB306" s="243"/>
      <c r="CC306" s="243"/>
      <c r="CD306" s="243"/>
      <c r="CE306" s="243"/>
      <c r="CF306" s="243"/>
      <c r="CG306" s="243"/>
      <c r="CH306" s="243"/>
      <c r="CI306" s="243"/>
      <c r="CJ306" s="243"/>
      <c r="CK306" s="243"/>
      <c r="CL306" s="243"/>
      <c r="CM306" s="243"/>
      <c r="CN306" s="243"/>
      <c r="CO306" s="243"/>
      <c r="CP306" s="243"/>
      <c r="CQ306" s="243"/>
      <c r="CR306" s="243"/>
      <c r="CS306" s="243"/>
      <c r="CT306" s="243"/>
      <c r="CU306" s="243"/>
      <c r="CV306" s="243"/>
      <c r="CW306" s="243"/>
      <c r="CX306" s="243"/>
      <c r="CY306" s="243"/>
      <c r="CZ306" s="243"/>
      <c r="DA306" s="243"/>
      <c r="DB306" s="243"/>
      <c r="DC306" s="243"/>
      <c r="DD306" s="243"/>
      <c r="DE306" s="243"/>
      <c r="DF306" s="243"/>
      <c r="DG306" s="243"/>
      <c r="DH306" s="243"/>
      <c r="DI306" s="243"/>
      <c r="DJ306" s="243"/>
      <c r="DK306" s="243"/>
      <c r="DL306" s="243"/>
      <c r="DM306" s="243"/>
      <c r="DN306" s="243"/>
      <c r="DO306" s="243"/>
      <c r="DP306" s="243"/>
      <c r="DQ306" s="243"/>
      <c r="DR306" s="243"/>
      <c r="DS306" s="243"/>
      <c r="DT306" s="243"/>
      <c r="DU306" s="243"/>
      <c r="DV306" s="243"/>
      <c r="DW306" s="243"/>
      <c r="DX306" s="243"/>
      <c r="DY306" s="243"/>
      <c r="DZ306" s="243"/>
      <c r="EA306" s="243"/>
      <c r="EB306" s="243"/>
      <c r="EC306" s="243"/>
      <c r="ED306" s="243"/>
      <c r="EE306" s="243"/>
      <c r="EF306" s="243"/>
      <c r="EG306" s="243"/>
      <c r="EH306" s="243"/>
      <c r="EI306" s="243"/>
      <c r="EJ306" s="243"/>
      <c r="EK306" s="243"/>
      <c r="EL306" s="243"/>
      <c r="EM306" s="243"/>
      <c r="EN306" s="243"/>
      <c r="EO306" s="243"/>
      <c r="EP306" s="243"/>
      <c r="EQ306" s="243"/>
      <c r="ER306" s="243"/>
      <c r="ES306" s="243"/>
      <c r="ET306" s="243"/>
      <c r="EU306" s="243"/>
      <c r="EV306" s="243"/>
      <c r="EW306" s="243"/>
      <c r="EX306" s="243"/>
      <c r="EY306" s="243"/>
      <c r="EZ306" s="243"/>
      <c r="FA306" s="243"/>
      <c r="FB306" s="243"/>
      <c r="FC306" s="243"/>
      <c r="FD306" s="243"/>
      <c r="FE306" s="243"/>
      <c r="FF306" s="243"/>
      <c r="FG306" s="243"/>
      <c r="FH306" s="243"/>
      <c r="FI306" s="243"/>
      <c r="FJ306" s="243"/>
      <c r="FK306" s="243"/>
      <c r="FL306" s="243"/>
      <c r="FM306" s="243"/>
      <c r="FN306" s="243"/>
      <c r="FO306" s="243"/>
      <c r="FP306" s="243"/>
      <c r="FQ306" s="243"/>
      <c r="FR306" s="243"/>
      <c r="FS306" s="243"/>
      <c r="FT306" s="243"/>
      <c r="FU306" s="243"/>
      <c r="FV306" s="243"/>
      <c r="FW306" s="243"/>
      <c r="FX306" s="243"/>
      <c r="FY306" s="243"/>
      <c r="FZ306" s="243"/>
      <c r="GA306" s="243"/>
      <c r="GB306" s="243"/>
      <c r="GC306" s="243"/>
      <c r="GD306" s="243"/>
      <c r="GE306" s="243"/>
      <c r="GF306" s="243"/>
      <c r="GG306" s="243"/>
      <c r="GH306" s="243"/>
      <c r="GI306" s="243"/>
      <c r="GJ306" s="243"/>
      <c r="GK306" s="243"/>
      <c r="GL306" s="243"/>
      <c r="GM306" s="243"/>
      <c r="GN306" s="243"/>
      <c r="GO306" s="243"/>
      <c r="GP306" s="243"/>
      <c r="GQ306" s="243"/>
      <c r="GR306" s="243"/>
      <c r="GS306" s="243"/>
      <c r="GT306" s="243"/>
    </row>
    <row r="307" spans="1:202" s="79" customFormat="1" ht="11.25" customHeight="1">
      <c r="A307" s="196"/>
      <c r="B307" s="84" t="s">
        <v>261</v>
      </c>
      <c r="C307" s="221"/>
      <c r="D307" s="78"/>
      <c r="E307" s="82">
        <v>3697.5</v>
      </c>
      <c r="F307" s="82">
        <v>1689.17</v>
      </c>
      <c r="G307" s="177">
        <f t="shared" si="689"/>
        <v>2008.33</v>
      </c>
      <c r="H307" s="82">
        <v>3697.5</v>
      </c>
      <c r="I307" s="82">
        <v>1689.17</v>
      </c>
      <c r="J307" s="210">
        <f t="shared" si="739"/>
        <v>2008.33</v>
      </c>
      <c r="K307" s="255">
        <v>135.62</v>
      </c>
      <c r="L307" s="255">
        <v>135.20400000000001</v>
      </c>
      <c r="M307" s="255"/>
      <c r="N307" s="287">
        <f t="shared" si="715"/>
        <v>270.82400000000001</v>
      </c>
      <c r="O307" s="276"/>
      <c r="P307" s="276"/>
      <c r="Q307" s="294"/>
      <c r="R307" s="287"/>
      <c r="S307" s="294"/>
      <c r="T307" s="267"/>
      <c r="U307" s="276"/>
      <c r="V307" s="276"/>
      <c r="W307" s="294"/>
      <c r="X307" s="273"/>
      <c r="Y307" s="142"/>
      <c r="Z307" s="276"/>
      <c r="AA307" s="276"/>
      <c r="AB307" s="276"/>
      <c r="AC307" s="276"/>
      <c r="AD307" s="276"/>
      <c r="AE307" s="276"/>
      <c r="AF307" s="287">
        <f t="shared" si="740"/>
        <v>0</v>
      </c>
      <c r="AG307" s="283">
        <f t="shared" si="663"/>
        <v>270.82400000000001</v>
      </c>
      <c r="AH307" s="230">
        <f t="shared" si="720"/>
        <v>272369.71460000001</v>
      </c>
      <c r="AI307" s="230">
        <f t="shared" si="721"/>
        <v>271534.24932</v>
      </c>
      <c r="AJ307" s="230">
        <f t="shared" si="722"/>
        <v>0</v>
      </c>
      <c r="AK307" s="261">
        <f t="shared" si="738"/>
        <v>543903.96392000001</v>
      </c>
      <c r="AL307" s="230">
        <f t="shared" si="723"/>
        <v>0</v>
      </c>
      <c r="AM307" s="230">
        <f t="shared" si="724"/>
        <v>0</v>
      </c>
      <c r="AN307" s="230">
        <f t="shared" si="725"/>
        <v>0</v>
      </c>
      <c r="AO307" s="261"/>
      <c r="AP307" s="230">
        <f t="shared" si="726"/>
        <v>0</v>
      </c>
      <c r="AQ307" s="230">
        <f t="shared" si="727"/>
        <v>0</v>
      </c>
      <c r="AR307" s="230">
        <f t="shared" si="728"/>
        <v>0</v>
      </c>
      <c r="AS307" s="230">
        <f t="shared" si="729"/>
        <v>0</v>
      </c>
      <c r="AT307" s="230">
        <f t="shared" si="730"/>
        <v>0</v>
      </c>
      <c r="AU307" s="230">
        <f t="shared" si="731"/>
        <v>0</v>
      </c>
      <c r="AV307" s="261"/>
      <c r="AW307" s="230">
        <f t="shared" si="732"/>
        <v>0</v>
      </c>
      <c r="AX307" s="230">
        <f t="shared" si="733"/>
        <v>0</v>
      </c>
      <c r="AY307" s="230">
        <f t="shared" si="734"/>
        <v>0</v>
      </c>
      <c r="AZ307" s="230">
        <f t="shared" si="735"/>
        <v>0</v>
      </c>
      <c r="BA307" s="230">
        <f t="shared" si="736"/>
        <v>0</v>
      </c>
      <c r="BB307" s="230">
        <f t="shared" si="737"/>
        <v>0</v>
      </c>
      <c r="BC307" s="261">
        <f t="shared" si="741"/>
        <v>0</v>
      </c>
      <c r="BD307" s="239">
        <f t="shared" si="684"/>
        <v>543903.96392000001</v>
      </c>
      <c r="BE307" s="243"/>
      <c r="BF307" s="243"/>
      <c r="BG307" s="243"/>
      <c r="BH307" s="243"/>
      <c r="BI307" s="243"/>
      <c r="BJ307" s="243"/>
      <c r="BK307" s="243"/>
      <c r="BL307" s="243"/>
      <c r="BM307" s="243"/>
      <c r="BN307" s="243"/>
      <c r="BO307" s="243"/>
      <c r="BP307" s="243"/>
      <c r="BQ307" s="243"/>
      <c r="BR307" s="243"/>
      <c r="BS307" s="243"/>
      <c r="BT307" s="243"/>
      <c r="BU307" s="243"/>
      <c r="BV307" s="243"/>
      <c r="BW307" s="243"/>
      <c r="BX307" s="243"/>
      <c r="BY307" s="243"/>
      <c r="BZ307" s="243"/>
      <c r="CA307" s="243"/>
      <c r="CB307" s="243"/>
      <c r="CC307" s="243"/>
      <c r="CD307" s="243"/>
      <c r="CE307" s="243"/>
      <c r="CF307" s="243"/>
      <c r="CG307" s="243"/>
      <c r="CH307" s="243"/>
      <c r="CI307" s="243"/>
      <c r="CJ307" s="243"/>
      <c r="CK307" s="243"/>
      <c r="CL307" s="243"/>
      <c r="CM307" s="243"/>
      <c r="CN307" s="243"/>
      <c r="CO307" s="243"/>
      <c r="CP307" s="243"/>
      <c r="CQ307" s="243"/>
      <c r="CR307" s="243"/>
      <c r="CS307" s="243"/>
      <c r="CT307" s="243"/>
      <c r="CU307" s="243"/>
      <c r="CV307" s="243"/>
      <c r="CW307" s="243"/>
      <c r="CX307" s="243"/>
      <c r="CY307" s="243"/>
      <c r="CZ307" s="243"/>
      <c r="DA307" s="243"/>
      <c r="DB307" s="243"/>
      <c r="DC307" s="243"/>
      <c r="DD307" s="243"/>
      <c r="DE307" s="243"/>
      <c r="DF307" s="243"/>
      <c r="DG307" s="243"/>
      <c r="DH307" s="243"/>
      <c r="DI307" s="243"/>
      <c r="DJ307" s="243"/>
      <c r="DK307" s="243"/>
      <c r="DL307" s="243"/>
      <c r="DM307" s="243"/>
      <c r="DN307" s="243"/>
      <c r="DO307" s="243"/>
      <c r="DP307" s="243"/>
      <c r="DQ307" s="243"/>
      <c r="DR307" s="243"/>
      <c r="DS307" s="243"/>
      <c r="DT307" s="243"/>
      <c r="DU307" s="243"/>
      <c r="DV307" s="243"/>
      <c r="DW307" s="243"/>
      <c r="DX307" s="243"/>
      <c r="DY307" s="243"/>
      <c r="DZ307" s="243"/>
      <c r="EA307" s="243"/>
      <c r="EB307" s="243"/>
      <c r="EC307" s="243"/>
      <c r="ED307" s="243"/>
      <c r="EE307" s="243"/>
      <c r="EF307" s="243"/>
      <c r="EG307" s="243"/>
      <c r="EH307" s="243"/>
      <c r="EI307" s="243"/>
      <c r="EJ307" s="243"/>
      <c r="EK307" s="243"/>
      <c r="EL307" s="243"/>
      <c r="EM307" s="243"/>
      <c r="EN307" s="243"/>
      <c r="EO307" s="243"/>
      <c r="EP307" s="243"/>
      <c r="EQ307" s="243"/>
      <c r="ER307" s="243"/>
      <c r="ES307" s="243"/>
      <c r="ET307" s="243"/>
      <c r="EU307" s="243"/>
      <c r="EV307" s="243"/>
      <c r="EW307" s="243"/>
      <c r="EX307" s="243"/>
      <c r="EY307" s="243"/>
      <c r="EZ307" s="243"/>
      <c r="FA307" s="243"/>
      <c r="FB307" s="243"/>
      <c r="FC307" s="243"/>
      <c r="FD307" s="243"/>
      <c r="FE307" s="243"/>
      <c r="FF307" s="243"/>
      <c r="FG307" s="243"/>
      <c r="FH307" s="243"/>
      <c r="FI307" s="243"/>
      <c r="FJ307" s="243"/>
      <c r="FK307" s="243"/>
      <c r="FL307" s="243"/>
      <c r="FM307" s="243"/>
      <c r="FN307" s="243"/>
      <c r="FO307" s="243"/>
      <c r="FP307" s="243"/>
      <c r="FQ307" s="243"/>
      <c r="FR307" s="243"/>
      <c r="FS307" s="243"/>
      <c r="FT307" s="243"/>
      <c r="FU307" s="243"/>
      <c r="FV307" s="243"/>
      <c r="FW307" s="243"/>
      <c r="FX307" s="243"/>
      <c r="FY307" s="243"/>
      <c r="FZ307" s="243"/>
      <c r="GA307" s="243"/>
      <c r="GB307" s="243"/>
      <c r="GC307" s="243"/>
      <c r="GD307" s="243"/>
      <c r="GE307" s="243"/>
      <c r="GF307" s="243"/>
      <c r="GG307" s="243"/>
      <c r="GH307" s="243"/>
      <c r="GI307" s="243"/>
      <c r="GJ307" s="243"/>
      <c r="GK307" s="243"/>
      <c r="GL307" s="243"/>
      <c r="GM307" s="243"/>
      <c r="GN307" s="243"/>
      <c r="GO307" s="243"/>
      <c r="GP307" s="243"/>
      <c r="GQ307" s="243"/>
      <c r="GR307" s="243"/>
      <c r="GS307" s="243"/>
      <c r="GT307" s="243"/>
    </row>
    <row r="308" spans="1:202" s="79" customFormat="1" ht="11.25" customHeight="1">
      <c r="A308" s="196"/>
      <c r="B308" s="84" t="s">
        <v>175</v>
      </c>
      <c r="C308" s="221"/>
      <c r="D308" s="78"/>
      <c r="E308" s="82">
        <v>3697.5</v>
      </c>
      <c r="F308" s="82">
        <v>1689.17</v>
      </c>
      <c r="G308" s="177">
        <f t="shared" si="689"/>
        <v>2008.33</v>
      </c>
      <c r="H308" s="82">
        <v>3697.5</v>
      </c>
      <c r="I308" s="82">
        <v>1689.17</v>
      </c>
      <c r="J308" s="210">
        <f t="shared" si="739"/>
        <v>2008.33</v>
      </c>
      <c r="K308" s="255">
        <v>106.761</v>
      </c>
      <c r="L308" s="255">
        <v>109.864</v>
      </c>
      <c r="M308" s="255"/>
      <c r="N308" s="287">
        <f t="shared" si="715"/>
        <v>216.625</v>
      </c>
      <c r="O308" s="276"/>
      <c r="P308" s="276"/>
      <c r="Q308" s="294"/>
      <c r="R308" s="287"/>
      <c r="S308" s="294"/>
      <c r="T308" s="267"/>
      <c r="U308" s="276"/>
      <c r="V308" s="276"/>
      <c r="W308" s="294"/>
      <c r="X308" s="273"/>
      <c r="Y308" s="142"/>
      <c r="Z308" s="276"/>
      <c r="AA308" s="276"/>
      <c r="AB308" s="276"/>
      <c r="AC308" s="276"/>
      <c r="AD308" s="276"/>
      <c r="AE308" s="276"/>
      <c r="AF308" s="287">
        <f t="shared" si="740"/>
        <v>0</v>
      </c>
      <c r="AG308" s="283">
        <f t="shared" si="663"/>
        <v>216.625</v>
      </c>
      <c r="AH308" s="230">
        <f t="shared" si="720"/>
        <v>214411.31912999999</v>
      </c>
      <c r="AI308" s="230">
        <f t="shared" si="721"/>
        <v>220643.16712</v>
      </c>
      <c r="AJ308" s="230">
        <f t="shared" si="722"/>
        <v>0</v>
      </c>
      <c r="AK308" s="261">
        <f t="shared" si="738"/>
        <v>435054.48624999996</v>
      </c>
      <c r="AL308" s="230">
        <f t="shared" si="723"/>
        <v>0</v>
      </c>
      <c r="AM308" s="230">
        <f t="shared" si="724"/>
        <v>0</v>
      </c>
      <c r="AN308" s="230">
        <f t="shared" si="725"/>
        <v>0</v>
      </c>
      <c r="AO308" s="261"/>
      <c r="AP308" s="230">
        <f t="shared" si="726"/>
        <v>0</v>
      </c>
      <c r="AQ308" s="230">
        <f t="shared" si="727"/>
        <v>0</v>
      </c>
      <c r="AR308" s="230">
        <f t="shared" si="728"/>
        <v>0</v>
      </c>
      <c r="AS308" s="230">
        <f t="shared" si="729"/>
        <v>0</v>
      </c>
      <c r="AT308" s="230">
        <f t="shared" si="730"/>
        <v>0</v>
      </c>
      <c r="AU308" s="230">
        <f t="shared" si="731"/>
        <v>0</v>
      </c>
      <c r="AV308" s="261"/>
      <c r="AW308" s="230">
        <f t="shared" si="732"/>
        <v>0</v>
      </c>
      <c r="AX308" s="230">
        <f t="shared" si="733"/>
        <v>0</v>
      </c>
      <c r="AY308" s="230">
        <f t="shared" si="734"/>
        <v>0</v>
      </c>
      <c r="AZ308" s="230">
        <f t="shared" si="735"/>
        <v>0</v>
      </c>
      <c r="BA308" s="230">
        <f t="shared" si="736"/>
        <v>0</v>
      </c>
      <c r="BB308" s="230">
        <f t="shared" si="737"/>
        <v>0</v>
      </c>
      <c r="BC308" s="261">
        <f t="shared" si="741"/>
        <v>0</v>
      </c>
      <c r="BD308" s="239">
        <f t="shared" si="684"/>
        <v>435054.48624999996</v>
      </c>
      <c r="BE308" s="243"/>
      <c r="BF308" s="243"/>
      <c r="BG308" s="243"/>
      <c r="BH308" s="243"/>
      <c r="BI308" s="243"/>
      <c r="BJ308" s="243"/>
      <c r="BK308" s="243"/>
      <c r="BL308" s="243"/>
      <c r="BM308" s="243"/>
      <c r="BN308" s="243"/>
      <c r="BO308" s="243"/>
      <c r="BP308" s="243"/>
      <c r="BQ308" s="243"/>
      <c r="BR308" s="243"/>
      <c r="BS308" s="243"/>
      <c r="BT308" s="243"/>
      <c r="BU308" s="243"/>
      <c r="BV308" s="243"/>
      <c r="BW308" s="243"/>
      <c r="BX308" s="243"/>
      <c r="BY308" s="243"/>
      <c r="BZ308" s="243"/>
      <c r="CA308" s="243"/>
      <c r="CB308" s="243"/>
      <c r="CC308" s="243"/>
      <c r="CD308" s="243"/>
      <c r="CE308" s="243"/>
      <c r="CF308" s="243"/>
      <c r="CG308" s="243"/>
      <c r="CH308" s="243"/>
      <c r="CI308" s="243"/>
      <c r="CJ308" s="243"/>
      <c r="CK308" s="243"/>
      <c r="CL308" s="243"/>
      <c r="CM308" s="243"/>
      <c r="CN308" s="243"/>
      <c r="CO308" s="243"/>
      <c r="CP308" s="243"/>
      <c r="CQ308" s="243"/>
      <c r="CR308" s="243"/>
      <c r="CS308" s="243"/>
      <c r="CT308" s="243"/>
      <c r="CU308" s="243"/>
      <c r="CV308" s="243"/>
      <c r="CW308" s="243"/>
      <c r="CX308" s="243"/>
      <c r="CY308" s="243"/>
      <c r="CZ308" s="243"/>
      <c r="DA308" s="243"/>
      <c r="DB308" s="243"/>
      <c r="DC308" s="243"/>
      <c r="DD308" s="243"/>
      <c r="DE308" s="243"/>
      <c r="DF308" s="243"/>
      <c r="DG308" s="243"/>
      <c r="DH308" s="243"/>
      <c r="DI308" s="243"/>
      <c r="DJ308" s="243"/>
      <c r="DK308" s="243"/>
      <c r="DL308" s="243"/>
      <c r="DM308" s="243"/>
      <c r="DN308" s="243"/>
      <c r="DO308" s="243"/>
      <c r="DP308" s="243"/>
      <c r="DQ308" s="243"/>
      <c r="DR308" s="243"/>
      <c r="DS308" s="243"/>
      <c r="DT308" s="243"/>
      <c r="DU308" s="243"/>
      <c r="DV308" s="243"/>
      <c r="DW308" s="243"/>
      <c r="DX308" s="243"/>
      <c r="DY308" s="243"/>
      <c r="DZ308" s="243"/>
      <c r="EA308" s="243"/>
      <c r="EB308" s="243"/>
      <c r="EC308" s="243"/>
      <c r="ED308" s="243"/>
      <c r="EE308" s="243"/>
      <c r="EF308" s="243"/>
      <c r="EG308" s="243"/>
      <c r="EH308" s="243"/>
      <c r="EI308" s="243"/>
      <c r="EJ308" s="243"/>
      <c r="EK308" s="243"/>
      <c r="EL308" s="243"/>
      <c r="EM308" s="243"/>
      <c r="EN308" s="243"/>
      <c r="EO308" s="243"/>
      <c r="EP308" s="243"/>
      <c r="EQ308" s="243"/>
      <c r="ER308" s="243"/>
      <c r="ES308" s="243"/>
      <c r="ET308" s="243"/>
      <c r="EU308" s="243"/>
      <c r="EV308" s="243"/>
      <c r="EW308" s="243"/>
      <c r="EX308" s="243"/>
      <c r="EY308" s="243"/>
      <c r="EZ308" s="243"/>
      <c r="FA308" s="243"/>
      <c r="FB308" s="243"/>
      <c r="FC308" s="243"/>
      <c r="FD308" s="243"/>
      <c r="FE308" s="243"/>
      <c r="FF308" s="243"/>
      <c r="FG308" s="243"/>
      <c r="FH308" s="243"/>
      <c r="FI308" s="243"/>
      <c r="FJ308" s="243"/>
      <c r="FK308" s="243"/>
      <c r="FL308" s="243"/>
      <c r="FM308" s="243"/>
      <c r="FN308" s="243"/>
      <c r="FO308" s="243"/>
      <c r="FP308" s="243"/>
      <c r="FQ308" s="243"/>
      <c r="FR308" s="243"/>
      <c r="FS308" s="243"/>
      <c r="FT308" s="243"/>
      <c r="FU308" s="243"/>
      <c r="FV308" s="243"/>
      <c r="FW308" s="243"/>
      <c r="FX308" s="243"/>
      <c r="FY308" s="243"/>
      <c r="FZ308" s="243"/>
      <c r="GA308" s="243"/>
      <c r="GB308" s="243"/>
      <c r="GC308" s="243"/>
      <c r="GD308" s="243"/>
      <c r="GE308" s="243"/>
      <c r="GF308" s="243"/>
      <c r="GG308" s="243"/>
      <c r="GH308" s="243"/>
      <c r="GI308" s="243"/>
      <c r="GJ308" s="243"/>
      <c r="GK308" s="243"/>
      <c r="GL308" s="243"/>
      <c r="GM308" s="243"/>
      <c r="GN308" s="243"/>
      <c r="GO308" s="243"/>
      <c r="GP308" s="243"/>
      <c r="GQ308" s="243"/>
      <c r="GR308" s="243"/>
      <c r="GS308" s="243"/>
      <c r="GT308" s="243"/>
    </row>
    <row r="309" spans="1:202" s="79" customFormat="1" ht="11.25" customHeight="1">
      <c r="A309" s="196"/>
      <c r="B309" s="84" t="s">
        <v>333</v>
      </c>
      <c r="C309" s="221"/>
      <c r="D309" s="78"/>
      <c r="E309" s="82">
        <v>3697.5</v>
      </c>
      <c r="F309" s="82">
        <v>1841.67</v>
      </c>
      <c r="G309" s="177">
        <f t="shared" si="689"/>
        <v>1855.83</v>
      </c>
      <c r="H309" s="82">
        <v>3697.5</v>
      </c>
      <c r="I309" s="82">
        <v>1841.67</v>
      </c>
      <c r="J309" s="210">
        <f t="shared" si="739"/>
        <v>1855.83</v>
      </c>
      <c r="K309" s="255">
        <v>43.284999999999997</v>
      </c>
      <c r="L309" s="255">
        <v>43.284999999999997</v>
      </c>
      <c r="M309" s="255"/>
      <c r="N309" s="287">
        <f t="shared" si="715"/>
        <v>86.57</v>
      </c>
      <c r="O309" s="276"/>
      <c r="P309" s="276"/>
      <c r="Q309" s="294"/>
      <c r="R309" s="287"/>
      <c r="S309" s="294"/>
      <c r="T309" s="267"/>
      <c r="U309" s="276"/>
      <c r="V309" s="276"/>
      <c r="W309" s="294"/>
      <c r="X309" s="273"/>
      <c r="Y309" s="142"/>
      <c r="Z309" s="276"/>
      <c r="AA309" s="276"/>
      <c r="AB309" s="276"/>
      <c r="AC309" s="276"/>
      <c r="AD309" s="276"/>
      <c r="AE309" s="276"/>
      <c r="AF309" s="287">
        <f t="shared" si="740"/>
        <v>0</v>
      </c>
      <c r="AG309" s="283">
        <f t="shared" si="663"/>
        <v>86.57</v>
      </c>
      <c r="AH309" s="230">
        <f t="shared" si="720"/>
        <v>80329.601549999992</v>
      </c>
      <c r="AI309" s="230">
        <f t="shared" si="721"/>
        <v>80329.601549999992</v>
      </c>
      <c r="AJ309" s="230">
        <f t="shared" si="722"/>
        <v>0</v>
      </c>
      <c r="AK309" s="261">
        <f t="shared" si="738"/>
        <v>160659.20309999998</v>
      </c>
      <c r="AL309" s="230">
        <f t="shared" si="723"/>
        <v>0</v>
      </c>
      <c r="AM309" s="230">
        <f t="shared" si="724"/>
        <v>0</v>
      </c>
      <c r="AN309" s="230">
        <f t="shared" si="725"/>
        <v>0</v>
      </c>
      <c r="AO309" s="261"/>
      <c r="AP309" s="230">
        <f t="shared" si="726"/>
        <v>0</v>
      </c>
      <c r="AQ309" s="230">
        <f t="shared" si="727"/>
        <v>0</v>
      </c>
      <c r="AR309" s="230">
        <f t="shared" si="728"/>
        <v>0</v>
      </c>
      <c r="AS309" s="230">
        <f t="shared" si="729"/>
        <v>0</v>
      </c>
      <c r="AT309" s="230">
        <f t="shared" si="730"/>
        <v>0</v>
      </c>
      <c r="AU309" s="230">
        <f t="shared" si="731"/>
        <v>0</v>
      </c>
      <c r="AV309" s="261"/>
      <c r="AW309" s="230">
        <f t="shared" si="732"/>
        <v>0</v>
      </c>
      <c r="AX309" s="230">
        <f t="shared" si="733"/>
        <v>0</v>
      </c>
      <c r="AY309" s="230">
        <f t="shared" si="734"/>
        <v>0</v>
      </c>
      <c r="AZ309" s="230">
        <f t="shared" si="735"/>
        <v>0</v>
      </c>
      <c r="BA309" s="230">
        <f t="shared" si="736"/>
        <v>0</v>
      </c>
      <c r="BB309" s="230">
        <f t="shared" si="737"/>
        <v>0</v>
      </c>
      <c r="BC309" s="261">
        <f t="shared" si="741"/>
        <v>0</v>
      </c>
      <c r="BD309" s="239">
        <f t="shared" si="684"/>
        <v>160659.20309999998</v>
      </c>
      <c r="BE309" s="243"/>
      <c r="BF309" s="243"/>
      <c r="BG309" s="243"/>
      <c r="BH309" s="243"/>
      <c r="BI309" s="243"/>
      <c r="BJ309" s="243"/>
      <c r="BK309" s="243"/>
      <c r="BL309" s="243"/>
      <c r="BM309" s="243"/>
      <c r="BN309" s="243"/>
      <c r="BO309" s="243"/>
      <c r="BP309" s="243"/>
      <c r="BQ309" s="243"/>
      <c r="BR309" s="243"/>
      <c r="BS309" s="243"/>
      <c r="BT309" s="243"/>
      <c r="BU309" s="243"/>
      <c r="BV309" s="243"/>
      <c r="BW309" s="243"/>
      <c r="BX309" s="243"/>
      <c r="BY309" s="243"/>
      <c r="BZ309" s="243"/>
      <c r="CA309" s="243"/>
      <c r="CB309" s="243"/>
      <c r="CC309" s="243"/>
      <c r="CD309" s="243"/>
      <c r="CE309" s="243"/>
      <c r="CF309" s="243"/>
      <c r="CG309" s="243"/>
      <c r="CH309" s="243"/>
      <c r="CI309" s="243"/>
      <c r="CJ309" s="243"/>
      <c r="CK309" s="243"/>
      <c r="CL309" s="243"/>
      <c r="CM309" s="243"/>
      <c r="CN309" s="243"/>
      <c r="CO309" s="243"/>
      <c r="CP309" s="243"/>
      <c r="CQ309" s="243"/>
      <c r="CR309" s="243"/>
      <c r="CS309" s="243"/>
      <c r="CT309" s="243"/>
      <c r="CU309" s="243"/>
      <c r="CV309" s="243"/>
      <c r="CW309" s="243"/>
      <c r="CX309" s="243"/>
      <c r="CY309" s="243"/>
      <c r="CZ309" s="243"/>
      <c r="DA309" s="243"/>
      <c r="DB309" s="243"/>
      <c r="DC309" s="243"/>
      <c r="DD309" s="243"/>
      <c r="DE309" s="243"/>
      <c r="DF309" s="243"/>
      <c r="DG309" s="243"/>
      <c r="DH309" s="243"/>
      <c r="DI309" s="243"/>
      <c r="DJ309" s="243"/>
      <c r="DK309" s="243"/>
      <c r="DL309" s="243"/>
      <c r="DM309" s="243"/>
      <c r="DN309" s="243"/>
      <c r="DO309" s="243"/>
      <c r="DP309" s="243"/>
      <c r="DQ309" s="243"/>
      <c r="DR309" s="243"/>
      <c r="DS309" s="243"/>
      <c r="DT309" s="243"/>
      <c r="DU309" s="243"/>
      <c r="DV309" s="243"/>
      <c r="DW309" s="243"/>
      <c r="DX309" s="243"/>
      <c r="DY309" s="243"/>
      <c r="DZ309" s="243"/>
      <c r="EA309" s="243"/>
      <c r="EB309" s="243"/>
      <c r="EC309" s="243"/>
      <c r="ED309" s="243"/>
      <c r="EE309" s="243"/>
      <c r="EF309" s="243"/>
      <c r="EG309" s="243"/>
      <c r="EH309" s="243"/>
      <c r="EI309" s="243"/>
      <c r="EJ309" s="243"/>
      <c r="EK309" s="243"/>
      <c r="EL309" s="243"/>
      <c r="EM309" s="243"/>
      <c r="EN309" s="243"/>
      <c r="EO309" s="243"/>
      <c r="EP309" s="243"/>
      <c r="EQ309" s="243"/>
      <c r="ER309" s="243"/>
      <c r="ES309" s="243"/>
      <c r="ET309" s="243"/>
      <c r="EU309" s="243"/>
      <c r="EV309" s="243"/>
      <c r="EW309" s="243"/>
      <c r="EX309" s="243"/>
      <c r="EY309" s="243"/>
      <c r="EZ309" s="243"/>
      <c r="FA309" s="243"/>
      <c r="FB309" s="243"/>
      <c r="FC309" s="243"/>
      <c r="FD309" s="243"/>
      <c r="FE309" s="243"/>
      <c r="FF309" s="243"/>
      <c r="FG309" s="243"/>
      <c r="FH309" s="243"/>
      <c r="FI309" s="243"/>
      <c r="FJ309" s="243"/>
      <c r="FK309" s="243"/>
      <c r="FL309" s="243"/>
      <c r="FM309" s="243"/>
      <c r="FN309" s="243"/>
      <c r="FO309" s="243"/>
      <c r="FP309" s="243"/>
      <c r="FQ309" s="243"/>
      <c r="FR309" s="243"/>
      <c r="FS309" s="243"/>
      <c r="FT309" s="243"/>
      <c r="FU309" s="243"/>
      <c r="FV309" s="243"/>
      <c r="FW309" s="243"/>
      <c r="FX309" s="243"/>
      <c r="FY309" s="243"/>
      <c r="FZ309" s="243"/>
      <c r="GA309" s="243"/>
      <c r="GB309" s="243"/>
      <c r="GC309" s="243"/>
      <c r="GD309" s="243"/>
      <c r="GE309" s="243"/>
      <c r="GF309" s="243"/>
      <c r="GG309" s="243"/>
      <c r="GH309" s="243"/>
      <c r="GI309" s="243"/>
      <c r="GJ309" s="243"/>
      <c r="GK309" s="243"/>
      <c r="GL309" s="243"/>
      <c r="GM309" s="243"/>
      <c r="GN309" s="243"/>
      <c r="GO309" s="243"/>
      <c r="GP309" s="243"/>
      <c r="GQ309" s="243"/>
      <c r="GR309" s="243"/>
      <c r="GS309" s="243"/>
      <c r="GT309" s="243"/>
    </row>
    <row r="310" spans="1:202" s="79" customFormat="1" ht="11.25" customHeight="1">
      <c r="A310" s="196"/>
      <c r="B310" s="84" t="s">
        <v>332</v>
      </c>
      <c r="C310" s="221"/>
      <c r="D310" s="78"/>
      <c r="E310" s="82">
        <v>3697.5</v>
      </c>
      <c r="F310" s="82">
        <v>1689.17</v>
      </c>
      <c r="G310" s="177">
        <f t="shared" si="689"/>
        <v>2008.33</v>
      </c>
      <c r="H310" s="82">
        <v>3697.5</v>
      </c>
      <c r="I310" s="82">
        <v>1689.17</v>
      </c>
      <c r="J310" s="210">
        <f t="shared" si="739"/>
        <v>2008.33</v>
      </c>
      <c r="K310" s="255">
        <v>276.65899999999999</v>
      </c>
      <c r="L310" s="255">
        <v>277.048</v>
      </c>
      <c r="M310" s="255"/>
      <c r="N310" s="287">
        <f t="shared" si="715"/>
        <v>553.70699999999999</v>
      </c>
      <c r="O310" s="276"/>
      <c r="P310" s="276"/>
      <c r="Q310" s="294"/>
      <c r="R310" s="287"/>
      <c r="S310" s="294"/>
      <c r="T310" s="267"/>
      <c r="U310" s="276"/>
      <c r="V310" s="276"/>
      <c r="W310" s="294"/>
      <c r="X310" s="273"/>
      <c r="Y310" s="142"/>
      <c r="Z310" s="276"/>
      <c r="AA310" s="276"/>
      <c r="AB310" s="276"/>
      <c r="AC310" s="276"/>
      <c r="AD310" s="276"/>
      <c r="AE310" s="276"/>
      <c r="AF310" s="287">
        <f t="shared" si="740"/>
        <v>0</v>
      </c>
      <c r="AG310" s="283">
        <f t="shared" ref="AG310:AG341" si="742">AF310+Y310+R310+N310</f>
        <v>553.70699999999999</v>
      </c>
      <c r="AH310" s="230">
        <f t="shared" si="720"/>
        <v>555622.56946999999</v>
      </c>
      <c r="AI310" s="230">
        <f t="shared" si="721"/>
        <v>556403.80984</v>
      </c>
      <c r="AJ310" s="230">
        <f t="shared" si="722"/>
        <v>0</v>
      </c>
      <c r="AK310" s="261">
        <f t="shared" si="738"/>
        <v>1112026.37931</v>
      </c>
      <c r="AL310" s="230">
        <f t="shared" si="723"/>
        <v>0</v>
      </c>
      <c r="AM310" s="230">
        <f t="shared" si="724"/>
        <v>0</v>
      </c>
      <c r="AN310" s="230">
        <f t="shared" si="725"/>
        <v>0</v>
      </c>
      <c r="AO310" s="261"/>
      <c r="AP310" s="230">
        <f t="shared" si="726"/>
        <v>0</v>
      </c>
      <c r="AQ310" s="230">
        <f t="shared" si="727"/>
        <v>0</v>
      </c>
      <c r="AR310" s="230">
        <f t="shared" si="728"/>
        <v>0</v>
      </c>
      <c r="AS310" s="230">
        <f t="shared" si="729"/>
        <v>0</v>
      </c>
      <c r="AT310" s="230">
        <f t="shared" si="730"/>
        <v>0</v>
      </c>
      <c r="AU310" s="230">
        <f t="shared" si="731"/>
        <v>0</v>
      </c>
      <c r="AV310" s="261"/>
      <c r="AW310" s="230">
        <f t="shared" si="732"/>
        <v>0</v>
      </c>
      <c r="AX310" s="230">
        <f t="shared" si="733"/>
        <v>0</v>
      </c>
      <c r="AY310" s="230">
        <f t="shared" si="734"/>
        <v>0</v>
      </c>
      <c r="AZ310" s="230">
        <f t="shared" si="735"/>
        <v>0</v>
      </c>
      <c r="BA310" s="230">
        <f t="shared" si="736"/>
        <v>0</v>
      </c>
      <c r="BB310" s="230">
        <f t="shared" si="737"/>
        <v>0</v>
      </c>
      <c r="BC310" s="261">
        <f t="shared" si="741"/>
        <v>0</v>
      </c>
      <c r="BD310" s="239">
        <f t="shared" si="684"/>
        <v>1112026.37931</v>
      </c>
      <c r="BE310" s="243"/>
      <c r="BF310" s="243"/>
      <c r="BG310" s="243"/>
      <c r="BH310" s="243"/>
      <c r="BI310" s="243"/>
      <c r="BJ310" s="243"/>
      <c r="BK310" s="243"/>
      <c r="BL310" s="243"/>
      <c r="BM310" s="243"/>
      <c r="BN310" s="243"/>
      <c r="BO310" s="243"/>
      <c r="BP310" s="243"/>
      <c r="BQ310" s="243"/>
      <c r="BR310" s="243"/>
      <c r="BS310" s="243"/>
      <c r="BT310" s="243"/>
      <c r="BU310" s="243"/>
      <c r="BV310" s="243"/>
      <c r="BW310" s="243"/>
      <c r="BX310" s="243"/>
      <c r="BY310" s="243"/>
      <c r="BZ310" s="243"/>
      <c r="CA310" s="243"/>
      <c r="CB310" s="243"/>
      <c r="CC310" s="243"/>
      <c r="CD310" s="243"/>
      <c r="CE310" s="243"/>
      <c r="CF310" s="243"/>
      <c r="CG310" s="243"/>
      <c r="CH310" s="243"/>
      <c r="CI310" s="243"/>
      <c r="CJ310" s="243"/>
      <c r="CK310" s="243"/>
      <c r="CL310" s="243"/>
      <c r="CM310" s="243"/>
      <c r="CN310" s="243"/>
      <c r="CO310" s="243"/>
      <c r="CP310" s="243"/>
      <c r="CQ310" s="243"/>
      <c r="CR310" s="243"/>
      <c r="CS310" s="243"/>
      <c r="CT310" s="243"/>
      <c r="CU310" s="243"/>
      <c r="CV310" s="243"/>
      <c r="CW310" s="243"/>
      <c r="CX310" s="243"/>
      <c r="CY310" s="243"/>
      <c r="CZ310" s="243"/>
      <c r="DA310" s="243"/>
      <c r="DB310" s="243"/>
      <c r="DC310" s="243"/>
      <c r="DD310" s="243"/>
      <c r="DE310" s="243"/>
      <c r="DF310" s="243"/>
      <c r="DG310" s="243"/>
      <c r="DH310" s="243"/>
      <c r="DI310" s="243"/>
      <c r="DJ310" s="243"/>
      <c r="DK310" s="243"/>
      <c r="DL310" s="243"/>
      <c r="DM310" s="243"/>
      <c r="DN310" s="243"/>
      <c r="DO310" s="243"/>
      <c r="DP310" s="243"/>
      <c r="DQ310" s="243"/>
      <c r="DR310" s="243"/>
      <c r="DS310" s="243"/>
      <c r="DT310" s="243"/>
      <c r="DU310" s="243"/>
      <c r="DV310" s="243"/>
      <c r="DW310" s="243"/>
      <c r="DX310" s="243"/>
      <c r="DY310" s="243"/>
      <c r="DZ310" s="243"/>
      <c r="EA310" s="243"/>
      <c r="EB310" s="243"/>
      <c r="EC310" s="243"/>
      <c r="ED310" s="243"/>
      <c r="EE310" s="243"/>
      <c r="EF310" s="243"/>
      <c r="EG310" s="243"/>
      <c r="EH310" s="243"/>
      <c r="EI310" s="243"/>
      <c r="EJ310" s="243"/>
      <c r="EK310" s="243"/>
      <c r="EL310" s="243"/>
      <c r="EM310" s="243"/>
      <c r="EN310" s="243"/>
      <c r="EO310" s="243"/>
      <c r="EP310" s="243"/>
      <c r="EQ310" s="243"/>
      <c r="ER310" s="243"/>
      <c r="ES310" s="243"/>
      <c r="ET310" s="243"/>
      <c r="EU310" s="243"/>
      <c r="EV310" s="243"/>
      <c r="EW310" s="243"/>
      <c r="EX310" s="243"/>
      <c r="EY310" s="243"/>
      <c r="EZ310" s="243"/>
      <c r="FA310" s="243"/>
      <c r="FB310" s="243"/>
      <c r="FC310" s="243"/>
      <c r="FD310" s="243"/>
      <c r="FE310" s="243"/>
      <c r="FF310" s="243"/>
      <c r="FG310" s="243"/>
      <c r="FH310" s="243"/>
      <c r="FI310" s="243"/>
      <c r="FJ310" s="243"/>
      <c r="FK310" s="243"/>
      <c r="FL310" s="243"/>
      <c r="FM310" s="243"/>
      <c r="FN310" s="243"/>
      <c r="FO310" s="243"/>
      <c r="FP310" s="243"/>
      <c r="FQ310" s="243"/>
      <c r="FR310" s="243"/>
      <c r="FS310" s="243"/>
      <c r="FT310" s="243"/>
      <c r="FU310" s="243"/>
      <c r="FV310" s="243"/>
      <c r="FW310" s="243"/>
      <c r="FX310" s="243"/>
      <c r="FY310" s="243"/>
      <c r="FZ310" s="243"/>
      <c r="GA310" s="243"/>
      <c r="GB310" s="243"/>
      <c r="GC310" s="243"/>
      <c r="GD310" s="243"/>
      <c r="GE310" s="243"/>
      <c r="GF310" s="243"/>
      <c r="GG310" s="243"/>
      <c r="GH310" s="243"/>
      <c r="GI310" s="243"/>
      <c r="GJ310" s="243"/>
      <c r="GK310" s="243"/>
      <c r="GL310" s="243"/>
      <c r="GM310" s="243"/>
      <c r="GN310" s="243"/>
      <c r="GO310" s="243"/>
      <c r="GP310" s="243"/>
      <c r="GQ310" s="243"/>
      <c r="GR310" s="243"/>
      <c r="GS310" s="243"/>
      <c r="GT310" s="243"/>
    </row>
    <row r="311" spans="1:202" s="79" customFormat="1" ht="11.25" customHeight="1">
      <c r="A311" s="196"/>
      <c r="B311" s="84" t="s">
        <v>587</v>
      </c>
      <c r="C311" s="221"/>
      <c r="D311" s="78"/>
      <c r="E311" s="82">
        <v>3697.5</v>
      </c>
      <c r="F311" s="82">
        <v>1580</v>
      </c>
      <c r="G311" s="177">
        <f t="shared" si="689"/>
        <v>2117.5</v>
      </c>
      <c r="H311" s="82">
        <v>3697.5</v>
      </c>
      <c r="I311" s="82">
        <v>1580</v>
      </c>
      <c r="J311" s="210">
        <f t="shared" si="739"/>
        <v>2117.5</v>
      </c>
      <c r="K311" s="255">
        <v>232.767</v>
      </c>
      <c r="L311" s="255">
        <v>232.767</v>
      </c>
      <c r="M311" s="255"/>
      <c r="N311" s="287">
        <f t="shared" si="715"/>
        <v>465.53399999999999</v>
      </c>
      <c r="O311" s="276"/>
      <c r="P311" s="276"/>
      <c r="Q311" s="294"/>
      <c r="R311" s="287"/>
      <c r="S311" s="294"/>
      <c r="T311" s="267"/>
      <c r="U311" s="276"/>
      <c r="V311" s="276"/>
      <c r="W311" s="294"/>
      <c r="X311" s="273"/>
      <c r="Y311" s="142"/>
      <c r="Z311" s="276"/>
      <c r="AA311" s="276"/>
      <c r="AB311" s="276"/>
      <c r="AC311" s="276"/>
      <c r="AD311" s="276"/>
      <c r="AE311" s="276"/>
      <c r="AF311" s="287">
        <f t="shared" si="740"/>
        <v>0</v>
      </c>
      <c r="AG311" s="283">
        <f t="shared" si="742"/>
        <v>465.53399999999999</v>
      </c>
      <c r="AH311" s="230">
        <f t="shared" si="720"/>
        <v>492884.1225</v>
      </c>
      <c r="AI311" s="230">
        <f t="shared" si="721"/>
        <v>492884.1225</v>
      </c>
      <c r="AJ311" s="230">
        <f t="shared" si="722"/>
        <v>0</v>
      </c>
      <c r="AK311" s="261">
        <f t="shared" si="738"/>
        <v>985768.245</v>
      </c>
      <c r="AL311" s="230">
        <f t="shared" si="723"/>
        <v>0</v>
      </c>
      <c r="AM311" s="230">
        <f t="shared" si="724"/>
        <v>0</v>
      </c>
      <c r="AN311" s="230">
        <f t="shared" si="725"/>
        <v>0</v>
      </c>
      <c r="AO311" s="261"/>
      <c r="AP311" s="230">
        <f t="shared" si="726"/>
        <v>0</v>
      </c>
      <c r="AQ311" s="230">
        <f t="shared" si="727"/>
        <v>0</v>
      </c>
      <c r="AR311" s="230">
        <f t="shared" si="728"/>
        <v>0</v>
      </c>
      <c r="AS311" s="230">
        <f t="shared" si="729"/>
        <v>0</v>
      </c>
      <c r="AT311" s="230">
        <f t="shared" si="730"/>
        <v>0</v>
      </c>
      <c r="AU311" s="230">
        <f t="shared" si="731"/>
        <v>0</v>
      </c>
      <c r="AV311" s="261"/>
      <c r="AW311" s="230">
        <f t="shared" si="732"/>
        <v>0</v>
      </c>
      <c r="AX311" s="230">
        <f t="shared" si="733"/>
        <v>0</v>
      </c>
      <c r="AY311" s="230">
        <f t="shared" si="734"/>
        <v>0</v>
      </c>
      <c r="AZ311" s="230">
        <f t="shared" si="735"/>
        <v>0</v>
      </c>
      <c r="BA311" s="230">
        <f t="shared" si="736"/>
        <v>0</v>
      </c>
      <c r="BB311" s="230">
        <f t="shared" si="737"/>
        <v>0</v>
      </c>
      <c r="BC311" s="261">
        <f t="shared" si="741"/>
        <v>0</v>
      </c>
      <c r="BD311" s="239">
        <f t="shared" si="684"/>
        <v>985768.245</v>
      </c>
      <c r="BE311" s="243"/>
      <c r="BF311" s="243"/>
      <c r="BG311" s="243"/>
      <c r="BH311" s="243"/>
      <c r="BI311" s="243"/>
      <c r="BJ311" s="243"/>
      <c r="BK311" s="243"/>
      <c r="BL311" s="243"/>
      <c r="BM311" s="243"/>
      <c r="BN311" s="243"/>
      <c r="BO311" s="243"/>
      <c r="BP311" s="243"/>
      <c r="BQ311" s="243"/>
      <c r="BR311" s="243"/>
      <c r="BS311" s="243"/>
      <c r="BT311" s="243"/>
      <c r="BU311" s="243"/>
      <c r="BV311" s="243"/>
      <c r="BW311" s="243"/>
      <c r="BX311" s="243"/>
      <c r="BY311" s="243"/>
      <c r="BZ311" s="243"/>
      <c r="CA311" s="243"/>
      <c r="CB311" s="243"/>
      <c r="CC311" s="243"/>
      <c r="CD311" s="243"/>
      <c r="CE311" s="243"/>
      <c r="CF311" s="243"/>
      <c r="CG311" s="243"/>
      <c r="CH311" s="243"/>
      <c r="CI311" s="243"/>
      <c r="CJ311" s="243"/>
      <c r="CK311" s="243"/>
      <c r="CL311" s="243"/>
      <c r="CM311" s="243"/>
      <c r="CN311" s="243"/>
      <c r="CO311" s="243"/>
      <c r="CP311" s="243"/>
      <c r="CQ311" s="243"/>
      <c r="CR311" s="243"/>
      <c r="CS311" s="243"/>
      <c r="CT311" s="243"/>
      <c r="CU311" s="243"/>
      <c r="CV311" s="243"/>
      <c r="CW311" s="243"/>
      <c r="CX311" s="243"/>
      <c r="CY311" s="243"/>
      <c r="CZ311" s="243"/>
      <c r="DA311" s="243"/>
      <c r="DB311" s="243"/>
      <c r="DC311" s="243"/>
      <c r="DD311" s="243"/>
      <c r="DE311" s="243"/>
      <c r="DF311" s="243"/>
      <c r="DG311" s="243"/>
      <c r="DH311" s="243"/>
      <c r="DI311" s="243"/>
      <c r="DJ311" s="243"/>
      <c r="DK311" s="243"/>
      <c r="DL311" s="243"/>
      <c r="DM311" s="243"/>
      <c r="DN311" s="243"/>
      <c r="DO311" s="243"/>
      <c r="DP311" s="243"/>
      <c r="DQ311" s="243"/>
      <c r="DR311" s="243"/>
      <c r="DS311" s="243"/>
      <c r="DT311" s="243"/>
      <c r="DU311" s="243"/>
      <c r="DV311" s="243"/>
      <c r="DW311" s="243"/>
      <c r="DX311" s="243"/>
      <c r="DY311" s="243"/>
      <c r="DZ311" s="243"/>
      <c r="EA311" s="243"/>
      <c r="EB311" s="243"/>
      <c r="EC311" s="243"/>
      <c r="ED311" s="243"/>
      <c r="EE311" s="243"/>
      <c r="EF311" s="243"/>
      <c r="EG311" s="243"/>
      <c r="EH311" s="243"/>
      <c r="EI311" s="243"/>
      <c r="EJ311" s="243"/>
      <c r="EK311" s="243"/>
      <c r="EL311" s="243"/>
      <c r="EM311" s="243"/>
      <c r="EN311" s="243"/>
      <c r="EO311" s="243"/>
      <c r="EP311" s="243"/>
      <c r="EQ311" s="243"/>
      <c r="ER311" s="243"/>
      <c r="ES311" s="243"/>
      <c r="ET311" s="243"/>
      <c r="EU311" s="243"/>
      <c r="EV311" s="243"/>
      <c r="EW311" s="243"/>
      <c r="EX311" s="243"/>
      <c r="EY311" s="243"/>
      <c r="EZ311" s="243"/>
      <c r="FA311" s="243"/>
      <c r="FB311" s="243"/>
      <c r="FC311" s="243"/>
      <c r="FD311" s="243"/>
      <c r="FE311" s="243"/>
      <c r="FF311" s="243"/>
      <c r="FG311" s="243"/>
      <c r="FH311" s="243"/>
      <c r="FI311" s="243"/>
      <c r="FJ311" s="243"/>
      <c r="FK311" s="243"/>
      <c r="FL311" s="243"/>
      <c r="FM311" s="243"/>
      <c r="FN311" s="243"/>
      <c r="FO311" s="243"/>
      <c r="FP311" s="243"/>
      <c r="FQ311" s="243"/>
      <c r="FR311" s="243"/>
      <c r="FS311" s="243"/>
      <c r="FT311" s="243"/>
      <c r="FU311" s="243"/>
      <c r="FV311" s="243"/>
      <c r="FW311" s="243"/>
      <c r="FX311" s="243"/>
      <c r="FY311" s="243"/>
      <c r="FZ311" s="243"/>
      <c r="GA311" s="243"/>
      <c r="GB311" s="243"/>
      <c r="GC311" s="243"/>
      <c r="GD311" s="243"/>
      <c r="GE311" s="243"/>
      <c r="GF311" s="243"/>
      <c r="GG311" s="243"/>
      <c r="GH311" s="243"/>
      <c r="GI311" s="243"/>
      <c r="GJ311" s="243"/>
      <c r="GK311" s="243"/>
      <c r="GL311" s="243"/>
      <c r="GM311" s="243"/>
      <c r="GN311" s="243"/>
      <c r="GO311" s="243"/>
      <c r="GP311" s="243"/>
      <c r="GQ311" s="243"/>
      <c r="GR311" s="243"/>
      <c r="GS311" s="243"/>
      <c r="GT311" s="243"/>
    </row>
    <row r="312" spans="1:202" s="79" customFormat="1" ht="11.25" customHeight="1">
      <c r="A312" s="196"/>
      <c r="B312" s="84" t="s">
        <v>264</v>
      </c>
      <c r="C312" s="221"/>
      <c r="D312" s="78"/>
      <c r="E312" s="82">
        <v>3697.5</v>
      </c>
      <c r="F312" s="82">
        <v>1580</v>
      </c>
      <c r="G312" s="177">
        <f t="shared" si="689"/>
        <v>2117.5</v>
      </c>
      <c r="H312" s="82">
        <v>3697.5</v>
      </c>
      <c r="I312" s="82">
        <v>1580</v>
      </c>
      <c r="J312" s="210">
        <f t="shared" si="739"/>
        <v>2117.5</v>
      </c>
      <c r="K312" s="255">
        <v>540.65</v>
      </c>
      <c r="L312" s="255">
        <v>538.77</v>
      </c>
      <c r="M312" s="255"/>
      <c r="N312" s="287">
        <f t="shared" si="715"/>
        <v>1079.42</v>
      </c>
      <c r="O312" s="276"/>
      <c r="P312" s="276"/>
      <c r="Q312" s="294"/>
      <c r="R312" s="287"/>
      <c r="S312" s="294"/>
      <c r="T312" s="267"/>
      <c r="U312" s="276"/>
      <c r="V312" s="276"/>
      <c r="W312" s="294"/>
      <c r="X312" s="273"/>
      <c r="Y312" s="142"/>
      <c r="Z312" s="276"/>
      <c r="AA312" s="276"/>
      <c r="AB312" s="276"/>
      <c r="AC312" s="276"/>
      <c r="AD312" s="276"/>
      <c r="AE312" s="276"/>
      <c r="AF312" s="287">
        <f t="shared" si="740"/>
        <v>0</v>
      </c>
      <c r="AG312" s="283">
        <f t="shared" si="742"/>
        <v>1079.42</v>
      </c>
      <c r="AH312" s="230">
        <f t="shared" si="720"/>
        <v>1144826.375</v>
      </c>
      <c r="AI312" s="230">
        <f t="shared" si="721"/>
        <v>1140845.4749999999</v>
      </c>
      <c r="AJ312" s="230">
        <f t="shared" si="722"/>
        <v>0</v>
      </c>
      <c r="AK312" s="261">
        <f t="shared" si="738"/>
        <v>2285671.8499999996</v>
      </c>
      <c r="AL312" s="230">
        <f t="shared" si="723"/>
        <v>0</v>
      </c>
      <c r="AM312" s="230">
        <f t="shared" si="724"/>
        <v>0</v>
      </c>
      <c r="AN312" s="230">
        <f t="shared" si="725"/>
        <v>0</v>
      </c>
      <c r="AO312" s="261"/>
      <c r="AP312" s="230">
        <f t="shared" si="726"/>
        <v>0</v>
      </c>
      <c r="AQ312" s="230">
        <f t="shared" si="727"/>
        <v>0</v>
      </c>
      <c r="AR312" s="230">
        <f t="shared" si="728"/>
        <v>0</v>
      </c>
      <c r="AS312" s="230">
        <f t="shared" si="729"/>
        <v>0</v>
      </c>
      <c r="AT312" s="230">
        <f t="shared" si="730"/>
        <v>0</v>
      </c>
      <c r="AU312" s="230">
        <f t="shared" si="731"/>
        <v>0</v>
      </c>
      <c r="AV312" s="261"/>
      <c r="AW312" s="230">
        <f t="shared" si="732"/>
        <v>0</v>
      </c>
      <c r="AX312" s="230">
        <f t="shared" si="733"/>
        <v>0</v>
      </c>
      <c r="AY312" s="230">
        <f t="shared" si="734"/>
        <v>0</v>
      </c>
      <c r="AZ312" s="230">
        <f t="shared" si="735"/>
        <v>0</v>
      </c>
      <c r="BA312" s="230">
        <f t="shared" si="736"/>
        <v>0</v>
      </c>
      <c r="BB312" s="230">
        <f t="shared" si="737"/>
        <v>0</v>
      </c>
      <c r="BC312" s="261">
        <f t="shared" si="741"/>
        <v>0</v>
      </c>
      <c r="BD312" s="239">
        <f t="shared" si="684"/>
        <v>2285671.8499999996</v>
      </c>
      <c r="BE312" s="243"/>
      <c r="BF312" s="243"/>
      <c r="BG312" s="243"/>
      <c r="BH312" s="243"/>
      <c r="BI312" s="243"/>
      <c r="BJ312" s="243"/>
      <c r="BK312" s="243"/>
      <c r="BL312" s="243"/>
      <c r="BM312" s="243"/>
      <c r="BN312" s="243"/>
      <c r="BO312" s="243"/>
      <c r="BP312" s="243"/>
      <c r="BQ312" s="243"/>
      <c r="BR312" s="243"/>
      <c r="BS312" s="243"/>
      <c r="BT312" s="243"/>
      <c r="BU312" s="243"/>
      <c r="BV312" s="243"/>
      <c r="BW312" s="243"/>
      <c r="BX312" s="243"/>
      <c r="BY312" s="243"/>
      <c r="BZ312" s="243"/>
      <c r="CA312" s="243"/>
      <c r="CB312" s="243"/>
      <c r="CC312" s="243"/>
      <c r="CD312" s="243"/>
      <c r="CE312" s="243"/>
      <c r="CF312" s="243"/>
      <c r="CG312" s="243"/>
      <c r="CH312" s="243"/>
      <c r="CI312" s="243"/>
      <c r="CJ312" s="243"/>
      <c r="CK312" s="243"/>
      <c r="CL312" s="243"/>
      <c r="CM312" s="243"/>
      <c r="CN312" s="243"/>
      <c r="CO312" s="243"/>
      <c r="CP312" s="243"/>
      <c r="CQ312" s="243"/>
      <c r="CR312" s="243"/>
      <c r="CS312" s="243"/>
      <c r="CT312" s="243"/>
      <c r="CU312" s="243"/>
      <c r="CV312" s="243"/>
      <c r="CW312" s="243"/>
      <c r="CX312" s="243"/>
      <c r="CY312" s="243"/>
      <c r="CZ312" s="243"/>
      <c r="DA312" s="243"/>
      <c r="DB312" s="243"/>
      <c r="DC312" s="243"/>
      <c r="DD312" s="243"/>
      <c r="DE312" s="243"/>
      <c r="DF312" s="243"/>
      <c r="DG312" s="243"/>
      <c r="DH312" s="243"/>
      <c r="DI312" s="243"/>
      <c r="DJ312" s="243"/>
      <c r="DK312" s="243"/>
      <c r="DL312" s="243"/>
      <c r="DM312" s="243"/>
      <c r="DN312" s="243"/>
      <c r="DO312" s="243"/>
      <c r="DP312" s="243"/>
      <c r="DQ312" s="243"/>
      <c r="DR312" s="243"/>
      <c r="DS312" s="243"/>
      <c r="DT312" s="243"/>
      <c r="DU312" s="243"/>
      <c r="DV312" s="243"/>
      <c r="DW312" s="243"/>
      <c r="DX312" s="243"/>
      <c r="DY312" s="243"/>
      <c r="DZ312" s="243"/>
      <c r="EA312" s="243"/>
      <c r="EB312" s="243"/>
      <c r="EC312" s="243"/>
      <c r="ED312" s="243"/>
      <c r="EE312" s="243"/>
      <c r="EF312" s="243"/>
      <c r="EG312" s="243"/>
      <c r="EH312" s="243"/>
      <c r="EI312" s="243"/>
      <c r="EJ312" s="243"/>
      <c r="EK312" s="243"/>
      <c r="EL312" s="243"/>
      <c r="EM312" s="243"/>
      <c r="EN312" s="243"/>
      <c r="EO312" s="243"/>
      <c r="EP312" s="243"/>
      <c r="EQ312" s="243"/>
      <c r="ER312" s="243"/>
      <c r="ES312" s="243"/>
      <c r="ET312" s="243"/>
      <c r="EU312" s="243"/>
      <c r="EV312" s="243"/>
      <c r="EW312" s="243"/>
      <c r="EX312" s="243"/>
      <c r="EY312" s="243"/>
      <c r="EZ312" s="243"/>
      <c r="FA312" s="243"/>
      <c r="FB312" s="243"/>
      <c r="FC312" s="243"/>
      <c r="FD312" s="243"/>
      <c r="FE312" s="243"/>
      <c r="FF312" s="243"/>
      <c r="FG312" s="243"/>
      <c r="FH312" s="243"/>
      <c r="FI312" s="243"/>
      <c r="FJ312" s="243"/>
      <c r="FK312" s="243"/>
      <c r="FL312" s="243"/>
      <c r="FM312" s="243"/>
      <c r="FN312" s="243"/>
      <c r="FO312" s="243"/>
      <c r="FP312" s="243"/>
      <c r="FQ312" s="243"/>
      <c r="FR312" s="243"/>
      <c r="FS312" s="243"/>
      <c r="FT312" s="243"/>
      <c r="FU312" s="243"/>
      <c r="FV312" s="243"/>
      <c r="FW312" s="243"/>
      <c r="FX312" s="243"/>
      <c r="FY312" s="243"/>
      <c r="FZ312" s="243"/>
      <c r="GA312" s="243"/>
      <c r="GB312" s="243"/>
      <c r="GC312" s="243"/>
      <c r="GD312" s="243"/>
      <c r="GE312" s="243"/>
      <c r="GF312" s="243"/>
      <c r="GG312" s="243"/>
      <c r="GH312" s="243"/>
      <c r="GI312" s="243"/>
      <c r="GJ312" s="243"/>
      <c r="GK312" s="243"/>
      <c r="GL312" s="243"/>
      <c r="GM312" s="243"/>
      <c r="GN312" s="243"/>
      <c r="GO312" s="243"/>
      <c r="GP312" s="243"/>
      <c r="GQ312" s="243"/>
      <c r="GR312" s="243"/>
      <c r="GS312" s="243"/>
      <c r="GT312" s="243"/>
    </row>
    <row r="313" spans="1:202" ht="12.75">
      <c r="A313" s="193" t="s">
        <v>26</v>
      </c>
      <c r="B313" s="182" t="s">
        <v>144</v>
      </c>
      <c r="C313" s="221" t="s">
        <v>216</v>
      </c>
      <c r="D313" s="73">
        <v>2907015570</v>
      </c>
      <c r="E313" s="82"/>
      <c r="F313" s="82"/>
      <c r="G313" s="177"/>
      <c r="H313" s="82"/>
      <c r="I313" s="82"/>
      <c r="J313" s="210"/>
      <c r="K313" s="254">
        <f>K314+K315</f>
        <v>324.846</v>
      </c>
      <c r="L313" s="254">
        <f>L314+L315</f>
        <v>303.08800000000002</v>
      </c>
      <c r="M313" s="254">
        <f>M314+M315</f>
        <v>0</v>
      </c>
      <c r="N313" s="284">
        <f>K313+L313+M313</f>
        <v>627.93399999999997</v>
      </c>
      <c r="O313" s="275">
        <f>O314</f>
        <v>0</v>
      </c>
      <c r="P313" s="275">
        <f>P314</f>
        <v>0</v>
      </c>
      <c r="Q313" s="275">
        <f>Q314</f>
        <v>0</v>
      </c>
      <c r="R313" s="284">
        <f>O313+P313+Q313</f>
        <v>0</v>
      </c>
      <c r="S313" s="293">
        <f t="shared" ref="S313:X313" si="743">S314</f>
        <v>0</v>
      </c>
      <c r="T313" s="293">
        <f t="shared" si="743"/>
        <v>0</v>
      </c>
      <c r="U313" s="293">
        <f t="shared" si="743"/>
        <v>0</v>
      </c>
      <c r="V313" s="293">
        <f t="shared" si="743"/>
        <v>0</v>
      </c>
      <c r="W313" s="293">
        <f t="shared" si="743"/>
        <v>0</v>
      </c>
      <c r="X313" s="293">
        <f t="shared" si="743"/>
        <v>0</v>
      </c>
      <c r="Y313" s="284">
        <f>SUM(S313:X313)</f>
        <v>0</v>
      </c>
      <c r="Z313" s="275">
        <f t="shared" ref="Z313:AE313" si="744">Z314</f>
        <v>0</v>
      </c>
      <c r="AA313" s="275">
        <f t="shared" si="744"/>
        <v>0</v>
      </c>
      <c r="AB313" s="275">
        <f t="shared" si="744"/>
        <v>0</v>
      </c>
      <c r="AC313" s="275">
        <f t="shared" si="744"/>
        <v>0</v>
      </c>
      <c r="AD313" s="275">
        <f t="shared" si="744"/>
        <v>0</v>
      </c>
      <c r="AE313" s="275">
        <f t="shared" si="744"/>
        <v>0</v>
      </c>
      <c r="AF313" s="284">
        <f>SUM(Z313:AE313)</f>
        <v>0</v>
      </c>
      <c r="AG313" s="282">
        <f t="shared" si="742"/>
        <v>627.93399999999997</v>
      </c>
      <c r="AH313" s="232">
        <f>AH314+AH315</f>
        <v>2454968.4211800001</v>
      </c>
      <c r="AI313" s="232">
        <f>AI314+AI315</f>
        <v>2290536.0350400005</v>
      </c>
      <c r="AJ313" s="232">
        <f>AJ314</f>
        <v>0</v>
      </c>
      <c r="AK313" s="260">
        <f>AH313+AI313+AJ313</f>
        <v>4745504.456220001</v>
      </c>
      <c r="AL313" s="232">
        <f>AL314</f>
        <v>0</v>
      </c>
      <c r="AM313" s="232">
        <f>AM314</f>
        <v>0</v>
      </c>
      <c r="AN313" s="232">
        <f>AN314</f>
        <v>0</v>
      </c>
      <c r="AO313" s="260">
        <f>SUM(AL313:AN313)</f>
        <v>0</v>
      </c>
      <c r="AP313" s="232">
        <f t="shared" ref="AP313:AU313" si="745">AP314</f>
        <v>0</v>
      </c>
      <c r="AQ313" s="232">
        <f t="shared" si="745"/>
        <v>0</v>
      </c>
      <c r="AR313" s="232">
        <f t="shared" si="745"/>
        <v>0</v>
      </c>
      <c r="AS313" s="232">
        <f t="shared" si="745"/>
        <v>0</v>
      </c>
      <c r="AT313" s="232">
        <f t="shared" si="745"/>
        <v>0</v>
      </c>
      <c r="AU313" s="232">
        <f t="shared" si="745"/>
        <v>0</v>
      </c>
      <c r="AV313" s="260">
        <f>SUM(AP313:AU313)</f>
        <v>0</v>
      </c>
      <c r="AW313" s="232">
        <f t="shared" ref="AW313:BB313" si="746">AW314</f>
        <v>0</v>
      </c>
      <c r="AX313" s="232">
        <f t="shared" si="746"/>
        <v>0</v>
      </c>
      <c r="AY313" s="232">
        <f t="shared" si="746"/>
        <v>0</v>
      </c>
      <c r="AZ313" s="232">
        <f t="shared" si="746"/>
        <v>0</v>
      </c>
      <c r="BA313" s="232">
        <f t="shared" si="746"/>
        <v>0</v>
      </c>
      <c r="BB313" s="232">
        <f t="shared" si="746"/>
        <v>0</v>
      </c>
      <c r="BC313" s="260">
        <f>SUM(AW313:BB313)</f>
        <v>0</v>
      </c>
      <c r="BD313" s="238">
        <f t="shared" si="684"/>
        <v>4745504.456220001</v>
      </c>
    </row>
    <row r="314" spans="1:202" s="79" customFormat="1" ht="11.25" customHeight="1">
      <c r="A314" s="196"/>
      <c r="B314" s="84" t="s">
        <v>577</v>
      </c>
      <c r="C314" s="221"/>
      <c r="D314" s="78"/>
      <c r="E314" s="82">
        <v>9955.33</v>
      </c>
      <c r="F314" s="82">
        <v>2398</v>
      </c>
      <c r="G314" s="177">
        <f t="shared" ref="G314:G320" si="747">E314-F314</f>
        <v>7557.33</v>
      </c>
      <c r="H314" s="82">
        <v>9955.33</v>
      </c>
      <c r="I314" s="82">
        <v>2398</v>
      </c>
      <c r="J314" s="210">
        <f>H314-I314</f>
        <v>7557.33</v>
      </c>
      <c r="K314" s="255">
        <v>303.233</v>
      </c>
      <c r="L314" s="255">
        <v>280.07100000000003</v>
      </c>
      <c r="M314" s="255"/>
      <c r="N314" s="287">
        <f>K314+L314+M314</f>
        <v>583.30400000000009</v>
      </c>
      <c r="O314" s="276"/>
      <c r="P314" s="276"/>
      <c r="Q314" s="294"/>
      <c r="R314" s="287"/>
      <c r="S314" s="294"/>
      <c r="T314" s="267"/>
      <c r="U314" s="276"/>
      <c r="V314" s="276"/>
      <c r="W314" s="294"/>
      <c r="X314" s="273"/>
      <c r="Y314" s="142"/>
      <c r="Z314" s="276"/>
      <c r="AA314" s="276"/>
      <c r="AB314" s="276"/>
      <c r="AC314" s="276"/>
      <c r="AD314" s="276"/>
      <c r="AE314" s="276"/>
      <c r="AF314" s="287">
        <f>SUM(Z314:AE314)</f>
        <v>0</v>
      </c>
      <c r="AG314" s="283">
        <f t="shared" si="742"/>
        <v>583.30400000000009</v>
      </c>
      <c r="AH314" s="230">
        <f>K314*$G314</f>
        <v>2291631.8478899999</v>
      </c>
      <c r="AI314" s="230">
        <f>L314*$G314</f>
        <v>2116588.9704300002</v>
      </c>
      <c r="AJ314" s="230">
        <f>M314*$G314</f>
        <v>0</v>
      </c>
      <c r="AK314" s="261">
        <f>AH314+AI314+AJ314</f>
        <v>4408220.8183200005</v>
      </c>
      <c r="AL314" s="230">
        <f>O314*$G314</f>
        <v>0</v>
      </c>
      <c r="AM314" s="230">
        <f>P314*$G314</f>
        <v>0</v>
      </c>
      <c r="AN314" s="230">
        <f>Q314*$G314</f>
        <v>0</v>
      </c>
      <c r="AO314" s="261"/>
      <c r="AP314" s="230">
        <f t="shared" ref="AP314:AU314" si="748">S314*$J314</f>
        <v>0</v>
      </c>
      <c r="AQ314" s="230">
        <f t="shared" si="748"/>
        <v>0</v>
      </c>
      <c r="AR314" s="230">
        <f t="shared" si="748"/>
        <v>0</v>
      </c>
      <c r="AS314" s="230">
        <f t="shared" si="748"/>
        <v>0</v>
      </c>
      <c r="AT314" s="230">
        <f t="shared" si="748"/>
        <v>0</v>
      </c>
      <c r="AU314" s="230">
        <f t="shared" si="748"/>
        <v>0</v>
      </c>
      <c r="AV314" s="261"/>
      <c r="AW314" s="230">
        <f t="shared" ref="AW314:BB314" si="749">Z314*$J314</f>
        <v>0</v>
      </c>
      <c r="AX314" s="230">
        <f t="shared" si="749"/>
        <v>0</v>
      </c>
      <c r="AY314" s="230">
        <f t="shared" si="749"/>
        <v>0</v>
      </c>
      <c r="AZ314" s="230">
        <f t="shared" si="749"/>
        <v>0</v>
      </c>
      <c r="BA314" s="230">
        <f t="shared" si="749"/>
        <v>0</v>
      </c>
      <c r="BB314" s="230">
        <f t="shared" si="749"/>
        <v>0</v>
      </c>
      <c r="BC314" s="261">
        <f>SUM(AW314:BB314)</f>
        <v>0</v>
      </c>
      <c r="BD314" s="239">
        <f t="shared" si="684"/>
        <v>4408220.8183200005</v>
      </c>
      <c r="BE314" s="243"/>
      <c r="BF314" s="243"/>
      <c r="BG314" s="243"/>
      <c r="BH314" s="243"/>
      <c r="BI314" s="243"/>
      <c r="BJ314" s="243"/>
      <c r="BK314" s="243"/>
      <c r="BL314" s="243"/>
      <c r="BM314" s="243"/>
      <c r="BN314" s="243"/>
      <c r="BO314" s="243"/>
      <c r="BP314" s="243"/>
      <c r="BQ314" s="243"/>
      <c r="BR314" s="243"/>
      <c r="BS314" s="243"/>
      <c r="BT314" s="243"/>
      <c r="BU314" s="243"/>
      <c r="BV314" s="243"/>
      <c r="BW314" s="243"/>
      <c r="BX314" s="243"/>
      <c r="BY314" s="243"/>
      <c r="BZ314" s="243"/>
      <c r="CA314" s="243"/>
      <c r="CB314" s="243"/>
      <c r="CC314" s="243"/>
      <c r="CD314" s="243"/>
      <c r="CE314" s="243"/>
      <c r="CF314" s="243"/>
      <c r="CG314" s="243"/>
      <c r="CH314" s="243"/>
      <c r="CI314" s="243"/>
      <c r="CJ314" s="243"/>
      <c r="CK314" s="243"/>
      <c r="CL314" s="243"/>
      <c r="CM314" s="243"/>
      <c r="CN314" s="243"/>
      <c r="CO314" s="243"/>
      <c r="CP314" s="243"/>
      <c r="CQ314" s="243"/>
      <c r="CR314" s="243"/>
      <c r="CS314" s="243"/>
      <c r="CT314" s="243"/>
      <c r="CU314" s="243"/>
      <c r="CV314" s="243"/>
      <c r="CW314" s="243"/>
      <c r="CX314" s="243"/>
      <c r="CY314" s="243"/>
      <c r="CZ314" s="243"/>
      <c r="DA314" s="243"/>
      <c r="DB314" s="243"/>
      <c r="DC314" s="243"/>
      <c r="DD314" s="243"/>
      <c r="DE314" s="243"/>
      <c r="DF314" s="243"/>
      <c r="DG314" s="243"/>
      <c r="DH314" s="243"/>
      <c r="DI314" s="243"/>
      <c r="DJ314" s="243"/>
      <c r="DK314" s="243"/>
      <c r="DL314" s="243"/>
      <c r="DM314" s="243"/>
      <c r="DN314" s="243"/>
      <c r="DO314" s="243"/>
      <c r="DP314" s="243"/>
      <c r="DQ314" s="243"/>
      <c r="DR314" s="243"/>
      <c r="DS314" s="243"/>
      <c r="DT314" s="243"/>
      <c r="DU314" s="243"/>
      <c r="DV314" s="243"/>
      <c r="DW314" s="243"/>
      <c r="DX314" s="243"/>
      <c r="DY314" s="243"/>
      <c r="DZ314" s="243"/>
      <c r="EA314" s="243"/>
      <c r="EB314" s="243"/>
      <c r="EC314" s="243"/>
      <c r="ED314" s="243"/>
      <c r="EE314" s="243"/>
      <c r="EF314" s="243"/>
      <c r="EG314" s="243"/>
      <c r="EH314" s="243"/>
      <c r="EI314" s="243"/>
      <c r="EJ314" s="243"/>
      <c r="EK314" s="243"/>
      <c r="EL314" s="243"/>
      <c r="EM314" s="243"/>
      <c r="EN314" s="243"/>
      <c r="EO314" s="243"/>
      <c r="EP314" s="243"/>
      <c r="EQ314" s="243"/>
      <c r="ER314" s="243"/>
      <c r="ES314" s="243"/>
      <c r="ET314" s="243"/>
      <c r="EU314" s="243"/>
      <c r="EV314" s="243"/>
      <c r="EW314" s="243"/>
      <c r="EX314" s="243"/>
      <c r="EY314" s="243"/>
      <c r="EZ314" s="243"/>
      <c r="FA314" s="243"/>
      <c r="FB314" s="243"/>
      <c r="FC314" s="243"/>
      <c r="FD314" s="243"/>
      <c r="FE314" s="243"/>
      <c r="FF314" s="243"/>
      <c r="FG314" s="243"/>
      <c r="FH314" s="243"/>
      <c r="FI314" s="243"/>
      <c r="FJ314" s="243"/>
      <c r="FK314" s="243"/>
      <c r="FL314" s="243"/>
      <c r="FM314" s="243"/>
      <c r="FN314" s="243"/>
      <c r="FO314" s="243"/>
      <c r="FP314" s="243"/>
      <c r="FQ314" s="243"/>
      <c r="FR314" s="243"/>
      <c r="FS314" s="243"/>
      <c r="FT314" s="243"/>
      <c r="FU314" s="243"/>
      <c r="FV314" s="243"/>
      <c r="FW314" s="243"/>
      <c r="FX314" s="243"/>
      <c r="FY314" s="243"/>
      <c r="FZ314" s="243"/>
      <c r="GA314" s="243"/>
      <c r="GB314" s="243"/>
      <c r="GC314" s="243"/>
      <c r="GD314" s="243"/>
      <c r="GE314" s="243"/>
      <c r="GF314" s="243"/>
      <c r="GG314" s="243"/>
      <c r="GH314" s="243"/>
      <c r="GI314" s="243"/>
      <c r="GJ314" s="243"/>
      <c r="GK314" s="243"/>
      <c r="GL314" s="243"/>
      <c r="GM314" s="243"/>
      <c r="GN314" s="243"/>
      <c r="GO314" s="243"/>
      <c r="GP314" s="243"/>
      <c r="GQ314" s="243"/>
      <c r="GR314" s="243"/>
      <c r="GS314" s="243"/>
      <c r="GT314" s="243"/>
    </row>
    <row r="315" spans="1:202" s="79" customFormat="1" ht="11.25" customHeight="1">
      <c r="A315" s="196"/>
      <c r="B315" s="84" t="s">
        <v>578</v>
      </c>
      <c r="C315" s="221"/>
      <c r="D315" s="78"/>
      <c r="E315" s="82">
        <v>9955.33</v>
      </c>
      <c r="F315" s="82">
        <v>2398</v>
      </c>
      <c r="G315" s="177">
        <f>E315-F315</f>
        <v>7557.33</v>
      </c>
      <c r="H315" s="82">
        <v>9955.33</v>
      </c>
      <c r="I315" s="82">
        <v>2398</v>
      </c>
      <c r="J315" s="210">
        <f>H315-I315</f>
        <v>7557.33</v>
      </c>
      <c r="K315" s="255">
        <v>21.613</v>
      </c>
      <c r="L315" s="255">
        <v>23.016999999999999</v>
      </c>
      <c r="M315" s="255"/>
      <c r="N315" s="287">
        <f>K315+L315+M315</f>
        <v>44.629999999999995</v>
      </c>
      <c r="O315" s="276"/>
      <c r="P315" s="276"/>
      <c r="Q315" s="294"/>
      <c r="R315" s="287"/>
      <c r="S315" s="294"/>
      <c r="T315" s="267"/>
      <c r="U315" s="276"/>
      <c r="V315" s="276"/>
      <c r="W315" s="294"/>
      <c r="X315" s="273"/>
      <c r="Y315" s="142"/>
      <c r="Z315" s="276"/>
      <c r="AA315" s="276"/>
      <c r="AB315" s="276"/>
      <c r="AC315" s="276"/>
      <c r="AD315" s="276"/>
      <c r="AE315" s="276"/>
      <c r="AF315" s="287"/>
      <c r="AG315" s="283">
        <f t="shared" si="742"/>
        <v>44.629999999999995</v>
      </c>
      <c r="AH315" s="230">
        <f>K315*$G315</f>
        <v>163336.57329</v>
      </c>
      <c r="AI315" s="230">
        <f>L315*$G315</f>
        <v>173947.06461</v>
      </c>
      <c r="AJ315" s="230"/>
      <c r="AK315" s="261">
        <f>AH315+AI315+AJ315</f>
        <v>337283.63789999997</v>
      </c>
      <c r="AL315" s="230"/>
      <c r="AM315" s="230"/>
      <c r="AN315" s="230"/>
      <c r="AO315" s="261"/>
      <c r="AP315" s="230"/>
      <c r="AQ315" s="230"/>
      <c r="AR315" s="230"/>
      <c r="AS315" s="230"/>
      <c r="AT315" s="230"/>
      <c r="AU315" s="230"/>
      <c r="AV315" s="261"/>
      <c r="AW315" s="230"/>
      <c r="AX315" s="230"/>
      <c r="AY315" s="230"/>
      <c r="AZ315" s="230"/>
      <c r="BA315" s="230"/>
      <c r="BB315" s="230"/>
      <c r="BC315" s="261"/>
      <c r="BD315" s="239">
        <f t="shared" si="684"/>
        <v>337283.63789999997</v>
      </c>
      <c r="BE315" s="243"/>
      <c r="BF315" s="243"/>
      <c r="BG315" s="243"/>
      <c r="BH315" s="243"/>
      <c r="BI315" s="243"/>
      <c r="BJ315" s="243"/>
      <c r="BK315" s="243"/>
      <c r="BL315" s="243"/>
      <c r="BM315" s="243"/>
      <c r="BN315" s="243"/>
      <c r="BO315" s="243"/>
      <c r="BP315" s="243"/>
      <c r="BQ315" s="243"/>
      <c r="BR315" s="243"/>
      <c r="BS315" s="243"/>
      <c r="BT315" s="243"/>
      <c r="BU315" s="243"/>
      <c r="BV315" s="243"/>
      <c r="BW315" s="243"/>
      <c r="BX315" s="243"/>
      <c r="BY315" s="243"/>
      <c r="BZ315" s="243"/>
      <c r="CA315" s="243"/>
      <c r="CB315" s="243"/>
      <c r="CC315" s="243"/>
      <c r="CD315" s="243"/>
      <c r="CE315" s="243"/>
      <c r="CF315" s="243"/>
      <c r="CG315" s="243"/>
      <c r="CH315" s="243"/>
      <c r="CI315" s="243"/>
      <c r="CJ315" s="243"/>
      <c r="CK315" s="243"/>
      <c r="CL315" s="243"/>
      <c r="CM315" s="243"/>
      <c r="CN315" s="243"/>
      <c r="CO315" s="243"/>
      <c r="CP315" s="243"/>
      <c r="CQ315" s="243"/>
      <c r="CR315" s="243"/>
      <c r="CS315" s="243"/>
      <c r="CT315" s="243"/>
      <c r="CU315" s="243"/>
      <c r="CV315" s="243"/>
      <c r="CW315" s="243"/>
      <c r="CX315" s="243"/>
      <c r="CY315" s="243"/>
      <c r="CZ315" s="243"/>
      <c r="DA315" s="243"/>
      <c r="DB315" s="243"/>
      <c r="DC315" s="243"/>
      <c r="DD315" s="243"/>
      <c r="DE315" s="243"/>
      <c r="DF315" s="243"/>
      <c r="DG315" s="243"/>
      <c r="DH315" s="243"/>
      <c r="DI315" s="243"/>
      <c r="DJ315" s="243"/>
      <c r="DK315" s="243"/>
      <c r="DL315" s="243"/>
      <c r="DM315" s="243"/>
      <c r="DN315" s="243"/>
      <c r="DO315" s="243"/>
      <c r="DP315" s="243"/>
      <c r="DQ315" s="243"/>
      <c r="DR315" s="243"/>
      <c r="DS315" s="243"/>
      <c r="DT315" s="243"/>
      <c r="DU315" s="243"/>
      <c r="DV315" s="243"/>
      <c r="DW315" s="243"/>
      <c r="DX315" s="243"/>
      <c r="DY315" s="243"/>
      <c r="DZ315" s="243"/>
      <c r="EA315" s="243"/>
      <c r="EB315" s="243"/>
      <c r="EC315" s="243"/>
      <c r="ED315" s="243"/>
      <c r="EE315" s="243"/>
      <c r="EF315" s="243"/>
      <c r="EG315" s="243"/>
      <c r="EH315" s="243"/>
      <c r="EI315" s="243"/>
      <c r="EJ315" s="243"/>
      <c r="EK315" s="243"/>
      <c r="EL315" s="243"/>
      <c r="EM315" s="243"/>
      <c r="EN315" s="243"/>
      <c r="EO315" s="243"/>
      <c r="EP315" s="243"/>
      <c r="EQ315" s="243"/>
      <c r="ER315" s="243"/>
      <c r="ES315" s="243"/>
      <c r="ET315" s="243"/>
      <c r="EU315" s="243"/>
      <c r="EV315" s="243"/>
      <c r="EW315" s="243"/>
      <c r="EX315" s="243"/>
      <c r="EY315" s="243"/>
      <c r="EZ315" s="243"/>
      <c r="FA315" s="243"/>
      <c r="FB315" s="243"/>
      <c r="FC315" s="243"/>
      <c r="FD315" s="243"/>
      <c r="FE315" s="243"/>
      <c r="FF315" s="243"/>
      <c r="FG315" s="243"/>
      <c r="FH315" s="243"/>
      <c r="FI315" s="243"/>
      <c r="FJ315" s="243"/>
      <c r="FK315" s="243"/>
      <c r="FL315" s="243"/>
      <c r="FM315" s="243"/>
      <c r="FN315" s="243"/>
      <c r="FO315" s="243"/>
      <c r="FP315" s="243"/>
      <c r="FQ315" s="243"/>
      <c r="FR315" s="243"/>
      <c r="FS315" s="243"/>
      <c r="FT315" s="243"/>
      <c r="FU315" s="243"/>
      <c r="FV315" s="243"/>
      <c r="FW315" s="243"/>
      <c r="FX315" s="243"/>
      <c r="FY315" s="243"/>
      <c r="FZ315" s="243"/>
      <c r="GA315" s="243"/>
      <c r="GB315" s="243"/>
      <c r="GC315" s="243"/>
      <c r="GD315" s="243"/>
      <c r="GE315" s="243"/>
      <c r="GF315" s="243"/>
      <c r="GG315" s="243"/>
      <c r="GH315" s="243"/>
      <c r="GI315" s="243"/>
      <c r="GJ315" s="243"/>
      <c r="GK315" s="243"/>
      <c r="GL315" s="243"/>
      <c r="GM315" s="243"/>
      <c r="GN315" s="243"/>
      <c r="GO315" s="243"/>
      <c r="GP315" s="243"/>
      <c r="GQ315" s="243"/>
      <c r="GR315" s="243"/>
      <c r="GS315" s="243"/>
      <c r="GT315" s="243"/>
    </row>
    <row r="316" spans="1:202" s="79" customFormat="1" ht="11.25" customHeight="1">
      <c r="A316" s="193" t="s">
        <v>26</v>
      </c>
      <c r="B316" s="182" t="s">
        <v>321</v>
      </c>
      <c r="C316" s="221" t="s">
        <v>257</v>
      </c>
      <c r="D316" s="73" t="s">
        <v>79</v>
      </c>
      <c r="E316" s="214"/>
      <c r="F316" s="214"/>
      <c r="G316" s="177"/>
      <c r="H316" s="214"/>
      <c r="I316" s="214"/>
      <c r="J316" s="210"/>
      <c r="K316" s="254">
        <f>SUM(K317:K318)</f>
        <v>230.43700000000001</v>
      </c>
      <c r="L316" s="254">
        <f>SUM(L317:L318)</f>
        <v>217.209</v>
      </c>
      <c r="M316" s="254">
        <f>SUM(M317:M318)</f>
        <v>0</v>
      </c>
      <c r="N316" s="284">
        <f>SUM(N317:N318)</f>
        <v>447.64600000000002</v>
      </c>
      <c r="O316" s="275">
        <f>SUM(O318:O318)</f>
        <v>0</v>
      </c>
      <c r="P316" s="275">
        <f>SUM(P318:P318)</f>
        <v>0</v>
      </c>
      <c r="Q316" s="275">
        <f>SUM(Q318:Q318)</f>
        <v>0</v>
      </c>
      <c r="R316" s="284">
        <f>O316+P316+Q316</f>
        <v>0</v>
      </c>
      <c r="S316" s="293">
        <f t="shared" ref="S316:X316" si="750">S318+S317</f>
        <v>0</v>
      </c>
      <c r="T316" s="293">
        <f t="shared" si="750"/>
        <v>0</v>
      </c>
      <c r="U316" s="293">
        <f t="shared" si="750"/>
        <v>0</v>
      </c>
      <c r="V316" s="293">
        <f t="shared" si="750"/>
        <v>0</v>
      </c>
      <c r="W316" s="293">
        <f t="shared" si="750"/>
        <v>0</v>
      </c>
      <c r="X316" s="293">
        <f t="shared" si="750"/>
        <v>0</v>
      </c>
      <c r="Y316" s="284">
        <f>SUM(S316:X316)</f>
        <v>0</v>
      </c>
      <c r="Z316" s="275">
        <f t="shared" ref="Z316:AE316" si="751">Z318+Z317</f>
        <v>0</v>
      </c>
      <c r="AA316" s="275">
        <f t="shared" si="751"/>
        <v>0</v>
      </c>
      <c r="AB316" s="275">
        <f t="shared" si="751"/>
        <v>0</v>
      </c>
      <c r="AC316" s="275">
        <f t="shared" si="751"/>
        <v>0</v>
      </c>
      <c r="AD316" s="275">
        <f t="shared" si="751"/>
        <v>0</v>
      </c>
      <c r="AE316" s="275">
        <f t="shared" si="751"/>
        <v>0</v>
      </c>
      <c r="AF316" s="284">
        <f>SUM(AF318:AF318)</f>
        <v>0</v>
      </c>
      <c r="AG316" s="282">
        <f t="shared" si="742"/>
        <v>447.64600000000002</v>
      </c>
      <c r="AH316" s="232">
        <f>AH318+AH317</f>
        <v>1241179.0011700001</v>
      </c>
      <c r="AI316" s="232">
        <f>AI318+AI317</f>
        <v>1150848.5786600001</v>
      </c>
      <c r="AJ316" s="232">
        <f>AJ318+AJ317</f>
        <v>0</v>
      </c>
      <c r="AK316" s="260">
        <f>AH316+AI316+AJ316</f>
        <v>2392027.5798300002</v>
      </c>
      <c r="AL316" s="232">
        <f>AL318+AL317</f>
        <v>0</v>
      </c>
      <c r="AM316" s="232">
        <f>AM318+AM317</f>
        <v>0</v>
      </c>
      <c r="AN316" s="232">
        <f>AN318+AN317</f>
        <v>0</v>
      </c>
      <c r="AO316" s="260">
        <f>SUM(AL316:AN316)</f>
        <v>0</v>
      </c>
      <c r="AP316" s="232">
        <f t="shared" ref="AP316:AU316" si="752">AP318+AP317</f>
        <v>0</v>
      </c>
      <c r="AQ316" s="232">
        <f t="shared" si="752"/>
        <v>0</v>
      </c>
      <c r="AR316" s="232">
        <f t="shared" si="752"/>
        <v>0</v>
      </c>
      <c r="AS316" s="232">
        <f t="shared" si="752"/>
        <v>0</v>
      </c>
      <c r="AT316" s="232">
        <f t="shared" si="752"/>
        <v>0</v>
      </c>
      <c r="AU316" s="232">
        <f t="shared" si="752"/>
        <v>0</v>
      </c>
      <c r="AV316" s="260">
        <f>SUM(AP316:AU316)</f>
        <v>0</v>
      </c>
      <c r="AW316" s="232">
        <f t="shared" ref="AW316:BB316" si="753">AW318+AW317</f>
        <v>0</v>
      </c>
      <c r="AX316" s="232">
        <f t="shared" si="753"/>
        <v>0</v>
      </c>
      <c r="AY316" s="232">
        <f t="shared" si="753"/>
        <v>0</v>
      </c>
      <c r="AZ316" s="232">
        <f t="shared" si="753"/>
        <v>0</v>
      </c>
      <c r="BA316" s="232">
        <f t="shared" si="753"/>
        <v>0</v>
      </c>
      <c r="BB316" s="232">
        <f t="shared" si="753"/>
        <v>0</v>
      </c>
      <c r="BC316" s="260">
        <f t="shared" ref="BC316:BC350" si="754">SUM(AW316:BB316)</f>
        <v>0</v>
      </c>
      <c r="BD316" s="238">
        <f t="shared" si="684"/>
        <v>2392027.5798300002</v>
      </c>
      <c r="BE316" s="13"/>
      <c r="BF316" s="243"/>
      <c r="BG316" s="243"/>
      <c r="BH316" s="243"/>
      <c r="BI316" s="243"/>
      <c r="BJ316" s="243"/>
      <c r="BK316" s="243"/>
      <c r="BL316" s="243"/>
      <c r="BM316" s="243"/>
      <c r="BN316" s="243"/>
      <c r="BO316" s="243"/>
      <c r="BP316" s="243"/>
      <c r="BQ316" s="243"/>
      <c r="BR316" s="243"/>
      <c r="BS316" s="243"/>
      <c r="BT316" s="243"/>
      <c r="BU316" s="243"/>
      <c r="BV316" s="243"/>
      <c r="BW316" s="243"/>
      <c r="BX316" s="243"/>
      <c r="BY316" s="243"/>
      <c r="BZ316" s="243"/>
      <c r="CA316" s="243"/>
      <c r="CB316" s="243"/>
      <c r="CC316" s="243"/>
      <c r="CD316" s="243"/>
      <c r="CE316" s="243"/>
      <c r="CF316" s="243"/>
      <c r="CG316" s="243"/>
      <c r="CH316" s="243"/>
      <c r="CI316" s="243"/>
      <c r="CJ316" s="243"/>
      <c r="CK316" s="243"/>
      <c r="CL316" s="243"/>
      <c r="CM316" s="243"/>
      <c r="CN316" s="243"/>
      <c r="CO316" s="243"/>
      <c r="CP316" s="243"/>
      <c r="CQ316" s="243"/>
      <c r="CR316" s="243"/>
      <c r="CS316" s="243"/>
      <c r="CT316" s="243"/>
      <c r="CU316" s="243"/>
      <c r="CV316" s="243"/>
      <c r="CW316" s="243"/>
      <c r="CX316" s="243"/>
      <c r="CY316" s="243"/>
      <c r="CZ316" s="243"/>
      <c r="DA316" s="243"/>
      <c r="DB316" s="243"/>
      <c r="DC316" s="243"/>
      <c r="DD316" s="243"/>
      <c r="DE316" s="243"/>
      <c r="DF316" s="243"/>
      <c r="DG316" s="243"/>
      <c r="DH316" s="243"/>
      <c r="DI316" s="243"/>
      <c r="DJ316" s="243"/>
      <c r="DK316" s="243"/>
      <c r="DL316" s="243"/>
      <c r="DM316" s="243"/>
      <c r="DN316" s="243"/>
      <c r="DO316" s="243"/>
      <c r="DP316" s="243"/>
      <c r="DQ316" s="243"/>
      <c r="DR316" s="243"/>
      <c r="DS316" s="243"/>
      <c r="DT316" s="243"/>
      <c r="DU316" s="243"/>
      <c r="DV316" s="243"/>
      <c r="DW316" s="243"/>
      <c r="DX316" s="243"/>
      <c r="DY316" s="243"/>
      <c r="DZ316" s="243"/>
      <c r="EA316" s="243"/>
      <c r="EB316" s="243"/>
      <c r="EC316" s="243"/>
      <c r="ED316" s="243"/>
      <c r="EE316" s="243"/>
      <c r="EF316" s="243"/>
      <c r="EG316" s="243"/>
      <c r="EH316" s="243"/>
      <c r="EI316" s="243"/>
      <c r="EJ316" s="243"/>
      <c r="EK316" s="243"/>
      <c r="EL316" s="243"/>
      <c r="EM316" s="243"/>
      <c r="EN316" s="243"/>
      <c r="EO316" s="243"/>
      <c r="EP316" s="243"/>
      <c r="EQ316" s="243"/>
      <c r="ER316" s="243"/>
      <c r="ES316" s="243"/>
      <c r="ET316" s="243"/>
      <c r="EU316" s="243"/>
      <c r="EV316" s="243"/>
      <c r="EW316" s="243"/>
      <c r="EX316" s="243"/>
      <c r="EY316" s="243"/>
      <c r="EZ316" s="243"/>
      <c r="FA316" s="243"/>
      <c r="FB316" s="243"/>
      <c r="FC316" s="243"/>
      <c r="FD316" s="243"/>
      <c r="FE316" s="243"/>
      <c r="FF316" s="243"/>
      <c r="FG316" s="243"/>
      <c r="FH316" s="243"/>
      <c r="FI316" s="243"/>
      <c r="FJ316" s="243"/>
      <c r="FK316" s="243"/>
      <c r="FL316" s="243"/>
      <c r="FM316" s="243"/>
      <c r="FN316" s="243"/>
      <c r="FO316" s="243"/>
      <c r="FP316" s="243"/>
      <c r="FQ316" s="243"/>
      <c r="FR316" s="243"/>
      <c r="FS316" s="243"/>
      <c r="FT316" s="243"/>
      <c r="FU316" s="243"/>
      <c r="FV316" s="243"/>
      <c r="FW316" s="243"/>
      <c r="FX316" s="243"/>
      <c r="FY316" s="243"/>
      <c r="FZ316" s="243"/>
      <c r="GA316" s="243"/>
      <c r="GB316" s="243"/>
      <c r="GC316" s="243"/>
      <c r="GD316" s="243"/>
      <c r="GE316" s="243"/>
      <c r="GF316" s="243"/>
      <c r="GG316" s="243"/>
      <c r="GH316" s="243"/>
      <c r="GI316" s="243"/>
      <c r="GJ316" s="243"/>
      <c r="GK316" s="243"/>
      <c r="GL316" s="243"/>
      <c r="GM316" s="243"/>
      <c r="GN316" s="243"/>
      <c r="GO316" s="243"/>
      <c r="GP316" s="243"/>
      <c r="GQ316" s="243"/>
      <c r="GR316" s="243"/>
      <c r="GS316" s="243"/>
      <c r="GT316" s="243"/>
    </row>
    <row r="317" spans="1:202" s="79" customFormat="1" ht="11.25" customHeight="1">
      <c r="A317" s="196"/>
      <c r="B317" s="84" t="s">
        <v>330</v>
      </c>
      <c r="C317" s="221"/>
      <c r="D317" s="78"/>
      <c r="E317" s="82">
        <v>6768.27</v>
      </c>
      <c r="F317" s="82">
        <v>2376</v>
      </c>
      <c r="G317" s="177">
        <f>E317-F317</f>
        <v>4392.2700000000004</v>
      </c>
      <c r="H317" s="82">
        <v>6768.27</v>
      </c>
      <c r="I317" s="82">
        <v>2376</v>
      </c>
      <c r="J317" s="210">
        <f>H317-I317</f>
        <v>4392.2700000000004</v>
      </c>
      <c r="K317" s="255">
        <v>136.38300000000001</v>
      </c>
      <c r="L317" s="255">
        <v>136.38999999999999</v>
      </c>
      <c r="M317" s="255"/>
      <c r="N317" s="287">
        <f>SUM(K317:M317)</f>
        <v>272.77300000000002</v>
      </c>
      <c r="O317" s="276"/>
      <c r="P317" s="276"/>
      <c r="Q317" s="294"/>
      <c r="R317" s="287"/>
      <c r="S317" s="294"/>
      <c r="T317" s="267"/>
      <c r="U317" s="276"/>
      <c r="V317" s="276"/>
      <c r="W317" s="294"/>
      <c r="X317" s="273"/>
      <c r="Y317" s="142"/>
      <c r="Z317" s="276"/>
      <c r="AA317" s="276"/>
      <c r="AB317" s="276"/>
      <c r="AC317" s="276"/>
      <c r="AD317" s="276"/>
      <c r="AE317" s="276"/>
      <c r="AF317" s="287">
        <f>SUM(Z317:AE317)</f>
        <v>0</v>
      </c>
      <c r="AG317" s="283">
        <f t="shared" si="742"/>
        <v>272.77300000000002</v>
      </c>
      <c r="AH317" s="230">
        <f t="shared" ref="AH317:AJ318" si="755">K317*$G317</f>
        <v>599030.95941000013</v>
      </c>
      <c r="AI317" s="230">
        <f t="shared" si="755"/>
        <v>599061.70530000003</v>
      </c>
      <c r="AJ317" s="230">
        <f t="shared" si="755"/>
        <v>0</v>
      </c>
      <c r="AK317" s="261">
        <f>SUM(AH317:AJ317)</f>
        <v>1198092.6647100002</v>
      </c>
      <c r="AL317" s="230">
        <f t="shared" ref="AL317:AN318" si="756">O317*$G317</f>
        <v>0</v>
      </c>
      <c r="AM317" s="230">
        <f t="shared" si="756"/>
        <v>0</v>
      </c>
      <c r="AN317" s="230">
        <f t="shared" si="756"/>
        <v>0</v>
      </c>
      <c r="AO317" s="261"/>
      <c r="AP317" s="230">
        <f t="shared" ref="AP317:AU318" si="757">S317*$J317</f>
        <v>0</v>
      </c>
      <c r="AQ317" s="230">
        <f t="shared" si="757"/>
        <v>0</v>
      </c>
      <c r="AR317" s="230">
        <f t="shared" si="757"/>
        <v>0</v>
      </c>
      <c r="AS317" s="230">
        <f t="shared" si="757"/>
        <v>0</v>
      </c>
      <c r="AT317" s="230">
        <f t="shared" si="757"/>
        <v>0</v>
      </c>
      <c r="AU317" s="230">
        <f t="shared" si="757"/>
        <v>0</v>
      </c>
      <c r="AV317" s="261"/>
      <c r="AW317" s="230">
        <f t="shared" ref="AW317:BB318" si="758">Z317*$J317</f>
        <v>0</v>
      </c>
      <c r="AX317" s="230">
        <f t="shared" si="758"/>
        <v>0</v>
      </c>
      <c r="AY317" s="230">
        <f t="shared" si="758"/>
        <v>0</v>
      </c>
      <c r="AZ317" s="230">
        <f t="shared" si="758"/>
        <v>0</v>
      </c>
      <c r="BA317" s="230">
        <f t="shared" si="758"/>
        <v>0</v>
      </c>
      <c r="BB317" s="230">
        <f t="shared" si="758"/>
        <v>0</v>
      </c>
      <c r="BC317" s="261">
        <f t="shared" si="754"/>
        <v>0</v>
      </c>
      <c r="BD317" s="239">
        <f t="shared" si="684"/>
        <v>1198092.6647100002</v>
      </c>
      <c r="BE317" s="243"/>
      <c r="BF317" s="243"/>
      <c r="BG317" s="243"/>
      <c r="BH317" s="243"/>
      <c r="BI317" s="243"/>
      <c r="BJ317" s="243"/>
      <c r="BK317" s="243"/>
      <c r="BL317" s="243"/>
      <c r="BM317" s="243"/>
      <c r="BN317" s="243"/>
      <c r="BO317" s="243"/>
      <c r="BP317" s="243"/>
      <c r="BQ317" s="243"/>
      <c r="BR317" s="243"/>
      <c r="BS317" s="243"/>
      <c r="BT317" s="243"/>
      <c r="BU317" s="243"/>
      <c r="BV317" s="243"/>
      <c r="BW317" s="243"/>
      <c r="BX317" s="243"/>
      <c r="BY317" s="243"/>
      <c r="BZ317" s="243"/>
      <c r="CA317" s="243"/>
      <c r="CB317" s="243"/>
      <c r="CC317" s="243"/>
      <c r="CD317" s="243"/>
      <c r="CE317" s="243"/>
      <c r="CF317" s="243"/>
      <c r="CG317" s="243"/>
      <c r="CH317" s="243"/>
      <c r="CI317" s="243"/>
      <c r="CJ317" s="243"/>
      <c r="CK317" s="243"/>
      <c r="CL317" s="243"/>
      <c r="CM317" s="243"/>
      <c r="CN317" s="243"/>
      <c r="CO317" s="243"/>
      <c r="CP317" s="243"/>
      <c r="CQ317" s="243"/>
      <c r="CR317" s="243"/>
      <c r="CS317" s="243"/>
      <c r="CT317" s="243"/>
      <c r="CU317" s="243"/>
      <c r="CV317" s="243"/>
      <c r="CW317" s="243"/>
      <c r="CX317" s="243"/>
      <c r="CY317" s="243"/>
      <c r="CZ317" s="243"/>
      <c r="DA317" s="243"/>
      <c r="DB317" s="243"/>
      <c r="DC317" s="243"/>
      <c r="DD317" s="243"/>
      <c r="DE317" s="243"/>
      <c r="DF317" s="243"/>
      <c r="DG317" s="243"/>
      <c r="DH317" s="243"/>
      <c r="DI317" s="243"/>
      <c r="DJ317" s="243"/>
      <c r="DK317" s="243"/>
      <c r="DL317" s="243"/>
      <c r="DM317" s="243"/>
      <c r="DN317" s="243"/>
      <c r="DO317" s="243"/>
      <c r="DP317" s="243"/>
      <c r="DQ317" s="243"/>
      <c r="DR317" s="243"/>
      <c r="DS317" s="243"/>
      <c r="DT317" s="243"/>
      <c r="DU317" s="243"/>
      <c r="DV317" s="243"/>
      <c r="DW317" s="243"/>
      <c r="DX317" s="243"/>
      <c r="DY317" s="243"/>
      <c r="DZ317" s="243"/>
      <c r="EA317" s="243"/>
      <c r="EB317" s="243"/>
      <c r="EC317" s="243"/>
      <c r="ED317" s="243"/>
      <c r="EE317" s="243"/>
      <c r="EF317" s="243"/>
      <c r="EG317" s="243"/>
      <c r="EH317" s="243"/>
      <c r="EI317" s="243"/>
      <c r="EJ317" s="243"/>
      <c r="EK317" s="243"/>
      <c r="EL317" s="243"/>
      <c r="EM317" s="243"/>
      <c r="EN317" s="243"/>
      <c r="EO317" s="243"/>
      <c r="EP317" s="243"/>
      <c r="EQ317" s="243"/>
      <c r="ER317" s="243"/>
      <c r="ES317" s="243"/>
      <c r="ET317" s="243"/>
      <c r="EU317" s="243"/>
      <c r="EV317" s="243"/>
      <c r="EW317" s="243"/>
      <c r="EX317" s="243"/>
      <c r="EY317" s="243"/>
      <c r="EZ317" s="243"/>
      <c r="FA317" s="243"/>
      <c r="FB317" s="243"/>
      <c r="FC317" s="243"/>
      <c r="FD317" s="243"/>
      <c r="FE317" s="243"/>
      <c r="FF317" s="243"/>
      <c r="FG317" s="243"/>
      <c r="FH317" s="243"/>
      <c r="FI317" s="243"/>
      <c r="FJ317" s="243"/>
      <c r="FK317" s="243"/>
      <c r="FL317" s="243"/>
      <c r="FM317" s="243"/>
      <c r="FN317" s="243"/>
      <c r="FO317" s="243"/>
      <c r="FP317" s="243"/>
      <c r="FQ317" s="243"/>
      <c r="FR317" s="243"/>
      <c r="FS317" s="243"/>
      <c r="FT317" s="243"/>
      <c r="FU317" s="243"/>
      <c r="FV317" s="243"/>
      <c r="FW317" s="243"/>
      <c r="FX317" s="243"/>
      <c r="FY317" s="243"/>
      <c r="FZ317" s="243"/>
      <c r="GA317" s="243"/>
      <c r="GB317" s="243"/>
      <c r="GC317" s="243"/>
      <c r="GD317" s="243"/>
      <c r="GE317" s="243"/>
      <c r="GF317" s="243"/>
      <c r="GG317" s="243"/>
      <c r="GH317" s="243"/>
      <c r="GI317" s="243"/>
      <c r="GJ317" s="243"/>
      <c r="GK317" s="243"/>
      <c r="GL317" s="243"/>
      <c r="GM317" s="243"/>
      <c r="GN317" s="243"/>
      <c r="GO317" s="243"/>
      <c r="GP317" s="243"/>
      <c r="GQ317" s="243"/>
      <c r="GR317" s="243"/>
      <c r="GS317" s="243"/>
      <c r="GT317" s="243"/>
    </row>
    <row r="318" spans="1:202" s="79" customFormat="1" ht="11.25" customHeight="1">
      <c r="A318" s="196"/>
      <c r="B318" s="84" t="s">
        <v>329</v>
      </c>
      <c r="C318" s="221"/>
      <c r="D318" s="78"/>
      <c r="E318" s="82">
        <v>9203.44</v>
      </c>
      <c r="F318" s="82">
        <v>2376</v>
      </c>
      <c r="G318" s="177">
        <f t="shared" si="747"/>
        <v>6827.4400000000005</v>
      </c>
      <c r="H318" s="82">
        <v>9203.44</v>
      </c>
      <c r="I318" s="82">
        <v>2376</v>
      </c>
      <c r="J318" s="210">
        <f>H318-I318</f>
        <v>6827.4400000000005</v>
      </c>
      <c r="K318" s="255">
        <v>94.054000000000002</v>
      </c>
      <c r="L318" s="255">
        <v>80.819000000000003</v>
      </c>
      <c r="M318" s="255"/>
      <c r="N318" s="287">
        <f>SUM(K318:M318)</f>
        <v>174.87299999999999</v>
      </c>
      <c r="O318" s="276"/>
      <c r="P318" s="276"/>
      <c r="Q318" s="294"/>
      <c r="R318" s="287"/>
      <c r="S318" s="294"/>
      <c r="T318" s="267"/>
      <c r="U318" s="276"/>
      <c r="V318" s="276"/>
      <c r="W318" s="294"/>
      <c r="X318" s="273"/>
      <c r="Y318" s="142"/>
      <c r="Z318" s="276"/>
      <c r="AA318" s="276"/>
      <c r="AB318" s="276"/>
      <c r="AC318" s="276"/>
      <c r="AD318" s="276"/>
      <c r="AE318" s="276"/>
      <c r="AF318" s="287">
        <f>SUM(Z318:AE318)</f>
        <v>0</v>
      </c>
      <c r="AG318" s="283">
        <f t="shared" si="742"/>
        <v>174.87299999999999</v>
      </c>
      <c r="AH318" s="230">
        <f t="shared" si="755"/>
        <v>642148.04176000005</v>
      </c>
      <c r="AI318" s="230">
        <f t="shared" si="755"/>
        <v>551786.87336000009</v>
      </c>
      <c r="AJ318" s="230">
        <f t="shared" si="755"/>
        <v>0</v>
      </c>
      <c r="AK318" s="261">
        <f>SUM(AH318:AJ318)</f>
        <v>1193934.91512</v>
      </c>
      <c r="AL318" s="230">
        <f t="shared" si="756"/>
        <v>0</v>
      </c>
      <c r="AM318" s="230">
        <f t="shared" si="756"/>
        <v>0</v>
      </c>
      <c r="AN318" s="230">
        <f t="shared" si="756"/>
        <v>0</v>
      </c>
      <c r="AO318" s="261"/>
      <c r="AP318" s="230">
        <f t="shared" si="757"/>
        <v>0</v>
      </c>
      <c r="AQ318" s="230">
        <f t="shared" si="757"/>
        <v>0</v>
      </c>
      <c r="AR318" s="230">
        <f t="shared" si="757"/>
        <v>0</v>
      </c>
      <c r="AS318" s="230">
        <f t="shared" si="757"/>
        <v>0</v>
      </c>
      <c r="AT318" s="230">
        <f t="shared" si="757"/>
        <v>0</v>
      </c>
      <c r="AU318" s="230">
        <f t="shared" si="757"/>
        <v>0</v>
      </c>
      <c r="AV318" s="261"/>
      <c r="AW318" s="230">
        <f t="shared" si="758"/>
        <v>0</v>
      </c>
      <c r="AX318" s="230">
        <f t="shared" si="758"/>
        <v>0</v>
      </c>
      <c r="AY318" s="230">
        <f t="shared" si="758"/>
        <v>0</v>
      </c>
      <c r="AZ318" s="230">
        <f t="shared" si="758"/>
        <v>0</v>
      </c>
      <c r="BA318" s="230">
        <f t="shared" si="758"/>
        <v>0</v>
      </c>
      <c r="BB318" s="230">
        <f t="shared" si="758"/>
        <v>0</v>
      </c>
      <c r="BC318" s="261">
        <f t="shared" si="754"/>
        <v>0</v>
      </c>
      <c r="BD318" s="239">
        <f t="shared" si="684"/>
        <v>1193934.91512</v>
      </c>
      <c r="BE318" s="243"/>
      <c r="BF318" s="243"/>
      <c r="BG318" s="243"/>
      <c r="BH318" s="243"/>
      <c r="BI318" s="243"/>
      <c r="BJ318" s="243"/>
      <c r="BK318" s="243"/>
      <c r="BL318" s="243"/>
      <c r="BM318" s="243"/>
      <c r="BN318" s="243"/>
      <c r="BO318" s="243"/>
      <c r="BP318" s="243"/>
      <c r="BQ318" s="243"/>
      <c r="BR318" s="243"/>
      <c r="BS318" s="243"/>
      <c r="BT318" s="243"/>
      <c r="BU318" s="243"/>
      <c r="BV318" s="243"/>
      <c r="BW318" s="243"/>
      <c r="BX318" s="243"/>
      <c r="BY318" s="243"/>
      <c r="BZ318" s="243"/>
      <c r="CA318" s="243"/>
      <c r="CB318" s="243"/>
      <c r="CC318" s="243"/>
      <c r="CD318" s="243"/>
      <c r="CE318" s="243"/>
      <c r="CF318" s="243"/>
      <c r="CG318" s="243"/>
      <c r="CH318" s="243"/>
      <c r="CI318" s="243"/>
      <c r="CJ318" s="243"/>
      <c r="CK318" s="243"/>
      <c r="CL318" s="243"/>
      <c r="CM318" s="243"/>
      <c r="CN318" s="243"/>
      <c r="CO318" s="243"/>
      <c r="CP318" s="243"/>
      <c r="CQ318" s="243"/>
      <c r="CR318" s="243"/>
      <c r="CS318" s="243"/>
      <c r="CT318" s="243"/>
      <c r="CU318" s="243"/>
      <c r="CV318" s="243"/>
      <c r="CW318" s="243"/>
      <c r="CX318" s="243"/>
      <c r="CY318" s="243"/>
      <c r="CZ318" s="243"/>
      <c r="DA318" s="243"/>
      <c r="DB318" s="243"/>
      <c r="DC318" s="243"/>
      <c r="DD318" s="243"/>
      <c r="DE318" s="243"/>
      <c r="DF318" s="243"/>
      <c r="DG318" s="243"/>
      <c r="DH318" s="243"/>
      <c r="DI318" s="243"/>
      <c r="DJ318" s="243"/>
      <c r="DK318" s="243"/>
      <c r="DL318" s="243"/>
      <c r="DM318" s="243"/>
      <c r="DN318" s="243"/>
      <c r="DO318" s="243"/>
      <c r="DP318" s="243"/>
      <c r="DQ318" s="243"/>
      <c r="DR318" s="243"/>
      <c r="DS318" s="243"/>
      <c r="DT318" s="243"/>
      <c r="DU318" s="243"/>
      <c r="DV318" s="243"/>
      <c r="DW318" s="243"/>
      <c r="DX318" s="243"/>
      <c r="DY318" s="243"/>
      <c r="DZ318" s="243"/>
      <c r="EA318" s="243"/>
      <c r="EB318" s="243"/>
      <c r="EC318" s="243"/>
      <c r="ED318" s="243"/>
      <c r="EE318" s="243"/>
      <c r="EF318" s="243"/>
      <c r="EG318" s="243"/>
      <c r="EH318" s="243"/>
      <c r="EI318" s="243"/>
      <c r="EJ318" s="243"/>
      <c r="EK318" s="243"/>
      <c r="EL318" s="243"/>
      <c r="EM318" s="243"/>
      <c r="EN318" s="243"/>
      <c r="EO318" s="243"/>
      <c r="EP318" s="243"/>
      <c r="EQ318" s="243"/>
      <c r="ER318" s="243"/>
      <c r="ES318" s="243"/>
      <c r="ET318" s="243"/>
      <c r="EU318" s="243"/>
      <c r="EV318" s="243"/>
      <c r="EW318" s="243"/>
      <c r="EX318" s="243"/>
      <c r="EY318" s="243"/>
      <c r="EZ318" s="243"/>
      <c r="FA318" s="243"/>
      <c r="FB318" s="243"/>
      <c r="FC318" s="243"/>
      <c r="FD318" s="243"/>
      <c r="FE318" s="243"/>
      <c r="FF318" s="243"/>
      <c r="FG318" s="243"/>
      <c r="FH318" s="243"/>
      <c r="FI318" s="243"/>
      <c r="FJ318" s="243"/>
      <c r="FK318" s="243"/>
      <c r="FL318" s="243"/>
      <c r="FM318" s="243"/>
      <c r="FN318" s="243"/>
      <c r="FO318" s="243"/>
      <c r="FP318" s="243"/>
      <c r="FQ318" s="243"/>
      <c r="FR318" s="243"/>
      <c r="FS318" s="243"/>
      <c r="FT318" s="243"/>
      <c r="FU318" s="243"/>
      <c r="FV318" s="243"/>
      <c r="FW318" s="243"/>
      <c r="FX318" s="243"/>
      <c r="FY318" s="243"/>
      <c r="FZ318" s="243"/>
      <c r="GA318" s="243"/>
      <c r="GB318" s="243"/>
      <c r="GC318" s="243"/>
      <c r="GD318" s="243"/>
      <c r="GE318" s="243"/>
      <c r="GF318" s="243"/>
      <c r="GG318" s="243"/>
      <c r="GH318" s="243"/>
      <c r="GI318" s="243"/>
      <c r="GJ318" s="243"/>
      <c r="GK318" s="243"/>
      <c r="GL318" s="243"/>
      <c r="GM318" s="243"/>
      <c r="GN318" s="243"/>
      <c r="GO318" s="243"/>
      <c r="GP318" s="243"/>
      <c r="GQ318" s="243"/>
      <c r="GR318" s="243"/>
      <c r="GS318" s="243"/>
      <c r="GT318" s="243"/>
    </row>
    <row r="319" spans="1:202" s="79" customFormat="1" ht="11.25" customHeight="1">
      <c r="A319" s="193" t="s">
        <v>26</v>
      </c>
      <c r="B319" s="182" t="s">
        <v>320</v>
      </c>
      <c r="C319" s="221" t="s">
        <v>240</v>
      </c>
      <c r="D319" s="73">
        <v>2922008803</v>
      </c>
      <c r="E319" s="214"/>
      <c r="F319" s="214"/>
      <c r="G319" s="177"/>
      <c r="H319" s="214"/>
      <c r="I319" s="214"/>
      <c r="J319" s="210"/>
      <c r="K319" s="254">
        <f>K320</f>
        <v>793.56799999999998</v>
      </c>
      <c r="L319" s="254">
        <f>L320</f>
        <v>791.69399999999996</v>
      </c>
      <c r="M319" s="254">
        <f>M320</f>
        <v>0</v>
      </c>
      <c r="N319" s="284">
        <f>SUM(K319:M319)</f>
        <v>1585.2619999999999</v>
      </c>
      <c r="O319" s="275">
        <f>O320</f>
        <v>0</v>
      </c>
      <c r="P319" s="275">
        <f>P320</f>
        <v>0</v>
      </c>
      <c r="Q319" s="275">
        <f>Q320</f>
        <v>0</v>
      </c>
      <c r="R319" s="284">
        <f>O319+P319+Q319</f>
        <v>0</v>
      </c>
      <c r="S319" s="293">
        <f t="shared" ref="S319:X319" si="759">S320</f>
        <v>0</v>
      </c>
      <c r="T319" s="293">
        <f t="shared" si="759"/>
        <v>0</v>
      </c>
      <c r="U319" s="293">
        <f t="shared" si="759"/>
        <v>0</v>
      </c>
      <c r="V319" s="293">
        <f t="shared" si="759"/>
        <v>0</v>
      </c>
      <c r="W319" s="293">
        <f t="shared" si="759"/>
        <v>0</v>
      </c>
      <c r="X319" s="293">
        <f t="shared" si="759"/>
        <v>0</v>
      </c>
      <c r="Y319" s="284">
        <f>SUM(S319:X319)</f>
        <v>0</v>
      </c>
      <c r="Z319" s="275">
        <f t="shared" ref="Z319:AE319" si="760">Z320</f>
        <v>0</v>
      </c>
      <c r="AA319" s="275">
        <f t="shared" si="760"/>
        <v>0</v>
      </c>
      <c r="AB319" s="275">
        <f t="shared" si="760"/>
        <v>0</v>
      </c>
      <c r="AC319" s="275">
        <f t="shared" si="760"/>
        <v>0</v>
      </c>
      <c r="AD319" s="275">
        <f t="shared" si="760"/>
        <v>0</v>
      </c>
      <c r="AE319" s="275">
        <f t="shared" si="760"/>
        <v>0</v>
      </c>
      <c r="AF319" s="284">
        <f>SUM(AF320:AF320)</f>
        <v>0</v>
      </c>
      <c r="AG319" s="282">
        <f t="shared" si="742"/>
        <v>1585.2619999999999</v>
      </c>
      <c r="AH319" s="232">
        <f>AH320</f>
        <v>1856020.6454399999</v>
      </c>
      <c r="AI319" s="232">
        <f>AI320</f>
        <v>1851637.6780199998</v>
      </c>
      <c r="AJ319" s="232">
        <f>AJ320</f>
        <v>0</v>
      </c>
      <c r="AK319" s="260">
        <f>AH319+AI319+AJ319</f>
        <v>3707658.3234599996</v>
      </c>
      <c r="AL319" s="232">
        <f>AL320</f>
        <v>0</v>
      </c>
      <c r="AM319" s="232">
        <f>AM320</f>
        <v>0</v>
      </c>
      <c r="AN319" s="232">
        <f>AN320</f>
        <v>0</v>
      </c>
      <c r="AO319" s="260">
        <f>SUM(AL319:AN319)</f>
        <v>0</v>
      </c>
      <c r="AP319" s="232">
        <f t="shared" ref="AP319:AU319" si="761">AP320</f>
        <v>0</v>
      </c>
      <c r="AQ319" s="232">
        <f t="shared" si="761"/>
        <v>0</v>
      </c>
      <c r="AR319" s="232">
        <f t="shared" si="761"/>
        <v>0</v>
      </c>
      <c r="AS319" s="232">
        <f t="shared" si="761"/>
        <v>0</v>
      </c>
      <c r="AT319" s="232">
        <f t="shared" si="761"/>
        <v>0</v>
      </c>
      <c r="AU319" s="232">
        <f t="shared" si="761"/>
        <v>0</v>
      </c>
      <c r="AV319" s="260">
        <f>SUM(AP319:AU319)</f>
        <v>0</v>
      </c>
      <c r="AW319" s="232">
        <f t="shared" ref="AW319:BB319" si="762">AW320</f>
        <v>0</v>
      </c>
      <c r="AX319" s="232">
        <f t="shared" si="762"/>
        <v>0</v>
      </c>
      <c r="AY319" s="232">
        <f t="shared" si="762"/>
        <v>0</v>
      </c>
      <c r="AZ319" s="232">
        <f t="shared" si="762"/>
        <v>0</v>
      </c>
      <c r="BA319" s="232">
        <f t="shared" si="762"/>
        <v>0</v>
      </c>
      <c r="BB319" s="232">
        <f t="shared" si="762"/>
        <v>0</v>
      </c>
      <c r="BC319" s="260">
        <f t="shared" si="754"/>
        <v>0</v>
      </c>
      <c r="BD319" s="238">
        <f t="shared" si="684"/>
        <v>3707658.3234599996</v>
      </c>
      <c r="BE319" s="13"/>
      <c r="BF319" s="243"/>
      <c r="BG319" s="243"/>
      <c r="BH319" s="243"/>
      <c r="BI319" s="243"/>
      <c r="BJ319" s="243"/>
      <c r="BK319" s="243"/>
      <c r="BL319" s="243"/>
      <c r="BM319" s="243"/>
      <c r="BN319" s="243"/>
      <c r="BO319" s="243"/>
      <c r="BP319" s="243"/>
      <c r="BQ319" s="243"/>
      <c r="BR319" s="243"/>
      <c r="BS319" s="243"/>
      <c r="BT319" s="243"/>
      <c r="BU319" s="243"/>
      <c r="BV319" s="243"/>
      <c r="BW319" s="243"/>
      <c r="BX319" s="243"/>
      <c r="BY319" s="243"/>
      <c r="BZ319" s="243"/>
      <c r="CA319" s="243"/>
      <c r="CB319" s="243"/>
      <c r="CC319" s="243"/>
      <c r="CD319" s="243"/>
      <c r="CE319" s="243"/>
      <c r="CF319" s="243"/>
      <c r="CG319" s="243"/>
      <c r="CH319" s="243"/>
      <c r="CI319" s="243"/>
      <c r="CJ319" s="243"/>
      <c r="CK319" s="243"/>
      <c r="CL319" s="243"/>
      <c r="CM319" s="243"/>
      <c r="CN319" s="243"/>
      <c r="CO319" s="243"/>
      <c r="CP319" s="243"/>
      <c r="CQ319" s="243"/>
      <c r="CR319" s="243"/>
      <c r="CS319" s="243"/>
      <c r="CT319" s="243"/>
      <c r="CU319" s="243"/>
      <c r="CV319" s="243"/>
      <c r="CW319" s="243"/>
      <c r="CX319" s="243"/>
      <c r="CY319" s="243"/>
      <c r="CZ319" s="243"/>
      <c r="DA319" s="243"/>
      <c r="DB319" s="243"/>
      <c r="DC319" s="243"/>
      <c r="DD319" s="243"/>
      <c r="DE319" s="243"/>
      <c r="DF319" s="243"/>
      <c r="DG319" s="243"/>
      <c r="DH319" s="243"/>
      <c r="DI319" s="243"/>
      <c r="DJ319" s="243"/>
      <c r="DK319" s="243"/>
      <c r="DL319" s="243"/>
      <c r="DM319" s="243"/>
      <c r="DN319" s="243"/>
      <c r="DO319" s="243"/>
      <c r="DP319" s="243"/>
      <c r="DQ319" s="243"/>
      <c r="DR319" s="243"/>
      <c r="DS319" s="243"/>
      <c r="DT319" s="243"/>
      <c r="DU319" s="243"/>
      <c r="DV319" s="243"/>
      <c r="DW319" s="243"/>
      <c r="DX319" s="243"/>
      <c r="DY319" s="243"/>
      <c r="DZ319" s="243"/>
      <c r="EA319" s="243"/>
      <c r="EB319" s="243"/>
      <c r="EC319" s="243"/>
      <c r="ED319" s="243"/>
      <c r="EE319" s="243"/>
      <c r="EF319" s="243"/>
      <c r="EG319" s="243"/>
      <c r="EH319" s="243"/>
      <c r="EI319" s="243"/>
      <c r="EJ319" s="243"/>
      <c r="EK319" s="243"/>
      <c r="EL319" s="243"/>
      <c r="EM319" s="243"/>
      <c r="EN319" s="243"/>
      <c r="EO319" s="243"/>
      <c r="EP319" s="243"/>
      <c r="EQ319" s="243"/>
      <c r="ER319" s="243"/>
      <c r="ES319" s="243"/>
      <c r="ET319" s="243"/>
      <c r="EU319" s="243"/>
      <c r="EV319" s="243"/>
      <c r="EW319" s="243"/>
      <c r="EX319" s="243"/>
      <c r="EY319" s="243"/>
      <c r="EZ319" s="243"/>
      <c r="FA319" s="243"/>
      <c r="FB319" s="243"/>
      <c r="FC319" s="243"/>
      <c r="FD319" s="243"/>
      <c r="FE319" s="243"/>
      <c r="FF319" s="243"/>
      <c r="FG319" s="243"/>
      <c r="FH319" s="243"/>
      <c r="FI319" s="243"/>
      <c r="FJ319" s="243"/>
      <c r="FK319" s="243"/>
      <c r="FL319" s="243"/>
      <c r="FM319" s="243"/>
      <c r="FN319" s="243"/>
      <c r="FO319" s="243"/>
      <c r="FP319" s="243"/>
      <c r="FQ319" s="243"/>
      <c r="FR319" s="243"/>
      <c r="FS319" s="243"/>
      <c r="FT319" s="243"/>
      <c r="FU319" s="243"/>
      <c r="FV319" s="243"/>
      <c r="FW319" s="243"/>
      <c r="FX319" s="243"/>
      <c r="FY319" s="243"/>
      <c r="FZ319" s="243"/>
      <c r="GA319" s="243"/>
      <c r="GB319" s="243"/>
      <c r="GC319" s="243"/>
      <c r="GD319" s="243"/>
      <c r="GE319" s="243"/>
      <c r="GF319" s="243"/>
      <c r="GG319" s="243"/>
      <c r="GH319" s="243"/>
      <c r="GI319" s="243"/>
      <c r="GJ319" s="243"/>
      <c r="GK319" s="243"/>
      <c r="GL319" s="243"/>
      <c r="GM319" s="243"/>
      <c r="GN319" s="243"/>
      <c r="GO319" s="243"/>
      <c r="GP319" s="243"/>
      <c r="GQ319" s="243"/>
      <c r="GR319" s="243"/>
      <c r="GS319" s="243"/>
      <c r="GT319" s="243"/>
    </row>
    <row r="320" spans="1:202" s="79" customFormat="1" ht="11.25" customHeight="1">
      <c r="A320" s="196"/>
      <c r="B320" s="84"/>
      <c r="C320" s="221"/>
      <c r="D320" s="78"/>
      <c r="E320" s="82">
        <v>4483.83</v>
      </c>
      <c r="F320" s="82">
        <v>2145</v>
      </c>
      <c r="G320" s="177">
        <f t="shared" si="747"/>
        <v>2338.83</v>
      </c>
      <c r="H320" s="82">
        <v>4483.83</v>
      </c>
      <c r="I320" s="82">
        <v>2145</v>
      </c>
      <c r="J320" s="210">
        <f>H320-I320</f>
        <v>2338.83</v>
      </c>
      <c r="K320" s="255">
        <v>793.56799999999998</v>
      </c>
      <c r="L320" s="255">
        <v>791.69399999999996</v>
      </c>
      <c r="M320" s="255"/>
      <c r="N320" s="287">
        <f>SUM(K320:M320)</f>
        <v>1585.2619999999999</v>
      </c>
      <c r="O320" s="276"/>
      <c r="P320" s="276"/>
      <c r="Q320" s="294"/>
      <c r="R320" s="287"/>
      <c r="S320" s="294"/>
      <c r="T320" s="267"/>
      <c r="U320" s="276"/>
      <c r="V320" s="276"/>
      <c r="W320" s="294"/>
      <c r="X320" s="273"/>
      <c r="Y320" s="142"/>
      <c r="Z320" s="276"/>
      <c r="AA320" s="276"/>
      <c r="AB320" s="276"/>
      <c r="AC320" s="276"/>
      <c r="AD320" s="276"/>
      <c r="AE320" s="276"/>
      <c r="AF320" s="287">
        <f t="shared" ref="AF320:AF328" si="763">SUM(Z320:AE320)</f>
        <v>0</v>
      </c>
      <c r="AG320" s="283">
        <f t="shared" si="742"/>
        <v>1585.2619999999999</v>
      </c>
      <c r="AH320" s="230">
        <f t="shared" ref="AH320:AJ321" si="764">K320*$G320</f>
        <v>1856020.6454399999</v>
      </c>
      <c r="AI320" s="230">
        <f t="shared" si="764"/>
        <v>1851637.6780199998</v>
      </c>
      <c r="AJ320" s="230">
        <f t="shared" si="764"/>
        <v>0</v>
      </c>
      <c r="AK320" s="261">
        <f>AH320+AI320+AJ320</f>
        <v>3707658.3234599996</v>
      </c>
      <c r="AL320" s="230">
        <f t="shared" ref="AL320:AN321" si="765">O320*$G320</f>
        <v>0</v>
      </c>
      <c r="AM320" s="230">
        <f t="shared" si="765"/>
        <v>0</v>
      </c>
      <c r="AN320" s="230">
        <f t="shared" si="765"/>
        <v>0</v>
      </c>
      <c r="AO320" s="261"/>
      <c r="AP320" s="230">
        <f t="shared" ref="AP320:AU321" si="766">S320*$J320</f>
        <v>0</v>
      </c>
      <c r="AQ320" s="230">
        <f t="shared" si="766"/>
        <v>0</v>
      </c>
      <c r="AR320" s="230">
        <f t="shared" si="766"/>
        <v>0</v>
      </c>
      <c r="AS320" s="230">
        <f t="shared" si="766"/>
        <v>0</v>
      </c>
      <c r="AT320" s="230">
        <f t="shared" si="766"/>
        <v>0</v>
      </c>
      <c r="AU320" s="230">
        <f t="shared" si="766"/>
        <v>0</v>
      </c>
      <c r="AV320" s="261"/>
      <c r="AW320" s="230">
        <f t="shared" ref="AW320:BB321" si="767">Z320*$J320</f>
        <v>0</v>
      </c>
      <c r="AX320" s="230">
        <f t="shared" si="767"/>
        <v>0</v>
      </c>
      <c r="AY320" s="230">
        <f t="shared" si="767"/>
        <v>0</v>
      </c>
      <c r="AZ320" s="230">
        <f t="shared" si="767"/>
        <v>0</v>
      </c>
      <c r="BA320" s="230">
        <f t="shared" si="767"/>
        <v>0</v>
      </c>
      <c r="BB320" s="230">
        <f t="shared" si="767"/>
        <v>0</v>
      </c>
      <c r="BC320" s="261">
        <f t="shared" si="754"/>
        <v>0</v>
      </c>
      <c r="BD320" s="239">
        <f t="shared" si="684"/>
        <v>3707658.3234599996</v>
      </c>
      <c r="BE320" s="243"/>
      <c r="BF320" s="243"/>
      <c r="BG320" s="243"/>
      <c r="BH320" s="243"/>
      <c r="BI320" s="243"/>
      <c r="BJ320" s="243"/>
      <c r="BK320" s="243"/>
      <c r="BL320" s="243"/>
      <c r="BM320" s="243"/>
      <c r="BN320" s="243"/>
      <c r="BO320" s="243"/>
      <c r="BP320" s="243"/>
      <c r="BQ320" s="243"/>
      <c r="BR320" s="243"/>
      <c r="BS320" s="243"/>
      <c r="BT320" s="243"/>
      <c r="BU320" s="243"/>
      <c r="BV320" s="243"/>
      <c r="BW320" s="243"/>
      <c r="BX320" s="243"/>
      <c r="BY320" s="243"/>
      <c r="BZ320" s="243"/>
      <c r="CA320" s="243"/>
      <c r="CB320" s="243"/>
      <c r="CC320" s="243"/>
      <c r="CD320" s="243"/>
      <c r="CE320" s="243"/>
      <c r="CF320" s="243"/>
      <c r="CG320" s="243"/>
      <c r="CH320" s="243"/>
      <c r="CI320" s="243"/>
      <c r="CJ320" s="243"/>
      <c r="CK320" s="243"/>
      <c r="CL320" s="243"/>
      <c r="CM320" s="243"/>
      <c r="CN320" s="243"/>
      <c r="CO320" s="243"/>
      <c r="CP320" s="243"/>
      <c r="CQ320" s="243"/>
      <c r="CR320" s="243"/>
      <c r="CS320" s="243"/>
      <c r="CT320" s="243"/>
      <c r="CU320" s="243"/>
      <c r="CV320" s="243"/>
      <c r="CW320" s="243"/>
      <c r="CX320" s="243"/>
      <c r="CY320" s="243"/>
      <c r="CZ320" s="243"/>
      <c r="DA320" s="243"/>
      <c r="DB320" s="243"/>
      <c r="DC320" s="243"/>
      <c r="DD320" s="243"/>
      <c r="DE320" s="243"/>
      <c r="DF320" s="243"/>
      <c r="DG320" s="243"/>
      <c r="DH320" s="243"/>
      <c r="DI320" s="243"/>
      <c r="DJ320" s="243"/>
      <c r="DK320" s="243"/>
      <c r="DL320" s="243"/>
      <c r="DM320" s="243"/>
      <c r="DN320" s="243"/>
      <c r="DO320" s="243"/>
      <c r="DP320" s="243"/>
      <c r="DQ320" s="243"/>
      <c r="DR320" s="243"/>
      <c r="DS320" s="243"/>
      <c r="DT320" s="243"/>
      <c r="DU320" s="243"/>
      <c r="DV320" s="243"/>
      <c r="DW320" s="243"/>
      <c r="DX320" s="243"/>
      <c r="DY320" s="243"/>
      <c r="DZ320" s="243"/>
      <c r="EA320" s="243"/>
      <c r="EB320" s="243"/>
      <c r="EC320" s="243"/>
      <c r="ED320" s="243"/>
      <c r="EE320" s="243"/>
      <c r="EF320" s="243"/>
      <c r="EG320" s="243"/>
      <c r="EH320" s="243"/>
      <c r="EI320" s="243"/>
      <c r="EJ320" s="243"/>
      <c r="EK320" s="243"/>
      <c r="EL320" s="243"/>
      <c r="EM320" s="243"/>
      <c r="EN320" s="243"/>
      <c r="EO320" s="243"/>
      <c r="EP320" s="243"/>
      <c r="EQ320" s="243"/>
      <c r="ER320" s="243"/>
      <c r="ES320" s="243"/>
      <c r="ET320" s="243"/>
      <c r="EU320" s="243"/>
      <c r="EV320" s="243"/>
      <c r="EW320" s="243"/>
      <c r="EX320" s="243"/>
      <c r="EY320" s="243"/>
      <c r="EZ320" s="243"/>
      <c r="FA320" s="243"/>
      <c r="FB320" s="243"/>
      <c r="FC320" s="243"/>
      <c r="FD320" s="243"/>
      <c r="FE320" s="243"/>
      <c r="FF320" s="243"/>
      <c r="FG320" s="243"/>
      <c r="FH320" s="243"/>
      <c r="FI320" s="243"/>
      <c r="FJ320" s="243"/>
      <c r="FK320" s="243"/>
      <c r="FL320" s="243"/>
      <c r="FM320" s="243"/>
      <c r="FN320" s="243"/>
      <c r="FO320" s="243"/>
      <c r="FP320" s="243"/>
      <c r="FQ320" s="243"/>
      <c r="FR320" s="243"/>
      <c r="FS320" s="243"/>
      <c r="FT320" s="243"/>
      <c r="FU320" s="243"/>
      <c r="FV320" s="243"/>
      <c r="FW320" s="243"/>
      <c r="FX320" s="243"/>
      <c r="FY320" s="243"/>
      <c r="FZ320" s="243"/>
      <c r="GA320" s="243"/>
      <c r="GB320" s="243"/>
      <c r="GC320" s="243"/>
      <c r="GD320" s="243"/>
      <c r="GE320" s="243"/>
      <c r="GF320" s="243"/>
      <c r="GG320" s="243"/>
      <c r="GH320" s="243"/>
      <c r="GI320" s="243"/>
      <c r="GJ320" s="243"/>
      <c r="GK320" s="243"/>
      <c r="GL320" s="243"/>
      <c r="GM320" s="243"/>
      <c r="GN320" s="243"/>
      <c r="GO320" s="243"/>
      <c r="GP320" s="243"/>
      <c r="GQ320" s="243"/>
      <c r="GR320" s="243"/>
      <c r="GS320" s="243"/>
      <c r="GT320" s="243"/>
    </row>
    <row r="321" spans="1:202" s="79" customFormat="1" ht="12" customHeight="1">
      <c r="A321" s="193" t="s">
        <v>26</v>
      </c>
      <c r="B321" s="182" t="s">
        <v>176</v>
      </c>
      <c r="C321" s="221" t="s">
        <v>427</v>
      </c>
      <c r="D321" s="73">
        <v>2907015524</v>
      </c>
      <c r="E321" s="82"/>
      <c r="F321" s="82"/>
      <c r="G321" s="177"/>
      <c r="H321" s="82"/>
      <c r="I321" s="82"/>
      <c r="J321" s="210"/>
      <c r="K321" s="254"/>
      <c r="L321" s="254"/>
      <c r="M321" s="254"/>
      <c r="N321" s="284">
        <f>K321+L321+M321</f>
        <v>0</v>
      </c>
      <c r="O321" s="275"/>
      <c r="P321" s="275"/>
      <c r="Q321" s="293"/>
      <c r="R321" s="284">
        <f>O321+P321+Q321</f>
        <v>0</v>
      </c>
      <c r="S321" s="293"/>
      <c r="T321" s="266"/>
      <c r="U321" s="275"/>
      <c r="V321" s="275"/>
      <c r="W321" s="293"/>
      <c r="X321" s="263"/>
      <c r="Y321" s="262">
        <f t="shared" ref="Y321:Y328" si="768">SUM(S321:X321)</f>
        <v>0</v>
      </c>
      <c r="Z321" s="275"/>
      <c r="AA321" s="275"/>
      <c r="AB321" s="275"/>
      <c r="AC321" s="275"/>
      <c r="AD321" s="275"/>
      <c r="AE321" s="275"/>
      <c r="AF321" s="284">
        <f t="shared" si="763"/>
        <v>0</v>
      </c>
      <c r="AG321" s="282">
        <f t="shared" si="742"/>
        <v>0</v>
      </c>
      <c r="AH321" s="232">
        <f t="shared" si="764"/>
        <v>0</v>
      </c>
      <c r="AI321" s="232">
        <f t="shared" si="764"/>
        <v>0</v>
      </c>
      <c r="AJ321" s="232">
        <f t="shared" si="764"/>
        <v>0</v>
      </c>
      <c r="AK321" s="260">
        <f t="shared" ref="AK321:AK331" si="769">AH321+AI321+AJ321</f>
        <v>0</v>
      </c>
      <c r="AL321" s="232">
        <f t="shared" si="765"/>
        <v>0</v>
      </c>
      <c r="AM321" s="232">
        <f t="shared" si="765"/>
        <v>0</v>
      </c>
      <c r="AN321" s="232">
        <f t="shared" si="765"/>
        <v>0</v>
      </c>
      <c r="AO321" s="260">
        <f>SUM(AL321:AN321)</f>
        <v>0</v>
      </c>
      <c r="AP321" s="232">
        <f t="shared" si="766"/>
        <v>0</v>
      </c>
      <c r="AQ321" s="232">
        <f t="shared" si="766"/>
        <v>0</v>
      </c>
      <c r="AR321" s="232">
        <f t="shared" si="766"/>
        <v>0</v>
      </c>
      <c r="AS321" s="232">
        <f t="shared" si="766"/>
        <v>0</v>
      </c>
      <c r="AT321" s="232">
        <f t="shared" si="766"/>
        <v>0</v>
      </c>
      <c r="AU321" s="232">
        <f t="shared" si="766"/>
        <v>0</v>
      </c>
      <c r="AV321" s="260">
        <f>SUM(AP321:AU321)</f>
        <v>0</v>
      </c>
      <c r="AW321" s="232">
        <f t="shared" si="767"/>
        <v>0</v>
      </c>
      <c r="AX321" s="232">
        <f t="shared" si="767"/>
        <v>0</v>
      </c>
      <c r="AY321" s="232">
        <f t="shared" si="767"/>
        <v>0</v>
      </c>
      <c r="AZ321" s="232">
        <f t="shared" si="767"/>
        <v>0</v>
      </c>
      <c r="BA321" s="232">
        <f t="shared" si="767"/>
        <v>0</v>
      </c>
      <c r="BB321" s="232">
        <f t="shared" si="767"/>
        <v>0</v>
      </c>
      <c r="BC321" s="260">
        <f t="shared" si="754"/>
        <v>0</v>
      </c>
      <c r="BD321" s="238">
        <f t="shared" si="684"/>
        <v>0</v>
      </c>
      <c r="BE321" s="13"/>
      <c r="BF321" s="243"/>
      <c r="BG321" s="243"/>
      <c r="BH321" s="243"/>
      <c r="BI321" s="243"/>
      <c r="BJ321" s="243"/>
      <c r="BK321" s="243"/>
      <c r="BL321" s="243"/>
      <c r="BM321" s="243"/>
      <c r="BN321" s="243"/>
      <c r="BO321" s="243"/>
      <c r="BP321" s="243"/>
      <c r="BQ321" s="243"/>
      <c r="BR321" s="243"/>
      <c r="BS321" s="243"/>
      <c r="BT321" s="243"/>
      <c r="BU321" s="243"/>
      <c r="BV321" s="243"/>
      <c r="BW321" s="243"/>
      <c r="BX321" s="243"/>
      <c r="BY321" s="243"/>
      <c r="BZ321" s="243"/>
      <c r="CA321" s="243"/>
      <c r="CB321" s="243"/>
      <c r="CC321" s="243"/>
      <c r="CD321" s="243"/>
      <c r="CE321" s="243"/>
      <c r="CF321" s="243"/>
      <c r="CG321" s="243"/>
      <c r="CH321" s="243"/>
      <c r="CI321" s="243"/>
      <c r="CJ321" s="243"/>
      <c r="CK321" s="243"/>
      <c r="CL321" s="243"/>
      <c r="CM321" s="243"/>
      <c r="CN321" s="243"/>
      <c r="CO321" s="243"/>
      <c r="CP321" s="243"/>
      <c r="CQ321" s="243"/>
      <c r="CR321" s="243"/>
      <c r="CS321" s="243"/>
      <c r="CT321" s="243"/>
      <c r="CU321" s="243"/>
      <c r="CV321" s="243"/>
      <c r="CW321" s="243"/>
      <c r="CX321" s="243"/>
      <c r="CY321" s="243"/>
      <c r="CZ321" s="243"/>
      <c r="DA321" s="243"/>
      <c r="DB321" s="243"/>
      <c r="DC321" s="243"/>
      <c r="DD321" s="243"/>
      <c r="DE321" s="243"/>
      <c r="DF321" s="243"/>
      <c r="DG321" s="243"/>
      <c r="DH321" s="243"/>
      <c r="DI321" s="243"/>
      <c r="DJ321" s="243"/>
      <c r="DK321" s="243"/>
      <c r="DL321" s="243"/>
      <c r="DM321" s="243"/>
      <c r="DN321" s="243"/>
      <c r="DO321" s="243"/>
      <c r="DP321" s="243"/>
      <c r="DQ321" s="243"/>
      <c r="DR321" s="243"/>
      <c r="DS321" s="243"/>
      <c r="DT321" s="243"/>
      <c r="DU321" s="243"/>
      <c r="DV321" s="243"/>
      <c r="DW321" s="243"/>
      <c r="DX321" s="243"/>
      <c r="DY321" s="243"/>
      <c r="DZ321" s="243"/>
      <c r="EA321" s="243"/>
      <c r="EB321" s="243"/>
      <c r="EC321" s="243"/>
      <c r="ED321" s="243"/>
      <c r="EE321" s="243"/>
      <c r="EF321" s="243"/>
      <c r="EG321" s="243"/>
      <c r="EH321" s="243"/>
      <c r="EI321" s="243"/>
      <c r="EJ321" s="243"/>
      <c r="EK321" s="243"/>
      <c r="EL321" s="243"/>
      <c r="EM321" s="243"/>
      <c r="EN321" s="243"/>
      <c r="EO321" s="243"/>
      <c r="EP321" s="243"/>
      <c r="EQ321" s="243"/>
      <c r="ER321" s="243"/>
      <c r="ES321" s="243"/>
      <c r="ET321" s="243"/>
      <c r="EU321" s="243"/>
      <c r="EV321" s="243"/>
      <c r="EW321" s="243"/>
      <c r="EX321" s="243"/>
      <c r="EY321" s="243"/>
      <c r="EZ321" s="243"/>
      <c r="FA321" s="243"/>
      <c r="FB321" s="243"/>
      <c r="FC321" s="243"/>
      <c r="FD321" s="243"/>
      <c r="FE321" s="243"/>
      <c r="FF321" s="243"/>
      <c r="FG321" s="243"/>
      <c r="FH321" s="243"/>
      <c r="FI321" s="243"/>
      <c r="FJ321" s="243"/>
      <c r="FK321" s="243"/>
      <c r="FL321" s="243"/>
      <c r="FM321" s="243"/>
      <c r="FN321" s="243"/>
      <c r="FO321" s="243"/>
      <c r="FP321" s="243"/>
      <c r="FQ321" s="243"/>
      <c r="FR321" s="243"/>
      <c r="FS321" s="243"/>
      <c r="FT321" s="243"/>
      <c r="FU321" s="243"/>
      <c r="FV321" s="243"/>
      <c r="FW321" s="243"/>
      <c r="FX321" s="243"/>
      <c r="FY321" s="243"/>
      <c r="FZ321" s="243"/>
      <c r="GA321" s="243"/>
      <c r="GB321" s="243"/>
      <c r="GC321" s="243"/>
      <c r="GD321" s="243"/>
      <c r="GE321" s="243"/>
      <c r="GF321" s="243"/>
      <c r="GG321" s="243"/>
      <c r="GH321" s="243"/>
      <c r="GI321" s="243"/>
      <c r="GJ321" s="243"/>
      <c r="GK321" s="243"/>
      <c r="GL321" s="243"/>
      <c r="GM321" s="243"/>
      <c r="GN321" s="243"/>
      <c r="GO321" s="243"/>
      <c r="GP321" s="243"/>
      <c r="GQ321" s="243"/>
      <c r="GR321" s="243"/>
      <c r="GS321" s="243"/>
      <c r="GT321" s="243"/>
    </row>
    <row r="322" spans="1:202" s="79" customFormat="1" ht="21.75" customHeight="1">
      <c r="A322" s="193" t="s">
        <v>26</v>
      </c>
      <c r="B322" s="182" t="s">
        <v>508</v>
      </c>
      <c r="C322" s="221" t="s">
        <v>509</v>
      </c>
      <c r="D322" s="73">
        <v>2912007007</v>
      </c>
      <c r="E322" s="82"/>
      <c r="F322" s="82"/>
      <c r="G322" s="177"/>
      <c r="H322" s="82"/>
      <c r="I322" s="82"/>
      <c r="J322" s="210"/>
      <c r="K322" s="259">
        <f>SUM(K323:K325)</f>
        <v>5623.482</v>
      </c>
      <c r="L322" s="259">
        <f>SUM(L323:L325)</f>
        <v>5071.0029999999997</v>
      </c>
      <c r="M322" s="259">
        <f>SUM(M323:M325)</f>
        <v>0</v>
      </c>
      <c r="N322" s="284">
        <f>SUM(K322:M322)</f>
        <v>10694.485000000001</v>
      </c>
      <c r="O322" s="281">
        <f>SUM(O323:O325)</f>
        <v>0</v>
      </c>
      <c r="P322" s="281">
        <f>SUM(P323:P325)</f>
        <v>0</v>
      </c>
      <c r="Q322" s="281">
        <f>SUM(Q323:Q325)</f>
        <v>0</v>
      </c>
      <c r="R322" s="284">
        <f>O322+P322+Q322</f>
        <v>0</v>
      </c>
      <c r="S322" s="298">
        <f t="shared" ref="S322:X322" si="770">SUM(S323:S325)</f>
        <v>0</v>
      </c>
      <c r="T322" s="298">
        <f t="shared" si="770"/>
        <v>0</v>
      </c>
      <c r="U322" s="298">
        <f t="shared" si="770"/>
        <v>0</v>
      </c>
      <c r="V322" s="298">
        <f t="shared" si="770"/>
        <v>0</v>
      </c>
      <c r="W322" s="298">
        <f t="shared" si="770"/>
        <v>0</v>
      </c>
      <c r="X322" s="298">
        <f t="shared" si="770"/>
        <v>0</v>
      </c>
      <c r="Y322" s="262">
        <f t="shared" si="768"/>
        <v>0</v>
      </c>
      <c r="Z322" s="275">
        <f t="shared" ref="Z322:AE322" si="771">SUM(Z323:Z325)</f>
        <v>0</v>
      </c>
      <c r="AA322" s="275">
        <f t="shared" si="771"/>
        <v>0</v>
      </c>
      <c r="AB322" s="275">
        <f t="shared" si="771"/>
        <v>0</v>
      </c>
      <c r="AC322" s="275">
        <f t="shared" si="771"/>
        <v>0</v>
      </c>
      <c r="AD322" s="275">
        <f t="shared" si="771"/>
        <v>0</v>
      </c>
      <c r="AE322" s="275">
        <f t="shared" si="771"/>
        <v>0</v>
      </c>
      <c r="AF322" s="284">
        <f t="shared" si="763"/>
        <v>0</v>
      </c>
      <c r="AG322" s="282">
        <f t="shared" si="742"/>
        <v>10694.485000000001</v>
      </c>
      <c r="AH322" s="232">
        <f>SUM(AH323:AH325)</f>
        <v>20294500.941419996</v>
      </c>
      <c r="AI322" s="232">
        <f>SUM(AI323:AI325)</f>
        <v>19796858.144330002</v>
      </c>
      <c r="AJ322" s="232">
        <f>SUM(AJ323:AJ325)</f>
        <v>0</v>
      </c>
      <c r="AK322" s="260">
        <f t="shared" si="769"/>
        <v>40091359.085749999</v>
      </c>
      <c r="AL322" s="237">
        <f>SUM(AL323:AL325)</f>
        <v>0</v>
      </c>
      <c r="AM322" s="237">
        <f>SUM(AM323:AM325)</f>
        <v>0</v>
      </c>
      <c r="AN322" s="237">
        <f>SUM(AN323:AN325)</f>
        <v>0</v>
      </c>
      <c r="AO322" s="260">
        <f>SUM(AL322:AN322)</f>
        <v>0</v>
      </c>
      <c r="AP322" s="232">
        <f t="shared" ref="AP322:AU322" si="772">SUM(AP323:AP325)</f>
        <v>0</v>
      </c>
      <c r="AQ322" s="232">
        <f t="shared" si="772"/>
        <v>0</v>
      </c>
      <c r="AR322" s="232">
        <f t="shared" si="772"/>
        <v>0</v>
      </c>
      <c r="AS322" s="232">
        <f t="shared" si="772"/>
        <v>0</v>
      </c>
      <c r="AT322" s="232">
        <f t="shared" si="772"/>
        <v>0</v>
      </c>
      <c r="AU322" s="232">
        <f t="shared" si="772"/>
        <v>0</v>
      </c>
      <c r="AV322" s="260">
        <f>SUM(AP322:AU322)</f>
        <v>0</v>
      </c>
      <c r="AW322" s="232">
        <f t="shared" ref="AW322:BB322" si="773">SUM(AW323:AW325)</f>
        <v>0</v>
      </c>
      <c r="AX322" s="232">
        <f t="shared" si="773"/>
        <v>0</v>
      </c>
      <c r="AY322" s="232">
        <f t="shared" si="773"/>
        <v>0</v>
      </c>
      <c r="AZ322" s="232">
        <f t="shared" si="773"/>
        <v>0</v>
      </c>
      <c r="BA322" s="232">
        <f t="shared" si="773"/>
        <v>0</v>
      </c>
      <c r="BB322" s="232">
        <f t="shared" si="773"/>
        <v>0</v>
      </c>
      <c r="BC322" s="260">
        <f t="shared" si="754"/>
        <v>0</v>
      </c>
      <c r="BD322" s="238">
        <f t="shared" si="684"/>
        <v>40091359.085749999</v>
      </c>
      <c r="BE322" s="13"/>
      <c r="BF322" s="243"/>
      <c r="BG322" s="243"/>
      <c r="BH322" s="243"/>
      <c r="BI322" s="243"/>
      <c r="BJ322" s="243"/>
      <c r="BK322" s="243"/>
      <c r="BL322" s="243"/>
      <c r="BM322" s="243"/>
      <c r="BN322" s="243"/>
      <c r="BO322" s="243"/>
      <c r="BP322" s="243"/>
      <c r="BQ322" s="243"/>
      <c r="BR322" s="243"/>
      <c r="BS322" s="243"/>
      <c r="BT322" s="243"/>
      <c r="BU322" s="243"/>
      <c r="BV322" s="243"/>
      <c r="BW322" s="243"/>
      <c r="BX322" s="243"/>
      <c r="BY322" s="243"/>
      <c r="BZ322" s="243"/>
      <c r="CA322" s="243"/>
      <c r="CB322" s="243"/>
      <c r="CC322" s="243"/>
      <c r="CD322" s="243"/>
      <c r="CE322" s="243"/>
      <c r="CF322" s="243"/>
      <c r="CG322" s="243"/>
      <c r="CH322" s="243"/>
      <c r="CI322" s="243"/>
      <c r="CJ322" s="243"/>
      <c r="CK322" s="243"/>
      <c r="CL322" s="243"/>
      <c r="CM322" s="243"/>
      <c r="CN322" s="243"/>
      <c r="CO322" s="243"/>
      <c r="CP322" s="243"/>
      <c r="CQ322" s="243"/>
      <c r="CR322" s="243"/>
      <c r="CS322" s="243"/>
      <c r="CT322" s="243"/>
      <c r="CU322" s="243"/>
      <c r="CV322" s="243"/>
      <c r="CW322" s="243"/>
      <c r="CX322" s="243"/>
      <c r="CY322" s="243"/>
      <c r="CZ322" s="243"/>
      <c r="DA322" s="243"/>
      <c r="DB322" s="243"/>
      <c r="DC322" s="243"/>
      <c r="DD322" s="243"/>
      <c r="DE322" s="243"/>
      <c r="DF322" s="243"/>
      <c r="DG322" s="243"/>
      <c r="DH322" s="243"/>
      <c r="DI322" s="243"/>
      <c r="DJ322" s="243"/>
      <c r="DK322" s="243"/>
      <c r="DL322" s="243"/>
      <c r="DM322" s="243"/>
      <c r="DN322" s="243"/>
      <c r="DO322" s="243"/>
      <c r="DP322" s="243"/>
      <c r="DQ322" s="243"/>
      <c r="DR322" s="243"/>
      <c r="DS322" s="243"/>
      <c r="DT322" s="243"/>
      <c r="DU322" s="243"/>
      <c r="DV322" s="243"/>
      <c r="DW322" s="243"/>
      <c r="DX322" s="243"/>
      <c r="DY322" s="243"/>
      <c r="DZ322" s="243"/>
      <c r="EA322" s="243"/>
      <c r="EB322" s="243"/>
      <c r="EC322" s="243"/>
      <c r="ED322" s="243"/>
      <c r="EE322" s="243"/>
      <c r="EF322" s="243"/>
      <c r="EG322" s="243"/>
      <c r="EH322" s="243"/>
      <c r="EI322" s="243"/>
      <c r="EJ322" s="243"/>
      <c r="EK322" s="243"/>
      <c r="EL322" s="243"/>
      <c r="EM322" s="243"/>
      <c r="EN322" s="243"/>
      <c r="EO322" s="243"/>
      <c r="EP322" s="243"/>
      <c r="EQ322" s="243"/>
      <c r="ER322" s="243"/>
      <c r="ES322" s="243"/>
      <c r="ET322" s="243"/>
      <c r="EU322" s="243"/>
      <c r="EV322" s="243"/>
      <c r="EW322" s="243"/>
      <c r="EX322" s="243"/>
      <c r="EY322" s="243"/>
      <c r="EZ322" s="243"/>
      <c r="FA322" s="243"/>
      <c r="FB322" s="243"/>
      <c r="FC322" s="243"/>
      <c r="FD322" s="243"/>
      <c r="FE322" s="243"/>
      <c r="FF322" s="243"/>
      <c r="FG322" s="243"/>
      <c r="FH322" s="243"/>
      <c r="FI322" s="243"/>
      <c r="FJ322" s="243"/>
      <c r="FK322" s="243"/>
      <c r="FL322" s="243"/>
      <c r="FM322" s="243"/>
      <c r="FN322" s="243"/>
      <c r="FO322" s="243"/>
      <c r="FP322" s="243"/>
      <c r="FQ322" s="243"/>
      <c r="FR322" s="243"/>
      <c r="FS322" s="243"/>
      <c r="FT322" s="243"/>
      <c r="FU322" s="243"/>
      <c r="FV322" s="243"/>
      <c r="FW322" s="243"/>
      <c r="FX322" s="243"/>
      <c r="FY322" s="243"/>
      <c r="FZ322" s="243"/>
      <c r="GA322" s="243"/>
      <c r="GB322" s="243"/>
      <c r="GC322" s="243"/>
      <c r="GD322" s="243"/>
      <c r="GE322" s="243"/>
      <c r="GF322" s="243"/>
      <c r="GG322" s="243"/>
      <c r="GH322" s="243"/>
      <c r="GI322" s="243"/>
      <c r="GJ322" s="243"/>
      <c r="GK322" s="243"/>
      <c r="GL322" s="243"/>
      <c r="GM322" s="243"/>
      <c r="GN322" s="243"/>
      <c r="GO322" s="243"/>
      <c r="GP322" s="243"/>
      <c r="GQ322" s="243"/>
      <c r="GR322" s="243"/>
      <c r="GS322" s="243"/>
      <c r="GT322" s="243"/>
    </row>
    <row r="323" spans="1:202" s="79" customFormat="1" ht="11.25" customHeight="1">
      <c r="A323" s="196"/>
      <c r="B323" s="84"/>
      <c r="C323" s="221" t="s">
        <v>577</v>
      </c>
      <c r="D323" s="78"/>
      <c r="E323" s="82">
        <v>6416.33</v>
      </c>
      <c r="F323" s="82">
        <v>1533</v>
      </c>
      <c r="G323" s="177">
        <f t="shared" ref="G323:G331" si="774">E323-F323</f>
        <v>4883.33</v>
      </c>
      <c r="H323" s="82">
        <v>6416.33</v>
      </c>
      <c r="I323" s="82">
        <v>1533</v>
      </c>
      <c r="J323" s="210">
        <f>H323-I323</f>
        <v>4883.33</v>
      </c>
      <c r="K323" s="255">
        <v>4063.5</v>
      </c>
      <c r="L323" s="255">
        <v>3973.498</v>
      </c>
      <c r="M323" s="255"/>
      <c r="N323" s="287">
        <f>SUM(K323:M323)</f>
        <v>8036.9979999999996</v>
      </c>
      <c r="O323" s="276"/>
      <c r="P323" s="276"/>
      <c r="Q323" s="294"/>
      <c r="R323" s="287"/>
      <c r="S323" s="294"/>
      <c r="T323" s="267"/>
      <c r="U323" s="276"/>
      <c r="V323" s="276"/>
      <c r="W323" s="294"/>
      <c r="X323" s="273"/>
      <c r="Y323" s="142"/>
      <c r="Z323" s="276"/>
      <c r="AA323" s="276"/>
      <c r="AB323" s="276"/>
      <c r="AC323" s="276"/>
      <c r="AD323" s="276"/>
      <c r="AE323" s="276"/>
      <c r="AF323" s="287">
        <f t="shared" si="763"/>
        <v>0</v>
      </c>
      <c r="AG323" s="283">
        <f t="shared" si="742"/>
        <v>8036.9979999999996</v>
      </c>
      <c r="AH323" s="230">
        <f t="shared" ref="AH323:AJ325" si="775">K323*$G323</f>
        <v>19843411.454999998</v>
      </c>
      <c r="AI323" s="230">
        <f t="shared" si="775"/>
        <v>19403901.988340002</v>
      </c>
      <c r="AJ323" s="230">
        <f t="shared" si="775"/>
        <v>0</v>
      </c>
      <c r="AK323" s="261">
        <f t="shared" si="769"/>
        <v>39247313.443340003</v>
      </c>
      <c r="AL323" s="230">
        <f t="shared" ref="AL323:AN325" si="776">O323*$G323</f>
        <v>0</v>
      </c>
      <c r="AM323" s="230">
        <f t="shared" si="776"/>
        <v>0</v>
      </c>
      <c r="AN323" s="230">
        <f t="shared" si="776"/>
        <v>0</v>
      </c>
      <c r="AO323" s="261"/>
      <c r="AP323" s="230">
        <f t="shared" ref="AP323:AU325" si="777">S323*$J323</f>
        <v>0</v>
      </c>
      <c r="AQ323" s="230">
        <f t="shared" si="777"/>
        <v>0</v>
      </c>
      <c r="AR323" s="230">
        <f t="shared" si="777"/>
        <v>0</v>
      </c>
      <c r="AS323" s="230">
        <f t="shared" si="777"/>
        <v>0</v>
      </c>
      <c r="AT323" s="230">
        <f t="shared" si="777"/>
        <v>0</v>
      </c>
      <c r="AU323" s="230">
        <f t="shared" si="777"/>
        <v>0</v>
      </c>
      <c r="AV323" s="261"/>
      <c r="AW323" s="230">
        <f t="shared" ref="AW323:BB325" si="778">Z323*$J323</f>
        <v>0</v>
      </c>
      <c r="AX323" s="230">
        <f t="shared" si="778"/>
        <v>0</v>
      </c>
      <c r="AY323" s="230">
        <f t="shared" si="778"/>
        <v>0</v>
      </c>
      <c r="AZ323" s="230">
        <f t="shared" si="778"/>
        <v>0</v>
      </c>
      <c r="BA323" s="230">
        <f t="shared" si="778"/>
        <v>0</v>
      </c>
      <c r="BB323" s="230">
        <f t="shared" si="778"/>
        <v>0</v>
      </c>
      <c r="BC323" s="261">
        <f t="shared" si="754"/>
        <v>0</v>
      </c>
      <c r="BD323" s="239">
        <f t="shared" si="684"/>
        <v>39247313.443340003</v>
      </c>
      <c r="BE323" s="243"/>
      <c r="BF323" s="243"/>
      <c r="BG323" s="243"/>
      <c r="BH323" s="243"/>
      <c r="BI323" s="243"/>
      <c r="BJ323" s="243"/>
      <c r="BK323" s="243"/>
      <c r="BL323" s="243"/>
      <c r="BM323" s="243"/>
      <c r="BN323" s="243"/>
      <c r="BO323" s="243"/>
      <c r="BP323" s="243"/>
      <c r="BQ323" s="243"/>
      <c r="BR323" s="243"/>
      <c r="BS323" s="243"/>
      <c r="BT323" s="243"/>
      <c r="BU323" s="243"/>
      <c r="BV323" s="243"/>
      <c r="BW323" s="243"/>
      <c r="BX323" s="243"/>
      <c r="BY323" s="243"/>
      <c r="BZ323" s="243"/>
      <c r="CA323" s="243"/>
      <c r="CB323" s="243"/>
      <c r="CC323" s="243"/>
      <c r="CD323" s="243"/>
      <c r="CE323" s="243"/>
      <c r="CF323" s="243"/>
      <c r="CG323" s="243"/>
      <c r="CH323" s="243"/>
      <c r="CI323" s="243"/>
      <c r="CJ323" s="243"/>
      <c r="CK323" s="243"/>
      <c r="CL323" s="243"/>
      <c r="CM323" s="243"/>
      <c r="CN323" s="243"/>
      <c r="CO323" s="243"/>
      <c r="CP323" s="243"/>
      <c r="CQ323" s="243"/>
      <c r="CR323" s="243"/>
      <c r="CS323" s="243"/>
      <c r="CT323" s="243"/>
      <c r="CU323" s="243"/>
      <c r="CV323" s="243"/>
      <c r="CW323" s="243"/>
      <c r="CX323" s="243"/>
      <c r="CY323" s="243"/>
      <c r="CZ323" s="243"/>
      <c r="DA323" s="243"/>
      <c r="DB323" s="243"/>
      <c r="DC323" s="243"/>
      <c r="DD323" s="243"/>
      <c r="DE323" s="243"/>
      <c r="DF323" s="243"/>
      <c r="DG323" s="243"/>
      <c r="DH323" s="243"/>
      <c r="DI323" s="243"/>
      <c r="DJ323" s="243"/>
      <c r="DK323" s="243"/>
      <c r="DL323" s="243"/>
      <c r="DM323" s="243"/>
      <c r="DN323" s="243"/>
      <c r="DO323" s="243"/>
      <c r="DP323" s="243"/>
      <c r="DQ323" s="243"/>
      <c r="DR323" s="243"/>
      <c r="DS323" s="243"/>
      <c r="DT323" s="243"/>
      <c r="DU323" s="243"/>
      <c r="DV323" s="243"/>
      <c r="DW323" s="243"/>
      <c r="DX323" s="243"/>
      <c r="DY323" s="243"/>
      <c r="DZ323" s="243"/>
      <c r="EA323" s="243"/>
      <c r="EB323" s="243"/>
      <c r="EC323" s="243"/>
      <c r="ED323" s="243"/>
      <c r="EE323" s="243"/>
      <c r="EF323" s="243"/>
      <c r="EG323" s="243"/>
      <c r="EH323" s="243"/>
      <c r="EI323" s="243"/>
      <c r="EJ323" s="243"/>
      <c r="EK323" s="243"/>
      <c r="EL323" s="243"/>
      <c r="EM323" s="243"/>
      <c r="EN323" s="243"/>
      <c r="EO323" s="243"/>
      <c r="EP323" s="243"/>
      <c r="EQ323" s="243"/>
      <c r="ER323" s="243"/>
      <c r="ES323" s="243"/>
      <c r="ET323" s="243"/>
      <c r="EU323" s="243"/>
      <c r="EV323" s="243"/>
      <c r="EW323" s="243"/>
      <c r="EX323" s="243"/>
      <c r="EY323" s="243"/>
      <c r="EZ323" s="243"/>
      <c r="FA323" s="243"/>
      <c r="FB323" s="243"/>
      <c r="FC323" s="243"/>
      <c r="FD323" s="243"/>
      <c r="FE323" s="243"/>
      <c r="FF323" s="243"/>
      <c r="FG323" s="243"/>
      <c r="FH323" s="243"/>
      <c r="FI323" s="243"/>
      <c r="FJ323" s="243"/>
      <c r="FK323" s="243"/>
      <c r="FL323" s="243"/>
      <c r="FM323" s="243"/>
      <c r="FN323" s="243"/>
      <c r="FO323" s="243"/>
      <c r="FP323" s="243"/>
      <c r="FQ323" s="243"/>
      <c r="FR323" s="243"/>
      <c r="FS323" s="243"/>
      <c r="FT323" s="243"/>
      <c r="FU323" s="243"/>
      <c r="FV323" s="243"/>
      <c r="FW323" s="243"/>
      <c r="FX323" s="243"/>
      <c r="FY323" s="243"/>
      <c r="FZ323" s="243"/>
      <c r="GA323" s="243"/>
      <c r="GB323" s="243"/>
      <c r="GC323" s="243"/>
      <c r="GD323" s="243"/>
      <c r="GE323" s="243"/>
      <c r="GF323" s="243"/>
      <c r="GG323" s="243"/>
      <c r="GH323" s="243"/>
      <c r="GI323" s="243"/>
      <c r="GJ323" s="243"/>
      <c r="GK323" s="243"/>
      <c r="GL323" s="243"/>
      <c r="GM323" s="243"/>
      <c r="GN323" s="243"/>
      <c r="GO323" s="243"/>
      <c r="GP323" s="243"/>
      <c r="GQ323" s="243"/>
      <c r="GR323" s="243"/>
      <c r="GS323" s="243"/>
      <c r="GT323" s="243"/>
    </row>
    <row r="324" spans="1:202" s="79" customFormat="1" ht="11.25" customHeight="1">
      <c r="A324" s="196"/>
      <c r="B324" s="84"/>
      <c r="C324" s="221" t="s">
        <v>578</v>
      </c>
      <c r="D324" s="78"/>
      <c r="E324" s="82">
        <v>6416.33</v>
      </c>
      <c r="F324" s="82">
        <v>1533</v>
      </c>
      <c r="G324" s="177">
        <f t="shared" si="774"/>
        <v>4883.33</v>
      </c>
      <c r="H324" s="82">
        <v>6416.33</v>
      </c>
      <c r="I324" s="82">
        <v>1533</v>
      </c>
      <c r="J324" s="210">
        <f>H324-I324</f>
        <v>4883.33</v>
      </c>
      <c r="K324" s="255">
        <v>92.195999999999998</v>
      </c>
      <c r="L324" s="255">
        <v>80.346000000000004</v>
      </c>
      <c r="M324" s="255"/>
      <c r="N324" s="287">
        <f>SUM(K324:M324)</f>
        <v>172.542</v>
      </c>
      <c r="O324" s="276"/>
      <c r="P324" s="276"/>
      <c r="Q324" s="294"/>
      <c r="R324" s="287"/>
      <c r="S324" s="294"/>
      <c r="T324" s="267"/>
      <c r="U324" s="276"/>
      <c r="V324" s="276"/>
      <c r="W324" s="294"/>
      <c r="X324" s="273"/>
      <c r="Y324" s="142"/>
      <c r="Z324" s="276"/>
      <c r="AA324" s="276"/>
      <c r="AB324" s="276"/>
      <c r="AC324" s="276"/>
      <c r="AD324" s="276"/>
      <c r="AE324" s="276"/>
      <c r="AF324" s="287">
        <f t="shared" si="763"/>
        <v>0</v>
      </c>
      <c r="AG324" s="283">
        <f t="shared" si="742"/>
        <v>172.542</v>
      </c>
      <c r="AH324" s="230">
        <f t="shared" si="775"/>
        <v>450223.49267999997</v>
      </c>
      <c r="AI324" s="230">
        <f t="shared" si="775"/>
        <v>392356.03218000004</v>
      </c>
      <c r="AJ324" s="230">
        <f t="shared" si="775"/>
        <v>0</v>
      </c>
      <c r="AK324" s="261">
        <f t="shared" si="769"/>
        <v>842579.52486</v>
      </c>
      <c r="AL324" s="230">
        <f t="shared" si="776"/>
        <v>0</v>
      </c>
      <c r="AM324" s="230">
        <f t="shared" si="776"/>
        <v>0</v>
      </c>
      <c r="AN324" s="230">
        <f t="shared" si="776"/>
        <v>0</v>
      </c>
      <c r="AO324" s="261"/>
      <c r="AP324" s="230">
        <f t="shared" si="777"/>
        <v>0</v>
      </c>
      <c r="AQ324" s="230">
        <f t="shared" si="777"/>
        <v>0</v>
      </c>
      <c r="AR324" s="230">
        <f t="shared" si="777"/>
        <v>0</v>
      </c>
      <c r="AS324" s="230">
        <f t="shared" si="777"/>
        <v>0</v>
      </c>
      <c r="AT324" s="230">
        <f t="shared" si="777"/>
        <v>0</v>
      </c>
      <c r="AU324" s="230">
        <f t="shared" si="777"/>
        <v>0</v>
      </c>
      <c r="AV324" s="261"/>
      <c r="AW324" s="230">
        <f t="shared" si="778"/>
        <v>0</v>
      </c>
      <c r="AX324" s="230">
        <f t="shared" si="778"/>
        <v>0</v>
      </c>
      <c r="AY324" s="230">
        <f t="shared" si="778"/>
        <v>0</v>
      </c>
      <c r="AZ324" s="230">
        <f t="shared" si="778"/>
        <v>0</v>
      </c>
      <c r="BA324" s="230">
        <f t="shared" si="778"/>
        <v>0</v>
      </c>
      <c r="BB324" s="230">
        <f t="shared" si="778"/>
        <v>0</v>
      </c>
      <c r="BC324" s="261">
        <f t="shared" si="754"/>
        <v>0</v>
      </c>
      <c r="BD324" s="239">
        <f t="shared" si="684"/>
        <v>842579.52486</v>
      </c>
      <c r="BE324" s="243"/>
      <c r="BF324" s="243"/>
      <c r="BG324" s="243"/>
      <c r="BH324" s="243"/>
      <c r="BI324" s="243"/>
      <c r="BJ324" s="243"/>
      <c r="BK324" s="243"/>
      <c r="BL324" s="243"/>
      <c r="BM324" s="243"/>
      <c r="BN324" s="243"/>
      <c r="BO324" s="243"/>
      <c r="BP324" s="243"/>
      <c r="BQ324" s="243"/>
      <c r="BR324" s="243"/>
      <c r="BS324" s="243"/>
      <c r="BT324" s="243"/>
      <c r="BU324" s="243"/>
      <c r="BV324" s="243"/>
      <c r="BW324" s="243"/>
      <c r="BX324" s="243"/>
      <c r="BY324" s="243"/>
      <c r="BZ324" s="243"/>
      <c r="CA324" s="243"/>
      <c r="CB324" s="243"/>
      <c r="CC324" s="243"/>
      <c r="CD324" s="243"/>
      <c r="CE324" s="243"/>
      <c r="CF324" s="243"/>
      <c r="CG324" s="243"/>
      <c r="CH324" s="243"/>
      <c r="CI324" s="243"/>
      <c r="CJ324" s="243"/>
      <c r="CK324" s="243"/>
      <c r="CL324" s="243"/>
      <c r="CM324" s="243"/>
      <c r="CN324" s="243"/>
      <c r="CO324" s="243"/>
      <c r="CP324" s="243"/>
      <c r="CQ324" s="243"/>
      <c r="CR324" s="243"/>
      <c r="CS324" s="243"/>
      <c r="CT324" s="243"/>
      <c r="CU324" s="243"/>
      <c r="CV324" s="243"/>
      <c r="CW324" s="243"/>
      <c r="CX324" s="243"/>
      <c r="CY324" s="243"/>
      <c r="CZ324" s="243"/>
      <c r="DA324" s="243"/>
      <c r="DB324" s="243"/>
      <c r="DC324" s="243"/>
      <c r="DD324" s="243"/>
      <c r="DE324" s="243"/>
      <c r="DF324" s="243"/>
      <c r="DG324" s="243"/>
      <c r="DH324" s="243"/>
      <c r="DI324" s="243"/>
      <c r="DJ324" s="243"/>
      <c r="DK324" s="243"/>
      <c r="DL324" s="243"/>
      <c r="DM324" s="243"/>
      <c r="DN324" s="243"/>
      <c r="DO324" s="243"/>
      <c r="DP324" s="243"/>
      <c r="DQ324" s="243"/>
      <c r="DR324" s="243"/>
      <c r="DS324" s="243"/>
      <c r="DT324" s="243"/>
      <c r="DU324" s="243"/>
      <c r="DV324" s="243"/>
      <c r="DW324" s="243"/>
      <c r="DX324" s="243"/>
      <c r="DY324" s="243"/>
      <c r="DZ324" s="243"/>
      <c r="EA324" s="243"/>
      <c r="EB324" s="243"/>
      <c r="EC324" s="243"/>
      <c r="ED324" s="243"/>
      <c r="EE324" s="243"/>
      <c r="EF324" s="243"/>
      <c r="EG324" s="243"/>
      <c r="EH324" s="243"/>
      <c r="EI324" s="243"/>
      <c r="EJ324" s="243"/>
      <c r="EK324" s="243"/>
      <c r="EL324" s="243"/>
      <c r="EM324" s="243"/>
      <c r="EN324" s="243"/>
      <c r="EO324" s="243"/>
      <c r="EP324" s="243"/>
      <c r="EQ324" s="243"/>
      <c r="ER324" s="243"/>
      <c r="ES324" s="243"/>
      <c r="ET324" s="243"/>
      <c r="EU324" s="243"/>
      <c r="EV324" s="243"/>
      <c r="EW324" s="243"/>
      <c r="EX324" s="243"/>
      <c r="EY324" s="243"/>
      <c r="EZ324" s="243"/>
      <c r="FA324" s="243"/>
      <c r="FB324" s="243"/>
      <c r="FC324" s="243"/>
      <c r="FD324" s="243"/>
      <c r="FE324" s="243"/>
      <c r="FF324" s="243"/>
      <c r="FG324" s="243"/>
      <c r="FH324" s="243"/>
      <c r="FI324" s="243"/>
      <c r="FJ324" s="243"/>
      <c r="FK324" s="243"/>
      <c r="FL324" s="243"/>
      <c r="FM324" s="243"/>
      <c r="FN324" s="243"/>
      <c r="FO324" s="243"/>
      <c r="FP324" s="243"/>
      <c r="FQ324" s="243"/>
      <c r="FR324" s="243"/>
      <c r="FS324" s="243"/>
      <c r="FT324" s="243"/>
      <c r="FU324" s="243"/>
      <c r="FV324" s="243"/>
      <c r="FW324" s="243"/>
      <c r="FX324" s="243"/>
      <c r="FY324" s="243"/>
      <c r="FZ324" s="243"/>
      <c r="GA324" s="243"/>
      <c r="GB324" s="243"/>
      <c r="GC324" s="243"/>
      <c r="GD324" s="243"/>
      <c r="GE324" s="243"/>
      <c r="GF324" s="243"/>
      <c r="GG324" s="243"/>
      <c r="GH324" s="243"/>
      <c r="GI324" s="243"/>
      <c r="GJ324" s="243"/>
      <c r="GK324" s="243"/>
      <c r="GL324" s="243"/>
      <c r="GM324" s="243"/>
      <c r="GN324" s="243"/>
      <c r="GO324" s="243"/>
      <c r="GP324" s="243"/>
      <c r="GQ324" s="243"/>
      <c r="GR324" s="243"/>
      <c r="GS324" s="243"/>
      <c r="GT324" s="243"/>
    </row>
    <row r="325" spans="1:202" s="79" customFormat="1" ht="11.25" customHeight="1">
      <c r="A325" s="196"/>
      <c r="B325" s="84"/>
      <c r="C325" s="221" t="s">
        <v>579</v>
      </c>
      <c r="D325" s="78"/>
      <c r="E325" s="82">
        <v>54.16</v>
      </c>
      <c r="F325" s="82">
        <v>53.57</v>
      </c>
      <c r="G325" s="177">
        <f t="shared" si="774"/>
        <v>0.58999999999999631</v>
      </c>
      <c r="H325" s="82">
        <v>54.16</v>
      </c>
      <c r="I325" s="82">
        <v>53.57</v>
      </c>
      <c r="J325" s="210">
        <f>H325-I325</f>
        <v>0.58999999999999631</v>
      </c>
      <c r="K325" s="255">
        <v>1467.7860000000001</v>
      </c>
      <c r="L325" s="255">
        <v>1017.159</v>
      </c>
      <c r="M325" s="255"/>
      <c r="N325" s="287">
        <f>SUM(K325:M325)</f>
        <v>2484.9450000000002</v>
      </c>
      <c r="O325" s="276"/>
      <c r="P325" s="276"/>
      <c r="Q325" s="294"/>
      <c r="R325" s="287"/>
      <c r="S325" s="294"/>
      <c r="T325" s="267"/>
      <c r="U325" s="276"/>
      <c r="V325" s="276"/>
      <c r="W325" s="294"/>
      <c r="X325" s="273"/>
      <c r="Y325" s="142"/>
      <c r="Z325" s="276"/>
      <c r="AA325" s="276"/>
      <c r="AB325" s="276"/>
      <c r="AC325" s="276"/>
      <c r="AD325" s="276"/>
      <c r="AE325" s="276"/>
      <c r="AF325" s="287">
        <f t="shared" si="763"/>
        <v>0</v>
      </c>
      <c r="AG325" s="283">
        <f t="shared" si="742"/>
        <v>2484.9450000000002</v>
      </c>
      <c r="AH325" s="230">
        <f t="shared" si="775"/>
        <v>865.99373999999466</v>
      </c>
      <c r="AI325" s="230">
        <f t="shared" si="775"/>
        <v>600.12380999999618</v>
      </c>
      <c r="AJ325" s="230">
        <f t="shared" si="775"/>
        <v>0</v>
      </c>
      <c r="AK325" s="261">
        <f t="shared" si="769"/>
        <v>1466.1175499999908</v>
      </c>
      <c r="AL325" s="230">
        <f t="shared" si="776"/>
        <v>0</v>
      </c>
      <c r="AM325" s="230">
        <f t="shared" si="776"/>
        <v>0</v>
      </c>
      <c r="AN325" s="230">
        <f t="shared" si="776"/>
        <v>0</v>
      </c>
      <c r="AO325" s="261"/>
      <c r="AP325" s="230">
        <f t="shared" si="777"/>
        <v>0</v>
      </c>
      <c r="AQ325" s="230">
        <f t="shared" si="777"/>
        <v>0</v>
      </c>
      <c r="AR325" s="230">
        <f t="shared" si="777"/>
        <v>0</v>
      </c>
      <c r="AS325" s="230">
        <f t="shared" si="777"/>
        <v>0</v>
      </c>
      <c r="AT325" s="230">
        <f t="shared" si="777"/>
        <v>0</v>
      </c>
      <c r="AU325" s="230">
        <f t="shared" si="777"/>
        <v>0</v>
      </c>
      <c r="AV325" s="261"/>
      <c r="AW325" s="230">
        <f t="shared" si="778"/>
        <v>0</v>
      </c>
      <c r="AX325" s="230">
        <f t="shared" si="778"/>
        <v>0</v>
      </c>
      <c r="AY325" s="230">
        <f t="shared" si="778"/>
        <v>0</v>
      </c>
      <c r="AZ325" s="230">
        <f t="shared" si="778"/>
        <v>0</v>
      </c>
      <c r="BA325" s="230">
        <f t="shared" si="778"/>
        <v>0</v>
      </c>
      <c r="BB325" s="230">
        <f t="shared" si="778"/>
        <v>0</v>
      </c>
      <c r="BC325" s="261">
        <f t="shared" si="754"/>
        <v>0</v>
      </c>
      <c r="BD325" s="239">
        <f t="shared" si="684"/>
        <v>1466.1175499999908</v>
      </c>
      <c r="BE325" s="243"/>
      <c r="BF325" s="243"/>
      <c r="BG325" s="243"/>
      <c r="BH325" s="243"/>
      <c r="BI325" s="243"/>
      <c r="BJ325" s="243"/>
      <c r="BK325" s="243"/>
      <c r="BL325" s="243"/>
      <c r="BM325" s="243"/>
      <c r="BN325" s="243"/>
      <c r="BO325" s="243"/>
      <c r="BP325" s="243"/>
      <c r="BQ325" s="243"/>
      <c r="BR325" s="243"/>
      <c r="BS325" s="243"/>
      <c r="BT325" s="243"/>
      <c r="BU325" s="243"/>
      <c r="BV325" s="243"/>
      <c r="BW325" s="243"/>
      <c r="BX325" s="243"/>
      <c r="BY325" s="243"/>
      <c r="BZ325" s="243"/>
      <c r="CA325" s="243"/>
      <c r="CB325" s="243"/>
      <c r="CC325" s="243"/>
      <c r="CD325" s="243"/>
      <c r="CE325" s="243"/>
      <c r="CF325" s="243"/>
      <c r="CG325" s="243"/>
      <c r="CH325" s="243"/>
      <c r="CI325" s="243"/>
      <c r="CJ325" s="243"/>
      <c r="CK325" s="243"/>
      <c r="CL325" s="243"/>
      <c r="CM325" s="243"/>
      <c r="CN325" s="243"/>
      <c r="CO325" s="243"/>
      <c r="CP325" s="243"/>
      <c r="CQ325" s="243"/>
      <c r="CR325" s="243"/>
      <c r="CS325" s="243"/>
      <c r="CT325" s="243"/>
      <c r="CU325" s="243"/>
      <c r="CV325" s="243"/>
      <c r="CW325" s="243"/>
      <c r="CX325" s="243"/>
      <c r="CY325" s="243"/>
      <c r="CZ325" s="243"/>
      <c r="DA325" s="243"/>
      <c r="DB325" s="243"/>
      <c r="DC325" s="243"/>
      <c r="DD325" s="243"/>
      <c r="DE325" s="243"/>
      <c r="DF325" s="243"/>
      <c r="DG325" s="243"/>
      <c r="DH325" s="243"/>
      <c r="DI325" s="243"/>
      <c r="DJ325" s="243"/>
      <c r="DK325" s="243"/>
      <c r="DL325" s="243"/>
      <c r="DM325" s="243"/>
      <c r="DN325" s="243"/>
      <c r="DO325" s="243"/>
      <c r="DP325" s="243"/>
      <c r="DQ325" s="243"/>
      <c r="DR325" s="243"/>
      <c r="DS325" s="243"/>
      <c r="DT325" s="243"/>
      <c r="DU325" s="243"/>
      <c r="DV325" s="243"/>
      <c r="DW325" s="243"/>
      <c r="DX325" s="243"/>
      <c r="DY325" s="243"/>
      <c r="DZ325" s="243"/>
      <c r="EA325" s="243"/>
      <c r="EB325" s="243"/>
      <c r="EC325" s="243"/>
      <c r="ED325" s="243"/>
      <c r="EE325" s="243"/>
      <c r="EF325" s="243"/>
      <c r="EG325" s="243"/>
      <c r="EH325" s="243"/>
      <c r="EI325" s="243"/>
      <c r="EJ325" s="243"/>
      <c r="EK325" s="243"/>
      <c r="EL325" s="243"/>
      <c r="EM325" s="243"/>
      <c r="EN325" s="243"/>
      <c r="EO325" s="243"/>
      <c r="EP325" s="243"/>
      <c r="EQ325" s="243"/>
      <c r="ER325" s="243"/>
      <c r="ES325" s="243"/>
      <c r="ET325" s="243"/>
      <c r="EU325" s="243"/>
      <c r="EV325" s="243"/>
      <c r="EW325" s="243"/>
      <c r="EX325" s="243"/>
      <c r="EY325" s="243"/>
      <c r="EZ325" s="243"/>
      <c r="FA325" s="243"/>
      <c r="FB325" s="243"/>
      <c r="FC325" s="243"/>
      <c r="FD325" s="243"/>
      <c r="FE325" s="243"/>
      <c r="FF325" s="243"/>
      <c r="FG325" s="243"/>
      <c r="FH325" s="243"/>
      <c r="FI325" s="243"/>
      <c r="FJ325" s="243"/>
      <c r="FK325" s="243"/>
      <c r="FL325" s="243"/>
      <c r="FM325" s="243"/>
      <c r="FN325" s="243"/>
      <c r="FO325" s="243"/>
      <c r="FP325" s="243"/>
      <c r="FQ325" s="243"/>
      <c r="FR325" s="243"/>
      <c r="FS325" s="243"/>
      <c r="FT325" s="243"/>
      <c r="FU325" s="243"/>
      <c r="FV325" s="243"/>
      <c r="FW325" s="243"/>
      <c r="FX325" s="243"/>
      <c r="FY325" s="243"/>
      <c r="FZ325" s="243"/>
      <c r="GA325" s="243"/>
      <c r="GB325" s="243"/>
      <c r="GC325" s="243"/>
      <c r="GD325" s="243"/>
      <c r="GE325" s="243"/>
      <c r="GF325" s="243"/>
      <c r="GG325" s="243"/>
      <c r="GH325" s="243"/>
      <c r="GI325" s="243"/>
      <c r="GJ325" s="243"/>
      <c r="GK325" s="243"/>
      <c r="GL325" s="243"/>
      <c r="GM325" s="243"/>
      <c r="GN325" s="243"/>
      <c r="GO325" s="243"/>
      <c r="GP325" s="243"/>
      <c r="GQ325" s="243"/>
      <c r="GR325" s="243"/>
      <c r="GS325" s="243"/>
      <c r="GT325" s="243"/>
    </row>
    <row r="326" spans="1:202" s="79" customFormat="1" ht="21.75" customHeight="1">
      <c r="A326" s="193" t="s">
        <v>26</v>
      </c>
      <c r="B326" s="185" t="s">
        <v>155</v>
      </c>
      <c r="C326" s="221"/>
      <c r="D326" s="73">
        <v>2912006620</v>
      </c>
      <c r="E326" s="82"/>
      <c r="F326" s="82"/>
      <c r="G326" s="177"/>
      <c r="H326" s="82"/>
      <c r="I326" s="82"/>
      <c r="J326" s="210"/>
      <c r="K326" s="259">
        <f>K327</f>
        <v>275.77999999999997</v>
      </c>
      <c r="L326" s="259">
        <f>L327</f>
        <v>298.71499999999997</v>
      </c>
      <c r="M326" s="259">
        <f>M327</f>
        <v>0</v>
      </c>
      <c r="N326" s="284">
        <f>K326+L326+M326</f>
        <v>574.49499999999989</v>
      </c>
      <c r="O326" s="281">
        <f>O327</f>
        <v>0</v>
      </c>
      <c r="P326" s="281">
        <f>P327</f>
        <v>0</v>
      </c>
      <c r="Q326" s="281">
        <f>Q327</f>
        <v>0</v>
      </c>
      <c r="R326" s="284">
        <f>O326+P326+Q326</f>
        <v>0</v>
      </c>
      <c r="S326" s="298">
        <f t="shared" ref="S326:X326" si="779">S327</f>
        <v>0</v>
      </c>
      <c r="T326" s="298">
        <f t="shared" si="779"/>
        <v>0</v>
      </c>
      <c r="U326" s="298">
        <f t="shared" si="779"/>
        <v>0</v>
      </c>
      <c r="V326" s="298">
        <f t="shared" si="779"/>
        <v>0</v>
      </c>
      <c r="W326" s="298">
        <f t="shared" si="779"/>
        <v>0</v>
      </c>
      <c r="X326" s="298">
        <f t="shared" si="779"/>
        <v>0</v>
      </c>
      <c r="Y326" s="262">
        <f t="shared" si="768"/>
        <v>0</v>
      </c>
      <c r="Z326" s="281">
        <f t="shared" ref="Z326:AE326" si="780">Z327</f>
        <v>0</v>
      </c>
      <c r="AA326" s="281">
        <f t="shared" si="780"/>
        <v>0</v>
      </c>
      <c r="AB326" s="281">
        <f t="shared" si="780"/>
        <v>0</v>
      </c>
      <c r="AC326" s="281">
        <f t="shared" si="780"/>
        <v>0</v>
      </c>
      <c r="AD326" s="281">
        <f t="shared" si="780"/>
        <v>0</v>
      </c>
      <c r="AE326" s="281">
        <f t="shared" si="780"/>
        <v>0</v>
      </c>
      <c r="AF326" s="284">
        <f t="shared" si="763"/>
        <v>0</v>
      </c>
      <c r="AG326" s="282">
        <f t="shared" si="742"/>
        <v>574.49499999999989</v>
      </c>
      <c r="AH326" s="237">
        <f>AH327</f>
        <v>1321419.1745999998</v>
      </c>
      <c r="AI326" s="237">
        <f>AI327</f>
        <v>1431313.8325499997</v>
      </c>
      <c r="AJ326" s="237">
        <f>AJ327</f>
        <v>0</v>
      </c>
      <c r="AK326" s="260">
        <f t="shared" si="769"/>
        <v>2752733.0071499995</v>
      </c>
      <c r="AL326" s="237">
        <f>AL327</f>
        <v>0</v>
      </c>
      <c r="AM326" s="237">
        <f>AM327</f>
        <v>0</v>
      </c>
      <c r="AN326" s="237">
        <f>AN327</f>
        <v>0</v>
      </c>
      <c r="AO326" s="260">
        <f>SUM(AL326:AN326)</f>
        <v>0</v>
      </c>
      <c r="AP326" s="237">
        <f t="shared" ref="AP326:AU326" si="781">AP327</f>
        <v>0</v>
      </c>
      <c r="AQ326" s="237">
        <f t="shared" si="781"/>
        <v>0</v>
      </c>
      <c r="AR326" s="237">
        <f t="shared" si="781"/>
        <v>0</v>
      </c>
      <c r="AS326" s="237">
        <f t="shared" si="781"/>
        <v>0</v>
      </c>
      <c r="AT326" s="237">
        <f t="shared" si="781"/>
        <v>0</v>
      </c>
      <c r="AU326" s="237">
        <f t="shared" si="781"/>
        <v>0</v>
      </c>
      <c r="AV326" s="260">
        <f>SUM(AP326:AU326)</f>
        <v>0</v>
      </c>
      <c r="AW326" s="237">
        <f t="shared" ref="AW326:BB326" si="782">AW327</f>
        <v>0</v>
      </c>
      <c r="AX326" s="237">
        <f t="shared" si="782"/>
        <v>0</v>
      </c>
      <c r="AY326" s="237">
        <f t="shared" si="782"/>
        <v>0</v>
      </c>
      <c r="AZ326" s="237">
        <f t="shared" si="782"/>
        <v>0</v>
      </c>
      <c r="BA326" s="237">
        <f t="shared" si="782"/>
        <v>0</v>
      </c>
      <c r="BB326" s="237">
        <f t="shared" si="782"/>
        <v>0</v>
      </c>
      <c r="BC326" s="260">
        <f t="shared" si="754"/>
        <v>0</v>
      </c>
      <c r="BD326" s="238">
        <f t="shared" si="684"/>
        <v>2752733.0071499995</v>
      </c>
      <c r="BE326" s="13"/>
      <c r="BF326" s="243"/>
      <c r="BG326" s="243"/>
      <c r="BH326" s="243"/>
      <c r="BI326" s="243"/>
      <c r="BJ326" s="243"/>
      <c r="BK326" s="243"/>
      <c r="BL326" s="243"/>
      <c r="BM326" s="243"/>
      <c r="BN326" s="243"/>
      <c r="BO326" s="243"/>
      <c r="BP326" s="243"/>
      <c r="BQ326" s="243"/>
      <c r="BR326" s="243"/>
      <c r="BS326" s="243"/>
      <c r="BT326" s="243"/>
      <c r="BU326" s="243"/>
      <c r="BV326" s="243"/>
      <c r="BW326" s="243"/>
      <c r="BX326" s="243"/>
      <c r="BY326" s="243"/>
      <c r="BZ326" s="243"/>
      <c r="CA326" s="243"/>
      <c r="CB326" s="243"/>
      <c r="CC326" s="243"/>
      <c r="CD326" s="243"/>
      <c r="CE326" s="243"/>
      <c r="CF326" s="243"/>
      <c r="CG326" s="243"/>
      <c r="CH326" s="243"/>
      <c r="CI326" s="243"/>
      <c r="CJ326" s="243"/>
      <c r="CK326" s="243"/>
      <c r="CL326" s="243"/>
      <c r="CM326" s="243"/>
      <c r="CN326" s="243"/>
      <c r="CO326" s="243"/>
      <c r="CP326" s="243"/>
      <c r="CQ326" s="243"/>
      <c r="CR326" s="243"/>
      <c r="CS326" s="243"/>
      <c r="CT326" s="243"/>
      <c r="CU326" s="243"/>
      <c r="CV326" s="243"/>
      <c r="CW326" s="243"/>
      <c r="CX326" s="243"/>
      <c r="CY326" s="243"/>
      <c r="CZ326" s="243"/>
      <c r="DA326" s="243"/>
      <c r="DB326" s="243"/>
      <c r="DC326" s="243"/>
      <c r="DD326" s="243"/>
      <c r="DE326" s="243"/>
      <c r="DF326" s="243"/>
      <c r="DG326" s="243"/>
      <c r="DH326" s="243"/>
      <c r="DI326" s="243"/>
      <c r="DJ326" s="243"/>
      <c r="DK326" s="243"/>
      <c r="DL326" s="243"/>
      <c r="DM326" s="243"/>
      <c r="DN326" s="243"/>
      <c r="DO326" s="243"/>
      <c r="DP326" s="243"/>
      <c r="DQ326" s="243"/>
      <c r="DR326" s="243"/>
      <c r="DS326" s="243"/>
      <c r="DT326" s="243"/>
      <c r="DU326" s="243"/>
      <c r="DV326" s="243"/>
      <c r="DW326" s="243"/>
      <c r="DX326" s="243"/>
      <c r="DY326" s="243"/>
      <c r="DZ326" s="243"/>
      <c r="EA326" s="243"/>
      <c r="EB326" s="243"/>
      <c r="EC326" s="243"/>
      <c r="ED326" s="243"/>
      <c r="EE326" s="243"/>
      <c r="EF326" s="243"/>
      <c r="EG326" s="243"/>
      <c r="EH326" s="243"/>
      <c r="EI326" s="243"/>
      <c r="EJ326" s="243"/>
      <c r="EK326" s="243"/>
      <c r="EL326" s="243"/>
      <c r="EM326" s="243"/>
      <c r="EN326" s="243"/>
      <c r="EO326" s="243"/>
      <c r="EP326" s="243"/>
      <c r="EQ326" s="243"/>
      <c r="ER326" s="243"/>
      <c r="ES326" s="243"/>
      <c r="ET326" s="243"/>
      <c r="EU326" s="243"/>
      <c r="EV326" s="243"/>
      <c r="EW326" s="243"/>
      <c r="EX326" s="243"/>
      <c r="EY326" s="243"/>
      <c r="EZ326" s="243"/>
      <c r="FA326" s="243"/>
      <c r="FB326" s="243"/>
      <c r="FC326" s="243"/>
      <c r="FD326" s="243"/>
      <c r="FE326" s="243"/>
      <c r="FF326" s="243"/>
      <c r="FG326" s="243"/>
      <c r="FH326" s="243"/>
      <c r="FI326" s="243"/>
      <c r="FJ326" s="243"/>
      <c r="FK326" s="243"/>
      <c r="FL326" s="243"/>
      <c r="FM326" s="243"/>
      <c r="FN326" s="243"/>
      <c r="FO326" s="243"/>
      <c r="FP326" s="243"/>
      <c r="FQ326" s="243"/>
      <c r="FR326" s="243"/>
      <c r="FS326" s="243"/>
      <c r="FT326" s="243"/>
      <c r="FU326" s="243"/>
      <c r="FV326" s="243"/>
      <c r="FW326" s="243"/>
      <c r="FX326" s="243"/>
      <c r="FY326" s="243"/>
      <c r="FZ326" s="243"/>
      <c r="GA326" s="243"/>
      <c r="GB326" s="243"/>
      <c r="GC326" s="243"/>
      <c r="GD326" s="243"/>
      <c r="GE326" s="243"/>
      <c r="GF326" s="243"/>
      <c r="GG326" s="243"/>
      <c r="GH326" s="243"/>
      <c r="GI326" s="243"/>
      <c r="GJ326" s="243"/>
      <c r="GK326" s="243"/>
      <c r="GL326" s="243"/>
      <c r="GM326" s="243"/>
      <c r="GN326" s="243"/>
      <c r="GO326" s="243"/>
      <c r="GP326" s="243"/>
      <c r="GQ326" s="243"/>
      <c r="GR326" s="243"/>
      <c r="GS326" s="243"/>
      <c r="GT326" s="243"/>
    </row>
    <row r="327" spans="1:202" s="79" customFormat="1" ht="11.25" customHeight="1">
      <c r="A327" s="196"/>
      <c r="B327" s="84"/>
      <c r="C327" s="221" t="s">
        <v>576</v>
      </c>
      <c r="D327" s="78"/>
      <c r="E327" s="82">
        <v>6162.57</v>
      </c>
      <c r="F327" s="82">
        <v>1371</v>
      </c>
      <c r="G327" s="177">
        <f t="shared" si="774"/>
        <v>4791.57</v>
      </c>
      <c r="H327" s="82">
        <v>6162.57</v>
      </c>
      <c r="I327" s="82">
        <v>1371</v>
      </c>
      <c r="J327" s="210">
        <f>H327-I327</f>
        <v>4791.57</v>
      </c>
      <c r="K327" s="255">
        <v>275.77999999999997</v>
      </c>
      <c r="L327" s="255">
        <v>298.71499999999997</v>
      </c>
      <c r="M327" s="255"/>
      <c r="N327" s="287">
        <f>SUM(K327:M327)</f>
        <v>574.49499999999989</v>
      </c>
      <c r="O327" s="276"/>
      <c r="P327" s="276"/>
      <c r="Q327" s="294"/>
      <c r="R327" s="287"/>
      <c r="S327" s="294"/>
      <c r="T327" s="267"/>
      <c r="U327" s="276"/>
      <c r="V327" s="276"/>
      <c r="W327" s="294"/>
      <c r="X327" s="273"/>
      <c r="Y327" s="142"/>
      <c r="Z327" s="276"/>
      <c r="AA327" s="276"/>
      <c r="AB327" s="276"/>
      <c r="AC327" s="276"/>
      <c r="AD327" s="276"/>
      <c r="AE327" s="276"/>
      <c r="AF327" s="287">
        <f t="shared" si="763"/>
        <v>0</v>
      </c>
      <c r="AG327" s="283">
        <f t="shared" si="742"/>
        <v>574.49499999999989</v>
      </c>
      <c r="AH327" s="230">
        <f t="shared" ref="AH327:AJ328" si="783">K327*$G327</f>
        <v>1321419.1745999998</v>
      </c>
      <c r="AI327" s="230">
        <f t="shared" si="783"/>
        <v>1431313.8325499997</v>
      </c>
      <c r="AJ327" s="230">
        <f t="shared" si="783"/>
        <v>0</v>
      </c>
      <c r="AK327" s="261">
        <f t="shared" si="769"/>
        <v>2752733.0071499995</v>
      </c>
      <c r="AL327" s="230">
        <f t="shared" ref="AL327:AN328" si="784">O327*$G327</f>
        <v>0</v>
      </c>
      <c r="AM327" s="230">
        <f t="shared" si="784"/>
        <v>0</v>
      </c>
      <c r="AN327" s="230">
        <f t="shared" si="784"/>
        <v>0</v>
      </c>
      <c r="AO327" s="261"/>
      <c r="AP327" s="230">
        <f t="shared" ref="AP327:AU328" si="785">S327*$J327</f>
        <v>0</v>
      </c>
      <c r="AQ327" s="230">
        <f t="shared" si="785"/>
        <v>0</v>
      </c>
      <c r="AR327" s="230">
        <f t="shared" si="785"/>
        <v>0</v>
      </c>
      <c r="AS327" s="230">
        <f t="shared" si="785"/>
        <v>0</v>
      </c>
      <c r="AT327" s="230">
        <f t="shared" si="785"/>
        <v>0</v>
      </c>
      <c r="AU327" s="230">
        <f t="shared" si="785"/>
        <v>0</v>
      </c>
      <c r="AV327" s="261"/>
      <c r="AW327" s="230">
        <f t="shared" ref="AW327:BB328" si="786">Z327*$J327</f>
        <v>0</v>
      </c>
      <c r="AX327" s="230">
        <f t="shared" si="786"/>
        <v>0</v>
      </c>
      <c r="AY327" s="230">
        <f t="shared" si="786"/>
        <v>0</v>
      </c>
      <c r="AZ327" s="230">
        <f t="shared" si="786"/>
        <v>0</v>
      </c>
      <c r="BA327" s="230">
        <f t="shared" si="786"/>
        <v>0</v>
      </c>
      <c r="BB327" s="230">
        <f t="shared" si="786"/>
        <v>0</v>
      </c>
      <c r="BC327" s="261">
        <f t="shared" si="754"/>
        <v>0</v>
      </c>
      <c r="BD327" s="239">
        <f t="shared" si="684"/>
        <v>2752733.0071499995</v>
      </c>
      <c r="BE327" s="243"/>
      <c r="BF327" s="243"/>
      <c r="BG327" s="243"/>
      <c r="BH327" s="243"/>
      <c r="BI327" s="243"/>
      <c r="BJ327" s="243"/>
      <c r="BK327" s="243"/>
      <c r="BL327" s="243"/>
      <c r="BM327" s="243"/>
      <c r="BN327" s="243"/>
      <c r="BO327" s="243"/>
      <c r="BP327" s="243"/>
      <c r="BQ327" s="243"/>
      <c r="BR327" s="243"/>
      <c r="BS327" s="243"/>
      <c r="BT327" s="243"/>
      <c r="BU327" s="243"/>
      <c r="BV327" s="243"/>
      <c r="BW327" s="243"/>
      <c r="BX327" s="243"/>
      <c r="BY327" s="243"/>
      <c r="BZ327" s="243"/>
      <c r="CA327" s="243"/>
      <c r="CB327" s="243"/>
      <c r="CC327" s="243"/>
      <c r="CD327" s="243"/>
      <c r="CE327" s="243"/>
      <c r="CF327" s="243"/>
      <c r="CG327" s="243"/>
      <c r="CH327" s="243"/>
      <c r="CI327" s="243"/>
      <c r="CJ327" s="243"/>
      <c r="CK327" s="243"/>
      <c r="CL327" s="243"/>
      <c r="CM327" s="243"/>
      <c r="CN327" s="243"/>
      <c r="CO327" s="243"/>
      <c r="CP327" s="243"/>
      <c r="CQ327" s="243"/>
      <c r="CR327" s="243"/>
      <c r="CS327" s="243"/>
      <c r="CT327" s="243"/>
      <c r="CU327" s="243"/>
      <c r="CV327" s="243"/>
      <c r="CW327" s="243"/>
      <c r="CX327" s="243"/>
      <c r="CY327" s="243"/>
      <c r="CZ327" s="243"/>
      <c r="DA327" s="243"/>
      <c r="DB327" s="243"/>
      <c r="DC327" s="243"/>
      <c r="DD327" s="243"/>
      <c r="DE327" s="243"/>
      <c r="DF327" s="243"/>
      <c r="DG327" s="243"/>
      <c r="DH327" s="243"/>
      <c r="DI327" s="243"/>
      <c r="DJ327" s="243"/>
      <c r="DK327" s="243"/>
      <c r="DL327" s="243"/>
      <c r="DM327" s="243"/>
      <c r="DN327" s="243"/>
      <c r="DO327" s="243"/>
      <c r="DP327" s="243"/>
      <c r="DQ327" s="243"/>
      <c r="DR327" s="243"/>
      <c r="DS327" s="243"/>
      <c r="DT327" s="243"/>
      <c r="DU327" s="243"/>
      <c r="DV327" s="243"/>
      <c r="DW327" s="243"/>
      <c r="DX327" s="243"/>
      <c r="DY327" s="243"/>
      <c r="DZ327" s="243"/>
      <c r="EA327" s="243"/>
      <c r="EB327" s="243"/>
      <c r="EC327" s="243"/>
      <c r="ED327" s="243"/>
      <c r="EE327" s="243"/>
      <c r="EF327" s="243"/>
      <c r="EG327" s="243"/>
      <c r="EH327" s="243"/>
      <c r="EI327" s="243"/>
      <c r="EJ327" s="243"/>
      <c r="EK327" s="243"/>
      <c r="EL327" s="243"/>
      <c r="EM327" s="243"/>
      <c r="EN327" s="243"/>
      <c r="EO327" s="243"/>
      <c r="EP327" s="243"/>
      <c r="EQ327" s="243"/>
      <c r="ER327" s="243"/>
      <c r="ES327" s="243"/>
      <c r="ET327" s="243"/>
      <c r="EU327" s="243"/>
      <c r="EV327" s="243"/>
      <c r="EW327" s="243"/>
      <c r="EX327" s="243"/>
      <c r="EY327" s="243"/>
      <c r="EZ327" s="243"/>
      <c r="FA327" s="243"/>
      <c r="FB327" s="243"/>
      <c r="FC327" s="243"/>
      <c r="FD327" s="243"/>
      <c r="FE327" s="243"/>
      <c r="FF327" s="243"/>
      <c r="FG327" s="243"/>
      <c r="FH327" s="243"/>
      <c r="FI327" s="243"/>
      <c r="FJ327" s="243"/>
      <c r="FK327" s="243"/>
      <c r="FL327" s="243"/>
      <c r="FM327" s="243"/>
      <c r="FN327" s="243"/>
      <c r="FO327" s="243"/>
      <c r="FP327" s="243"/>
      <c r="FQ327" s="243"/>
      <c r="FR327" s="243"/>
      <c r="FS327" s="243"/>
      <c r="FT327" s="243"/>
      <c r="FU327" s="243"/>
      <c r="FV327" s="243"/>
      <c r="FW327" s="243"/>
      <c r="FX327" s="243"/>
      <c r="FY327" s="243"/>
      <c r="FZ327" s="243"/>
      <c r="GA327" s="243"/>
      <c r="GB327" s="243"/>
      <c r="GC327" s="243"/>
      <c r="GD327" s="243"/>
      <c r="GE327" s="243"/>
      <c r="GF327" s="243"/>
      <c r="GG327" s="243"/>
      <c r="GH327" s="243"/>
      <c r="GI327" s="243"/>
      <c r="GJ327" s="243"/>
      <c r="GK327" s="243"/>
      <c r="GL327" s="243"/>
      <c r="GM327" s="243"/>
      <c r="GN327" s="243"/>
      <c r="GO327" s="243"/>
      <c r="GP327" s="243"/>
      <c r="GQ327" s="243"/>
      <c r="GR327" s="243"/>
      <c r="GS327" s="243"/>
      <c r="GT327" s="243"/>
    </row>
    <row r="328" spans="1:202" s="79" customFormat="1" ht="11.25" customHeight="1">
      <c r="A328" s="193" t="s">
        <v>26</v>
      </c>
      <c r="B328" s="182" t="s">
        <v>134</v>
      </c>
      <c r="C328" s="221" t="s">
        <v>239</v>
      </c>
      <c r="D328" s="73">
        <v>2910004650</v>
      </c>
      <c r="E328" s="82"/>
      <c r="F328" s="82"/>
      <c r="G328" s="177"/>
      <c r="H328" s="82"/>
      <c r="I328" s="82"/>
      <c r="J328" s="210"/>
      <c r="K328" s="254"/>
      <c r="L328" s="254"/>
      <c r="M328" s="254"/>
      <c r="N328" s="284">
        <f>K328+L328+M328</f>
        <v>0</v>
      </c>
      <c r="O328" s="275"/>
      <c r="P328" s="275"/>
      <c r="Q328" s="293"/>
      <c r="R328" s="284">
        <f>O328+P328+Q328</f>
        <v>0</v>
      </c>
      <c r="S328" s="293"/>
      <c r="T328" s="266"/>
      <c r="U328" s="275"/>
      <c r="V328" s="275"/>
      <c r="W328" s="293"/>
      <c r="X328" s="263"/>
      <c r="Y328" s="262">
        <f t="shared" si="768"/>
        <v>0</v>
      </c>
      <c r="Z328" s="275"/>
      <c r="AA328" s="275"/>
      <c r="AB328" s="275"/>
      <c r="AC328" s="275"/>
      <c r="AD328" s="275"/>
      <c r="AE328" s="275"/>
      <c r="AF328" s="284">
        <f t="shared" si="763"/>
        <v>0</v>
      </c>
      <c r="AG328" s="282">
        <f t="shared" si="742"/>
        <v>0</v>
      </c>
      <c r="AH328" s="232">
        <f t="shared" si="783"/>
        <v>0</v>
      </c>
      <c r="AI328" s="232">
        <f t="shared" si="783"/>
        <v>0</v>
      </c>
      <c r="AJ328" s="232">
        <f t="shared" si="783"/>
        <v>0</v>
      </c>
      <c r="AK328" s="260">
        <f t="shared" si="769"/>
        <v>0</v>
      </c>
      <c r="AL328" s="232">
        <f t="shared" si="784"/>
        <v>0</v>
      </c>
      <c r="AM328" s="232">
        <f t="shared" si="784"/>
        <v>0</v>
      </c>
      <c r="AN328" s="232">
        <f t="shared" si="784"/>
        <v>0</v>
      </c>
      <c r="AO328" s="260">
        <f>SUM(AL328:AN328)</f>
        <v>0</v>
      </c>
      <c r="AP328" s="232">
        <f t="shared" si="785"/>
        <v>0</v>
      </c>
      <c r="AQ328" s="232">
        <f t="shared" si="785"/>
        <v>0</v>
      </c>
      <c r="AR328" s="232">
        <f t="shared" si="785"/>
        <v>0</v>
      </c>
      <c r="AS328" s="232">
        <f t="shared" si="785"/>
        <v>0</v>
      </c>
      <c r="AT328" s="232">
        <f t="shared" si="785"/>
        <v>0</v>
      </c>
      <c r="AU328" s="232">
        <f t="shared" si="785"/>
        <v>0</v>
      </c>
      <c r="AV328" s="260">
        <f>SUM(AP328:AU328)</f>
        <v>0</v>
      </c>
      <c r="AW328" s="232">
        <f t="shared" si="786"/>
        <v>0</v>
      </c>
      <c r="AX328" s="232">
        <f t="shared" si="786"/>
        <v>0</v>
      </c>
      <c r="AY328" s="232">
        <f t="shared" si="786"/>
        <v>0</v>
      </c>
      <c r="AZ328" s="232">
        <f t="shared" si="786"/>
        <v>0</v>
      </c>
      <c r="BA328" s="232">
        <f t="shared" si="786"/>
        <v>0</v>
      </c>
      <c r="BB328" s="232">
        <f t="shared" si="786"/>
        <v>0</v>
      </c>
      <c r="BC328" s="260">
        <f t="shared" si="754"/>
        <v>0</v>
      </c>
      <c r="BD328" s="238">
        <f t="shared" si="684"/>
        <v>0</v>
      </c>
      <c r="BE328" s="13"/>
      <c r="BF328" s="243"/>
      <c r="BG328" s="243"/>
      <c r="BH328" s="243"/>
      <c r="BI328" s="243"/>
      <c r="BJ328" s="243"/>
      <c r="BK328" s="243"/>
      <c r="BL328" s="243"/>
      <c r="BM328" s="243"/>
      <c r="BN328" s="243"/>
      <c r="BO328" s="243"/>
      <c r="BP328" s="243"/>
      <c r="BQ328" s="243"/>
      <c r="BR328" s="243"/>
      <c r="BS328" s="243"/>
      <c r="BT328" s="243"/>
      <c r="BU328" s="243"/>
      <c r="BV328" s="243"/>
      <c r="BW328" s="243"/>
      <c r="BX328" s="243"/>
      <c r="BY328" s="243"/>
      <c r="BZ328" s="243"/>
      <c r="CA328" s="243"/>
      <c r="CB328" s="243"/>
      <c r="CC328" s="243"/>
      <c r="CD328" s="243"/>
      <c r="CE328" s="243"/>
      <c r="CF328" s="243"/>
      <c r="CG328" s="243"/>
      <c r="CH328" s="243"/>
      <c r="CI328" s="243"/>
      <c r="CJ328" s="243"/>
      <c r="CK328" s="243"/>
      <c r="CL328" s="243"/>
      <c r="CM328" s="243"/>
      <c r="CN328" s="243"/>
      <c r="CO328" s="243"/>
      <c r="CP328" s="243"/>
      <c r="CQ328" s="243"/>
      <c r="CR328" s="243"/>
      <c r="CS328" s="243"/>
      <c r="CT328" s="243"/>
      <c r="CU328" s="243"/>
      <c r="CV328" s="243"/>
      <c r="CW328" s="243"/>
      <c r="CX328" s="243"/>
      <c r="CY328" s="243"/>
      <c r="CZ328" s="243"/>
      <c r="DA328" s="243"/>
      <c r="DB328" s="243"/>
      <c r="DC328" s="243"/>
      <c r="DD328" s="243"/>
      <c r="DE328" s="243"/>
      <c r="DF328" s="243"/>
      <c r="DG328" s="243"/>
      <c r="DH328" s="243"/>
      <c r="DI328" s="243"/>
      <c r="DJ328" s="243"/>
      <c r="DK328" s="243"/>
      <c r="DL328" s="243"/>
      <c r="DM328" s="243"/>
      <c r="DN328" s="243"/>
      <c r="DO328" s="243"/>
      <c r="DP328" s="243"/>
      <c r="DQ328" s="243"/>
      <c r="DR328" s="243"/>
      <c r="DS328" s="243"/>
      <c r="DT328" s="243"/>
      <c r="DU328" s="243"/>
      <c r="DV328" s="243"/>
      <c r="DW328" s="243"/>
      <c r="DX328" s="243"/>
      <c r="DY328" s="243"/>
      <c r="DZ328" s="243"/>
      <c r="EA328" s="243"/>
      <c r="EB328" s="243"/>
      <c r="EC328" s="243"/>
      <c r="ED328" s="243"/>
      <c r="EE328" s="243"/>
      <c r="EF328" s="243"/>
      <c r="EG328" s="243"/>
      <c r="EH328" s="243"/>
      <c r="EI328" s="243"/>
      <c r="EJ328" s="243"/>
      <c r="EK328" s="243"/>
      <c r="EL328" s="243"/>
      <c r="EM328" s="243"/>
      <c r="EN328" s="243"/>
      <c r="EO328" s="243"/>
      <c r="EP328" s="243"/>
      <c r="EQ328" s="243"/>
      <c r="ER328" s="243"/>
      <c r="ES328" s="243"/>
      <c r="ET328" s="243"/>
      <c r="EU328" s="243"/>
      <c r="EV328" s="243"/>
      <c r="EW328" s="243"/>
      <c r="EX328" s="243"/>
      <c r="EY328" s="243"/>
      <c r="EZ328" s="243"/>
      <c r="FA328" s="243"/>
      <c r="FB328" s="243"/>
      <c r="FC328" s="243"/>
      <c r="FD328" s="243"/>
      <c r="FE328" s="243"/>
      <c r="FF328" s="243"/>
      <c r="FG328" s="243"/>
      <c r="FH328" s="243"/>
      <c r="FI328" s="243"/>
      <c r="FJ328" s="243"/>
      <c r="FK328" s="243"/>
      <c r="FL328" s="243"/>
      <c r="FM328" s="243"/>
      <c r="FN328" s="243"/>
      <c r="FO328" s="243"/>
      <c r="FP328" s="243"/>
      <c r="FQ328" s="243"/>
      <c r="FR328" s="243"/>
      <c r="FS328" s="243"/>
      <c r="FT328" s="243"/>
      <c r="FU328" s="243"/>
      <c r="FV328" s="243"/>
      <c r="FW328" s="243"/>
      <c r="FX328" s="243"/>
      <c r="FY328" s="243"/>
      <c r="FZ328" s="243"/>
      <c r="GA328" s="243"/>
      <c r="GB328" s="243"/>
      <c r="GC328" s="243"/>
      <c r="GD328" s="243"/>
      <c r="GE328" s="243"/>
      <c r="GF328" s="243"/>
      <c r="GG328" s="243"/>
      <c r="GH328" s="243"/>
      <c r="GI328" s="243"/>
      <c r="GJ328" s="243"/>
      <c r="GK328" s="243"/>
      <c r="GL328" s="243"/>
      <c r="GM328" s="243"/>
      <c r="GN328" s="243"/>
      <c r="GO328" s="243"/>
      <c r="GP328" s="243"/>
      <c r="GQ328" s="243"/>
      <c r="GR328" s="243"/>
      <c r="GS328" s="243"/>
      <c r="GT328" s="243"/>
    </row>
    <row r="329" spans="1:202" ht="12.75">
      <c r="A329" s="193" t="s">
        <v>26</v>
      </c>
      <c r="B329" s="182" t="s">
        <v>230</v>
      </c>
      <c r="C329" s="221" t="s">
        <v>212</v>
      </c>
      <c r="D329" s="73">
        <v>2904022428</v>
      </c>
      <c r="E329" s="82"/>
      <c r="F329" s="86"/>
      <c r="G329" s="177"/>
      <c r="H329" s="82"/>
      <c r="I329" s="86"/>
      <c r="J329" s="210"/>
      <c r="K329" s="254">
        <f t="shared" ref="K329:Q329" si="787">SUM(K330:K331)</f>
        <v>171.72499999999999</v>
      </c>
      <c r="L329" s="254">
        <f t="shared" si="787"/>
        <v>153.06</v>
      </c>
      <c r="M329" s="254">
        <f t="shared" si="787"/>
        <v>0</v>
      </c>
      <c r="N329" s="284">
        <f t="shared" si="787"/>
        <v>324.78499999999997</v>
      </c>
      <c r="O329" s="275">
        <f t="shared" si="787"/>
        <v>0</v>
      </c>
      <c r="P329" s="275">
        <f t="shared" si="787"/>
        <v>0</v>
      </c>
      <c r="Q329" s="275">
        <f t="shared" si="787"/>
        <v>0</v>
      </c>
      <c r="R329" s="284">
        <f>O329+P329+Q329</f>
        <v>0</v>
      </c>
      <c r="S329" s="293">
        <f t="shared" ref="S329:X329" si="788">S330+S331</f>
        <v>0</v>
      </c>
      <c r="T329" s="293">
        <f t="shared" si="788"/>
        <v>0</v>
      </c>
      <c r="U329" s="293">
        <f t="shared" si="788"/>
        <v>0</v>
      </c>
      <c r="V329" s="293">
        <f t="shared" si="788"/>
        <v>0</v>
      </c>
      <c r="W329" s="293">
        <f t="shared" si="788"/>
        <v>0</v>
      </c>
      <c r="X329" s="293">
        <f t="shared" si="788"/>
        <v>0</v>
      </c>
      <c r="Y329" s="262">
        <f>SUM(S329:X329)</f>
        <v>0</v>
      </c>
      <c r="Z329" s="275">
        <f t="shared" ref="Z329:AE329" si="789">Z330+Z331</f>
        <v>0</v>
      </c>
      <c r="AA329" s="275">
        <f t="shared" si="789"/>
        <v>0</v>
      </c>
      <c r="AB329" s="275">
        <f t="shared" si="789"/>
        <v>0</v>
      </c>
      <c r="AC329" s="275">
        <f t="shared" si="789"/>
        <v>0</v>
      </c>
      <c r="AD329" s="275">
        <f t="shared" si="789"/>
        <v>0</v>
      </c>
      <c r="AE329" s="275">
        <f t="shared" si="789"/>
        <v>0</v>
      </c>
      <c r="AF329" s="284">
        <f>SUM(AF330:AF331)</f>
        <v>0</v>
      </c>
      <c r="AG329" s="282">
        <f t="shared" si="742"/>
        <v>324.78499999999997</v>
      </c>
      <c r="AH329" s="232">
        <f>AH330+AH331</f>
        <v>774287.7169</v>
      </c>
      <c r="AI329" s="232">
        <f>AI330+AI331</f>
        <v>691562.53890000004</v>
      </c>
      <c r="AJ329" s="232">
        <f>AJ330+AJ331</f>
        <v>0</v>
      </c>
      <c r="AK329" s="260">
        <f>AH329+AI329+AJ329</f>
        <v>1465850.2557999999</v>
      </c>
      <c r="AL329" s="232">
        <f>AL330+AL331</f>
        <v>0</v>
      </c>
      <c r="AM329" s="232">
        <f>AM330+AM331</f>
        <v>0</v>
      </c>
      <c r="AN329" s="232">
        <f>AN330+AN331</f>
        <v>0</v>
      </c>
      <c r="AO329" s="260">
        <f>SUM(AL329:AN329)</f>
        <v>0</v>
      </c>
      <c r="AP329" s="232">
        <f t="shared" ref="AP329:AU329" si="790">AP330+AP331</f>
        <v>0</v>
      </c>
      <c r="AQ329" s="232">
        <f t="shared" si="790"/>
        <v>0</v>
      </c>
      <c r="AR329" s="232">
        <f t="shared" si="790"/>
        <v>0</v>
      </c>
      <c r="AS329" s="232">
        <f t="shared" si="790"/>
        <v>0</v>
      </c>
      <c r="AT329" s="232">
        <f t="shared" si="790"/>
        <v>0</v>
      </c>
      <c r="AU329" s="232">
        <f t="shared" si="790"/>
        <v>0</v>
      </c>
      <c r="AV329" s="260">
        <f>SUM(AP329:AU329)</f>
        <v>0</v>
      </c>
      <c r="AW329" s="232">
        <f t="shared" ref="AW329:BB329" si="791">AW330+AW331</f>
        <v>0</v>
      </c>
      <c r="AX329" s="232">
        <f t="shared" si="791"/>
        <v>0</v>
      </c>
      <c r="AY329" s="232">
        <f t="shared" si="791"/>
        <v>0</v>
      </c>
      <c r="AZ329" s="232">
        <f t="shared" si="791"/>
        <v>0</v>
      </c>
      <c r="BA329" s="232">
        <f t="shared" si="791"/>
        <v>0</v>
      </c>
      <c r="BB329" s="232">
        <f t="shared" si="791"/>
        <v>0</v>
      </c>
      <c r="BC329" s="260">
        <f t="shared" si="754"/>
        <v>0</v>
      </c>
      <c r="BD329" s="238">
        <f t="shared" si="684"/>
        <v>1465850.2557999999</v>
      </c>
    </row>
    <row r="330" spans="1:202" ht="12.75">
      <c r="A330" s="23"/>
      <c r="B330" s="84" t="s">
        <v>451</v>
      </c>
      <c r="C330" s="223"/>
      <c r="D330" s="134"/>
      <c r="E330" s="211">
        <v>6817.8</v>
      </c>
      <c r="F330" s="212">
        <v>1885</v>
      </c>
      <c r="G330" s="177">
        <f t="shared" si="774"/>
        <v>4932.8</v>
      </c>
      <c r="H330" s="82">
        <v>6817.8</v>
      </c>
      <c r="I330" s="86">
        <v>1885</v>
      </c>
      <c r="J330" s="210">
        <f>H330-I330</f>
        <v>4932.8</v>
      </c>
      <c r="K330" s="255">
        <v>104.735</v>
      </c>
      <c r="L330" s="255">
        <v>94.67</v>
      </c>
      <c r="M330" s="255"/>
      <c r="N330" s="287">
        <f>SUM(K330:M330)</f>
        <v>199.405</v>
      </c>
      <c r="O330" s="276"/>
      <c r="P330" s="276"/>
      <c r="Q330" s="294"/>
      <c r="R330" s="287"/>
      <c r="S330" s="294"/>
      <c r="T330" s="267"/>
      <c r="U330" s="276"/>
      <c r="V330" s="276"/>
      <c r="W330" s="294"/>
      <c r="X330" s="264"/>
      <c r="Y330" s="142"/>
      <c r="Z330" s="276"/>
      <c r="AA330" s="276"/>
      <c r="AB330" s="276"/>
      <c r="AC330" s="276"/>
      <c r="AD330" s="276"/>
      <c r="AE330" s="276"/>
      <c r="AF330" s="287">
        <f>SUM(Z330:AE330)</f>
        <v>0</v>
      </c>
      <c r="AG330" s="283">
        <f t="shared" si="742"/>
        <v>199.405</v>
      </c>
      <c r="AH330" s="230">
        <f t="shared" ref="AH330:AJ331" si="792">K330*$G330</f>
        <v>516636.80800000002</v>
      </c>
      <c r="AI330" s="230">
        <f t="shared" si="792"/>
        <v>466988.17600000004</v>
      </c>
      <c r="AJ330" s="230">
        <f t="shared" si="792"/>
        <v>0</v>
      </c>
      <c r="AK330" s="261">
        <f t="shared" si="769"/>
        <v>983624.98400000005</v>
      </c>
      <c r="AL330" s="230">
        <f t="shared" ref="AL330:AN331" si="793">O330*$G330</f>
        <v>0</v>
      </c>
      <c r="AM330" s="230">
        <f t="shared" si="793"/>
        <v>0</v>
      </c>
      <c r="AN330" s="230">
        <f t="shared" si="793"/>
        <v>0</v>
      </c>
      <c r="AO330" s="261"/>
      <c r="AP330" s="230">
        <f t="shared" ref="AP330:AU331" si="794">S330*$J330</f>
        <v>0</v>
      </c>
      <c r="AQ330" s="230">
        <f t="shared" si="794"/>
        <v>0</v>
      </c>
      <c r="AR330" s="230">
        <f t="shared" si="794"/>
        <v>0</v>
      </c>
      <c r="AS330" s="230">
        <f t="shared" si="794"/>
        <v>0</v>
      </c>
      <c r="AT330" s="230">
        <f t="shared" si="794"/>
        <v>0</v>
      </c>
      <c r="AU330" s="230">
        <f t="shared" si="794"/>
        <v>0</v>
      </c>
      <c r="AV330" s="261"/>
      <c r="AW330" s="230">
        <f t="shared" ref="AW330:BB331" si="795">Z330*$J330</f>
        <v>0</v>
      </c>
      <c r="AX330" s="230">
        <f t="shared" si="795"/>
        <v>0</v>
      </c>
      <c r="AY330" s="230">
        <f t="shared" si="795"/>
        <v>0</v>
      </c>
      <c r="AZ330" s="230">
        <f t="shared" si="795"/>
        <v>0</v>
      </c>
      <c r="BA330" s="230">
        <f t="shared" si="795"/>
        <v>0</v>
      </c>
      <c r="BB330" s="230">
        <f t="shared" si="795"/>
        <v>0</v>
      </c>
      <c r="BC330" s="261">
        <f t="shared" si="754"/>
        <v>0</v>
      </c>
      <c r="BD330" s="239">
        <f t="shared" si="684"/>
        <v>983624.98400000005</v>
      </c>
    </row>
    <row r="331" spans="1:202" ht="12.75">
      <c r="A331" s="23"/>
      <c r="B331" s="84" t="s">
        <v>450</v>
      </c>
      <c r="C331" s="223"/>
      <c r="D331" s="134"/>
      <c r="E331" s="211">
        <v>5731.11</v>
      </c>
      <c r="F331" s="212">
        <v>1885</v>
      </c>
      <c r="G331" s="177">
        <f t="shared" si="774"/>
        <v>3846.1099999999997</v>
      </c>
      <c r="H331" s="82">
        <v>5731.11</v>
      </c>
      <c r="I331" s="86">
        <v>1885</v>
      </c>
      <c r="J331" s="210">
        <f>H331-I331</f>
        <v>3846.1099999999997</v>
      </c>
      <c r="K331" s="255">
        <v>66.989999999999995</v>
      </c>
      <c r="L331" s="255">
        <v>58.39</v>
      </c>
      <c r="M331" s="255"/>
      <c r="N331" s="287">
        <f>SUM(K331:M331)</f>
        <v>125.38</v>
      </c>
      <c r="O331" s="276"/>
      <c r="P331" s="276"/>
      <c r="Q331" s="294"/>
      <c r="R331" s="287"/>
      <c r="S331" s="294"/>
      <c r="T331" s="267"/>
      <c r="U331" s="276"/>
      <c r="V331" s="276"/>
      <c r="W331" s="294"/>
      <c r="X331" s="264"/>
      <c r="Y331" s="142"/>
      <c r="Z331" s="276"/>
      <c r="AA331" s="276"/>
      <c r="AB331" s="276"/>
      <c r="AC331" s="276"/>
      <c r="AD331" s="276"/>
      <c r="AE331" s="276"/>
      <c r="AF331" s="287">
        <f>SUM(Z331:AE331)</f>
        <v>0</v>
      </c>
      <c r="AG331" s="283">
        <f t="shared" si="742"/>
        <v>125.38</v>
      </c>
      <c r="AH331" s="230">
        <f t="shared" si="792"/>
        <v>257650.90889999995</v>
      </c>
      <c r="AI331" s="230">
        <f t="shared" si="792"/>
        <v>224574.36289999998</v>
      </c>
      <c r="AJ331" s="230">
        <f t="shared" si="792"/>
        <v>0</v>
      </c>
      <c r="AK331" s="261">
        <f t="shared" si="769"/>
        <v>482225.27179999993</v>
      </c>
      <c r="AL331" s="230">
        <f t="shared" si="793"/>
        <v>0</v>
      </c>
      <c r="AM331" s="230">
        <f t="shared" si="793"/>
        <v>0</v>
      </c>
      <c r="AN331" s="230">
        <f t="shared" si="793"/>
        <v>0</v>
      </c>
      <c r="AO331" s="261"/>
      <c r="AP331" s="230">
        <f t="shared" si="794"/>
        <v>0</v>
      </c>
      <c r="AQ331" s="230">
        <f t="shared" si="794"/>
        <v>0</v>
      </c>
      <c r="AR331" s="230">
        <f t="shared" si="794"/>
        <v>0</v>
      </c>
      <c r="AS331" s="230">
        <f t="shared" si="794"/>
        <v>0</v>
      </c>
      <c r="AT331" s="230">
        <f t="shared" si="794"/>
        <v>0</v>
      </c>
      <c r="AU331" s="230">
        <f t="shared" si="794"/>
        <v>0</v>
      </c>
      <c r="AV331" s="261"/>
      <c r="AW331" s="230">
        <f t="shared" si="795"/>
        <v>0</v>
      </c>
      <c r="AX331" s="230">
        <f t="shared" si="795"/>
        <v>0</v>
      </c>
      <c r="AY331" s="230">
        <f t="shared" si="795"/>
        <v>0</v>
      </c>
      <c r="AZ331" s="230">
        <f t="shared" si="795"/>
        <v>0</v>
      </c>
      <c r="BA331" s="230">
        <f t="shared" si="795"/>
        <v>0</v>
      </c>
      <c r="BB331" s="230">
        <f t="shared" si="795"/>
        <v>0</v>
      </c>
      <c r="BC331" s="261">
        <f t="shared" si="754"/>
        <v>0</v>
      </c>
      <c r="BD331" s="239">
        <f t="shared" si="684"/>
        <v>482225.27179999993</v>
      </c>
    </row>
    <row r="332" spans="1:202" ht="13.5" customHeight="1">
      <c r="A332" s="193" t="s">
        <v>26</v>
      </c>
      <c r="B332" s="182" t="s">
        <v>189</v>
      </c>
      <c r="C332" s="221" t="s">
        <v>161</v>
      </c>
      <c r="D332" s="73">
        <v>2910005075</v>
      </c>
      <c r="E332" s="82"/>
      <c r="F332" s="82"/>
      <c r="G332" s="177"/>
      <c r="H332" s="82"/>
      <c r="I332" s="82"/>
      <c r="J332" s="210"/>
      <c r="K332" s="254">
        <f t="shared" ref="K332:R332" si="796">SUM(K333:K335)</f>
        <v>0</v>
      </c>
      <c r="L332" s="254">
        <f t="shared" si="796"/>
        <v>0</v>
      </c>
      <c r="M332" s="254">
        <f t="shared" si="796"/>
        <v>0</v>
      </c>
      <c r="N332" s="284">
        <f t="shared" si="796"/>
        <v>0</v>
      </c>
      <c r="O332" s="275">
        <f t="shared" si="796"/>
        <v>0</v>
      </c>
      <c r="P332" s="275">
        <f t="shared" si="796"/>
        <v>0</v>
      </c>
      <c r="Q332" s="293">
        <f t="shared" si="796"/>
        <v>0</v>
      </c>
      <c r="R332" s="284">
        <f t="shared" si="796"/>
        <v>0</v>
      </c>
      <c r="S332" s="293">
        <f t="shared" ref="S332:AF332" si="797">SUM(S333:S335)</f>
        <v>0</v>
      </c>
      <c r="T332" s="293">
        <f t="shared" si="797"/>
        <v>0</v>
      </c>
      <c r="U332" s="293">
        <f t="shared" si="797"/>
        <v>0</v>
      </c>
      <c r="V332" s="293">
        <f t="shared" si="797"/>
        <v>0</v>
      </c>
      <c r="W332" s="293">
        <f t="shared" si="797"/>
        <v>0</v>
      </c>
      <c r="X332" s="293">
        <f t="shared" si="797"/>
        <v>0</v>
      </c>
      <c r="Y332" s="284">
        <f t="shared" si="797"/>
        <v>0</v>
      </c>
      <c r="Z332" s="275">
        <f t="shared" si="797"/>
        <v>0</v>
      </c>
      <c r="AA332" s="275">
        <f t="shared" si="797"/>
        <v>0</v>
      </c>
      <c r="AB332" s="275">
        <f t="shared" si="797"/>
        <v>0</v>
      </c>
      <c r="AC332" s="275">
        <f t="shared" si="797"/>
        <v>0</v>
      </c>
      <c r="AD332" s="275">
        <f t="shared" si="797"/>
        <v>0</v>
      </c>
      <c r="AE332" s="275">
        <f t="shared" si="797"/>
        <v>0</v>
      </c>
      <c r="AF332" s="284">
        <f t="shared" si="797"/>
        <v>0</v>
      </c>
      <c r="AG332" s="282">
        <f t="shared" si="742"/>
        <v>0</v>
      </c>
      <c r="AH332" s="232">
        <f t="shared" ref="AH332:AN332" si="798">SUM(AH333:AH335)</f>
        <v>0</v>
      </c>
      <c r="AI332" s="232">
        <f t="shared" si="798"/>
        <v>0</v>
      </c>
      <c r="AJ332" s="232">
        <f t="shared" si="798"/>
        <v>0</v>
      </c>
      <c r="AK332" s="260">
        <f t="shared" si="798"/>
        <v>0</v>
      </c>
      <c r="AL332" s="232">
        <f t="shared" si="798"/>
        <v>0</v>
      </c>
      <c r="AM332" s="232">
        <f t="shared" si="798"/>
        <v>0</v>
      </c>
      <c r="AN332" s="232">
        <f t="shared" si="798"/>
        <v>0</v>
      </c>
      <c r="AO332" s="260">
        <f t="shared" ref="AO332:AO343" si="799">SUM(AL332:AN332)</f>
        <v>0</v>
      </c>
      <c r="AP332" s="232">
        <f t="shared" ref="AP332:AU332" si="800">SUM(AP333:AP335)</f>
        <v>0</v>
      </c>
      <c r="AQ332" s="232">
        <f t="shared" si="800"/>
        <v>0</v>
      </c>
      <c r="AR332" s="232">
        <f t="shared" si="800"/>
        <v>0</v>
      </c>
      <c r="AS332" s="232">
        <f t="shared" si="800"/>
        <v>0</v>
      </c>
      <c r="AT332" s="232">
        <f t="shared" si="800"/>
        <v>0</v>
      </c>
      <c r="AU332" s="232">
        <f t="shared" si="800"/>
        <v>0</v>
      </c>
      <c r="AV332" s="260">
        <f t="shared" ref="AV332:AV348" si="801">SUM(AP332:AU332)</f>
        <v>0</v>
      </c>
      <c r="AW332" s="232">
        <f t="shared" ref="AW332:BB332" si="802">SUM(AW333:AW335)</f>
        <v>0</v>
      </c>
      <c r="AX332" s="232">
        <f t="shared" si="802"/>
        <v>0</v>
      </c>
      <c r="AY332" s="232">
        <f t="shared" si="802"/>
        <v>0</v>
      </c>
      <c r="AZ332" s="232">
        <f t="shared" si="802"/>
        <v>0</v>
      </c>
      <c r="BA332" s="232">
        <f t="shared" si="802"/>
        <v>0</v>
      </c>
      <c r="BB332" s="232">
        <f t="shared" si="802"/>
        <v>0</v>
      </c>
      <c r="BC332" s="260">
        <f t="shared" si="754"/>
        <v>0</v>
      </c>
      <c r="BD332" s="238">
        <f t="shared" si="684"/>
        <v>0</v>
      </c>
    </row>
    <row r="333" spans="1:202" s="79" customFormat="1" ht="12" customHeight="1">
      <c r="A333" s="196"/>
      <c r="B333" s="84" t="s">
        <v>260</v>
      </c>
      <c r="C333" s="221"/>
      <c r="D333" s="78"/>
      <c r="E333" s="82"/>
      <c r="F333" s="82"/>
      <c r="G333" s="177"/>
      <c r="H333" s="82"/>
      <c r="I333" s="82"/>
      <c r="J333" s="210"/>
      <c r="K333" s="255"/>
      <c r="L333" s="255"/>
      <c r="M333" s="255"/>
      <c r="N333" s="287">
        <f>K333+L333+M333</f>
        <v>0</v>
      </c>
      <c r="O333" s="276"/>
      <c r="P333" s="276"/>
      <c r="Q333" s="294"/>
      <c r="R333" s="287">
        <f>O333+P333+Q333</f>
        <v>0</v>
      </c>
      <c r="S333" s="294"/>
      <c r="T333" s="267"/>
      <c r="U333" s="276"/>
      <c r="V333" s="276"/>
      <c r="W333" s="294"/>
      <c r="X333" s="264"/>
      <c r="Y333" s="142">
        <f>SUM(S333:X333)</f>
        <v>0</v>
      </c>
      <c r="Z333" s="276"/>
      <c r="AA333" s="276"/>
      <c r="AB333" s="276"/>
      <c r="AC333" s="276"/>
      <c r="AD333" s="276"/>
      <c r="AE333" s="276"/>
      <c r="AF333" s="287">
        <f>SUM(Z333:AE333)</f>
        <v>0</v>
      </c>
      <c r="AG333" s="283">
        <f t="shared" si="742"/>
        <v>0</v>
      </c>
      <c r="AH333" s="230">
        <f t="shared" ref="AH333:AJ335" si="803">K333*$G333</f>
        <v>0</v>
      </c>
      <c r="AI333" s="230">
        <f t="shared" si="803"/>
        <v>0</v>
      </c>
      <c r="AJ333" s="230">
        <f t="shared" si="803"/>
        <v>0</v>
      </c>
      <c r="AK333" s="261">
        <f>AH333+AI333+AJ333</f>
        <v>0</v>
      </c>
      <c r="AL333" s="230">
        <f t="shared" ref="AL333:AN335" si="804">O333*$G333</f>
        <v>0</v>
      </c>
      <c r="AM333" s="230">
        <f t="shared" si="804"/>
        <v>0</v>
      </c>
      <c r="AN333" s="230">
        <f t="shared" si="804"/>
        <v>0</v>
      </c>
      <c r="AO333" s="261">
        <f t="shared" si="799"/>
        <v>0</v>
      </c>
      <c r="AP333" s="230">
        <f t="shared" ref="AP333:AU335" si="805">S333*$J333</f>
        <v>0</v>
      </c>
      <c r="AQ333" s="230">
        <f t="shared" si="805"/>
        <v>0</v>
      </c>
      <c r="AR333" s="230">
        <f t="shared" si="805"/>
        <v>0</v>
      </c>
      <c r="AS333" s="230">
        <f t="shared" si="805"/>
        <v>0</v>
      </c>
      <c r="AT333" s="230">
        <f t="shared" si="805"/>
        <v>0</v>
      </c>
      <c r="AU333" s="230">
        <f t="shared" si="805"/>
        <v>0</v>
      </c>
      <c r="AV333" s="261">
        <f t="shared" si="801"/>
        <v>0</v>
      </c>
      <c r="AW333" s="230">
        <f t="shared" ref="AW333:BB335" si="806">Z333*$J333</f>
        <v>0</v>
      </c>
      <c r="AX333" s="230">
        <f t="shared" si="806"/>
        <v>0</v>
      </c>
      <c r="AY333" s="230">
        <f t="shared" si="806"/>
        <v>0</v>
      </c>
      <c r="AZ333" s="230">
        <f t="shared" si="806"/>
        <v>0</v>
      </c>
      <c r="BA333" s="230">
        <f t="shared" si="806"/>
        <v>0</v>
      </c>
      <c r="BB333" s="230">
        <f t="shared" si="806"/>
        <v>0</v>
      </c>
      <c r="BC333" s="261">
        <f t="shared" si="754"/>
        <v>0</v>
      </c>
      <c r="BD333" s="239">
        <f t="shared" si="684"/>
        <v>0</v>
      </c>
      <c r="BE333" s="243"/>
      <c r="BF333" s="243"/>
      <c r="BG333" s="243"/>
      <c r="BH333" s="243"/>
      <c r="BI333" s="243"/>
      <c r="BJ333" s="243"/>
      <c r="BK333" s="243"/>
      <c r="BL333" s="243"/>
      <c r="BM333" s="243"/>
      <c r="BN333" s="243"/>
      <c r="BO333" s="243"/>
      <c r="BP333" s="243"/>
      <c r="BQ333" s="243"/>
      <c r="BR333" s="243"/>
      <c r="BS333" s="243"/>
      <c r="BT333" s="243"/>
      <c r="BU333" s="243"/>
      <c r="BV333" s="243"/>
      <c r="BW333" s="243"/>
      <c r="BX333" s="243"/>
      <c r="BY333" s="243"/>
      <c r="BZ333" s="243"/>
      <c r="CA333" s="243"/>
      <c r="CB333" s="243"/>
      <c r="CC333" s="243"/>
      <c r="CD333" s="243"/>
      <c r="CE333" s="243"/>
      <c r="CF333" s="243"/>
      <c r="CG333" s="243"/>
      <c r="CH333" s="243"/>
      <c r="CI333" s="243"/>
      <c r="CJ333" s="243"/>
      <c r="CK333" s="243"/>
      <c r="CL333" s="243"/>
      <c r="CM333" s="243"/>
      <c r="CN333" s="243"/>
      <c r="CO333" s="243"/>
      <c r="CP333" s="243"/>
      <c r="CQ333" s="243"/>
      <c r="CR333" s="243"/>
      <c r="CS333" s="243"/>
      <c r="CT333" s="243"/>
      <c r="CU333" s="243"/>
      <c r="CV333" s="243"/>
      <c r="CW333" s="243"/>
      <c r="CX333" s="243"/>
      <c r="CY333" s="243"/>
      <c r="CZ333" s="243"/>
      <c r="DA333" s="243"/>
      <c r="DB333" s="243"/>
      <c r="DC333" s="243"/>
      <c r="DD333" s="243"/>
      <c r="DE333" s="243"/>
      <c r="DF333" s="243"/>
      <c r="DG333" s="243"/>
      <c r="DH333" s="243"/>
      <c r="DI333" s="243"/>
      <c r="DJ333" s="243"/>
      <c r="DK333" s="243"/>
      <c r="DL333" s="243"/>
      <c r="DM333" s="243"/>
      <c r="DN333" s="243"/>
      <c r="DO333" s="243"/>
      <c r="DP333" s="243"/>
      <c r="DQ333" s="243"/>
      <c r="DR333" s="243"/>
      <c r="DS333" s="243"/>
      <c r="DT333" s="243"/>
      <c r="DU333" s="243"/>
      <c r="DV333" s="243"/>
      <c r="DW333" s="243"/>
      <c r="DX333" s="243"/>
      <c r="DY333" s="243"/>
      <c r="DZ333" s="243"/>
      <c r="EA333" s="243"/>
      <c r="EB333" s="243"/>
      <c r="EC333" s="243"/>
      <c r="ED333" s="243"/>
      <c r="EE333" s="243"/>
      <c r="EF333" s="243"/>
      <c r="EG333" s="243"/>
      <c r="EH333" s="243"/>
      <c r="EI333" s="243"/>
      <c r="EJ333" s="243"/>
      <c r="EK333" s="243"/>
      <c r="EL333" s="243"/>
      <c r="EM333" s="243"/>
      <c r="EN333" s="243"/>
      <c r="EO333" s="243"/>
      <c r="EP333" s="243"/>
      <c r="EQ333" s="243"/>
      <c r="ER333" s="243"/>
      <c r="ES333" s="243"/>
      <c r="ET333" s="243"/>
      <c r="EU333" s="243"/>
      <c r="EV333" s="243"/>
      <c r="EW333" s="243"/>
      <c r="EX333" s="243"/>
      <c r="EY333" s="243"/>
      <c r="EZ333" s="243"/>
      <c r="FA333" s="243"/>
      <c r="FB333" s="243"/>
      <c r="FC333" s="243"/>
      <c r="FD333" s="243"/>
      <c r="FE333" s="243"/>
      <c r="FF333" s="243"/>
      <c r="FG333" s="243"/>
      <c r="FH333" s="243"/>
      <c r="FI333" s="243"/>
      <c r="FJ333" s="243"/>
      <c r="FK333" s="243"/>
      <c r="FL333" s="243"/>
      <c r="FM333" s="243"/>
      <c r="FN333" s="243"/>
      <c r="FO333" s="243"/>
      <c r="FP333" s="243"/>
      <c r="FQ333" s="243"/>
      <c r="FR333" s="243"/>
      <c r="FS333" s="243"/>
      <c r="FT333" s="243"/>
      <c r="FU333" s="243"/>
      <c r="FV333" s="243"/>
      <c r="FW333" s="243"/>
      <c r="FX333" s="243"/>
      <c r="FY333" s="243"/>
      <c r="FZ333" s="243"/>
      <c r="GA333" s="243"/>
      <c r="GB333" s="243"/>
      <c r="GC333" s="243"/>
      <c r="GD333" s="243"/>
      <c r="GE333" s="243"/>
      <c r="GF333" s="243"/>
      <c r="GG333" s="243"/>
      <c r="GH333" s="243"/>
      <c r="GI333" s="243"/>
      <c r="GJ333" s="243"/>
      <c r="GK333" s="243"/>
      <c r="GL333" s="243"/>
      <c r="GM333" s="243"/>
      <c r="GN333" s="243"/>
      <c r="GO333" s="243"/>
      <c r="GP333" s="243"/>
      <c r="GQ333" s="243"/>
      <c r="GR333" s="243"/>
      <c r="GS333" s="243"/>
      <c r="GT333" s="243"/>
    </row>
    <row r="334" spans="1:202" s="79" customFormat="1" ht="12" customHeight="1">
      <c r="A334" s="196"/>
      <c r="B334" s="84" t="s">
        <v>335</v>
      </c>
      <c r="C334" s="221"/>
      <c r="D334" s="78"/>
      <c r="E334" s="82"/>
      <c r="F334" s="82"/>
      <c r="G334" s="177"/>
      <c r="H334" s="82"/>
      <c r="I334" s="82"/>
      <c r="J334" s="210"/>
      <c r="K334" s="255"/>
      <c r="L334" s="255"/>
      <c r="M334" s="255"/>
      <c r="N334" s="287">
        <f>K334+L334+M334</f>
        <v>0</v>
      </c>
      <c r="O334" s="276"/>
      <c r="P334" s="276"/>
      <c r="Q334" s="294"/>
      <c r="R334" s="287">
        <f>O334+P334+Q334</f>
        <v>0</v>
      </c>
      <c r="S334" s="294"/>
      <c r="T334" s="267"/>
      <c r="U334" s="276"/>
      <c r="V334" s="276"/>
      <c r="W334" s="294"/>
      <c r="X334" s="264"/>
      <c r="Y334" s="142">
        <f>SUM(S334:X334)</f>
        <v>0</v>
      </c>
      <c r="Z334" s="276"/>
      <c r="AA334" s="276"/>
      <c r="AB334" s="276"/>
      <c r="AC334" s="276"/>
      <c r="AD334" s="276"/>
      <c r="AE334" s="276"/>
      <c r="AF334" s="287">
        <f>SUM(Z334:AE334)</f>
        <v>0</v>
      </c>
      <c r="AG334" s="283">
        <f t="shared" si="742"/>
        <v>0</v>
      </c>
      <c r="AH334" s="230">
        <f t="shared" si="803"/>
        <v>0</v>
      </c>
      <c r="AI334" s="230">
        <f t="shared" si="803"/>
        <v>0</v>
      </c>
      <c r="AJ334" s="230">
        <f t="shared" si="803"/>
        <v>0</v>
      </c>
      <c r="AK334" s="261">
        <f>AH334+AI334+AJ334</f>
        <v>0</v>
      </c>
      <c r="AL334" s="230">
        <f t="shared" si="804"/>
        <v>0</v>
      </c>
      <c r="AM334" s="230">
        <f t="shared" si="804"/>
        <v>0</v>
      </c>
      <c r="AN334" s="230">
        <f t="shared" si="804"/>
        <v>0</v>
      </c>
      <c r="AO334" s="261">
        <f t="shared" si="799"/>
        <v>0</v>
      </c>
      <c r="AP334" s="230">
        <f t="shared" si="805"/>
        <v>0</v>
      </c>
      <c r="AQ334" s="230">
        <f t="shared" si="805"/>
        <v>0</v>
      </c>
      <c r="AR334" s="230">
        <f t="shared" si="805"/>
        <v>0</v>
      </c>
      <c r="AS334" s="230">
        <f t="shared" si="805"/>
        <v>0</v>
      </c>
      <c r="AT334" s="230">
        <f t="shared" si="805"/>
        <v>0</v>
      </c>
      <c r="AU334" s="230">
        <f t="shared" si="805"/>
        <v>0</v>
      </c>
      <c r="AV334" s="261">
        <f t="shared" si="801"/>
        <v>0</v>
      </c>
      <c r="AW334" s="230">
        <f t="shared" si="806"/>
        <v>0</v>
      </c>
      <c r="AX334" s="230">
        <f t="shared" si="806"/>
        <v>0</v>
      </c>
      <c r="AY334" s="230">
        <f t="shared" si="806"/>
        <v>0</v>
      </c>
      <c r="AZ334" s="230">
        <f t="shared" si="806"/>
        <v>0</v>
      </c>
      <c r="BA334" s="230">
        <f t="shared" si="806"/>
        <v>0</v>
      </c>
      <c r="BB334" s="230">
        <f t="shared" si="806"/>
        <v>0</v>
      </c>
      <c r="BC334" s="261">
        <f t="shared" si="754"/>
        <v>0</v>
      </c>
      <c r="BD334" s="239">
        <f t="shared" si="684"/>
        <v>0</v>
      </c>
      <c r="BE334" s="243"/>
      <c r="BF334" s="243"/>
      <c r="BG334" s="243"/>
      <c r="BH334" s="243"/>
      <c r="BI334" s="243"/>
      <c r="BJ334" s="243"/>
      <c r="BK334" s="243"/>
      <c r="BL334" s="243"/>
      <c r="BM334" s="243"/>
      <c r="BN334" s="243"/>
      <c r="BO334" s="243"/>
      <c r="BP334" s="243"/>
      <c r="BQ334" s="243"/>
      <c r="BR334" s="243"/>
      <c r="BS334" s="243"/>
      <c r="BT334" s="243"/>
      <c r="BU334" s="243"/>
      <c r="BV334" s="243"/>
      <c r="BW334" s="243"/>
      <c r="BX334" s="243"/>
      <c r="BY334" s="243"/>
      <c r="BZ334" s="243"/>
      <c r="CA334" s="243"/>
      <c r="CB334" s="243"/>
      <c r="CC334" s="243"/>
      <c r="CD334" s="243"/>
      <c r="CE334" s="243"/>
      <c r="CF334" s="243"/>
      <c r="CG334" s="243"/>
      <c r="CH334" s="243"/>
      <c r="CI334" s="243"/>
      <c r="CJ334" s="243"/>
      <c r="CK334" s="243"/>
      <c r="CL334" s="243"/>
      <c r="CM334" s="243"/>
      <c r="CN334" s="243"/>
      <c r="CO334" s="243"/>
      <c r="CP334" s="243"/>
      <c r="CQ334" s="243"/>
      <c r="CR334" s="243"/>
      <c r="CS334" s="243"/>
      <c r="CT334" s="243"/>
      <c r="CU334" s="243"/>
      <c r="CV334" s="243"/>
      <c r="CW334" s="243"/>
      <c r="CX334" s="243"/>
      <c r="CY334" s="243"/>
      <c r="CZ334" s="243"/>
      <c r="DA334" s="243"/>
      <c r="DB334" s="243"/>
      <c r="DC334" s="243"/>
      <c r="DD334" s="243"/>
      <c r="DE334" s="243"/>
      <c r="DF334" s="243"/>
      <c r="DG334" s="243"/>
      <c r="DH334" s="243"/>
      <c r="DI334" s="243"/>
      <c r="DJ334" s="243"/>
      <c r="DK334" s="243"/>
      <c r="DL334" s="243"/>
      <c r="DM334" s="243"/>
      <c r="DN334" s="243"/>
      <c r="DO334" s="243"/>
      <c r="DP334" s="243"/>
      <c r="DQ334" s="243"/>
      <c r="DR334" s="243"/>
      <c r="DS334" s="243"/>
      <c r="DT334" s="243"/>
      <c r="DU334" s="243"/>
      <c r="DV334" s="243"/>
      <c r="DW334" s="243"/>
      <c r="DX334" s="243"/>
      <c r="DY334" s="243"/>
      <c r="DZ334" s="243"/>
      <c r="EA334" s="243"/>
      <c r="EB334" s="243"/>
      <c r="EC334" s="243"/>
      <c r="ED334" s="243"/>
      <c r="EE334" s="243"/>
      <c r="EF334" s="243"/>
      <c r="EG334" s="243"/>
      <c r="EH334" s="243"/>
      <c r="EI334" s="243"/>
      <c r="EJ334" s="243"/>
      <c r="EK334" s="243"/>
      <c r="EL334" s="243"/>
      <c r="EM334" s="243"/>
      <c r="EN334" s="243"/>
      <c r="EO334" s="243"/>
      <c r="EP334" s="243"/>
      <c r="EQ334" s="243"/>
      <c r="ER334" s="243"/>
      <c r="ES334" s="243"/>
      <c r="ET334" s="243"/>
      <c r="EU334" s="243"/>
      <c r="EV334" s="243"/>
      <c r="EW334" s="243"/>
      <c r="EX334" s="243"/>
      <c r="EY334" s="243"/>
      <c r="EZ334" s="243"/>
      <c r="FA334" s="243"/>
      <c r="FB334" s="243"/>
      <c r="FC334" s="243"/>
      <c r="FD334" s="243"/>
      <c r="FE334" s="243"/>
      <c r="FF334" s="243"/>
      <c r="FG334" s="243"/>
      <c r="FH334" s="243"/>
      <c r="FI334" s="243"/>
      <c r="FJ334" s="243"/>
      <c r="FK334" s="243"/>
      <c r="FL334" s="243"/>
      <c r="FM334" s="243"/>
      <c r="FN334" s="243"/>
      <c r="FO334" s="243"/>
      <c r="FP334" s="243"/>
      <c r="FQ334" s="243"/>
      <c r="FR334" s="243"/>
      <c r="FS334" s="243"/>
      <c r="FT334" s="243"/>
      <c r="FU334" s="243"/>
      <c r="FV334" s="243"/>
      <c r="FW334" s="243"/>
      <c r="FX334" s="243"/>
      <c r="FY334" s="243"/>
      <c r="FZ334" s="243"/>
      <c r="GA334" s="243"/>
      <c r="GB334" s="243"/>
      <c r="GC334" s="243"/>
      <c r="GD334" s="243"/>
      <c r="GE334" s="243"/>
      <c r="GF334" s="243"/>
      <c r="GG334" s="243"/>
      <c r="GH334" s="243"/>
      <c r="GI334" s="243"/>
      <c r="GJ334" s="243"/>
      <c r="GK334" s="243"/>
      <c r="GL334" s="243"/>
      <c r="GM334" s="243"/>
      <c r="GN334" s="243"/>
      <c r="GO334" s="243"/>
      <c r="GP334" s="243"/>
      <c r="GQ334" s="243"/>
      <c r="GR334" s="243"/>
      <c r="GS334" s="243"/>
      <c r="GT334" s="243"/>
    </row>
    <row r="335" spans="1:202" s="79" customFormat="1" ht="12" customHeight="1">
      <c r="A335" s="196"/>
      <c r="B335" s="240" t="s">
        <v>334</v>
      </c>
      <c r="C335" s="223"/>
      <c r="D335" s="241"/>
      <c r="E335" s="211"/>
      <c r="F335" s="82"/>
      <c r="G335" s="177"/>
      <c r="H335" s="82"/>
      <c r="I335" s="82"/>
      <c r="J335" s="210"/>
      <c r="K335" s="252"/>
      <c r="L335" s="252"/>
      <c r="M335" s="252"/>
      <c r="N335" s="287">
        <f>K335+L335+M335</f>
        <v>0</v>
      </c>
      <c r="O335" s="276"/>
      <c r="P335" s="276"/>
      <c r="Q335" s="294"/>
      <c r="R335" s="287">
        <f>O335+P335+Q335</f>
        <v>0</v>
      </c>
      <c r="S335" s="290"/>
      <c r="T335" s="264"/>
      <c r="U335" s="273"/>
      <c r="V335" s="273"/>
      <c r="W335" s="290"/>
      <c r="X335" s="264"/>
      <c r="Y335" s="142">
        <f>SUM(S335:X335)</f>
        <v>0</v>
      </c>
      <c r="Z335" s="273"/>
      <c r="AA335" s="273"/>
      <c r="AB335" s="273"/>
      <c r="AC335" s="273"/>
      <c r="AD335" s="273"/>
      <c r="AE335" s="273"/>
      <c r="AF335" s="287">
        <f>SUM(Z335:AE335)</f>
        <v>0</v>
      </c>
      <c r="AG335" s="283">
        <f t="shared" si="742"/>
        <v>0</v>
      </c>
      <c r="AH335" s="230">
        <f t="shared" si="803"/>
        <v>0</v>
      </c>
      <c r="AI335" s="230">
        <f t="shared" si="803"/>
        <v>0</v>
      </c>
      <c r="AJ335" s="230">
        <f t="shared" si="803"/>
        <v>0</v>
      </c>
      <c r="AK335" s="261">
        <f>AH335+AI335+AJ335</f>
        <v>0</v>
      </c>
      <c r="AL335" s="230">
        <f t="shared" si="804"/>
        <v>0</v>
      </c>
      <c r="AM335" s="228">
        <f t="shared" si="804"/>
        <v>0</v>
      </c>
      <c r="AN335" s="228">
        <f t="shared" si="804"/>
        <v>0</v>
      </c>
      <c r="AO335" s="261">
        <f t="shared" si="799"/>
        <v>0</v>
      </c>
      <c r="AP335" s="230">
        <f t="shared" si="805"/>
        <v>0</v>
      </c>
      <c r="AQ335" s="230">
        <f t="shared" si="805"/>
        <v>0</v>
      </c>
      <c r="AR335" s="230">
        <f t="shared" si="805"/>
        <v>0</v>
      </c>
      <c r="AS335" s="230">
        <f t="shared" si="805"/>
        <v>0</v>
      </c>
      <c r="AT335" s="230">
        <f t="shared" si="805"/>
        <v>0</v>
      </c>
      <c r="AU335" s="230">
        <f t="shared" si="805"/>
        <v>0</v>
      </c>
      <c r="AV335" s="261">
        <f t="shared" si="801"/>
        <v>0</v>
      </c>
      <c r="AW335" s="230">
        <f t="shared" si="806"/>
        <v>0</v>
      </c>
      <c r="AX335" s="230">
        <f t="shared" si="806"/>
        <v>0</v>
      </c>
      <c r="AY335" s="230">
        <f t="shared" si="806"/>
        <v>0</v>
      </c>
      <c r="AZ335" s="230">
        <f t="shared" si="806"/>
        <v>0</v>
      </c>
      <c r="BA335" s="230">
        <f t="shared" si="806"/>
        <v>0</v>
      </c>
      <c r="BB335" s="230">
        <f t="shared" si="806"/>
        <v>0</v>
      </c>
      <c r="BC335" s="261">
        <f t="shared" si="754"/>
        <v>0</v>
      </c>
      <c r="BD335" s="239">
        <f t="shared" si="684"/>
        <v>0</v>
      </c>
      <c r="BE335" s="243"/>
      <c r="BF335" s="243"/>
      <c r="BG335" s="243"/>
      <c r="BH335" s="243"/>
      <c r="BI335" s="243"/>
      <c r="BJ335" s="243"/>
      <c r="BK335" s="243"/>
      <c r="BL335" s="243"/>
      <c r="BM335" s="243"/>
      <c r="BN335" s="243"/>
      <c r="BO335" s="243"/>
      <c r="BP335" s="243"/>
      <c r="BQ335" s="243"/>
      <c r="BR335" s="243"/>
      <c r="BS335" s="243"/>
      <c r="BT335" s="243"/>
      <c r="BU335" s="243"/>
      <c r="BV335" s="243"/>
      <c r="BW335" s="243"/>
      <c r="BX335" s="243"/>
      <c r="BY335" s="243"/>
      <c r="BZ335" s="243"/>
      <c r="CA335" s="243"/>
      <c r="CB335" s="243"/>
      <c r="CC335" s="243"/>
      <c r="CD335" s="243"/>
      <c r="CE335" s="243"/>
      <c r="CF335" s="243"/>
      <c r="CG335" s="243"/>
      <c r="CH335" s="243"/>
      <c r="CI335" s="243"/>
      <c r="CJ335" s="243"/>
      <c r="CK335" s="243"/>
      <c r="CL335" s="243"/>
      <c r="CM335" s="243"/>
      <c r="CN335" s="243"/>
      <c r="CO335" s="243"/>
      <c r="CP335" s="243"/>
      <c r="CQ335" s="243"/>
      <c r="CR335" s="243"/>
      <c r="CS335" s="243"/>
      <c r="CT335" s="243"/>
      <c r="CU335" s="243"/>
      <c r="CV335" s="243"/>
      <c r="CW335" s="243"/>
      <c r="CX335" s="243"/>
      <c r="CY335" s="243"/>
      <c r="CZ335" s="243"/>
      <c r="DA335" s="243"/>
      <c r="DB335" s="243"/>
      <c r="DC335" s="243"/>
      <c r="DD335" s="243"/>
      <c r="DE335" s="243"/>
      <c r="DF335" s="243"/>
      <c r="DG335" s="243"/>
      <c r="DH335" s="243"/>
      <c r="DI335" s="243"/>
      <c r="DJ335" s="243"/>
      <c r="DK335" s="243"/>
      <c r="DL335" s="243"/>
      <c r="DM335" s="243"/>
      <c r="DN335" s="243"/>
      <c r="DO335" s="243"/>
      <c r="DP335" s="243"/>
      <c r="DQ335" s="243"/>
      <c r="DR335" s="243"/>
      <c r="DS335" s="243"/>
      <c r="DT335" s="243"/>
      <c r="DU335" s="243"/>
      <c r="DV335" s="243"/>
      <c r="DW335" s="243"/>
      <c r="DX335" s="243"/>
      <c r="DY335" s="243"/>
      <c r="DZ335" s="243"/>
      <c r="EA335" s="243"/>
      <c r="EB335" s="243"/>
      <c r="EC335" s="243"/>
      <c r="ED335" s="243"/>
      <c r="EE335" s="243"/>
      <c r="EF335" s="243"/>
      <c r="EG335" s="243"/>
      <c r="EH335" s="243"/>
      <c r="EI335" s="243"/>
      <c r="EJ335" s="243"/>
      <c r="EK335" s="243"/>
      <c r="EL335" s="243"/>
      <c r="EM335" s="243"/>
      <c r="EN335" s="243"/>
      <c r="EO335" s="243"/>
      <c r="EP335" s="243"/>
      <c r="EQ335" s="243"/>
      <c r="ER335" s="243"/>
      <c r="ES335" s="243"/>
      <c r="ET335" s="243"/>
      <c r="EU335" s="243"/>
      <c r="EV335" s="243"/>
      <c r="EW335" s="243"/>
      <c r="EX335" s="243"/>
      <c r="EY335" s="243"/>
      <c r="EZ335" s="243"/>
      <c r="FA335" s="243"/>
      <c r="FB335" s="243"/>
      <c r="FC335" s="243"/>
      <c r="FD335" s="243"/>
      <c r="FE335" s="243"/>
      <c r="FF335" s="243"/>
      <c r="FG335" s="243"/>
      <c r="FH335" s="243"/>
      <c r="FI335" s="243"/>
      <c r="FJ335" s="243"/>
      <c r="FK335" s="243"/>
      <c r="FL335" s="243"/>
      <c r="FM335" s="243"/>
      <c r="FN335" s="243"/>
      <c r="FO335" s="243"/>
      <c r="FP335" s="243"/>
      <c r="FQ335" s="243"/>
      <c r="FR335" s="243"/>
      <c r="FS335" s="243"/>
      <c r="FT335" s="243"/>
      <c r="FU335" s="243"/>
      <c r="FV335" s="243"/>
      <c r="FW335" s="243"/>
      <c r="FX335" s="243"/>
      <c r="FY335" s="243"/>
      <c r="FZ335" s="243"/>
      <c r="GA335" s="243"/>
      <c r="GB335" s="243"/>
      <c r="GC335" s="243"/>
      <c r="GD335" s="243"/>
      <c r="GE335" s="243"/>
      <c r="GF335" s="243"/>
      <c r="GG335" s="243"/>
      <c r="GH335" s="243"/>
      <c r="GI335" s="243"/>
      <c r="GJ335" s="243"/>
      <c r="GK335" s="243"/>
      <c r="GL335" s="243"/>
      <c r="GM335" s="243"/>
      <c r="GN335" s="243"/>
      <c r="GO335" s="243"/>
      <c r="GP335" s="243"/>
      <c r="GQ335" s="243"/>
      <c r="GR335" s="243"/>
      <c r="GS335" s="243"/>
      <c r="GT335" s="243"/>
    </row>
    <row r="336" spans="1:202" ht="33.75" customHeight="1">
      <c r="A336" s="187" t="s">
        <v>26</v>
      </c>
      <c r="B336" s="170" t="s">
        <v>147</v>
      </c>
      <c r="C336" s="216" t="s">
        <v>407</v>
      </c>
      <c r="D336" s="138">
        <v>2923007344</v>
      </c>
      <c r="E336" s="147"/>
      <c r="F336" s="147"/>
      <c r="G336" s="142"/>
      <c r="H336" s="147"/>
      <c r="I336" s="147"/>
      <c r="J336" s="210"/>
      <c r="K336" s="251">
        <f>K337</f>
        <v>1422.4449999999999</v>
      </c>
      <c r="L336" s="251">
        <f>L337</f>
        <v>1623.8969999999999</v>
      </c>
      <c r="M336" s="251">
        <f>M337</f>
        <v>0</v>
      </c>
      <c r="N336" s="284">
        <f>K336+L336+M336</f>
        <v>3046.3419999999996</v>
      </c>
      <c r="O336" s="272">
        <f>O337</f>
        <v>0</v>
      </c>
      <c r="P336" s="272">
        <f>P337</f>
        <v>0</v>
      </c>
      <c r="Q336" s="272">
        <f>Q337</f>
        <v>0</v>
      </c>
      <c r="R336" s="284">
        <f>O336+P336+Q336</f>
        <v>0</v>
      </c>
      <c r="S336" s="289">
        <f t="shared" ref="S336:X336" si="807">S337</f>
        <v>0</v>
      </c>
      <c r="T336" s="289">
        <f t="shared" si="807"/>
        <v>0</v>
      </c>
      <c r="U336" s="289">
        <f t="shared" si="807"/>
        <v>0</v>
      </c>
      <c r="V336" s="289">
        <f t="shared" si="807"/>
        <v>0</v>
      </c>
      <c r="W336" s="289">
        <f t="shared" si="807"/>
        <v>0</v>
      </c>
      <c r="X336" s="289">
        <f t="shared" si="807"/>
        <v>0</v>
      </c>
      <c r="Y336" s="284">
        <f>SUM(S336:X336)</f>
        <v>0</v>
      </c>
      <c r="Z336" s="272">
        <f t="shared" ref="Z336:AE336" si="808">Z337</f>
        <v>0</v>
      </c>
      <c r="AA336" s="272">
        <f t="shared" si="808"/>
        <v>0</v>
      </c>
      <c r="AB336" s="272">
        <f t="shared" si="808"/>
        <v>0</v>
      </c>
      <c r="AC336" s="272">
        <f t="shared" si="808"/>
        <v>0</v>
      </c>
      <c r="AD336" s="272">
        <f t="shared" si="808"/>
        <v>0</v>
      </c>
      <c r="AE336" s="272">
        <f t="shared" si="808"/>
        <v>0</v>
      </c>
      <c r="AF336" s="284">
        <f>SUM(Z336:AE336)</f>
        <v>0</v>
      </c>
      <c r="AG336" s="282">
        <f t="shared" si="742"/>
        <v>3046.3419999999996</v>
      </c>
      <c r="AH336" s="227">
        <f>AH337</f>
        <v>5511718.3348999992</v>
      </c>
      <c r="AI336" s="227">
        <f>AI337</f>
        <v>6292308.5735399993</v>
      </c>
      <c r="AJ336" s="227">
        <f>AJ337</f>
        <v>0</v>
      </c>
      <c r="AK336" s="260">
        <f>AH336+AI336+AJ336</f>
        <v>11804026.908439998</v>
      </c>
      <c r="AL336" s="227">
        <f>AL337</f>
        <v>0</v>
      </c>
      <c r="AM336" s="227">
        <f>AM337</f>
        <v>0</v>
      </c>
      <c r="AN336" s="227">
        <f>AN337</f>
        <v>0</v>
      </c>
      <c r="AO336" s="260">
        <f t="shared" si="799"/>
        <v>0</v>
      </c>
      <c r="AP336" s="227">
        <f t="shared" ref="AP336:AU336" si="809">AP337</f>
        <v>0</v>
      </c>
      <c r="AQ336" s="227">
        <f t="shared" si="809"/>
        <v>0</v>
      </c>
      <c r="AR336" s="227">
        <f t="shared" si="809"/>
        <v>0</v>
      </c>
      <c r="AS336" s="227">
        <f t="shared" si="809"/>
        <v>0</v>
      </c>
      <c r="AT336" s="227">
        <f t="shared" si="809"/>
        <v>0</v>
      </c>
      <c r="AU336" s="227">
        <f t="shared" si="809"/>
        <v>0</v>
      </c>
      <c r="AV336" s="260">
        <f t="shared" si="801"/>
        <v>0</v>
      </c>
      <c r="AW336" s="227">
        <f t="shared" ref="AW336:BB336" si="810">AW337</f>
        <v>0</v>
      </c>
      <c r="AX336" s="227">
        <f t="shared" si="810"/>
        <v>0</v>
      </c>
      <c r="AY336" s="227">
        <f t="shared" si="810"/>
        <v>0</v>
      </c>
      <c r="AZ336" s="227">
        <f t="shared" si="810"/>
        <v>0</v>
      </c>
      <c r="BA336" s="227">
        <f t="shared" si="810"/>
        <v>0</v>
      </c>
      <c r="BB336" s="227">
        <f t="shared" si="810"/>
        <v>0</v>
      </c>
      <c r="BC336" s="260">
        <f t="shared" si="754"/>
        <v>0</v>
      </c>
      <c r="BD336" s="238">
        <f t="shared" si="684"/>
        <v>11804026.908439998</v>
      </c>
    </row>
    <row r="337" spans="1:202" s="79" customFormat="1" ht="12" customHeight="1">
      <c r="A337" s="196"/>
      <c r="B337" s="84"/>
      <c r="C337" s="221"/>
      <c r="D337" s="78"/>
      <c r="E337" s="82">
        <v>5618.82</v>
      </c>
      <c r="F337" s="82">
        <v>1744</v>
      </c>
      <c r="G337" s="177">
        <f>E337-F337</f>
        <v>3874.8199999999997</v>
      </c>
      <c r="H337" s="82">
        <v>5618.82</v>
      </c>
      <c r="I337" s="82">
        <v>1744</v>
      </c>
      <c r="J337" s="210">
        <f>H337-I337</f>
        <v>3874.8199999999997</v>
      </c>
      <c r="K337" s="255">
        <v>1422.4449999999999</v>
      </c>
      <c r="L337" s="255">
        <v>1623.8969999999999</v>
      </c>
      <c r="M337" s="255"/>
      <c r="N337" s="287">
        <f>K337+L337+M337</f>
        <v>3046.3419999999996</v>
      </c>
      <c r="O337" s="276"/>
      <c r="P337" s="276"/>
      <c r="Q337" s="294"/>
      <c r="R337" s="287"/>
      <c r="S337" s="294"/>
      <c r="T337" s="267"/>
      <c r="U337" s="276"/>
      <c r="V337" s="276"/>
      <c r="W337" s="294"/>
      <c r="X337" s="264"/>
      <c r="Y337" s="142"/>
      <c r="Z337" s="276"/>
      <c r="AA337" s="276"/>
      <c r="AB337" s="276"/>
      <c r="AC337" s="276"/>
      <c r="AD337" s="276"/>
      <c r="AE337" s="276"/>
      <c r="AF337" s="287">
        <f>SUM(Z337:AE337)</f>
        <v>0</v>
      </c>
      <c r="AG337" s="283">
        <f t="shared" si="742"/>
        <v>3046.3419999999996</v>
      </c>
      <c r="AH337" s="230">
        <f>K337*$G337</f>
        <v>5511718.3348999992</v>
      </c>
      <c r="AI337" s="230">
        <f>L337*$G337</f>
        <v>6292308.5735399993</v>
      </c>
      <c r="AJ337" s="230">
        <f>M337*$G337</f>
        <v>0</v>
      </c>
      <c r="AK337" s="261">
        <f>AH337+AI337+AJ337</f>
        <v>11804026.908439998</v>
      </c>
      <c r="AL337" s="230">
        <f>O337*$G337</f>
        <v>0</v>
      </c>
      <c r="AM337" s="230">
        <f>P337*$G337</f>
        <v>0</v>
      </c>
      <c r="AN337" s="230">
        <f>Q337*$G337</f>
        <v>0</v>
      </c>
      <c r="AO337" s="261"/>
      <c r="AP337" s="230">
        <f t="shared" ref="AP337:AU337" si="811">S337*$J337</f>
        <v>0</v>
      </c>
      <c r="AQ337" s="230">
        <f t="shared" si="811"/>
        <v>0</v>
      </c>
      <c r="AR337" s="230">
        <f t="shared" si="811"/>
        <v>0</v>
      </c>
      <c r="AS337" s="230">
        <f t="shared" si="811"/>
        <v>0</v>
      </c>
      <c r="AT337" s="230">
        <f t="shared" si="811"/>
        <v>0</v>
      </c>
      <c r="AU337" s="230">
        <f t="shared" si="811"/>
        <v>0</v>
      </c>
      <c r="AV337" s="261">
        <f t="shared" si="801"/>
        <v>0</v>
      </c>
      <c r="AW337" s="230">
        <f t="shared" ref="AW337:BB337" si="812">Z337*$J337</f>
        <v>0</v>
      </c>
      <c r="AX337" s="230">
        <f t="shared" si="812"/>
        <v>0</v>
      </c>
      <c r="AY337" s="230">
        <f t="shared" si="812"/>
        <v>0</v>
      </c>
      <c r="AZ337" s="230">
        <f t="shared" si="812"/>
        <v>0</v>
      </c>
      <c r="BA337" s="230">
        <f t="shared" si="812"/>
        <v>0</v>
      </c>
      <c r="BB337" s="230">
        <f t="shared" si="812"/>
        <v>0</v>
      </c>
      <c r="BC337" s="261">
        <f t="shared" si="754"/>
        <v>0</v>
      </c>
      <c r="BD337" s="239">
        <f t="shared" si="684"/>
        <v>11804026.908439998</v>
      </c>
      <c r="BE337" s="243"/>
      <c r="BF337" s="243"/>
      <c r="BG337" s="243"/>
      <c r="BH337" s="243"/>
      <c r="BI337" s="243"/>
      <c r="BJ337" s="243"/>
      <c r="BK337" s="243"/>
      <c r="BL337" s="243"/>
      <c r="BM337" s="243"/>
      <c r="BN337" s="243"/>
      <c r="BO337" s="243"/>
      <c r="BP337" s="243"/>
      <c r="BQ337" s="243"/>
      <c r="BR337" s="243"/>
      <c r="BS337" s="243"/>
      <c r="BT337" s="243"/>
      <c r="BU337" s="243"/>
      <c r="BV337" s="243"/>
      <c r="BW337" s="243"/>
      <c r="BX337" s="243"/>
      <c r="BY337" s="243"/>
      <c r="BZ337" s="243"/>
      <c r="CA337" s="243"/>
      <c r="CB337" s="243"/>
      <c r="CC337" s="243"/>
      <c r="CD337" s="243"/>
      <c r="CE337" s="243"/>
      <c r="CF337" s="243"/>
      <c r="CG337" s="243"/>
      <c r="CH337" s="243"/>
      <c r="CI337" s="243"/>
      <c r="CJ337" s="243"/>
      <c r="CK337" s="243"/>
      <c r="CL337" s="243"/>
      <c r="CM337" s="243"/>
      <c r="CN337" s="243"/>
      <c r="CO337" s="243"/>
      <c r="CP337" s="243"/>
      <c r="CQ337" s="243"/>
      <c r="CR337" s="243"/>
      <c r="CS337" s="243"/>
      <c r="CT337" s="243"/>
      <c r="CU337" s="243"/>
      <c r="CV337" s="243"/>
      <c r="CW337" s="243"/>
      <c r="CX337" s="243"/>
      <c r="CY337" s="243"/>
      <c r="CZ337" s="243"/>
      <c r="DA337" s="243"/>
      <c r="DB337" s="243"/>
      <c r="DC337" s="243"/>
      <c r="DD337" s="243"/>
      <c r="DE337" s="243"/>
      <c r="DF337" s="243"/>
      <c r="DG337" s="243"/>
      <c r="DH337" s="243"/>
      <c r="DI337" s="243"/>
      <c r="DJ337" s="243"/>
      <c r="DK337" s="243"/>
      <c r="DL337" s="243"/>
      <c r="DM337" s="243"/>
      <c r="DN337" s="243"/>
      <c r="DO337" s="243"/>
      <c r="DP337" s="243"/>
      <c r="DQ337" s="243"/>
      <c r="DR337" s="243"/>
      <c r="DS337" s="243"/>
      <c r="DT337" s="243"/>
      <c r="DU337" s="243"/>
      <c r="DV337" s="243"/>
      <c r="DW337" s="243"/>
      <c r="DX337" s="243"/>
      <c r="DY337" s="243"/>
      <c r="DZ337" s="243"/>
      <c r="EA337" s="243"/>
      <c r="EB337" s="243"/>
      <c r="EC337" s="243"/>
      <c r="ED337" s="243"/>
      <c r="EE337" s="243"/>
      <c r="EF337" s="243"/>
      <c r="EG337" s="243"/>
      <c r="EH337" s="243"/>
      <c r="EI337" s="243"/>
      <c r="EJ337" s="243"/>
      <c r="EK337" s="243"/>
      <c r="EL337" s="243"/>
      <c r="EM337" s="243"/>
      <c r="EN337" s="243"/>
      <c r="EO337" s="243"/>
      <c r="EP337" s="243"/>
      <c r="EQ337" s="243"/>
      <c r="ER337" s="243"/>
      <c r="ES337" s="243"/>
      <c r="ET337" s="243"/>
      <c r="EU337" s="243"/>
      <c r="EV337" s="243"/>
      <c r="EW337" s="243"/>
      <c r="EX337" s="243"/>
      <c r="EY337" s="243"/>
      <c r="EZ337" s="243"/>
      <c r="FA337" s="243"/>
      <c r="FB337" s="243"/>
      <c r="FC337" s="243"/>
      <c r="FD337" s="243"/>
      <c r="FE337" s="243"/>
      <c r="FF337" s="243"/>
      <c r="FG337" s="243"/>
      <c r="FH337" s="243"/>
      <c r="FI337" s="243"/>
      <c r="FJ337" s="243"/>
      <c r="FK337" s="243"/>
      <c r="FL337" s="243"/>
      <c r="FM337" s="243"/>
      <c r="FN337" s="243"/>
      <c r="FO337" s="243"/>
      <c r="FP337" s="243"/>
      <c r="FQ337" s="243"/>
      <c r="FR337" s="243"/>
      <c r="FS337" s="243"/>
      <c r="FT337" s="243"/>
      <c r="FU337" s="243"/>
      <c r="FV337" s="243"/>
      <c r="FW337" s="243"/>
      <c r="FX337" s="243"/>
      <c r="FY337" s="243"/>
      <c r="FZ337" s="243"/>
      <c r="GA337" s="243"/>
      <c r="GB337" s="243"/>
      <c r="GC337" s="243"/>
      <c r="GD337" s="243"/>
      <c r="GE337" s="243"/>
      <c r="GF337" s="243"/>
      <c r="GG337" s="243"/>
      <c r="GH337" s="243"/>
      <c r="GI337" s="243"/>
      <c r="GJ337" s="243"/>
      <c r="GK337" s="243"/>
      <c r="GL337" s="243"/>
      <c r="GM337" s="243"/>
      <c r="GN337" s="243"/>
      <c r="GO337" s="243"/>
      <c r="GP337" s="243"/>
      <c r="GQ337" s="243"/>
      <c r="GR337" s="243"/>
      <c r="GS337" s="243"/>
      <c r="GT337" s="243"/>
    </row>
    <row r="338" spans="1:202" ht="12.75">
      <c r="A338" s="187" t="s">
        <v>56</v>
      </c>
      <c r="B338" s="170" t="s">
        <v>314</v>
      </c>
      <c r="C338" s="216" t="s">
        <v>236</v>
      </c>
      <c r="D338" s="138">
        <v>2920016862</v>
      </c>
      <c r="E338" s="147"/>
      <c r="F338" s="147"/>
      <c r="G338" s="177"/>
      <c r="H338" s="147"/>
      <c r="I338" s="147"/>
      <c r="J338" s="142"/>
      <c r="K338" s="254">
        <f>K339+K340</f>
        <v>0</v>
      </c>
      <c r="L338" s="254">
        <f>L339+L340</f>
        <v>0</v>
      </c>
      <c r="M338" s="254">
        <f>M339+M340</f>
        <v>0</v>
      </c>
      <c r="N338" s="284">
        <f>SUM(N339:N340)</f>
        <v>0</v>
      </c>
      <c r="O338" s="275">
        <f>O339+O340</f>
        <v>0</v>
      </c>
      <c r="P338" s="275">
        <f>P339+P340</f>
        <v>0</v>
      </c>
      <c r="Q338" s="293">
        <f>Q339+Q340</f>
        <v>0</v>
      </c>
      <c r="R338" s="284">
        <f>SUM(R339:R340)</f>
        <v>0</v>
      </c>
      <c r="S338" s="293">
        <f t="shared" ref="S338:X338" si="813">S339+S340</f>
        <v>0</v>
      </c>
      <c r="T338" s="293">
        <f t="shared" si="813"/>
        <v>0</v>
      </c>
      <c r="U338" s="293">
        <f t="shared" si="813"/>
        <v>0</v>
      </c>
      <c r="V338" s="293">
        <f t="shared" si="813"/>
        <v>0</v>
      </c>
      <c r="W338" s="293">
        <f t="shared" si="813"/>
        <v>0</v>
      </c>
      <c r="X338" s="293">
        <f t="shared" si="813"/>
        <v>0</v>
      </c>
      <c r="Y338" s="284">
        <f>SUM(Y339:Y340)</f>
        <v>0</v>
      </c>
      <c r="Z338" s="275">
        <f t="shared" ref="Z338:AE338" si="814">Z339+Z340</f>
        <v>0</v>
      </c>
      <c r="AA338" s="275">
        <f t="shared" si="814"/>
        <v>0</v>
      </c>
      <c r="AB338" s="275">
        <f t="shared" si="814"/>
        <v>0</v>
      </c>
      <c r="AC338" s="275">
        <f t="shared" si="814"/>
        <v>0</v>
      </c>
      <c r="AD338" s="275">
        <f t="shared" si="814"/>
        <v>0</v>
      </c>
      <c r="AE338" s="275">
        <f t="shared" si="814"/>
        <v>0</v>
      </c>
      <c r="AF338" s="284">
        <f>SUM(AF339:AF340)</f>
        <v>0</v>
      </c>
      <c r="AG338" s="282">
        <f t="shared" si="742"/>
        <v>0</v>
      </c>
      <c r="AH338" s="232">
        <f>AH339+AH340</f>
        <v>0</v>
      </c>
      <c r="AI338" s="232">
        <f>AI339+AI340</f>
        <v>0</v>
      </c>
      <c r="AJ338" s="232">
        <f>AJ339+AJ340</f>
        <v>0</v>
      </c>
      <c r="AK338" s="260">
        <f>SUM(AK339:AK340)</f>
        <v>0</v>
      </c>
      <c r="AL338" s="232">
        <f>AL339+AL340</f>
        <v>0</v>
      </c>
      <c r="AM338" s="232">
        <f>AM339+AM340</f>
        <v>0</v>
      </c>
      <c r="AN338" s="232">
        <f>AN339+AN340</f>
        <v>0</v>
      </c>
      <c r="AO338" s="260">
        <f t="shared" si="799"/>
        <v>0</v>
      </c>
      <c r="AP338" s="232">
        <f t="shared" ref="AP338:AU338" si="815">AP339+AP340</f>
        <v>0</v>
      </c>
      <c r="AQ338" s="232">
        <f t="shared" si="815"/>
        <v>0</v>
      </c>
      <c r="AR338" s="232">
        <f t="shared" si="815"/>
        <v>0</v>
      </c>
      <c r="AS338" s="232">
        <f t="shared" si="815"/>
        <v>0</v>
      </c>
      <c r="AT338" s="232">
        <f t="shared" si="815"/>
        <v>0</v>
      </c>
      <c r="AU338" s="232">
        <f t="shared" si="815"/>
        <v>0</v>
      </c>
      <c r="AV338" s="260">
        <f t="shared" si="801"/>
        <v>0</v>
      </c>
      <c r="AW338" s="232">
        <f t="shared" ref="AW338:BB338" si="816">AW339+AW340</f>
        <v>0</v>
      </c>
      <c r="AX338" s="232">
        <f t="shared" si="816"/>
        <v>0</v>
      </c>
      <c r="AY338" s="232">
        <f t="shared" si="816"/>
        <v>0</v>
      </c>
      <c r="AZ338" s="232">
        <f t="shared" si="816"/>
        <v>0</v>
      </c>
      <c r="BA338" s="232">
        <f t="shared" si="816"/>
        <v>0</v>
      </c>
      <c r="BB338" s="232">
        <f t="shared" si="816"/>
        <v>0</v>
      </c>
      <c r="BC338" s="260">
        <f t="shared" si="754"/>
        <v>0</v>
      </c>
      <c r="BD338" s="238">
        <f t="shared" si="684"/>
        <v>0</v>
      </c>
    </row>
    <row r="339" spans="1:202" ht="11.25" customHeight="1">
      <c r="A339" s="194"/>
      <c r="B339" s="84" t="s">
        <v>315</v>
      </c>
      <c r="C339" s="221"/>
      <c r="D339" s="85"/>
      <c r="E339" s="147"/>
      <c r="F339" s="147"/>
      <c r="G339" s="177"/>
      <c r="H339" s="82"/>
      <c r="I339" s="82"/>
      <c r="J339" s="210"/>
      <c r="K339" s="255"/>
      <c r="L339" s="255"/>
      <c r="M339" s="255"/>
      <c r="N339" s="287">
        <f>K339+L339+M339</f>
        <v>0</v>
      </c>
      <c r="O339" s="276"/>
      <c r="P339" s="276"/>
      <c r="Q339" s="294"/>
      <c r="R339" s="287">
        <f>O339+P339+Q339</f>
        <v>0</v>
      </c>
      <c r="S339" s="294"/>
      <c r="T339" s="267"/>
      <c r="U339" s="276"/>
      <c r="V339" s="276"/>
      <c r="W339" s="294"/>
      <c r="X339" s="264"/>
      <c r="Y339" s="142">
        <f>SUM(S339:X339)</f>
        <v>0</v>
      </c>
      <c r="Z339" s="276"/>
      <c r="AA339" s="276"/>
      <c r="AB339" s="276"/>
      <c r="AC339" s="276"/>
      <c r="AD339" s="276"/>
      <c r="AE339" s="276"/>
      <c r="AF339" s="287">
        <f>SUM(Z339:AE339)</f>
        <v>0</v>
      </c>
      <c r="AG339" s="283">
        <f t="shared" si="742"/>
        <v>0</v>
      </c>
      <c r="AH339" s="230">
        <f t="shared" ref="AH339:AJ340" si="817">K339*$G339</f>
        <v>0</v>
      </c>
      <c r="AI339" s="230">
        <f t="shared" si="817"/>
        <v>0</v>
      </c>
      <c r="AJ339" s="230">
        <f t="shared" si="817"/>
        <v>0</v>
      </c>
      <c r="AK339" s="261">
        <f>AH339+AI339+AJ339</f>
        <v>0</v>
      </c>
      <c r="AL339" s="230">
        <f t="shared" ref="AL339:AN340" si="818">O339*$G339</f>
        <v>0</v>
      </c>
      <c r="AM339" s="230">
        <f t="shared" si="818"/>
        <v>0</v>
      </c>
      <c r="AN339" s="230">
        <f t="shared" si="818"/>
        <v>0</v>
      </c>
      <c r="AO339" s="261">
        <f t="shared" si="799"/>
        <v>0</v>
      </c>
      <c r="AP339" s="230">
        <f t="shared" ref="AP339:AU340" si="819">S339*$J339</f>
        <v>0</v>
      </c>
      <c r="AQ339" s="230">
        <f t="shared" si="819"/>
        <v>0</v>
      </c>
      <c r="AR339" s="230">
        <f t="shared" si="819"/>
        <v>0</v>
      </c>
      <c r="AS339" s="230">
        <f t="shared" si="819"/>
        <v>0</v>
      </c>
      <c r="AT339" s="230">
        <f t="shared" si="819"/>
        <v>0</v>
      </c>
      <c r="AU339" s="230">
        <f t="shared" si="819"/>
        <v>0</v>
      </c>
      <c r="AV339" s="261">
        <f t="shared" si="801"/>
        <v>0</v>
      </c>
      <c r="AW339" s="230">
        <f t="shared" ref="AW339:BB340" si="820">Z339*$J339</f>
        <v>0</v>
      </c>
      <c r="AX339" s="230">
        <f t="shared" si="820"/>
        <v>0</v>
      </c>
      <c r="AY339" s="230">
        <f t="shared" si="820"/>
        <v>0</v>
      </c>
      <c r="AZ339" s="230">
        <f t="shared" si="820"/>
        <v>0</v>
      </c>
      <c r="BA339" s="230">
        <f t="shared" si="820"/>
        <v>0</v>
      </c>
      <c r="BB339" s="230">
        <f t="shared" si="820"/>
        <v>0</v>
      </c>
      <c r="BC339" s="261">
        <f t="shared" si="754"/>
        <v>0</v>
      </c>
      <c r="BD339" s="239">
        <f t="shared" si="684"/>
        <v>0</v>
      </c>
      <c r="BE339" s="244"/>
    </row>
    <row r="340" spans="1:202" ht="12.75">
      <c r="A340" s="194"/>
      <c r="B340" s="84" t="s">
        <v>316</v>
      </c>
      <c r="C340" s="221"/>
      <c r="D340" s="85"/>
      <c r="E340" s="82"/>
      <c r="F340" s="82"/>
      <c r="G340" s="177"/>
      <c r="H340" s="82"/>
      <c r="I340" s="82"/>
      <c r="J340" s="210"/>
      <c r="K340" s="255"/>
      <c r="L340" s="255"/>
      <c r="M340" s="255"/>
      <c r="N340" s="287">
        <f>K340+L340+M340</f>
        <v>0</v>
      </c>
      <c r="O340" s="276"/>
      <c r="P340" s="276"/>
      <c r="Q340" s="294"/>
      <c r="R340" s="287">
        <f>O340+P340+Q340</f>
        <v>0</v>
      </c>
      <c r="S340" s="294"/>
      <c r="T340" s="267"/>
      <c r="U340" s="276"/>
      <c r="V340" s="276"/>
      <c r="W340" s="294"/>
      <c r="X340" s="264"/>
      <c r="Y340" s="142">
        <f>SUM(S340:X340)</f>
        <v>0</v>
      </c>
      <c r="Z340" s="276"/>
      <c r="AA340" s="276"/>
      <c r="AB340" s="276"/>
      <c r="AC340" s="276"/>
      <c r="AD340" s="276"/>
      <c r="AE340" s="276"/>
      <c r="AF340" s="287">
        <f>SUM(Z340:AE340)</f>
        <v>0</v>
      </c>
      <c r="AG340" s="283">
        <f t="shared" si="742"/>
        <v>0</v>
      </c>
      <c r="AH340" s="230">
        <f t="shared" si="817"/>
        <v>0</v>
      </c>
      <c r="AI340" s="230">
        <f t="shared" si="817"/>
        <v>0</v>
      </c>
      <c r="AJ340" s="230">
        <f t="shared" si="817"/>
        <v>0</v>
      </c>
      <c r="AK340" s="261">
        <f>AH340+AI340+AJ340</f>
        <v>0</v>
      </c>
      <c r="AL340" s="230">
        <f t="shared" si="818"/>
        <v>0</v>
      </c>
      <c r="AM340" s="230">
        <f t="shared" si="818"/>
        <v>0</v>
      </c>
      <c r="AN340" s="230">
        <f t="shared" si="818"/>
        <v>0</v>
      </c>
      <c r="AO340" s="261">
        <f t="shared" si="799"/>
        <v>0</v>
      </c>
      <c r="AP340" s="230">
        <f t="shared" si="819"/>
        <v>0</v>
      </c>
      <c r="AQ340" s="230">
        <f t="shared" si="819"/>
        <v>0</v>
      </c>
      <c r="AR340" s="230">
        <f t="shared" si="819"/>
        <v>0</v>
      </c>
      <c r="AS340" s="230">
        <f t="shared" si="819"/>
        <v>0</v>
      </c>
      <c r="AT340" s="230">
        <f t="shared" si="819"/>
        <v>0</v>
      </c>
      <c r="AU340" s="230">
        <f t="shared" si="819"/>
        <v>0</v>
      </c>
      <c r="AV340" s="261">
        <f t="shared" si="801"/>
        <v>0</v>
      </c>
      <c r="AW340" s="230">
        <f t="shared" si="820"/>
        <v>0</v>
      </c>
      <c r="AX340" s="230">
        <f t="shared" si="820"/>
        <v>0</v>
      </c>
      <c r="AY340" s="230">
        <f t="shared" si="820"/>
        <v>0</v>
      </c>
      <c r="AZ340" s="230">
        <f t="shared" si="820"/>
        <v>0</v>
      </c>
      <c r="BA340" s="230">
        <f t="shared" si="820"/>
        <v>0</v>
      </c>
      <c r="BB340" s="230">
        <f t="shared" si="820"/>
        <v>0</v>
      </c>
      <c r="BC340" s="261">
        <f t="shared" si="754"/>
        <v>0</v>
      </c>
      <c r="BD340" s="239">
        <f t="shared" si="684"/>
        <v>0</v>
      </c>
      <c r="BE340" s="244"/>
    </row>
    <row r="341" spans="1:202" ht="12.75">
      <c r="A341" s="193" t="s">
        <v>26</v>
      </c>
      <c r="B341" s="182" t="s">
        <v>148</v>
      </c>
      <c r="C341" s="221"/>
      <c r="D341" s="73">
        <v>2908004966</v>
      </c>
      <c r="E341" s="82"/>
      <c r="F341" s="82"/>
      <c r="G341" s="177"/>
      <c r="H341" s="82"/>
      <c r="I341" s="82"/>
      <c r="J341" s="210"/>
      <c r="K341" s="254">
        <f>K342+K343</f>
        <v>0</v>
      </c>
      <c r="L341" s="254">
        <f>L342+L343</f>
        <v>0</v>
      </c>
      <c r="M341" s="254">
        <f>M342+M343</f>
        <v>0</v>
      </c>
      <c r="N341" s="284">
        <f>SUM(N342:N343)</f>
        <v>0</v>
      </c>
      <c r="O341" s="275">
        <f>O342+O343</f>
        <v>0</v>
      </c>
      <c r="P341" s="275">
        <f>P342+P343</f>
        <v>0</v>
      </c>
      <c r="Q341" s="293">
        <f>Q342+Q343</f>
        <v>0</v>
      </c>
      <c r="R341" s="284">
        <f>SUM(R342:R343)</f>
        <v>0</v>
      </c>
      <c r="S341" s="293">
        <f t="shared" ref="S341:X341" si="821">S342+S343</f>
        <v>0</v>
      </c>
      <c r="T341" s="293">
        <f t="shared" si="821"/>
        <v>0</v>
      </c>
      <c r="U341" s="293">
        <f t="shared" si="821"/>
        <v>0</v>
      </c>
      <c r="V341" s="293">
        <f t="shared" si="821"/>
        <v>0</v>
      </c>
      <c r="W341" s="293">
        <f t="shared" si="821"/>
        <v>0</v>
      </c>
      <c r="X341" s="293">
        <f t="shared" si="821"/>
        <v>0</v>
      </c>
      <c r="Y341" s="284">
        <f>SUM(Y342:Y343)</f>
        <v>0</v>
      </c>
      <c r="Z341" s="275">
        <f t="shared" ref="Z341:AE341" si="822">Z342+Z343</f>
        <v>0</v>
      </c>
      <c r="AA341" s="275">
        <f t="shared" si="822"/>
        <v>0</v>
      </c>
      <c r="AB341" s="275">
        <f t="shared" si="822"/>
        <v>0</v>
      </c>
      <c r="AC341" s="275">
        <f t="shared" si="822"/>
        <v>0</v>
      </c>
      <c r="AD341" s="275">
        <f t="shared" si="822"/>
        <v>0</v>
      </c>
      <c r="AE341" s="275">
        <f t="shared" si="822"/>
        <v>0</v>
      </c>
      <c r="AF341" s="284">
        <f>SUM(AF342:AF343)</f>
        <v>0</v>
      </c>
      <c r="AG341" s="282">
        <f t="shared" si="742"/>
        <v>0</v>
      </c>
      <c r="AH341" s="232">
        <f>AH342+AH343</f>
        <v>0</v>
      </c>
      <c r="AI341" s="232">
        <f>AI342+AI343</f>
        <v>0</v>
      </c>
      <c r="AJ341" s="232">
        <f>AJ342+AJ343</f>
        <v>0</v>
      </c>
      <c r="AK341" s="260">
        <f>SUM(AK342:AK343)</f>
        <v>0</v>
      </c>
      <c r="AL341" s="232">
        <f>AL342+AL343</f>
        <v>0</v>
      </c>
      <c r="AM341" s="232">
        <f>AM342+AM343</f>
        <v>0</v>
      </c>
      <c r="AN341" s="232">
        <f>AN342+AN343</f>
        <v>0</v>
      </c>
      <c r="AO341" s="260">
        <f t="shared" si="799"/>
        <v>0</v>
      </c>
      <c r="AP341" s="232">
        <f t="shared" ref="AP341:AU341" si="823">AP342+AP343</f>
        <v>0</v>
      </c>
      <c r="AQ341" s="232">
        <f t="shared" si="823"/>
        <v>0</v>
      </c>
      <c r="AR341" s="232">
        <f t="shared" si="823"/>
        <v>0</v>
      </c>
      <c r="AS341" s="232">
        <f t="shared" si="823"/>
        <v>0</v>
      </c>
      <c r="AT341" s="232">
        <f t="shared" si="823"/>
        <v>0</v>
      </c>
      <c r="AU341" s="232">
        <f t="shared" si="823"/>
        <v>0</v>
      </c>
      <c r="AV341" s="260">
        <f t="shared" si="801"/>
        <v>0</v>
      </c>
      <c r="AW341" s="232">
        <f t="shared" ref="AW341:BB341" si="824">AW342+AW343</f>
        <v>0</v>
      </c>
      <c r="AX341" s="232">
        <f t="shared" si="824"/>
        <v>0</v>
      </c>
      <c r="AY341" s="232">
        <f t="shared" si="824"/>
        <v>0</v>
      </c>
      <c r="AZ341" s="232">
        <f t="shared" si="824"/>
        <v>0</v>
      </c>
      <c r="BA341" s="232">
        <f t="shared" si="824"/>
        <v>0</v>
      </c>
      <c r="BB341" s="232">
        <f t="shared" si="824"/>
        <v>0</v>
      </c>
      <c r="BC341" s="260">
        <f t="shared" si="754"/>
        <v>0</v>
      </c>
      <c r="BD341" s="238">
        <f t="shared" si="684"/>
        <v>0</v>
      </c>
    </row>
    <row r="342" spans="1:202" ht="11.25" customHeight="1">
      <c r="A342" s="194"/>
      <c r="B342" s="84" t="s">
        <v>412</v>
      </c>
      <c r="C342" s="221"/>
      <c r="D342" s="85"/>
      <c r="E342" s="82"/>
      <c r="F342" s="82"/>
      <c r="G342" s="177"/>
      <c r="H342" s="82"/>
      <c r="I342" s="82"/>
      <c r="J342" s="210"/>
      <c r="K342" s="255"/>
      <c r="L342" s="255"/>
      <c r="M342" s="255"/>
      <c r="N342" s="287">
        <f t="shared" ref="N342:N352" si="825">K342+L342+M342</f>
        <v>0</v>
      </c>
      <c r="O342" s="276"/>
      <c r="P342" s="276"/>
      <c r="Q342" s="294"/>
      <c r="R342" s="287">
        <f>O342+P342+Q342</f>
        <v>0</v>
      </c>
      <c r="S342" s="294"/>
      <c r="T342" s="267"/>
      <c r="U342" s="276"/>
      <c r="V342" s="276"/>
      <c r="W342" s="294"/>
      <c r="X342" s="264"/>
      <c r="Y342" s="142">
        <f>SUM(S342:X342)</f>
        <v>0</v>
      </c>
      <c r="Z342" s="276"/>
      <c r="AA342" s="276"/>
      <c r="AB342" s="276"/>
      <c r="AC342" s="276"/>
      <c r="AD342" s="276"/>
      <c r="AE342" s="276"/>
      <c r="AF342" s="287">
        <f>SUM(Z342:AE342)</f>
        <v>0</v>
      </c>
      <c r="AG342" s="283">
        <f t="shared" ref="AG342:AG350" si="826">AF342+Y342+R342+N342</f>
        <v>0</v>
      </c>
      <c r="AH342" s="230">
        <f t="shared" ref="AH342:AJ343" si="827">K342*$G342</f>
        <v>0</v>
      </c>
      <c r="AI342" s="230">
        <f t="shared" si="827"/>
        <v>0</v>
      </c>
      <c r="AJ342" s="230">
        <f t="shared" si="827"/>
        <v>0</v>
      </c>
      <c r="AK342" s="261">
        <f t="shared" ref="AK342:AK352" si="828">AH342+AI342+AJ342</f>
        <v>0</v>
      </c>
      <c r="AL342" s="230">
        <f t="shared" ref="AL342:AN343" si="829">O342*$G342</f>
        <v>0</v>
      </c>
      <c r="AM342" s="230">
        <f t="shared" si="829"/>
        <v>0</v>
      </c>
      <c r="AN342" s="230">
        <f t="shared" si="829"/>
        <v>0</v>
      </c>
      <c r="AO342" s="261">
        <f t="shared" si="799"/>
        <v>0</v>
      </c>
      <c r="AP342" s="230">
        <f t="shared" ref="AP342:AU343" si="830">S342*$J342</f>
        <v>0</v>
      </c>
      <c r="AQ342" s="230">
        <f t="shared" si="830"/>
        <v>0</v>
      </c>
      <c r="AR342" s="230">
        <f t="shared" si="830"/>
        <v>0</v>
      </c>
      <c r="AS342" s="230">
        <f t="shared" si="830"/>
        <v>0</v>
      </c>
      <c r="AT342" s="230">
        <f t="shared" si="830"/>
        <v>0</v>
      </c>
      <c r="AU342" s="230">
        <f t="shared" si="830"/>
        <v>0</v>
      </c>
      <c r="AV342" s="261">
        <f t="shared" si="801"/>
        <v>0</v>
      </c>
      <c r="AW342" s="230">
        <f t="shared" ref="AW342:BB343" si="831">Z342*$J342</f>
        <v>0</v>
      </c>
      <c r="AX342" s="230">
        <f t="shared" si="831"/>
        <v>0</v>
      </c>
      <c r="AY342" s="230">
        <f t="shared" si="831"/>
        <v>0</v>
      </c>
      <c r="AZ342" s="230">
        <f t="shared" si="831"/>
        <v>0</v>
      </c>
      <c r="BA342" s="230">
        <f t="shared" si="831"/>
        <v>0</v>
      </c>
      <c r="BB342" s="230">
        <f t="shared" si="831"/>
        <v>0</v>
      </c>
      <c r="BC342" s="261">
        <f t="shared" si="754"/>
        <v>0</v>
      </c>
      <c r="BD342" s="239">
        <f t="shared" si="684"/>
        <v>0</v>
      </c>
      <c r="BE342" s="244"/>
    </row>
    <row r="343" spans="1:202" ht="12.75">
      <c r="A343" s="194"/>
      <c r="B343" s="84" t="s">
        <v>211</v>
      </c>
      <c r="C343" s="221"/>
      <c r="D343" s="85"/>
      <c r="E343" s="82"/>
      <c r="F343" s="82"/>
      <c r="G343" s="177"/>
      <c r="H343" s="82"/>
      <c r="I343" s="82"/>
      <c r="J343" s="210"/>
      <c r="K343" s="255"/>
      <c r="L343" s="255"/>
      <c r="M343" s="255"/>
      <c r="N343" s="287">
        <f t="shared" si="825"/>
        <v>0</v>
      </c>
      <c r="O343" s="276"/>
      <c r="P343" s="276"/>
      <c r="Q343" s="294"/>
      <c r="R343" s="287">
        <f>O343+P343+Q343</f>
        <v>0</v>
      </c>
      <c r="S343" s="294"/>
      <c r="T343" s="267"/>
      <c r="U343" s="276"/>
      <c r="V343" s="276"/>
      <c r="W343" s="294"/>
      <c r="X343" s="264"/>
      <c r="Y343" s="142">
        <f>SUM(S343:X343)</f>
        <v>0</v>
      </c>
      <c r="Z343" s="276"/>
      <c r="AA343" s="276"/>
      <c r="AB343" s="276"/>
      <c r="AC343" s="276"/>
      <c r="AD343" s="276"/>
      <c r="AE343" s="276"/>
      <c r="AF343" s="287">
        <f>SUM(Z343:AE343)</f>
        <v>0</v>
      </c>
      <c r="AG343" s="283">
        <f t="shared" si="826"/>
        <v>0</v>
      </c>
      <c r="AH343" s="230">
        <f t="shared" si="827"/>
        <v>0</v>
      </c>
      <c r="AI343" s="230">
        <f t="shared" si="827"/>
        <v>0</v>
      </c>
      <c r="AJ343" s="230">
        <f t="shared" si="827"/>
        <v>0</v>
      </c>
      <c r="AK343" s="261">
        <f t="shared" si="828"/>
        <v>0</v>
      </c>
      <c r="AL343" s="230">
        <f t="shared" si="829"/>
        <v>0</v>
      </c>
      <c r="AM343" s="230">
        <f t="shared" si="829"/>
        <v>0</v>
      </c>
      <c r="AN343" s="230">
        <f t="shared" si="829"/>
        <v>0</v>
      </c>
      <c r="AO343" s="261">
        <f t="shared" si="799"/>
        <v>0</v>
      </c>
      <c r="AP343" s="230">
        <f t="shared" si="830"/>
        <v>0</v>
      </c>
      <c r="AQ343" s="230">
        <f t="shared" si="830"/>
        <v>0</v>
      </c>
      <c r="AR343" s="230">
        <f t="shared" si="830"/>
        <v>0</v>
      </c>
      <c r="AS343" s="230">
        <f t="shared" si="830"/>
        <v>0</v>
      </c>
      <c r="AT343" s="230">
        <f t="shared" si="830"/>
        <v>0</v>
      </c>
      <c r="AU343" s="230">
        <f t="shared" si="830"/>
        <v>0</v>
      </c>
      <c r="AV343" s="261">
        <f t="shared" si="801"/>
        <v>0</v>
      </c>
      <c r="AW343" s="230">
        <f t="shared" si="831"/>
        <v>0</v>
      </c>
      <c r="AX343" s="230">
        <f t="shared" si="831"/>
        <v>0</v>
      </c>
      <c r="AY343" s="230">
        <f t="shared" si="831"/>
        <v>0</v>
      </c>
      <c r="AZ343" s="230">
        <f t="shared" si="831"/>
        <v>0</v>
      </c>
      <c r="BA343" s="230">
        <f t="shared" si="831"/>
        <v>0</v>
      </c>
      <c r="BB343" s="230">
        <f t="shared" si="831"/>
        <v>0</v>
      </c>
      <c r="BC343" s="261">
        <f t="shared" si="754"/>
        <v>0</v>
      </c>
      <c r="BD343" s="239">
        <f t="shared" si="684"/>
        <v>0</v>
      </c>
      <c r="BE343" s="244"/>
    </row>
    <row r="344" spans="1:202" ht="12.75">
      <c r="A344" s="193" t="s">
        <v>26</v>
      </c>
      <c r="B344" s="182" t="s">
        <v>86</v>
      </c>
      <c r="C344" s="221"/>
      <c r="D344" s="73" t="s">
        <v>87</v>
      </c>
      <c r="E344" s="214"/>
      <c r="F344" s="214"/>
      <c r="G344" s="177"/>
      <c r="H344" s="214"/>
      <c r="I344" s="214"/>
      <c r="J344" s="210"/>
      <c r="K344" s="254">
        <f>SUM(K345:K349)</f>
        <v>58.338999999999999</v>
      </c>
      <c r="L344" s="254">
        <f>SUM(L345:L349)</f>
        <v>62.125999999999998</v>
      </c>
      <c r="M344" s="254">
        <f>SUM(M345:M348)</f>
        <v>0</v>
      </c>
      <c r="N344" s="284">
        <f t="shared" si="825"/>
        <v>120.465</v>
      </c>
      <c r="O344" s="275">
        <f>SUM(O345:O348)</f>
        <v>0</v>
      </c>
      <c r="P344" s="275">
        <f>SUM(P345:P348)</f>
        <v>0</v>
      </c>
      <c r="Q344" s="275">
        <f>SUM(Q345:Q348)</f>
        <v>0</v>
      </c>
      <c r="R344" s="284">
        <f>SUM(R345:R348)</f>
        <v>0</v>
      </c>
      <c r="S344" s="293">
        <f t="shared" ref="S344:X344" si="832">SUM(S345:S349)</f>
        <v>0</v>
      </c>
      <c r="T344" s="293">
        <f t="shared" si="832"/>
        <v>0</v>
      </c>
      <c r="U344" s="293">
        <f t="shared" si="832"/>
        <v>0</v>
      </c>
      <c r="V344" s="293">
        <f t="shared" si="832"/>
        <v>0</v>
      </c>
      <c r="W344" s="293">
        <f t="shared" si="832"/>
        <v>0</v>
      </c>
      <c r="X344" s="293">
        <f t="shared" si="832"/>
        <v>0</v>
      </c>
      <c r="Y344" s="284">
        <f>SUM(Y345:Y348)</f>
        <v>0</v>
      </c>
      <c r="Z344" s="275">
        <f t="shared" ref="Z344:AF344" si="833">SUM(Z345:Z349)</f>
        <v>0</v>
      </c>
      <c r="AA344" s="275">
        <f t="shared" si="833"/>
        <v>0</v>
      </c>
      <c r="AB344" s="275">
        <f t="shared" si="833"/>
        <v>0</v>
      </c>
      <c r="AC344" s="275">
        <f t="shared" si="833"/>
        <v>0</v>
      </c>
      <c r="AD344" s="275">
        <f t="shared" si="833"/>
        <v>0</v>
      </c>
      <c r="AE344" s="275">
        <f t="shared" si="833"/>
        <v>0</v>
      </c>
      <c r="AF344" s="284">
        <f t="shared" si="833"/>
        <v>0</v>
      </c>
      <c r="AG344" s="282">
        <f t="shared" si="826"/>
        <v>120.465</v>
      </c>
      <c r="AH344" s="232">
        <f>SUM(AH345:AH349)</f>
        <v>324942.39609999995</v>
      </c>
      <c r="AI344" s="232">
        <f>SUM(AI345:AI349)</f>
        <v>346035.60739999998</v>
      </c>
      <c r="AJ344" s="232">
        <f>SUM(AJ345:AJ349)</f>
        <v>0</v>
      </c>
      <c r="AK344" s="260">
        <f t="shared" si="828"/>
        <v>670978.00349999988</v>
      </c>
      <c r="AL344" s="232">
        <f>SUM(AL345:AL349)</f>
        <v>0</v>
      </c>
      <c r="AM344" s="232">
        <f>SUM(AM345:AM349)</f>
        <v>0</v>
      </c>
      <c r="AN344" s="232">
        <f>SUM(AN345:AN349)</f>
        <v>0</v>
      </c>
      <c r="AO344" s="260">
        <f>SUM(AL344:AN344)</f>
        <v>0</v>
      </c>
      <c r="AP344" s="232">
        <f t="shared" ref="AP344:AU344" si="834">SUM(AP345:AP349)</f>
        <v>0</v>
      </c>
      <c r="AQ344" s="232">
        <f t="shared" si="834"/>
        <v>0</v>
      </c>
      <c r="AR344" s="232">
        <f t="shared" si="834"/>
        <v>0</v>
      </c>
      <c r="AS344" s="232">
        <f t="shared" si="834"/>
        <v>0</v>
      </c>
      <c r="AT344" s="232">
        <f t="shared" si="834"/>
        <v>0</v>
      </c>
      <c r="AU344" s="232">
        <f t="shared" si="834"/>
        <v>0</v>
      </c>
      <c r="AV344" s="260">
        <f t="shared" si="801"/>
        <v>0</v>
      </c>
      <c r="AW344" s="232">
        <f t="shared" ref="AW344:BB344" si="835">SUM(AW345:AW349)</f>
        <v>0</v>
      </c>
      <c r="AX344" s="232">
        <f t="shared" si="835"/>
        <v>0</v>
      </c>
      <c r="AY344" s="232">
        <f t="shared" si="835"/>
        <v>0</v>
      </c>
      <c r="AZ344" s="232">
        <f t="shared" si="835"/>
        <v>0</v>
      </c>
      <c r="BA344" s="232">
        <f t="shared" si="835"/>
        <v>0</v>
      </c>
      <c r="BB344" s="232">
        <f t="shared" si="835"/>
        <v>0</v>
      </c>
      <c r="BC344" s="260">
        <f t="shared" si="754"/>
        <v>0</v>
      </c>
      <c r="BD344" s="238">
        <f t="shared" si="684"/>
        <v>670978.00349999988</v>
      </c>
    </row>
    <row r="345" spans="1:202" s="79" customFormat="1" ht="11.25" customHeight="1">
      <c r="A345" s="192"/>
      <c r="B345" s="145" t="s">
        <v>275</v>
      </c>
      <c r="C345" s="216" t="s">
        <v>160</v>
      </c>
      <c r="D345" s="141"/>
      <c r="E345" s="147"/>
      <c r="F345" s="144"/>
      <c r="G345" s="177"/>
      <c r="H345" s="147"/>
      <c r="I345" s="144"/>
      <c r="J345" s="210"/>
      <c r="K345" s="252"/>
      <c r="L345" s="252"/>
      <c r="M345" s="252"/>
      <c r="N345" s="287">
        <f t="shared" si="825"/>
        <v>0</v>
      </c>
      <c r="O345" s="273"/>
      <c r="P345" s="273"/>
      <c r="Q345" s="290"/>
      <c r="R345" s="287">
        <f>O345+P345+Q345</f>
        <v>0</v>
      </c>
      <c r="S345" s="290"/>
      <c r="T345" s="264"/>
      <c r="U345" s="273"/>
      <c r="V345" s="273"/>
      <c r="W345" s="290"/>
      <c r="X345" s="264"/>
      <c r="Y345" s="142">
        <f>SUM(S345:X345)</f>
        <v>0</v>
      </c>
      <c r="Z345" s="273"/>
      <c r="AA345" s="273"/>
      <c r="AB345" s="273"/>
      <c r="AC345" s="273"/>
      <c r="AD345" s="273"/>
      <c r="AE345" s="273"/>
      <c r="AF345" s="287">
        <f t="shared" ref="AF345:AF350" si="836">SUM(Z345:AE345)</f>
        <v>0</v>
      </c>
      <c r="AG345" s="283">
        <f t="shared" si="826"/>
        <v>0</v>
      </c>
      <c r="AH345" s="228">
        <f t="shared" ref="AH345:AJ350" si="837">K345*$G345</f>
        <v>0</v>
      </c>
      <c r="AI345" s="228">
        <f t="shared" si="837"/>
        <v>0</v>
      </c>
      <c r="AJ345" s="228">
        <f t="shared" si="837"/>
        <v>0</v>
      </c>
      <c r="AK345" s="261">
        <f t="shared" si="828"/>
        <v>0</v>
      </c>
      <c r="AL345" s="228">
        <f t="shared" ref="AL345:AN350" si="838">O345*$G345</f>
        <v>0</v>
      </c>
      <c r="AM345" s="228">
        <f t="shared" si="838"/>
        <v>0</v>
      </c>
      <c r="AN345" s="228">
        <f t="shared" si="838"/>
        <v>0</v>
      </c>
      <c r="AO345" s="261">
        <f>SUM(AL345:AN345)</f>
        <v>0</v>
      </c>
      <c r="AP345" s="228">
        <f t="shared" ref="AP345:AU350" si="839">S345*$J345</f>
        <v>0</v>
      </c>
      <c r="AQ345" s="228">
        <f t="shared" si="839"/>
        <v>0</v>
      </c>
      <c r="AR345" s="228">
        <f t="shared" si="839"/>
        <v>0</v>
      </c>
      <c r="AS345" s="228">
        <f t="shared" si="839"/>
        <v>0</v>
      </c>
      <c r="AT345" s="228">
        <f t="shared" si="839"/>
        <v>0</v>
      </c>
      <c r="AU345" s="228">
        <f t="shared" si="839"/>
        <v>0</v>
      </c>
      <c r="AV345" s="261">
        <f t="shared" si="801"/>
        <v>0</v>
      </c>
      <c r="AW345" s="228">
        <f t="shared" ref="AW345:BB350" si="840">Z345*$J345</f>
        <v>0</v>
      </c>
      <c r="AX345" s="228">
        <f t="shared" si="840"/>
        <v>0</v>
      </c>
      <c r="AY345" s="228">
        <f t="shared" si="840"/>
        <v>0</v>
      </c>
      <c r="AZ345" s="228">
        <f t="shared" si="840"/>
        <v>0</v>
      </c>
      <c r="BA345" s="228">
        <f t="shared" si="840"/>
        <v>0</v>
      </c>
      <c r="BB345" s="228">
        <f t="shared" si="840"/>
        <v>0</v>
      </c>
      <c r="BC345" s="261">
        <f t="shared" si="754"/>
        <v>0</v>
      </c>
      <c r="BD345" s="239">
        <f t="shared" si="684"/>
        <v>0</v>
      </c>
      <c r="BE345" s="243"/>
      <c r="BF345" s="243"/>
      <c r="BG345" s="243"/>
      <c r="BH345" s="243"/>
      <c r="BI345" s="243"/>
      <c r="BJ345" s="243"/>
      <c r="BK345" s="243"/>
      <c r="BL345" s="243"/>
      <c r="BM345" s="243"/>
      <c r="BN345" s="243"/>
      <c r="BO345" s="243"/>
      <c r="BP345" s="243"/>
      <c r="BQ345" s="243"/>
      <c r="BR345" s="243"/>
      <c r="BS345" s="243"/>
      <c r="BT345" s="243"/>
      <c r="BU345" s="243"/>
      <c r="BV345" s="243"/>
      <c r="BW345" s="243"/>
      <c r="BX345" s="243"/>
      <c r="BY345" s="243"/>
      <c r="BZ345" s="243"/>
      <c r="CA345" s="243"/>
      <c r="CB345" s="243"/>
      <c r="CC345" s="243"/>
      <c r="CD345" s="243"/>
      <c r="CE345" s="243"/>
      <c r="CF345" s="243"/>
      <c r="CG345" s="243"/>
      <c r="CH345" s="243"/>
      <c r="CI345" s="243"/>
      <c r="CJ345" s="243"/>
      <c r="CK345" s="243"/>
      <c r="CL345" s="243"/>
      <c r="CM345" s="243"/>
      <c r="CN345" s="243"/>
      <c r="CO345" s="243"/>
      <c r="CP345" s="243"/>
      <c r="CQ345" s="243"/>
      <c r="CR345" s="243"/>
      <c r="CS345" s="243"/>
      <c r="CT345" s="243"/>
      <c r="CU345" s="243"/>
      <c r="CV345" s="243"/>
      <c r="CW345" s="243"/>
      <c r="CX345" s="243"/>
      <c r="CY345" s="243"/>
      <c r="CZ345" s="243"/>
      <c r="DA345" s="243"/>
      <c r="DB345" s="243"/>
      <c r="DC345" s="243"/>
      <c r="DD345" s="243"/>
      <c r="DE345" s="243"/>
      <c r="DF345" s="243"/>
      <c r="DG345" s="243"/>
      <c r="DH345" s="243"/>
      <c r="DI345" s="243"/>
      <c r="DJ345" s="243"/>
      <c r="DK345" s="243"/>
      <c r="DL345" s="243"/>
      <c r="DM345" s="243"/>
      <c r="DN345" s="243"/>
      <c r="DO345" s="243"/>
      <c r="DP345" s="243"/>
      <c r="DQ345" s="243"/>
      <c r="DR345" s="243"/>
      <c r="DS345" s="243"/>
      <c r="DT345" s="243"/>
      <c r="DU345" s="243"/>
      <c r="DV345" s="243"/>
      <c r="DW345" s="243"/>
      <c r="DX345" s="243"/>
      <c r="DY345" s="243"/>
      <c r="DZ345" s="243"/>
      <c r="EA345" s="243"/>
      <c r="EB345" s="243"/>
      <c r="EC345" s="243"/>
      <c r="ED345" s="243"/>
      <c r="EE345" s="243"/>
      <c r="EF345" s="243"/>
      <c r="EG345" s="243"/>
      <c r="EH345" s="243"/>
      <c r="EI345" s="243"/>
      <c r="EJ345" s="243"/>
      <c r="EK345" s="243"/>
      <c r="EL345" s="243"/>
      <c r="EM345" s="243"/>
      <c r="EN345" s="243"/>
      <c r="EO345" s="243"/>
      <c r="EP345" s="243"/>
      <c r="EQ345" s="243"/>
      <c r="ER345" s="243"/>
      <c r="ES345" s="243"/>
      <c r="ET345" s="243"/>
      <c r="EU345" s="243"/>
      <c r="EV345" s="243"/>
      <c r="EW345" s="243"/>
      <c r="EX345" s="243"/>
      <c r="EY345" s="243"/>
      <c r="EZ345" s="243"/>
      <c r="FA345" s="243"/>
      <c r="FB345" s="243"/>
      <c r="FC345" s="243"/>
      <c r="FD345" s="243"/>
      <c r="FE345" s="243"/>
      <c r="FF345" s="243"/>
      <c r="FG345" s="243"/>
      <c r="FH345" s="243"/>
      <c r="FI345" s="243"/>
      <c r="FJ345" s="243"/>
      <c r="FK345" s="243"/>
      <c r="FL345" s="243"/>
      <c r="FM345" s="243"/>
      <c r="FN345" s="243"/>
      <c r="FO345" s="243"/>
      <c r="FP345" s="243"/>
      <c r="FQ345" s="243"/>
      <c r="FR345" s="243"/>
      <c r="FS345" s="243"/>
      <c r="FT345" s="243"/>
      <c r="FU345" s="243"/>
      <c r="FV345" s="243"/>
      <c r="FW345" s="243"/>
      <c r="FX345" s="243"/>
      <c r="FY345" s="243"/>
      <c r="FZ345" s="243"/>
      <c r="GA345" s="243"/>
      <c r="GB345" s="243"/>
      <c r="GC345" s="243"/>
      <c r="GD345" s="243"/>
      <c r="GE345" s="243"/>
      <c r="GF345" s="243"/>
      <c r="GG345" s="243"/>
      <c r="GH345" s="243"/>
      <c r="GI345" s="243"/>
      <c r="GJ345" s="243"/>
      <c r="GK345" s="243"/>
      <c r="GL345" s="243"/>
      <c r="GM345" s="243"/>
      <c r="GN345" s="243"/>
      <c r="GO345" s="243"/>
      <c r="GP345" s="243"/>
      <c r="GQ345" s="243"/>
      <c r="GR345" s="243"/>
      <c r="GS345" s="243"/>
      <c r="GT345" s="243"/>
    </row>
    <row r="346" spans="1:202" s="79" customFormat="1" ht="11.25" customHeight="1">
      <c r="A346" s="192"/>
      <c r="B346" s="145" t="s">
        <v>276</v>
      </c>
      <c r="C346" s="216" t="s">
        <v>160</v>
      </c>
      <c r="D346" s="141"/>
      <c r="E346" s="147"/>
      <c r="F346" s="147"/>
      <c r="G346" s="177"/>
      <c r="H346" s="147"/>
      <c r="I346" s="147"/>
      <c r="J346" s="210"/>
      <c r="K346" s="252"/>
      <c r="L346" s="252"/>
      <c r="M346" s="252"/>
      <c r="N346" s="287">
        <f t="shared" si="825"/>
        <v>0</v>
      </c>
      <c r="O346" s="273"/>
      <c r="P346" s="273"/>
      <c r="Q346" s="290"/>
      <c r="R346" s="287">
        <f>O346+P346+Q346</f>
        <v>0</v>
      </c>
      <c r="S346" s="290"/>
      <c r="T346" s="264"/>
      <c r="U346" s="273"/>
      <c r="V346" s="273"/>
      <c r="W346" s="290"/>
      <c r="X346" s="264"/>
      <c r="Y346" s="142">
        <f>SUM(S346:X346)</f>
        <v>0</v>
      </c>
      <c r="Z346" s="273"/>
      <c r="AA346" s="273"/>
      <c r="AB346" s="273"/>
      <c r="AC346" s="273"/>
      <c r="AD346" s="273"/>
      <c r="AE346" s="273"/>
      <c r="AF346" s="287">
        <f t="shared" si="836"/>
        <v>0</v>
      </c>
      <c r="AG346" s="283">
        <f t="shared" si="826"/>
        <v>0</v>
      </c>
      <c r="AH346" s="228">
        <f t="shared" si="837"/>
        <v>0</v>
      </c>
      <c r="AI346" s="228">
        <f t="shared" si="837"/>
        <v>0</v>
      </c>
      <c r="AJ346" s="228">
        <f t="shared" si="837"/>
        <v>0</v>
      </c>
      <c r="AK346" s="261">
        <f t="shared" si="828"/>
        <v>0</v>
      </c>
      <c r="AL346" s="228">
        <f t="shared" si="838"/>
        <v>0</v>
      </c>
      <c r="AM346" s="228">
        <f t="shared" si="838"/>
        <v>0</v>
      </c>
      <c r="AN346" s="228">
        <f t="shared" si="838"/>
        <v>0</v>
      </c>
      <c r="AO346" s="261">
        <f>SUM(AL346:AN346)</f>
        <v>0</v>
      </c>
      <c r="AP346" s="228">
        <f t="shared" si="839"/>
        <v>0</v>
      </c>
      <c r="AQ346" s="228">
        <f t="shared" si="839"/>
        <v>0</v>
      </c>
      <c r="AR346" s="228">
        <f t="shared" si="839"/>
        <v>0</v>
      </c>
      <c r="AS346" s="228">
        <f t="shared" si="839"/>
        <v>0</v>
      </c>
      <c r="AT346" s="228">
        <f t="shared" si="839"/>
        <v>0</v>
      </c>
      <c r="AU346" s="228">
        <f t="shared" si="839"/>
        <v>0</v>
      </c>
      <c r="AV346" s="261">
        <f t="shared" si="801"/>
        <v>0</v>
      </c>
      <c r="AW346" s="228">
        <f t="shared" si="840"/>
        <v>0</v>
      </c>
      <c r="AX346" s="228">
        <f t="shared" si="840"/>
        <v>0</v>
      </c>
      <c r="AY346" s="228">
        <f t="shared" si="840"/>
        <v>0</v>
      </c>
      <c r="AZ346" s="228">
        <f t="shared" si="840"/>
        <v>0</v>
      </c>
      <c r="BA346" s="228">
        <f t="shared" si="840"/>
        <v>0</v>
      </c>
      <c r="BB346" s="228">
        <f t="shared" si="840"/>
        <v>0</v>
      </c>
      <c r="BC346" s="261">
        <f t="shared" si="754"/>
        <v>0</v>
      </c>
      <c r="BD346" s="239">
        <f t="shared" si="684"/>
        <v>0</v>
      </c>
      <c r="BE346" s="243"/>
      <c r="BF346" s="243"/>
      <c r="BG346" s="243"/>
      <c r="BH346" s="243"/>
      <c r="BI346" s="243"/>
      <c r="BJ346" s="243"/>
      <c r="BK346" s="243"/>
      <c r="BL346" s="243"/>
      <c r="BM346" s="243"/>
      <c r="BN346" s="243"/>
      <c r="BO346" s="243"/>
      <c r="BP346" s="243"/>
      <c r="BQ346" s="243"/>
      <c r="BR346" s="243"/>
      <c r="BS346" s="243"/>
      <c r="BT346" s="243"/>
      <c r="BU346" s="243"/>
      <c r="BV346" s="243"/>
      <c r="BW346" s="243"/>
      <c r="BX346" s="243"/>
      <c r="BY346" s="243"/>
      <c r="BZ346" s="243"/>
      <c r="CA346" s="243"/>
      <c r="CB346" s="243"/>
      <c r="CC346" s="243"/>
      <c r="CD346" s="243"/>
      <c r="CE346" s="243"/>
      <c r="CF346" s="243"/>
      <c r="CG346" s="243"/>
      <c r="CH346" s="243"/>
      <c r="CI346" s="243"/>
      <c r="CJ346" s="243"/>
      <c r="CK346" s="243"/>
      <c r="CL346" s="243"/>
      <c r="CM346" s="243"/>
      <c r="CN346" s="243"/>
      <c r="CO346" s="243"/>
      <c r="CP346" s="243"/>
      <c r="CQ346" s="243"/>
      <c r="CR346" s="243"/>
      <c r="CS346" s="243"/>
      <c r="CT346" s="243"/>
      <c r="CU346" s="243"/>
      <c r="CV346" s="243"/>
      <c r="CW346" s="243"/>
      <c r="CX346" s="243"/>
      <c r="CY346" s="243"/>
      <c r="CZ346" s="243"/>
      <c r="DA346" s="243"/>
      <c r="DB346" s="243"/>
      <c r="DC346" s="243"/>
      <c r="DD346" s="243"/>
      <c r="DE346" s="243"/>
      <c r="DF346" s="243"/>
      <c r="DG346" s="243"/>
      <c r="DH346" s="243"/>
      <c r="DI346" s="243"/>
      <c r="DJ346" s="243"/>
      <c r="DK346" s="243"/>
      <c r="DL346" s="243"/>
      <c r="DM346" s="243"/>
      <c r="DN346" s="243"/>
      <c r="DO346" s="243"/>
      <c r="DP346" s="243"/>
      <c r="DQ346" s="243"/>
      <c r="DR346" s="243"/>
      <c r="DS346" s="243"/>
      <c r="DT346" s="243"/>
      <c r="DU346" s="243"/>
      <c r="DV346" s="243"/>
      <c r="DW346" s="243"/>
      <c r="DX346" s="243"/>
      <c r="DY346" s="243"/>
      <c r="DZ346" s="243"/>
      <c r="EA346" s="243"/>
      <c r="EB346" s="243"/>
      <c r="EC346" s="243"/>
      <c r="ED346" s="243"/>
      <c r="EE346" s="243"/>
      <c r="EF346" s="243"/>
      <c r="EG346" s="243"/>
      <c r="EH346" s="243"/>
      <c r="EI346" s="243"/>
      <c r="EJ346" s="243"/>
      <c r="EK346" s="243"/>
      <c r="EL346" s="243"/>
      <c r="EM346" s="243"/>
      <c r="EN346" s="243"/>
      <c r="EO346" s="243"/>
      <c r="EP346" s="243"/>
      <c r="EQ346" s="243"/>
      <c r="ER346" s="243"/>
      <c r="ES346" s="243"/>
      <c r="ET346" s="243"/>
      <c r="EU346" s="243"/>
      <c r="EV346" s="243"/>
      <c r="EW346" s="243"/>
      <c r="EX346" s="243"/>
      <c r="EY346" s="243"/>
      <c r="EZ346" s="243"/>
      <c r="FA346" s="243"/>
      <c r="FB346" s="243"/>
      <c r="FC346" s="243"/>
      <c r="FD346" s="243"/>
      <c r="FE346" s="243"/>
      <c r="FF346" s="243"/>
      <c r="FG346" s="243"/>
      <c r="FH346" s="243"/>
      <c r="FI346" s="243"/>
      <c r="FJ346" s="243"/>
      <c r="FK346" s="243"/>
      <c r="FL346" s="243"/>
      <c r="FM346" s="243"/>
      <c r="FN346" s="243"/>
      <c r="FO346" s="243"/>
      <c r="FP346" s="243"/>
      <c r="FQ346" s="243"/>
      <c r="FR346" s="243"/>
      <c r="FS346" s="243"/>
      <c r="FT346" s="243"/>
      <c r="FU346" s="243"/>
      <c r="FV346" s="243"/>
      <c r="FW346" s="243"/>
      <c r="FX346" s="243"/>
      <c r="FY346" s="243"/>
      <c r="FZ346" s="243"/>
      <c r="GA346" s="243"/>
      <c r="GB346" s="243"/>
      <c r="GC346" s="243"/>
      <c r="GD346" s="243"/>
      <c r="GE346" s="243"/>
      <c r="GF346" s="243"/>
      <c r="GG346" s="243"/>
      <c r="GH346" s="243"/>
      <c r="GI346" s="243"/>
      <c r="GJ346" s="243"/>
      <c r="GK346" s="243"/>
      <c r="GL346" s="243"/>
      <c r="GM346" s="243"/>
      <c r="GN346" s="243"/>
      <c r="GO346" s="243"/>
      <c r="GP346" s="243"/>
      <c r="GQ346" s="243"/>
      <c r="GR346" s="243"/>
      <c r="GS346" s="243"/>
      <c r="GT346" s="243"/>
    </row>
    <row r="347" spans="1:202" s="79" customFormat="1" ht="11.25" customHeight="1">
      <c r="A347" s="192"/>
      <c r="B347" s="145" t="s">
        <v>277</v>
      </c>
      <c r="C347" s="216" t="s">
        <v>160</v>
      </c>
      <c r="D347" s="141"/>
      <c r="E347" s="147"/>
      <c r="F347" s="147"/>
      <c r="G347" s="177"/>
      <c r="H347" s="147"/>
      <c r="I347" s="147"/>
      <c r="J347" s="210"/>
      <c r="K347" s="252"/>
      <c r="L347" s="252"/>
      <c r="M347" s="252"/>
      <c r="N347" s="287">
        <f t="shared" si="825"/>
        <v>0</v>
      </c>
      <c r="O347" s="273"/>
      <c r="P347" s="273"/>
      <c r="Q347" s="290"/>
      <c r="R347" s="287">
        <f>O347+P347+Q347</f>
        <v>0</v>
      </c>
      <c r="S347" s="290"/>
      <c r="T347" s="264"/>
      <c r="U347" s="273"/>
      <c r="V347" s="273"/>
      <c r="W347" s="290"/>
      <c r="X347" s="264"/>
      <c r="Y347" s="142">
        <f>SUM(S347:X347)</f>
        <v>0</v>
      </c>
      <c r="Z347" s="273"/>
      <c r="AA347" s="273"/>
      <c r="AB347" s="273"/>
      <c r="AC347" s="273"/>
      <c r="AD347" s="273"/>
      <c r="AE347" s="273"/>
      <c r="AF347" s="287">
        <f t="shared" si="836"/>
        <v>0</v>
      </c>
      <c r="AG347" s="283">
        <f t="shared" si="826"/>
        <v>0</v>
      </c>
      <c r="AH347" s="228">
        <f t="shared" si="837"/>
        <v>0</v>
      </c>
      <c r="AI347" s="228">
        <f t="shared" si="837"/>
        <v>0</v>
      </c>
      <c r="AJ347" s="228">
        <f t="shared" si="837"/>
        <v>0</v>
      </c>
      <c r="AK347" s="261">
        <f t="shared" si="828"/>
        <v>0</v>
      </c>
      <c r="AL347" s="228">
        <f t="shared" si="838"/>
        <v>0</v>
      </c>
      <c r="AM347" s="228">
        <f t="shared" si="838"/>
        <v>0</v>
      </c>
      <c r="AN347" s="228">
        <f t="shared" si="838"/>
        <v>0</v>
      </c>
      <c r="AO347" s="261">
        <f>SUM(AL347:AN347)</f>
        <v>0</v>
      </c>
      <c r="AP347" s="228">
        <f t="shared" si="839"/>
        <v>0</v>
      </c>
      <c r="AQ347" s="228">
        <f t="shared" si="839"/>
        <v>0</v>
      </c>
      <c r="AR347" s="228">
        <f t="shared" si="839"/>
        <v>0</v>
      </c>
      <c r="AS347" s="228">
        <f t="shared" si="839"/>
        <v>0</v>
      </c>
      <c r="AT347" s="228">
        <f t="shared" si="839"/>
        <v>0</v>
      </c>
      <c r="AU347" s="228">
        <f t="shared" si="839"/>
        <v>0</v>
      </c>
      <c r="AV347" s="261">
        <f t="shared" si="801"/>
        <v>0</v>
      </c>
      <c r="AW347" s="228">
        <f t="shared" si="840"/>
        <v>0</v>
      </c>
      <c r="AX347" s="228">
        <f t="shared" si="840"/>
        <v>0</v>
      </c>
      <c r="AY347" s="228">
        <f t="shared" si="840"/>
        <v>0</v>
      </c>
      <c r="AZ347" s="228">
        <f t="shared" si="840"/>
        <v>0</v>
      </c>
      <c r="BA347" s="228">
        <f t="shared" si="840"/>
        <v>0</v>
      </c>
      <c r="BB347" s="228">
        <f t="shared" si="840"/>
        <v>0</v>
      </c>
      <c r="BC347" s="261">
        <f t="shared" si="754"/>
        <v>0</v>
      </c>
      <c r="BD347" s="239">
        <f t="shared" si="684"/>
        <v>0</v>
      </c>
      <c r="BE347" s="243"/>
      <c r="BF347" s="243"/>
      <c r="BG347" s="243"/>
      <c r="BH347" s="243"/>
      <c r="BI347" s="243"/>
      <c r="BJ347" s="243"/>
      <c r="BK347" s="243"/>
      <c r="BL347" s="243"/>
      <c r="BM347" s="243"/>
      <c r="BN347" s="243"/>
      <c r="BO347" s="243"/>
      <c r="BP347" s="243"/>
      <c r="BQ347" s="243"/>
      <c r="BR347" s="243"/>
      <c r="BS347" s="243"/>
      <c r="BT347" s="243"/>
      <c r="BU347" s="243"/>
      <c r="BV347" s="243"/>
      <c r="BW347" s="243"/>
      <c r="BX347" s="243"/>
      <c r="BY347" s="243"/>
      <c r="BZ347" s="243"/>
      <c r="CA347" s="243"/>
      <c r="CB347" s="243"/>
      <c r="CC347" s="243"/>
      <c r="CD347" s="243"/>
      <c r="CE347" s="243"/>
      <c r="CF347" s="243"/>
      <c r="CG347" s="243"/>
      <c r="CH347" s="243"/>
      <c r="CI347" s="243"/>
      <c r="CJ347" s="243"/>
      <c r="CK347" s="243"/>
      <c r="CL347" s="243"/>
      <c r="CM347" s="243"/>
      <c r="CN347" s="243"/>
      <c r="CO347" s="243"/>
      <c r="CP347" s="243"/>
      <c r="CQ347" s="243"/>
      <c r="CR347" s="243"/>
      <c r="CS347" s="243"/>
      <c r="CT347" s="243"/>
      <c r="CU347" s="243"/>
      <c r="CV347" s="243"/>
      <c r="CW347" s="243"/>
      <c r="CX347" s="243"/>
      <c r="CY347" s="243"/>
      <c r="CZ347" s="243"/>
      <c r="DA347" s="243"/>
      <c r="DB347" s="243"/>
      <c r="DC347" s="243"/>
      <c r="DD347" s="243"/>
      <c r="DE347" s="243"/>
      <c r="DF347" s="243"/>
      <c r="DG347" s="243"/>
      <c r="DH347" s="243"/>
      <c r="DI347" s="243"/>
      <c r="DJ347" s="243"/>
      <c r="DK347" s="243"/>
      <c r="DL347" s="243"/>
      <c r="DM347" s="243"/>
      <c r="DN347" s="243"/>
      <c r="DO347" s="243"/>
      <c r="DP347" s="243"/>
      <c r="DQ347" s="243"/>
      <c r="DR347" s="243"/>
      <c r="DS347" s="243"/>
      <c r="DT347" s="243"/>
      <c r="DU347" s="243"/>
      <c r="DV347" s="243"/>
      <c r="DW347" s="243"/>
      <c r="DX347" s="243"/>
      <c r="DY347" s="243"/>
      <c r="DZ347" s="243"/>
      <c r="EA347" s="243"/>
      <c r="EB347" s="243"/>
      <c r="EC347" s="243"/>
      <c r="ED347" s="243"/>
      <c r="EE347" s="243"/>
      <c r="EF347" s="243"/>
      <c r="EG347" s="243"/>
      <c r="EH347" s="243"/>
      <c r="EI347" s="243"/>
      <c r="EJ347" s="243"/>
      <c r="EK347" s="243"/>
      <c r="EL347" s="243"/>
      <c r="EM347" s="243"/>
      <c r="EN347" s="243"/>
      <c r="EO347" s="243"/>
      <c r="EP347" s="243"/>
      <c r="EQ347" s="243"/>
      <c r="ER347" s="243"/>
      <c r="ES347" s="243"/>
      <c r="ET347" s="243"/>
      <c r="EU347" s="243"/>
      <c r="EV347" s="243"/>
      <c r="EW347" s="243"/>
      <c r="EX347" s="243"/>
      <c r="EY347" s="243"/>
      <c r="EZ347" s="243"/>
      <c r="FA347" s="243"/>
      <c r="FB347" s="243"/>
      <c r="FC347" s="243"/>
      <c r="FD347" s="243"/>
      <c r="FE347" s="243"/>
      <c r="FF347" s="243"/>
      <c r="FG347" s="243"/>
      <c r="FH347" s="243"/>
      <c r="FI347" s="243"/>
      <c r="FJ347" s="243"/>
      <c r="FK347" s="243"/>
      <c r="FL347" s="243"/>
      <c r="FM347" s="243"/>
      <c r="FN347" s="243"/>
      <c r="FO347" s="243"/>
      <c r="FP347" s="243"/>
      <c r="FQ347" s="243"/>
      <c r="FR347" s="243"/>
      <c r="FS347" s="243"/>
      <c r="FT347" s="243"/>
      <c r="FU347" s="243"/>
      <c r="FV347" s="243"/>
      <c r="FW347" s="243"/>
      <c r="FX347" s="243"/>
      <c r="FY347" s="243"/>
      <c r="FZ347" s="243"/>
      <c r="GA347" s="243"/>
      <c r="GB347" s="243"/>
      <c r="GC347" s="243"/>
      <c r="GD347" s="243"/>
      <c r="GE347" s="243"/>
      <c r="GF347" s="243"/>
      <c r="GG347" s="243"/>
      <c r="GH347" s="243"/>
      <c r="GI347" s="243"/>
      <c r="GJ347" s="243"/>
      <c r="GK347" s="243"/>
      <c r="GL347" s="243"/>
      <c r="GM347" s="243"/>
      <c r="GN347" s="243"/>
      <c r="GO347" s="243"/>
      <c r="GP347" s="243"/>
      <c r="GQ347" s="243"/>
      <c r="GR347" s="243"/>
      <c r="GS347" s="243"/>
      <c r="GT347" s="243"/>
    </row>
    <row r="348" spans="1:202" s="79" customFormat="1" ht="11.25" customHeight="1">
      <c r="A348" s="192"/>
      <c r="B348" s="145" t="s">
        <v>279</v>
      </c>
      <c r="C348" s="216" t="s">
        <v>161</v>
      </c>
      <c r="D348" s="141"/>
      <c r="E348" s="147"/>
      <c r="F348" s="209"/>
      <c r="G348" s="177"/>
      <c r="H348" s="147"/>
      <c r="I348" s="147"/>
      <c r="J348" s="210"/>
      <c r="K348" s="252"/>
      <c r="L348" s="252"/>
      <c r="M348" s="252"/>
      <c r="N348" s="287">
        <f t="shared" si="825"/>
        <v>0</v>
      </c>
      <c r="O348" s="273"/>
      <c r="P348" s="273"/>
      <c r="Q348" s="290"/>
      <c r="R348" s="287">
        <f>O348+P348+Q348</f>
        <v>0</v>
      </c>
      <c r="S348" s="290"/>
      <c r="T348" s="264"/>
      <c r="U348" s="273"/>
      <c r="V348" s="273"/>
      <c r="W348" s="290"/>
      <c r="X348" s="264"/>
      <c r="Y348" s="142">
        <f>SUM(S348:X348)</f>
        <v>0</v>
      </c>
      <c r="Z348" s="273"/>
      <c r="AA348" s="273"/>
      <c r="AB348" s="273"/>
      <c r="AC348" s="273"/>
      <c r="AD348" s="273"/>
      <c r="AE348" s="273"/>
      <c r="AF348" s="287">
        <f t="shared" si="836"/>
        <v>0</v>
      </c>
      <c r="AG348" s="283">
        <f t="shared" si="826"/>
        <v>0</v>
      </c>
      <c r="AH348" s="228">
        <f t="shared" si="837"/>
        <v>0</v>
      </c>
      <c r="AI348" s="228">
        <f t="shared" si="837"/>
        <v>0</v>
      </c>
      <c r="AJ348" s="228">
        <f t="shared" si="837"/>
        <v>0</v>
      </c>
      <c r="AK348" s="261">
        <f t="shared" si="828"/>
        <v>0</v>
      </c>
      <c r="AL348" s="228">
        <f t="shared" si="838"/>
        <v>0</v>
      </c>
      <c r="AM348" s="228">
        <f t="shared" si="838"/>
        <v>0</v>
      </c>
      <c r="AN348" s="228">
        <f t="shared" si="838"/>
        <v>0</v>
      </c>
      <c r="AO348" s="261">
        <f>SUM(AL348:AN348)</f>
        <v>0</v>
      </c>
      <c r="AP348" s="228">
        <f t="shared" si="839"/>
        <v>0</v>
      </c>
      <c r="AQ348" s="228">
        <f t="shared" si="839"/>
        <v>0</v>
      </c>
      <c r="AR348" s="228">
        <f t="shared" si="839"/>
        <v>0</v>
      </c>
      <c r="AS348" s="228">
        <f t="shared" si="839"/>
        <v>0</v>
      </c>
      <c r="AT348" s="228">
        <f t="shared" si="839"/>
        <v>0</v>
      </c>
      <c r="AU348" s="228">
        <f t="shared" si="839"/>
        <v>0</v>
      </c>
      <c r="AV348" s="261">
        <f t="shared" si="801"/>
        <v>0</v>
      </c>
      <c r="AW348" s="228">
        <f t="shared" si="840"/>
        <v>0</v>
      </c>
      <c r="AX348" s="228">
        <f t="shared" si="840"/>
        <v>0</v>
      </c>
      <c r="AY348" s="228">
        <f t="shared" si="840"/>
        <v>0</v>
      </c>
      <c r="AZ348" s="228">
        <f t="shared" si="840"/>
        <v>0</v>
      </c>
      <c r="BA348" s="228">
        <f t="shared" si="840"/>
        <v>0</v>
      </c>
      <c r="BB348" s="228">
        <f t="shared" si="840"/>
        <v>0</v>
      </c>
      <c r="BC348" s="261">
        <f t="shared" si="754"/>
        <v>0</v>
      </c>
      <c r="BD348" s="239">
        <f t="shared" si="684"/>
        <v>0</v>
      </c>
      <c r="BE348" s="243"/>
      <c r="BF348" s="243"/>
      <c r="BG348" s="243"/>
      <c r="BH348" s="243"/>
      <c r="BI348" s="243"/>
      <c r="BJ348" s="243"/>
      <c r="BK348" s="243"/>
      <c r="BL348" s="243"/>
      <c r="BM348" s="243"/>
      <c r="BN348" s="243"/>
      <c r="BO348" s="243"/>
      <c r="BP348" s="243"/>
      <c r="BQ348" s="243"/>
      <c r="BR348" s="243"/>
      <c r="BS348" s="243"/>
      <c r="BT348" s="243"/>
      <c r="BU348" s="243"/>
      <c r="BV348" s="243"/>
      <c r="BW348" s="243"/>
      <c r="BX348" s="243"/>
      <c r="BY348" s="243"/>
      <c r="BZ348" s="243"/>
      <c r="CA348" s="243"/>
      <c r="CB348" s="243"/>
      <c r="CC348" s="243"/>
      <c r="CD348" s="243"/>
      <c r="CE348" s="243"/>
      <c r="CF348" s="243"/>
      <c r="CG348" s="243"/>
      <c r="CH348" s="243"/>
      <c r="CI348" s="243"/>
      <c r="CJ348" s="243"/>
      <c r="CK348" s="243"/>
      <c r="CL348" s="243"/>
      <c r="CM348" s="243"/>
      <c r="CN348" s="243"/>
      <c r="CO348" s="243"/>
      <c r="CP348" s="243"/>
      <c r="CQ348" s="243"/>
      <c r="CR348" s="243"/>
      <c r="CS348" s="243"/>
      <c r="CT348" s="243"/>
      <c r="CU348" s="243"/>
      <c r="CV348" s="243"/>
      <c r="CW348" s="243"/>
      <c r="CX348" s="243"/>
      <c r="CY348" s="243"/>
      <c r="CZ348" s="243"/>
      <c r="DA348" s="243"/>
      <c r="DB348" s="243"/>
      <c r="DC348" s="243"/>
      <c r="DD348" s="243"/>
      <c r="DE348" s="243"/>
      <c r="DF348" s="243"/>
      <c r="DG348" s="243"/>
      <c r="DH348" s="243"/>
      <c r="DI348" s="243"/>
      <c r="DJ348" s="243"/>
      <c r="DK348" s="243"/>
      <c r="DL348" s="243"/>
      <c r="DM348" s="243"/>
      <c r="DN348" s="243"/>
      <c r="DO348" s="243"/>
      <c r="DP348" s="243"/>
      <c r="DQ348" s="243"/>
      <c r="DR348" s="243"/>
      <c r="DS348" s="243"/>
      <c r="DT348" s="243"/>
      <c r="DU348" s="243"/>
      <c r="DV348" s="243"/>
      <c r="DW348" s="243"/>
      <c r="DX348" s="243"/>
      <c r="DY348" s="243"/>
      <c r="DZ348" s="243"/>
      <c r="EA348" s="243"/>
      <c r="EB348" s="243"/>
      <c r="EC348" s="243"/>
      <c r="ED348" s="243"/>
      <c r="EE348" s="243"/>
      <c r="EF348" s="243"/>
      <c r="EG348" s="243"/>
      <c r="EH348" s="243"/>
      <c r="EI348" s="243"/>
      <c r="EJ348" s="243"/>
      <c r="EK348" s="243"/>
      <c r="EL348" s="243"/>
      <c r="EM348" s="243"/>
      <c r="EN348" s="243"/>
      <c r="EO348" s="243"/>
      <c r="EP348" s="243"/>
      <c r="EQ348" s="243"/>
      <c r="ER348" s="243"/>
      <c r="ES348" s="243"/>
      <c r="ET348" s="243"/>
      <c r="EU348" s="243"/>
      <c r="EV348" s="243"/>
      <c r="EW348" s="243"/>
      <c r="EX348" s="243"/>
      <c r="EY348" s="243"/>
      <c r="EZ348" s="243"/>
      <c r="FA348" s="243"/>
      <c r="FB348" s="243"/>
      <c r="FC348" s="243"/>
      <c r="FD348" s="243"/>
      <c r="FE348" s="243"/>
      <c r="FF348" s="243"/>
      <c r="FG348" s="243"/>
      <c r="FH348" s="243"/>
      <c r="FI348" s="243"/>
      <c r="FJ348" s="243"/>
      <c r="FK348" s="243"/>
      <c r="FL348" s="243"/>
      <c r="FM348" s="243"/>
      <c r="FN348" s="243"/>
      <c r="FO348" s="243"/>
      <c r="FP348" s="243"/>
      <c r="FQ348" s="243"/>
      <c r="FR348" s="243"/>
      <c r="FS348" s="243"/>
      <c r="FT348" s="243"/>
      <c r="FU348" s="243"/>
      <c r="FV348" s="243"/>
      <c r="FW348" s="243"/>
      <c r="FX348" s="243"/>
      <c r="FY348" s="243"/>
      <c r="FZ348" s="243"/>
      <c r="GA348" s="243"/>
      <c r="GB348" s="243"/>
      <c r="GC348" s="243"/>
      <c r="GD348" s="243"/>
      <c r="GE348" s="243"/>
      <c r="GF348" s="243"/>
      <c r="GG348" s="243"/>
      <c r="GH348" s="243"/>
      <c r="GI348" s="243"/>
      <c r="GJ348" s="243"/>
      <c r="GK348" s="243"/>
      <c r="GL348" s="243"/>
      <c r="GM348" s="243"/>
      <c r="GN348" s="243"/>
      <c r="GO348" s="243"/>
      <c r="GP348" s="243"/>
      <c r="GQ348" s="243"/>
      <c r="GR348" s="243"/>
      <c r="GS348" s="243"/>
      <c r="GT348" s="243"/>
    </row>
    <row r="349" spans="1:202" s="79" customFormat="1" ht="11.25" customHeight="1">
      <c r="A349" s="192"/>
      <c r="B349" s="145" t="s">
        <v>278</v>
      </c>
      <c r="C349" s="216" t="s">
        <v>160</v>
      </c>
      <c r="D349" s="141"/>
      <c r="E349" s="147">
        <v>7558.9</v>
      </c>
      <c r="F349" s="209">
        <v>1989</v>
      </c>
      <c r="G349" s="177">
        <f>E349-F349</f>
        <v>5569.9</v>
      </c>
      <c r="H349" s="147">
        <v>7558.9</v>
      </c>
      <c r="I349" s="147">
        <v>1989</v>
      </c>
      <c r="J349" s="210">
        <f>H349-I349</f>
        <v>5569.9</v>
      </c>
      <c r="K349" s="252">
        <v>58.338999999999999</v>
      </c>
      <c r="L349" s="252">
        <v>62.125999999999998</v>
      </c>
      <c r="M349" s="252"/>
      <c r="N349" s="287">
        <f t="shared" si="825"/>
        <v>120.465</v>
      </c>
      <c r="O349" s="273"/>
      <c r="P349" s="273"/>
      <c r="Q349" s="290"/>
      <c r="R349" s="287"/>
      <c r="S349" s="290"/>
      <c r="T349" s="264"/>
      <c r="U349" s="273"/>
      <c r="V349" s="273"/>
      <c r="W349" s="290"/>
      <c r="X349" s="264"/>
      <c r="Y349" s="142"/>
      <c r="Z349" s="273"/>
      <c r="AA349" s="273"/>
      <c r="AB349" s="273"/>
      <c r="AC349" s="273"/>
      <c r="AD349" s="273"/>
      <c r="AE349" s="273"/>
      <c r="AF349" s="287">
        <f t="shared" si="836"/>
        <v>0</v>
      </c>
      <c r="AG349" s="283">
        <f t="shared" si="826"/>
        <v>120.465</v>
      </c>
      <c r="AH349" s="228">
        <f t="shared" si="837"/>
        <v>324942.39609999995</v>
      </c>
      <c r="AI349" s="228">
        <f t="shared" si="837"/>
        <v>346035.60739999998</v>
      </c>
      <c r="AJ349" s="228">
        <f t="shared" si="837"/>
        <v>0</v>
      </c>
      <c r="AK349" s="261">
        <f t="shared" si="828"/>
        <v>670978.00349999988</v>
      </c>
      <c r="AL349" s="228">
        <f t="shared" si="838"/>
        <v>0</v>
      </c>
      <c r="AM349" s="228">
        <f t="shared" si="838"/>
        <v>0</v>
      </c>
      <c r="AN349" s="228">
        <f t="shared" si="838"/>
        <v>0</v>
      </c>
      <c r="AO349" s="261"/>
      <c r="AP349" s="228">
        <f t="shared" si="839"/>
        <v>0</v>
      </c>
      <c r="AQ349" s="228">
        <f t="shared" si="839"/>
        <v>0</v>
      </c>
      <c r="AR349" s="228">
        <f t="shared" si="839"/>
        <v>0</v>
      </c>
      <c r="AS349" s="228">
        <f t="shared" si="839"/>
        <v>0</v>
      </c>
      <c r="AT349" s="228">
        <f t="shared" si="839"/>
        <v>0</v>
      </c>
      <c r="AU349" s="228">
        <f t="shared" si="839"/>
        <v>0</v>
      </c>
      <c r="AV349" s="261"/>
      <c r="AW349" s="228">
        <f t="shared" si="840"/>
        <v>0</v>
      </c>
      <c r="AX349" s="228">
        <f t="shared" si="840"/>
        <v>0</v>
      </c>
      <c r="AY349" s="228">
        <f t="shared" si="840"/>
        <v>0</v>
      </c>
      <c r="AZ349" s="228">
        <f t="shared" si="840"/>
        <v>0</v>
      </c>
      <c r="BA349" s="228">
        <f t="shared" si="840"/>
        <v>0</v>
      </c>
      <c r="BB349" s="228">
        <f t="shared" si="840"/>
        <v>0</v>
      </c>
      <c r="BC349" s="261">
        <f t="shared" si="754"/>
        <v>0</v>
      </c>
      <c r="BD349" s="239">
        <f t="shared" ref="BD349:BD412" si="841">BC349+AV349+AO349+AK349</f>
        <v>670978.00349999988</v>
      </c>
      <c r="BE349" s="243"/>
      <c r="BF349" s="243"/>
      <c r="BG349" s="243"/>
      <c r="BH349" s="243"/>
      <c r="BI349" s="243"/>
      <c r="BJ349" s="243"/>
      <c r="BK349" s="243"/>
      <c r="BL349" s="243"/>
      <c r="BM349" s="243"/>
      <c r="BN349" s="243"/>
      <c r="BO349" s="243"/>
      <c r="BP349" s="243"/>
      <c r="BQ349" s="243"/>
      <c r="BR349" s="243"/>
      <c r="BS349" s="243"/>
      <c r="BT349" s="243"/>
      <c r="BU349" s="243"/>
      <c r="BV349" s="243"/>
      <c r="BW349" s="243"/>
      <c r="BX349" s="243"/>
      <c r="BY349" s="243"/>
      <c r="BZ349" s="243"/>
      <c r="CA349" s="243"/>
      <c r="CB349" s="243"/>
      <c r="CC349" s="243"/>
      <c r="CD349" s="243"/>
      <c r="CE349" s="243"/>
      <c r="CF349" s="243"/>
      <c r="CG349" s="243"/>
      <c r="CH349" s="243"/>
      <c r="CI349" s="243"/>
      <c r="CJ349" s="243"/>
      <c r="CK349" s="243"/>
      <c r="CL349" s="243"/>
      <c r="CM349" s="243"/>
      <c r="CN349" s="243"/>
      <c r="CO349" s="243"/>
      <c r="CP349" s="243"/>
      <c r="CQ349" s="243"/>
      <c r="CR349" s="243"/>
      <c r="CS349" s="243"/>
      <c r="CT349" s="243"/>
      <c r="CU349" s="243"/>
      <c r="CV349" s="243"/>
      <c r="CW349" s="243"/>
      <c r="CX349" s="243"/>
      <c r="CY349" s="243"/>
      <c r="CZ349" s="243"/>
      <c r="DA349" s="243"/>
      <c r="DB349" s="243"/>
      <c r="DC349" s="243"/>
      <c r="DD349" s="243"/>
      <c r="DE349" s="243"/>
      <c r="DF349" s="243"/>
      <c r="DG349" s="243"/>
      <c r="DH349" s="243"/>
      <c r="DI349" s="243"/>
      <c r="DJ349" s="243"/>
      <c r="DK349" s="243"/>
      <c r="DL349" s="243"/>
      <c r="DM349" s="243"/>
      <c r="DN349" s="243"/>
      <c r="DO349" s="243"/>
      <c r="DP349" s="243"/>
      <c r="DQ349" s="243"/>
      <c r="DR349" s="243"/>
      <c r="DS349" s="243"/>
      <c r="DT349" s="243"/>
      <c r="DU349" s="243"/>
      <c r="DV349" s="243"/>
      <c r="DW349" s="243"/>
      <c r="DX349" s="243"/>
      <c r="DY349" s="243"/>
      <c r="DZ349" s="243"/>
      <c r="EA349" s="243"/>
      <c r="EB349" s="243"/>
      <c r="EC349" s="243"/>
      <c r="ED349" s="243"/>
      <c r="EE349" s="243"/>
      <c r="EF349" s="243"/>
      <c r="EG349" s="243"/>
      <c r="EH349" s="243"/>
      <c r="EI349" s="243"/>
      <c r="EJ349" s="243"/>
      <c r="EK349" s="243"/>
      <c r="EL349" s="243"/>
      <c r="EM349" s="243"/>
      <c r="EN349" s="243"/>
      <c r="EO349" s="243"/>
      <c r="EP349" s="243"/>
      <c r="EQ349" s="243"/>
      <c r="ER349" s="243"/>
      <c r="ES349" s="243"/>
      <c r="ET349" s="243"/>
      <c r="EU349" s="243"/>
      <c r="EV349" s="243"/>
      <c r="EW349" s="243"/>
      <c r="EX349" s="243"/>
      <c r="EY349" s="243"/>
      <c r="EZ349" s="243"/>
      <c r="FA349" s="243"/>
      <c r="FB349" s="243"/>
      <c r="FC349" s="243"/>
      <c r="FD349" s="243"/>
      <c r="FE349" s="243"/>
      <c r="FF349" s="243"/>
      <c r="FG349" s="243"/>
      <c r="FH349" s="243"/>
      <c r="FI349" s="243"/>
      <c r="FJ349" s="243"/>
      <c r="FK349" s="243"/>
      <c r="FL349" s="243"/>
      <c r="FM349" s="243"/>
      <c r="FN349" s="243"/>
      <c r="FO349" s="243"/>
      <c r="FP349" s="243"/>
      <c r="FQ349" s="243"/>
      <c r="FR349" s="243"/>
      <c r="FS349" s="243"/>
      <c r="FT349" s="243"/>
      <c r="FU349" s="243"/>
      <c r="FV349" s="243"/>
      <c r="FW349" s="243"/>
      <c r="FX349" s="243"/>
      <c r="FY349" s="243"/>
      <c r="FZ349" s="243"/>
      <c r="GA349" s="243"/>
      <c r="GB349" s="243"/>
      <c r="GC349" s="243"/>
      <c r="GD349" s="243"/>
      <c r="GE349" s="243"/>
      <c r="GF349" s="243"/>
      <c r="GG349" s="243"/>
      <c r="GH349" s="243"/>
      <c r="GI349" s="243"/>
      <c r="GJ349" s="243"/>
      <c r="GK349" s="243"/>
      <c r="GL349" s="243"/>
      <c r="GM349" s="243"/>
      <c r="GN349" s="243"/>
      <c r="GO349" s="243"/>
      <c r="GP349" s="243"/>
      <c r="GQ349" s="243"/>
      <c r="GR349" s="243"/>
      <c r="GS349" s="243"/>
      <c r="GT349" s="243"/>
    </row>
    <row r="350" spans="1:202" ht="12.75">
      <c r="A350" s="193" t="s">
        <v>26</v>
      </c>
      <c r="B350" s="182" t="s">
        <v>322</v>
      </c>
      <c r="C350" s="221" t="s">
        <v>223</v>
      </c>
      <c r="D350" s="73">
        <v>2912006740</v>
      </c>
      <c r="E350" s="82"/>
      <c r="F350" s="86"/>
      <c r="G350" s="177"/>
      <c r="H350" s="82"/>
      <c r="I350" s="86"/>
      <c r="J350" s="210"/>
      <c r="K350" s="254"/>
      <c r="L350" s="254"/>
      <c r="M350" s="254"/>
      <c r="N350" s="284">
        <f t="shared" si="825"/>
        <v>0</v>
      </c>
      <c r="O350" s="272"/>
      <c r="P350" s="272"/>
      <c r="Q350" s="334"/>
      <c r="R350" s="284">
        <f>O350+P350+Q350</f>
        <v>0</v>
      </c>
      <c r="S350" s="289"/>
      <c r="T350" s="263"/>
      <c r="U350" s="272"/>
      <c r="V350" s="272"/>
      <c r="W350" s="289"/>
      <c r="X350" s="263"/>
      <c r="Y350" s="284">
        <f>SUM(S350:X350)</f>
        <v>0</v>
      </c>
      <c r="Z350" s="272"/>
      <c r="AA350" s="272"/>
      <c r="AB350" s="272"/>
      <c r="AC350" s="272"/>
      <c r="AD350" s="272"/>
      <c r="AE350" s="272"/>
      <c r="AF350" s="284">
        <f t="shared" si="836"/>
        <v>0</v>
      </c>
      <c r="AG350" s="282">
        <f t="shared" si="826"/>
        <v>0</v>
      </c>
      <c r="AH350" s="227">
        <f t="shared" si="837"/>
        <v>0</v>
      </c>
      <c r="AI350" s="227">
        <f t="shared" si="837"/>
        <v>0</v>
      </c>
      <c r="AJ350" s="227">
        <f t="shared" si="837"/>
        <v>0</v>
      </c>
      <c r="AK350" s="260">
        <f t="shared" si="828"/>
        <v>0</v>
      </c>
      <c r="AL350" s="227">
        <f t="shared" si="838"/>
        <v>0</v>
      </c>
      <c r="AM350" s="227">
        <f t="shared" si="838"/>
        <v>0</v>
      </c>
      <c r="AN350" s="227">
        <f t="shared" si="838"/>
        <v>0</v>
      </c>
      <c r="AO350" s="260">
        <f>SUM(AL350:AN350)</f>
        <v>0</v>
      </c>
      <c r="AP350" s="227">
        <f t="shared" si="839"/>
        <v>0</v>
      </c>
      <c r="AQ350" s="227">
        <f t="shared" si="839"/>
        <v>0</v>
      </c>
      <c r="AR350" s="227">
        <f t="shared" si="839"/>
        <v>0</v>
      </c>
      <c r="AS350" s="227">
        <f t="shared" si="839"/>
        <v>0</v>
      </c>
      <c r="AT350" s="227">
        <f t="shared" si="839"/>
        <v>0</v>
      </c>
      <c r="AU350" s="227">
        <f t="shared" si="839"/>
        <v>0</v>
      </c>
      <c r="AV350" s="260">
        <f>SUM(AP350:AU350)</f>
        <v>0</v>
      </c>
      <c r="AW350" s="227">
        <f t="shared" si="840"/>
        <v>0</v>
      </c>
      <c r="AX350" s="227">
        <f t="shared" si="840"/>
        <v>0</v>
      </c>
      <c r="AY350" s="227">
        <f t="shared" si="840"/>
        <v>0</v>
      </c>
      <c r="AZ350" s="227">
        <f t="shared" si="840"/>
        <v>0</v>
      </c>
      <c r="BA350" s="227">
        <f t="shared" si="840"/>
        <v>0</v>
      </c>
      <c r="BB350" s="227">
        <f t="shared" si="840"/>
        <v>0</v>
      </c>
      <c r="BC350" s="260">
        <f t="shared" si="754"/>
        <v>0</v>
      </c>
      <c r="BD350" s="238">
        <f t="shared" si="841"/>
        <v>0</v>
      </c>
    </row>
    <row r="351" spans="1:202" ht="12.75">
      <c r="A351" s="193" t="s">
        <v>26</v>
      </c>
      <c r="B351" s="182" t="s">
        <v>80</v>
      </c>
      <c r="C351" s="216"/>
      <c r="D351" s="73" t="s">
        <v>81</v>
      </c>
      <c r="E351" s="147"/>
      <c r="F351" s="147"/>
      <c r="G351" s="177"/>
      <c r="H351" s="147"/>
      <c r="I351" s="147"/>
      <c r="J351" s="210"/>
      <c r="K351" s="254">
        <f>SUM(K352:K369)</f>
        <v>8987.5059999999994</v>
      </c>
      <c r="L351" s="254">
        <f>SUM(L352:L369)</f>
        <v>8435.1880000000001</v>
      </c>
      <c r="M351" s="254">
        <f>SUM(M352:M369)</f>
        <v>0</v>
      </c>
      <c r="N351" s="284">
        <f t="shared" si="825"/>
        <v>17422.694</v>
      </c>
      <c r="O351" s="275">
        <f>SUM(O357:O368)</f>
        <v>0</v>
      </c>
      <c r="P351" s="275">
        <f>SUM(P357:P368)</f>
        <v>0</v>
      </c>
      <c r="Q351" s="275">
        <f>SUM(Q357:Q368)</f>
        <v>0</v>
      </c>
      <c r="R351" s="284">
        <f>O351+P351+Q351</f>
        <v>0</v>
      </c>
      <c r="S351" s="293">
        <f t="shared" ref="S351:X351" si="842">SUM(S357:S368)</f>
        <v>0</v>
      </c>
      <c r="T351" s="293">
        <f t="shared" si="842"/>
        <v>0</v>
      </c>
      <c r="U351" s="293">
        <f t="shared" si="842"/>
        <v>0</v>
      </c>
      <c r="V351" s="293">
        <f t="shared" si="842"/>
        <v>0</v>
      </c>
      <c r="W351" s="293">
        <f t="shared" si="842"/>
        <v>0</v>
      </c>
      <c r="X351" s="293">
        <f t="shared" si="842"/>
        <v>0</v>
      </c>
      <c r="Y351" s="284">
        <f>SUM(S351:X351)</f>
        <v>0</v>
      </c>
      <c r="Z351" s="275">
        <f t="shared" ref="Z351:AF351" si="843">SUM(Z357:Z368)</f>
        <v>0</v>
      </c>
      <c r="AA351" s="275">
        <f t="shared" si="843"/>
        <v>0</v>
      </c>
      <c r="AB351" s="275">
        <f t="shared" si="843"/>
        <v>0</v>
      </c>
      <c r="AC351" s="275">
        <f t="shared" si="843"/>
        <v>0</v>
      </c>
      <c r="AD351" s="275">
        <f t="shared" si="843"/>
        <v>0</v>
      </c>
      <c r="AE351" s="275">
        <f t="shared" si="843"/>
        <v>0</v>
      </c>
      <c r="AF351" s="284">
        <f t="shared" si="843"/>
        <v>0</v>
      </c>
      <c r="AG351" s="282">
        <f>SUM(AG352:AG369)</f>
        <v>17422.694</v>
      </c>
      <c r="AH351" s="232">
        <f>SUM(AH352:AH369)</f>
        <v>39524777.668940008</v>
      </c>
      <c r="AI351" s="232">
        <f>SUM(AI352:AI369)</f>
        <v>36903380.878999993</v>
      </c>
      <c r="AJ351" s="232">
        <f>SUM(AJ352:AJ369)</f>
        <v>0</v>
      </c>
      <c r="AK351" s="260">
        <f t="shared" si="828"/>
        <v>76428158.547940001</v>
      </c>
      <c r="AL351" s="232">
        <f>SUM(AL357:AL368)</f>
        <v>0</v>
      </c>
      <c r="AM351" s="232">
        <f>SUM(AM357:AM368)</f>
        <v>0</v>
      </c>
      <c r="AN351" s="232">
        <f>SUM(AN357:AN368)</f>
        <v>0</v>
      </c>
      <c r="AO351" s="260">
        <f>SUM(AL351:AN351)</f>
        <v>0</v>
      </c>
      <c r="AP351" s="232">
        <f t="shared" ref="AP351:AU351" si="844">SUM(AP357:AP368)</f>
        <v>0</v>
      </c>
      <c r="AQ351" s="232">
        <f t="shared" si="844"/>
        <v>0</v>
      </c>
      <c r="AR351" s="232">
        <f t="shared" si="844"/>
        <v>0</v>
      </c>
      <c r="AS351" s="232">
        <f t="shared" si="844"/>
        <v>0</v>
      </c>
      <c r="AT351" s="232">
        <f t="shared" si="844"/>
        <v>0</v>
      </c>
      <c r="AU351" s="232">
        <f t="shared" si="844"/>
        <v>0</v>
      </c>
      <c r="AV351" s="260">
        <f>SUM(AP351:AU351)</f>
        <v>0</v>
      </c>
      <c r="AW351" s="232">
        <f t="shared" ref="AW351:BC351" si="845">SUM(AW357:AW368)</f>
        <v>0</v>
      </c>
      <c r="AX351" s="232">
        <f t="shared" si="845"/>
        <v>0</v>
      </c>
      <c r="AY351" s="232">
        <f t="shared" si="845"/>
        <v>0</v>
      </c>
      <c r="AZ351" s="232">
        <f t="shared" si="845"/>
        <v>0</v>
      </c>
      <c r="BA351" s="232">
        <f t="shared" si="845"/>
        <v>0</v>
      </c>
      <c r="BB351" s="232">
        <f t="shared" si="845"/>
        <v>0</v>
      </c>
      <c r="BC351" s="260">
        <f t="shared" si="845"/>
        <v>0</v>
      </c>
      <c r="BD351" s="238">
        <f t="shared" si="841"/>
        <v>76428158.547940001</v>
      </c>
    </row>
    <row r="352" spans="1:202" s="79" customFormat="1" ht="11.25" customHeight="1">
      <c r="A352" s="192"/>
      <c r="B352" s="145" t="s">
        <v>595</v>
      </c>
      <c r="C352" s="216"/>
      <c r="D352" s="141"/>
      <c r="E352" s="147">
        <v>6223.97</v>
      </c>
      <c r="F352" s="147">
        <v>1880</v>
      </c>
      <c r="G352" s="177">
        <f>E352-F352</f>
        <v>4343.97</v>
      </c>
      <c r="H352" s="147">
        <v>6223.97</v>
      </c>
      <c r="I352" s="214">
        <v>1880</v>
      </c>
      <c r="J352" s="210">
        <f>H352-I352</f>
        <v>4343.97</v>
      </c>
      <c r="K352" s="253">
        <v>1001.058</v>
      </c>
      <c r="L352" s="253">
        <v>1008.297</v>
      </c>
      <c r="M352" s="253"/>
      <c r="N352" s="287">
        <f t="shared" si="825"/>
        <v>2009.355</v>
      </c>
      <c r="O352" s="274"/>
      <c r="P352" s="274"/>
      <c r="Q352" s="291"/>
      <c r="R352" s="287"/>
      <c r="S352" s="291"/>
      <c r="T352" s="265"/>
      <c r="U352" s="274"/>
      <c r="V352" s="274"/>
      <c r="W352" s="291"/>
      <c r="X352" s="274"/>
      <c r="Y352" s="142"/>
      <c r="Z352" s="274"/>
      <c r="AA352" s="274"/>
      <c r="AB352" s="274"/>
      <c r="AC352" s="274"/>
      <c r="AD352" s="274"/>
      <c r="AE352" s="274"/>
      <c r="AF352" s="287">
        <f>SUM(Z352:AE352)</f>
        <v>0</v>
      </c>
      <c r="AG352" s="283">
        <f t="shared" ref="AG352:AG383" si="846">AF352+Y352+R352+N352</f>
        <v>2009.355</v>
      </c>
      <c r="AH352" s="306">
        <f t="shared" ref="AH352:AH371" si="847">K352*$G352</f>
        <v>4348565.92026</v>
      </c>
      <c r="AI352" s="306">
        <f t="shared" ref="AI352:AI371" si="848">L352*$G352</f>
        <v>4380011.91909</v>
      </c>
      <c r="AJ352" s="306">
        <f t="shared" ref="AJ352:AJ371" si="849">M352*$G352</f>
        <v>0</v>
      </c>
      <c r="AK352" s="261">
        <f t="shared" si="828"/>
        <v>8728577.83935</v>
      </c>
      <c r="AL352" s="229">
        <f t="shared" ref="AL352:AL371" si="850">O352*$G352</f>
        <v>0</v>
      </c>
      <c r="AM352" s="229">
        <f t="shared" ref="AM352:AM371" si="851">P352*$G352</f>
        <v>0</v>
      </c>
      <c r="AN352" s="229">
        <f t="shared" ref="AN352:AN371" si="852">Q352*$G352</f>
        <v>0</v>
      </c>
      <c r="AO352" s="261"/>
      <c r="AP352" s="306">
        <f t="shared" ref="AP352:AP368" si="853">S352*$J352</f>
        <v>0</v>
      </c>
      <c r="AQ352" s="306">
        <f t="shared" ref="AQ352:AQ368" si="854">T352*$J352</f>
        <v>0</v>
      </c>
      <c r="AR352" s="306">
        <f t="shared" ref="AR352:AR368" si="855">U352*$J352</f>
        <v>0</v>
      </c>
      <c r="AS352" s="306">
        <f t="shared" ref="AS352:AS368" si="856">V352*$J352</f>
        <v>0</v>
      </c>
      <c r="AT352" s="306">
        <f t="shared" ref="AT352:AT368" si="857">W352*$J352</f>
        <v>0</v>
      </c>
      <c r="AU352" s="306">
        <f t="shared" ref="AU352:AU368" si="858">X352*$J352</f>
        <v>0</v>
      </c>
      <c r="AV352" s="261">
        <f>SUM(AP352:AU352)</f>
        <v>0</v>
      </c>
      <c r="AW352" s="306">
        <f t="shared" ref="AW352:AW368" si="859">Z352*$J352</f>
        <v>0</v>
      </c>
      <c r="AX352" s="306">
        <f t="shared" ref="AX352:AX368" si="860">AA352*$J352</f>
        <v>0</v>
      </c>
      <c r="AY352" s="306">
        <f t="shared" ref="AY352:AY368" si="861">AB352*$J352</f>
        <v>0</v>
      </c>
      <c r="AZ352" s="306">
        <f t="shared" ref="AZ352:AZ368" si="862">AC352*$J352</f>
        <v>0</v>
      </c>
      <c r="BA352" s="306">
        <f t="shared" ref="BA352:BA368" si="863">AD352*$J352</f>
        <v>0</v>
      </c>
      <c r="BB352" s="306">
        <f t="shared" ref="BB352:BB368" si="864">AE352*$J352</f>
        <v>0</v>
      </c>
      <c r="BC352" s="261">
        <f>SUM(AW352:BB352)</f>
        <v>0</v>
      </c>
      <c r="BD352" s="239">
        <f t="shared" si="841"/>
        <v>8728577.83935</v>
      </c>
      <c r="BE352" s="243"/>
      <c r="BF352" s="243"/>
      <c r="BG352" s="243"/>
      <c r="BH352" s="243"/>
      <c r="BI352" s="243"/>
      <c r="BJ352" s="243"/>
      <c r="BK352" s="243"/>
      <c r="BL352" s="243"/>
      <c r="BM352" s="243"/>
      <c r="BN352" s="243"/>
      <c r="BO352" s="243"/>
      <c r="BP352" s="243"/>
      <c r="BQ352" s="243"/>
      <c r="BR352" s="243"/>
      <c r="BS352" s="243"/>
      <c r="BT352" s="243"/>
      <c r="BU352" s="243"/>
      <c r="BV352" s="243"/>
      <c r="BW352" s="243"/>
      <c r="BX352" s="243"/>
      <c r="BY352" s="243"/>
      <c r="BZ352" s="243"/>
      <c r="CA352" s="243"/>
      <c r="CB352" s="243"/>
      <c r="CC352" s="243"/>
      <c r="CD352" s="243"/>
      <c r="CE352" s="243"/>
      <c r="CF352" s="243"/>
      <c r="CG352" s="243"/>
      <c r="CH352" s="243"/>
      <c r="CI352" s="243"/>
      <c r="CJ352" s="243"/>
      <c r="CK352" s="243"/>
      <c r="CL352" s="243"/>
      <c r="CM352" s="243"/>
      <c r="CN352" s="243"/>
      <c r="CO352" s="243"/>
      <c r="CP352" s="243"/>
      <c r="CQ352" s="243"/>
      <c r="CR352" s="243"/>
      <c r="CS352" s="243"/>
      <c r="CT352" s="243"/>
      <c r="CU352" s="243"/>
      <c r="CV352" s="243"/>
      <c r="CW352" s="243"/>
      <c r="CX352" s="243"/>
      <c r="CY352" s="243"/>
      <c r="CZ352" s="243"/>
      <c r="DA352" s="243"/>
      <c r="DB352" s="243"/>
      <c r="DC352" s="243"/>
      <c r="DD352" s="243"/>
      <c r="DE352" s="243"/>
      <c r="DF352" s="243"/>
      <c r="DG352" s="243"/>
      <c r="DH352" s="243"/>
      <c r="DI352" s="243"/>
      <c r="DJ352" s="243"/>
      <c r="DK352" s="243"/>
      <c r="DL352" s="243"/>
      <c r="DM352" s="243"/>
      <c r="DN352" s="243"/>
      <c r="DO352" s="243"/>
      <c r="DP352" s="243"/>
      <c r="DQ352" s="243"/>
      <c r="DR352" s="243"/>
      <c r="DS352" s="243"/>
      <c r="DT352" s="243"/>
      <c r="DU352" s="243"/>
      <c r="DV352" s="243"/>
      <c r="DW352" s="243"/>
      <c r="DX352" s="243"/>
      <c r="DY352" s="243"/>
      <c r="DZ352" s="243"/>
      <c r="EA352" s="243"/>
      <c r="EB352" s="243"/>
      <c r="EC352" s="243"/>
      <c r="ED352" s="243"/>
      <c r="EE352" s="243"/>
      <c r="EF352" s="243"/>
      <c r="EG352" s="243"/>
      <c r="EH352" s="243"/>
      <c r="EI352" s="243"/>
      <c r="EJ352" s="243"/>
      <c r="EK352" s="243"/>
      <c r="EL352" s="243"/>
      <c r="EM352" s="243"/>
      <c r="EN352" s="243"/>
      <c r="EO352" s="243"/>
      <c r="EP352" s="243"/>
      <c r="EQ352" s="243"/>
      <c r="ER352" s="243"/>
      <c r="ES352" s="243"/>
      <c r="ET352" s="243"/>
      <c r="EU352" s="243"/>
      <c r="EV352" s="243"/>
      <c r="EW352" s="243"/>
      <c r="EX352" s="243"/>
      <c r="EY352" s="243"/>
      <c r="EZ352" s="243"/>
      <c r="FA352" s="243"/>
      <c r="FB352" s="243"/>
      <c r="FC352" s="243"/>
      <c r="FD352" s="243"/>
      <c r="FE352" s="243"/>
      <c r="FF352" s="243"/>
      <c r="FG352" s="243"/>
      <c r="FH352" s="243"/>
      <c r="FI352" s="243"/>
      <c r="FJ352" s="243"/>
      <c r="FK352" s="243"/>
      <c r="FL352" s="243"/>
      <c r="FM352" s="243"/>
      <c r="FN352" s="243"/>
      <c r="FO352" s="243"/>
      <c r="FP352" s="243"/>
      <c r="FQ352" s="243"/>
      <c r="FR352" s="243"/>
      <c r="FS352" s="243"/>
      <c r="FT352" s="243"/>
      <c r="FU352" s="243"/>
      <c r="FV352" s="243"/>
      <c r="FW352" s="243"/>
      <c r="FX352" s="243"/>
      <c r="FY352" s="243"/>
      <c r="FZ352" s="243"/>
      <c r="GA352" s="243"/>
      <c r="GB352" s="243"/>
      <c r="GC352" s="243"/>
      <c r="GD352" s="243"/>
      <c r="GE352" s="243"/>
      <c r="GF352" s="243"/>
      <c r="GG352" s="243"/>
      <c r="GH352" s="243"/>
      <c r="GI352" s="243"/>
      <c r="GJ352" s="243"/>
      <c r="GK352" s="243"/>
      <c r="GL352" s="243"/>
      <c r="GM352" s="243"/>
      <c r="GN352" s="243"/>
      <c r="GO352" s="243"/>
      <c r="GP352" s="243"/>
      <c r="GQ352" s="243"/>
      <c r="GR352" s="243"/>
      <c r="GS352" s="243"/>
      <c r="GT352" s="243"/>
    </row>
    <row r="353" spans="1:202" s="79" customFormat="1" ht="11.25" customHeight="1">
      <c r="A353" s="192"/>
      <c r="B353" s="145" t="s">
        <v>594</v>
      </c>
      <c r="C353" s="216"/>
      <c r="D353" s="141"/>
      <c r="E353" s="147">
        <v>6502.7</v>
      </c>
      <c r="F353" s="147">
        <v>1880</v>
      </c>
      <c r="G353" s="177">
        <f>E353-F353</f>
        <v>4622.7</v>
      </c>
      <c r="H353" s="147">
        <v>6502.7</v>
      </c>
      <c r="I353" s="214">
        <v>1880</v>
      </c>
      <c r="J353" s="210">
        <f>H353-I353</f>
        <v>4622.7</v>
      </c>
      <c r="K353" s="253">
        <v>630.87699999999995</v>
      </c>
      <c r="L353" s="253">
        <v>626.16700000000003</v>
      </c>
      <c r="M353" s="253"/>
      <c r="N353" s="287">
        <f t="shared" ref="N353:N369" si="865">K353+L353+M353</f>
        <v>1257.0439999999999</v>
      </c>
      <c r="O353" s="274"/>
      <c r="P353" s="274"/>
      <c r="Q353" s="291"/>
      <c r="R353" s="287"/>
      <c r="S353" s="291"/>
      <c r="T353" s="265"/>
      <c r="U353" s="274"/>
      <c r="V353" s="274"/>
      <c r="W353" s="291"/>
      <c r="X353" s="274"/>
      <c r="Y353" s="142"/>
      <c r="Z353" s="274"/>
      <c r="AA353" s="274"/>
      <c r="AB353" s="274"/>
      <c r="AC353" s="274"/>
      <c r="AD353" s="274"/>
      <c r="AE353" s="274"/>
      <c r="AF353" s="287">
        <f>SUM(Z353:AE353)</f>
        <v>0</v>
      </c>
      <c r="AG353" s="283">
        <f t="shared" si="846"/>
        <v>1257.0439999999999</v>
      </c>
      <c r="AH353" s="306">
        <f t="shared" si="847"/>
        <v>2916355.1078999997</v>
      </c>
      <c r="AI353" s="306">
        <f t="shared" si="848"/>
        <v>2894582.1908999998</v>
      </c>
      <c r="AJ353" s="306">
        <f t="shared" si="849"/>
        <v>0</v>
      </c>
      <c r="AK353" s="261">
        <f t="shared" ref="AK353:AK369" si="866">AH353+AI353+AJ353</f>
        <v>5810937.2987999991</v>
      </c>
      <c r="AL353" s="229">
        <f t="shared" si="850"/>
        <v>0</v>
      </c>
      <c r="AM353" s="229">
        <f t="shared" si="851"/>
        <v>0</v>
      </c>
      <c r="AN353" s="229">
        <f t="shared" si="852"/>
        <v>0</v>
      </c>
      <c r="AO353" s="261"/>
      <c r="AP353" s="306">
        <f t="shared" si="853"/>
        <v>0</v>
      </c>
      <c r="AQ353" s="306">
        <f t="shared" si="854"/>
        <v>0</v>
      </c>
      <c r="AR353" s="306">
        <f t="shared" si="855"/>
        <v>0</v>
      </c>
      <c r="AS353" s="306">
        <f t="shared" si="856"/>
        <v>0</v>
      </c>
      <c r="AT353" s="306">
        <f t="shared" si="857"/>
        <v>0</v>
      </c>
      <c r="AU353" s="306">
        <f t="shared" si="858"/>
        <v>0</v>
      </c>
      <c r="AV353" s="261">
        <f t="shared" ref="AV353:AV369" si="867">SUM(AP353:AU353)</f>
        <v>0</v>
      </c>
      <c r="AW353" s="306">
        <f t="shared" si="859"/>
        <v>0</v>
      </c>
      <c r="AX353" s="306">
        <f t="shared" si="860"/>
        <v>0</v>
      </c>
      <c r="AY353" s="306">
        <f t="shared" si="861"/>
        <v>0</v>
      </c>
      <c r="AZ353" s="306">
        <f t="shared" si="862"/>
        <v>0</v>
      </c>
      <c r="BA353" s="306">
        <f t="shared" si="863"/>
        <v>0</v>
      </c>
      <c r="BB353" s="306">
        <f t="shared" si="864"/>
        <v>0</v>
      </c>
      <c r="BC353" s="261">
        <f>SUM(AW353:BB353)</f>
        <v>0</v>
      </c>
      <c r="BD353" s="239">
        <f t="shared" si="841"/>
        <v>5810937.2987999991</v>
      </c>
      <c r="BE353" s="243"/>
      <c r="BF353" s="243"/>
      <c r="BG353" s="243"/>
      <c r="BH353" s="243"/>
      <c r="BI353" s="243"/>
      <c r="BJ353" s="243"/>
      <c r="BK353" s="243"/>
      <c r="BL353" s="243"/>
      <c r="BM353" s="243"/>
      <c r="BN353" s="243"/>
      <c r="BO353" s="243"/>
      <c r="BP353" s="243"/>
      <c r="BQ353" s="243"/>
      <c r="BR353" s="243"/>
      <c r="BS353" s="243"/>
      <c r="BT353" s="243"/>
      <c r="BU353" s="243"/>
      <c r="BV353" s="243"/>
      <c r="BW353" s="243"/>
      <c r="BX353" s="243"/>
      <c r="BY353" s="243"/>
      <c r="BZ353" s="243"/>
      <c r="CA353" s="243"/>
      <c r="CB353" s="243"/>
      <c r="CC353" s="243"/>
      <c r="CD353" s="243"/>
      <c r="CE353" s="243"/>
      <c r="CF353" s="243"/>
      <c r="CG353" s="243"/>
      <c r="CH353" s="243"/>
      <c r="CI353" s="243"/>
      <c r="CJ353" s="243"/>
      <c r="CK353" s="243"/>
      <c r="CL353" s="243"/>
      <c r="CM353" s="243"/>
      <c r="CN353" s="243"/>
      <c r="CO353" s="243"/>
      <c r="CP353" s="243"/>
      <c r="CQ353" s="243"/>
      <c r="CR353" s="243"/>
      <c r="CS353" s="243"/>
      <c r="CT353" s="243"/>
      <c r="CU353" s="243"/>
      <c r="CV353" s="243"/>
      <c r="CW353" s="243"/>
      <c r="CX353" s="243"/>
      <c r="CY353" s="243"/>
      <c r="CZ353" s="243"/>
      <c r="DA353" s="243"/>
      <c r="DB353" s="243"/>
      <c r="DC353" s="243"/>
      <c r="DD353" s="243"/>
      <c r="DE353" s="243"/>
      <c r="DF353" s="243"/>
      <c r="DG353" s="243"/>
      <c r="DH353" s="243"/>
      <c r="DI353" s="243"/>
      <c r="DJ353" s="243"/>
      <c r="DK353" s="243"/>
      <c r="DL353" s="243"/>
      <c r="DM353" s="243"/>
      <c r="DN353" s="243"/>
      <c r="DO353" s="243"/>
      <c r="DP353" s="243"/>
      <c r="DQ353" s="243"/>
      <c r="DR353" s="243"/>
      <c r="DS353" s="243"/>
      <c r="DT353" s="243"/>
      <c r="DU353" s="243"/>
      <c r="DV353" s="243"/>
      <c r="DW353" s="243"/>
      <c r="DX353" s="243"/>
      <c r="DY353" s="243"/>
      <c r="DZ353" s="243"/>
      <c r="EA353" s="243"/>
      <c r="EB353" s="243"/>
      <c r="EC353" s="243"/>
      <c r="ED353" s="243"/>
      <c r="EE353" s="243"/>
      <c r="EF353" s="243"/>
      <c r="EG353" s="243"/>
      <c r="EH353" s="243"/>
      <c r="EI353" s="243"/>
      <c r="EJ353" s="243"/>
      <c r="EK353" s="243"/>
      <c r="EL353" s="243"/>
      <c r="EM353" s="243"/>
      <c r="EN353" s="243"/>
      <c r="EO353" s="243"/>
      <c r="EP353" s="243"/>
      <c r="EQ353" s="243"/>
      <c r="ER353" s="243"/>
      <c r="ES353" s="243"/>
      <c r="ET353" s="243"/>
      <c r="EU353" s="243"/>
      <c r="EV353" s="243"/>
      <c r="EW353" s="243"/>
      <c r="EX353" s="243"/>
      <c r="EY353" s="243"/>
      <c r="EZ353" s="243"/>
      <c r="FA353" s="243"/>
      <c r="FB353" s="243"/>
      <c r="FC353" s="243"/>
      <c r="FD353" s="243"/>
      <c r="FE353" s="243"/>
      <c r="FF353" s="243"/>
      <c r="FG353" s="243"/>
      <c r="FH353" s="243"/>
      <c r="FI353" s="243"/>
      <c r="FJ353" s="243"/>
      <c r="FK353" s="243"/>
      <c r="FL353" s="243"/>
      <c r="FM353" s="243"/>
      <c r="FN353" s="243"/>
      <c r="FO353" s="243"/>
      <c r="FP353" s="243"/>
      <c r="FQ353" s="243"/>
      <c r="FR353" s="243"/>
      <c r="FS353" s="243"/>
      <c r="FT353" s="243"/>
      <c r="FU353" s="243"/>
      <c r="FV353" s="243"/>
      <c r="FW353" s="243"/>
      <c r="FX353" s="243"/>
      <c r="FY353" s="243"/>
      <c r="FZ353" s="243"/>
      <c r="GA353" s="243"/>
      <c r="GB353" s="243"/>
      <c r="GC353" s="243"/>
      <c r="GD353" s="243"/>
      <c r="GE353" s="243"/>
      <c r="GF353" s="243"/>
      <c r="GG353" s="243"/>
      <c r="GH353" s="243"/>
      <c r="GI353" s="243"/>
      <c r="GJ353" s="243"/>
      <c r="GK353" s="243"/>
      <c r="GL353" s="243"/>
      <c r="GM353" s="243"/>
      <c r="GN353" s="243"/>
      <c r="GO353" s="243"/>
      <c r="GP353" s="243"/>
      <c r="GQ353" s="243"/>
      <c r="GR353" s="243"/>
      <c r="GS353" s="243"/>
      <c r="GT353" s="243"/>
    </row>
    <row r="354" spans="1:202" s="79" customFormat="1" ht="11.25" customHeight="1">
      <c r="A354" s="192"/>
      <c r="B354" s="145" t="s">
        <v>425</v>
      </c>
      <c r="C354" s="216"/>
      <c r="D354" s="141"/>
      <c r="E354" s="147">
        <v>6317.58</v>
      </c>
      <c r="F354" s="147">
        <v>1298.33</v>
      </c>
      <c r="G354" s="177">
        <f>E354-F354</f>
        <v>5019.25</v>
      </c>
      <c r="H354" s="147">
        <v>6317.58</v>
      </c>
      <c r="I354" s="214">
        <v>1298.33</v>
      </c>
      <c r="J354" s="210">
        <f>H354-I354</f>
        <v>5019.25</v>
      </c>
      <c r="K354" s="253">
        <v>26.47</v>
      </c>
      <c r="L354" s="253">
        <v>26.428999999999998</v>
      </c>
      <c r="M354" s="253"/>
      <c r="N354" s="287">
        <f t="shared" si="865"/>
        <v>52.899000000000001</v>
      </c>
      <c r="O354" s="274"/>
      <c r="P354" s="274"/>
      <c r="Q354" s="291"/>
      <c r="R354" s="287"/>
      <c r="S354" s="291"/>
      <c r="T354" s="265"/>
      <c r="U354" s="274"/>
      <c r="V354" s="274"/>
      <c r="W354" s="291"/>
      <c r="X354" s="274"/>
      <c r="Y354" s="142"/>
      <c r="Z354" s="274"/>
      <c r="AA354" s="274"/>
      <c r="AB354" s="274"/>
      <c r="AC354" s="274"/>
      <c r="AD354" s="274"/>
      <c r="AE354" s="274"/>
      <c r="AF354" s="287">
        <f>SUM(Z354:AE354)</f>
        <v>0</v>
      </c>
      <c r="AG354" s="283">
        <f t="shared" si="846"/>
        <v>52.899000000000001</v>
      </c>
      <c r="AH354" s="306">
        <f t="shared" si="847"/>
        <v>132859.54749999999</v>
      </c>
      <c r="AI354" s="306">
        <f t="shared" si="848"/>
        <v>132653.75824999998</v>
      </c>
      <c r="AJ354" s="306">
        <f t="shared" si="849"/>
        <v>0</v>
      </c>
      <c r="AK354" s="261">
        <f t="shared" si="866"/>
        <v>265513.30574999994</v>
      </c>
      <c r="AL354" s="229">
        <f t="shared" si="850"/>
        <v>0</v>
      </c>
      <c r="AM354" s="229">
        <f t="shared" si="851"/>
        <v>0</v>
      </c>
      <c r="AN354" s="229">
        <f t="shared" si="852"/>
        <v>0</v>
      </c>
      <c r="AO354" s="261"/>
      <c r="AP354" s="306">
        <f t="shared" si="853"/>
        <v>0</v>
      </c>
      <c r="AQ354" s="306">
        <f t="shared" si="854"/>
        <v>0</v>
      </c>
      <c r="AR354" s="306">
        <f t="shared" si="855"/>
        <v>0</v>
      </c>
      <c r="AS354" s="306">
        <f t="shared" si="856"/>
        <v>0</v>
      </c>
      <c r="AT354" s="306">
        <f t="shared" si="857"/>
        <v>0</v>
      </c>
      <c r="AU354" s="306">
        <f t="shared" si="858"/>
        <v>0</v>
      </c>
      <c r="AV354" s="261">
        <f t="shared" si="867"/>
        <v>0</v>
      </c>
      <c r="AW354" s="306">
        <f t="shared" si="859"/>
        <v>0</v>
      </c>
      <c r="AX354" s="306">
        <f t="shared" si="860"/>
        <v>0</v>
      </c>
      <c r="AY354" s="306">
        <f t="shared" si="861"/>
        <v>0</v>
      </c>
      <c r="AZ354" s="306">
        <f t="shared" si="862"/>
        <v>0</v>
      </c>
      <c r="BA354" s="306">
        <f t="shared" si="863"/>
        <v>0</v>
      </c>
      <c r="BB354" s="306">
        <f t="shared" si="864"/>
        <v>0</v>
      </c>
      <c r="BC354" s="261">
        <f>SUM(AW354:BB354)</f>
        <v>0</v>
      </c>
      <c r="BD354" s="239">
        <f t="shared" si="841"/>
        <v>265513.30574999994</v>
      </c>
      <c r="BE354" s="243"/>
      <c r="BF354" s="243"/>
      <c r="BG354" s="243"/>
      <c r="BH354" s="243"/>
      <c r="BI354" s="243"/>
      <c r="BJ354" s="243"/>
      <c r="BK354" s="243"/>
      <c r="BL354" s="243"/>
      <c r="BM354" s="243"/>
      <c r="BN354" s="243"/>
      <c r="BO354" s="243"/>
      <c r="BP354" s="243"/>
      <c r="BQ354" s="243"/>
      <c r="BR354" s="243"/>
      <c r="BS354" s="243"/>
      <c r="BT354" s="243"/>
      <c r="BU354" s="243"/>
      <c r="BV354" s="243"/>
      <c r="BW354" s="243"/>
      <c r="BX354" s="243"/>
      <c r="BY354" s="243"/>
      <c r="BZ354" s="243"/>
      <c r="CA354" s="243"/>
      <c r="CB354" s="243"/>
      <c r="CC354" s="243"/>
      <c r="CD354" s="243"/>
      <c r="CE354" s="243"/>
      <c r="CF354" s="243"/>
      <c r="CG354" s="243"/>
      <c r="CH354" s="243"/>
      <c r="CI354" s="243"/>
      <c r="CJ354" s="243"/>
      <c r="CK354" s="243"/>
      <c r="CL354" s="243"/>
      <c r="CM354" s="243"/>
      <c r="CN354" s="243"/>
      <c r="CO354" s="243"/>
      <c r="CP354" s="243"/>
      <c r="CQ354" s="243"/>
      <c r="CR354" s="243"/>
      <c r="CS354" s="243"/>
      <c r="CT354" s="243"/>
      <c r="CU354" s="243"/>
      <c r="CV354" s="243"/>
      <c r="CW354" s="243"/>
      <c r="CX354" s="243"/>
      <c r="CY354" s="243"/>
      <c r="CZ354" s="243"/>
      <c r="DA354" s="243"/>
      <c r="DB354" s="243"/>
      <c r="DC354" s="243"/>
      <c r="DD354" s="243"/>
      <c r="DE354" s="243"/>
      <c r="DF354" s="243"/>
      <c r="DG354" s="243"/>
      <c r="DH354" s="243"/>
      <c r="DI354" s="243"/>
      <c r="DJ354" s="243"/>
      <c r="DK354" s="243"/>
      <c r="DL354" s="243"/>
      <c r="DM354" s="243"/>
      <c r="DN354" s="243"/>
      <c r="DO354" s="243"/>
      <c r="DP354" s="243"/>
      <c r="DQ354" s="243"/>
      <c r="DR354" s="243"/>
      <c r="DS354" s="243"/>
      <c r="DT354" s="243"/>
      <c r="DU354" s="243"/>
      <c r="DV354" s="243"/>
      <c r="DW354" s="243"/>
      <c r="DX354" s="243"/>
      <c r="DY354" s="243"/>
      <c r="DZ354" s="243"/>
      <c r="EA354" s="243"/>
      <c r="EB354" s="243"/>
      <c r="EC354" s="243"/>
      <c r="ED354" s="243"/>
      <c r="EE354" s="243"/>
      <c r="EF354" s="243"/>
      <c r="EG354" s="243"/>
      <c r="EH354" s="243"/>
      <c r="EI354" s="243"/>
      <c r="EJ354" s="243"/>
      <c r="EK354" s="243"/>
      <c r="EL354" s="243"/>
      <c r="EM354" s="243"/>
      <c r="EN354" s="243"/>
      <c r="EO354" s="243"/>
      <c r="EP354" s="243"/>
      <c r="EQ354" s="243"/>
      <c r="ER354" s="243"/>
      <c r="ES354" s="243"/>
      <c r="ET354" s="243"/>
      <c r="EU354" s="243"/>
      <c r="EV354" s="243"/>
      <c r="EW354" s="243"/>
      <c r="EX354" s="243"/>
      <c r="EY354" s="243"/>
      <c r="EZ354" s="243"/>
      <c r="FA354" s="243"/>
      <c r="FB354" s="243"/>
      <c r="FC354" s="243"/>
      <c r="FD354" s="243"/>
      <c r="FE354" s="243"/>
      <c r="FF354" s="243"/>
      <c r="FG354" s="243"/>
      <c r="FH354" s="243"/>
      <c r="FI354" s="243"/>
      <c r="FJ354" s="243"/>
      <c r="FK354" s="243"/>
      <c r="FL354" s="243"/>
      <c r="FM354" s="243"/>
      <c r="FN354" s="243"/>
      <c r="FO354" s="243"/>
      <c r="FP354" s="243"/>
      <c r="FQ354" s="243"/>
      <c r="FR354" s="243"/>
      <c r="FS354" s="243"/>
      <c r="FT354" s="243"/>
      <c r="FU354" s="243"/>
      <c r="FV354" s="243"/>
      <c r="FW354" s="243"/>
      <c r="FX354" s="243"/>
      <c r="FY354" s="243"/>
      <c r="FZ354" s="243"/>
      <c r="GA354" s="243"/>
      <c r="GB354" s="243"/>
      <c r="GC354" s="243"/>
      <c r="GD354" s="243"/>
      <c r="GE354" s="243"/>
      <c r="GF354" s="243"/>
      <c r="GG354" s="243"/>
      <c r="GH354" s="243"/>
      <c r="GI354" s="243"/>
      <c r="GJ354" s="243"/>
      <c r="GK354" s="243"/>
      <c r="GL354" s="243"/>
      <c r="GM354" s="243"/>
      <c r="GN354" s="243"/>
      <c r="GO354" s="243"/>
      <c r="GP354" s="243"/>
      <c r="GQ354" s="243"/>
      <c r="GR354" s="243"/>
      <c r="GS354" s="243"/>
      <c r="GT354" s="243"/>
    </row>
    <row r="355" spans="1:202" s="79" customFormat="1" ht="11.25" customHeight="1">
      <c r="A355" s="192"/>
      <c r="B355" s="145" t="s">
        <v>566</v>
      </c>
      <c r="C355" s="216"/>
      <c r="D355" s="141"/>
      <c r="E355" s="147">
        <v>10368.83</v>
      </c>
      <c r="F355" s="147">
        <v>1657.5</v>
      </c>
      <c r="G355" s="177">
        <f>E355-F355</f>
        <v>8711.33</v>
      </c>
      <c r="H355" s="147">
        <v>10368.83</v>
      </c>
      <c r="I355" s="214">
        <v>1657.5</v>
      </c>
      <c r="J355" s="210">
        <f>H355-I355</f>
        <v>8711.33</v>
      </c>
      <c r="K355" s="253">
        <v>19.645</v>
      </c>
      <c r="L355" s="253">
        <v>19.645</v>
      </c>
      <c r="M355" s="253"/>
      <c r="N355" s="287">
        <f t="shared" si="865"/>
        <v>39.29</v>
      </c>
      <c r="O355" s="274"/>
      <c r="P355" s="274"/>
      <c r="Q355" s="291"/>
      <c r="R355" s="287"/>
      <c r="S355" s="291"/>
      <c r="T355" s="265"/>
      <c r="U355" s="274"/>
      <c r="V355" s="274"/>
      <c r="W355" s="291"/>
      <c r="X355" s="274"/>
      <c r="Y355" s="142"/>
      <c r="Z355" s="274"/>
      <c r="AA355" s="274"/>
      <c r="AB355" s="274"/>
      <c r="AC355" s="274"/>
      <c r="AD355" s="274"/>
      <c r="AE355" s="274"/>
      <c r="AF355" s="287">
        <f>SUM(Z355:AE355)</f>
        <v>0</v>
      </c>
      <c r="AG355" s="283">
        <f t="shared" si="846"/>
        <v>39.29</v>
      </c>
      <c r="AH355" s="306">
        <f t="shared" si="847"/>
        <v>171134.07785</v>
      </c>
      <c r="AI355" s="306">
        <f t="shared" si="848"/>
        <v>171134.07785</v>
      </c>
      <c r="AJ355" s="306">
        <f t="shared" si="849"/>
        <v>0</v>
      </c>
      <c r="AK355" s="261">
        <f t="shared" si="866"/>
        <v>342268.1557</v>
      </c>
      <c r="AL355" s="229">
        <f t="shared" si="850"/>
        <v>0</v>
      </c>
      <c r="AM355" s="229">
        <f t="shared" si="851"/>
        <v>0</v>
      </c>
      <c r="AN355" s="229">
        <f t="shared" si="852"/>
        <v>0</v>
      </c>
      <c r="AO355" s="261"/>
      <c r="AP355" s="306">
        <f t="shared" si="853"/>
        <v>0</v>
      </c>
      <c r="AQ355" s="306">
        <f t="shared" si="854"/>
        <v>0</v>
      </c>
      <c r="AR355" s="306">
        <f t="shared" si="855"/>
        <v>0</v>
      </c>
      <c r="AS355" s="306">
        <f t="shared" si="856"/>
        <v>0</v>
      </c>
      <c r="AT355" s="306">
        <f t="shared" si="857"/>
        <v>0</v>
      </c>
      <c r="AU355" s="306">
        <f t="shared" si="858"/>
        <v>0</v>
      </c>
      <c r="AV355" s="261">
        <f t="shared" si="867"/>
        <v>0</v>
      </c>
      <c r="AW355" s="306">
        <f t="shared" si="859"/>
        <v>0</v>
      </c>
      <c r="AX355" s="306">
        <f t="shared" si="860"/>
        <v>0</v>
      </c>
      <c r="AY355" s="306">
        <f t="shared" si="861"/>
        <v>0</v>
      </c>
      <c r="AZ355" s="306">
        <f t="shared" si="862"/>
        <v>0</v>
      </c>
      <c r="BA355" s="306">
        <f t="shared" si="863"/>
        <v>0</v>
      </c>
      <c r="BB355" s="306">
        <f t="shared" si="864"/>
        <v>0</v>
      </c>
      <c r="BC355" s="261">
        <f>SUM(AW355:BB355)</f>
        <v>0</v>
      </c>
      <c r="BD355" s="239">
        <f t="shared" si="841"/>
        <v>342268.1557</v>
      </c>
      <c r="BE355" s="243"/>
      <c r="BF355" s="243"/>
      <c r="BG355" s="243"/>
      <c r="BH355" s="243"/>
      <c r="BI355" s="243"/>
      <c r="BJ355" s="243"/>
      <c r="BK355" s="243"/>
      <c r="BL355" s="243"/>
      <c r="BM355" s="243"/>
      <c r="BN355" s="243"/>
      <c r="BO355" s="243"/>
      <c r="BP355" s="243"/>
      <c r="BQ355" s="243"/>
      <c r="BR355" s="243"/>
      <c r="BS355" s="243"/>
      <c r="BT355" s="243"/>
      <c r="BU355" s="243"/>
      <c r="BV355" s="243"/>
      <c r="BW355" s="243"/>
      <c r="BX355" s="243"/>
      <c r="BY355" s="243"/>
      <c r="BZ355" s="243"/>
      <c r="CA355" s="243"/>
      <c r="CB355" s="243"/>
      <c r="CC355" s="243"/>
      <c r="CD355" s="243"/>
      <c r="CE355" s="243"/>
      <c r="CF355" s="243"/>
      <c r="CG355" s="243"/>
      <c r="CH355" s="243"/>
      <c r="CI355" s="243"/>
      <c r="CJ355" s="243"/>
      <c r="CK355" s="243"/>
      <c r="CL355" s="243"/>
      <c r="CM355" s="243"/>
      <c r="CN355" s="243"/>
      <c r="CO355" s="243"/>
      <c r="CP355" s="243"/>
      <c r="CQ355" s="243"/>
      <c r="CR355" s="243"/>
      <c r="CS355" s="243"/>
      <c r="CT355" s="243"/>
      <c r="CU355" s="243"/>
      <c r="CV355" s="243"/>
      <c r="CW355" s="243"/>
      <c r="CX355" s="243"/>
      <c r="CY355" s="243"/>
      <c r="CZ355" s="243"/>
      <c r="DA355" s="243"/>
      <c r="DB355" s="243"/>
      <c r="DC355" s="243"/>
      <c r="DD355" s="243"/>
      <c r="DE355" s="243"/>
      <c r="DF355" s="243"/>
      <c r="DG355" s="243"/>
      <c r="DH355" s="243"/>
      <c r="DI355" s="243"/>
      <c r="DJ355" s="243"/>
      <c r="DK355" s="243"/>
      <c r="DL355" s="243"/>
      <c r="DM355" s="243"/>
      <c r="DN355" s="243"/>
      <c r="DO355" s="243"/>
      <c r="DP355" s="243"/>
      <c r="DQ355" s="243"/>
      <c r="DR355" s="243"/>
      <c r="DS355" s="243"/>
      <c r="DT355" s="243"/>
      <c r="DU355" s="243"/>
      <c r="DV355" s="243"/>
      <c r="DW355" s="243"/>
      <c r="DX355" s="243"/>
      <c r="DY355" s="243"/>
      <c r="DZ355" s="243"/>
      <c r="EA355" s="243"/>
      <c r="EB355" s="243"/>
      <c r="EC355" s="243"/>
      <c r="ED355" s="243"/>
      <c r="EE355" s="243"/>
      <c r="EF355" s="243"/>
      <c r="EG355" s="243"/>
      <c r="EH355" s="243"/>
      <c r="EI355" s="243"/>
      <c r="EJ355" s="243"/>
      <c r="EK355" s="243"/>
      <c r="EL355" s="243"/>
      <c r="EM355" s="243"/>
      <c r="EN355" s="243"/>
      <c r="EO355" s="243"/>
      <c r="EP355" s="243"/>
      <c r="EQ355" s="243"/>
      <c r="ER355" s="243"/>
      <c r="ES355" s="243"/>
      <c r="ET355" s="243"/>
      <c r="EU355" s="243"/>
      <c r="EV355" s="243"/>
      <c r="EW355" s="243"/>
      <c r="EX355" s="243"/>
      <c r="EY355" s="243"/>
      <c r="EZ355" s="243"/>
      <c r="FA355" s="243"/>
      <c r="FB355" s="243"/>
      <c r="FC355" s="243"/>
      <c r="FD355" s="243"/>
      <c r="FE355" s="243"/>
      <c r="FF355" s="243"/>
      <c r="FG355" s="243"/>
      <c r="FH355" s="243"/>
      <c r="FI355" s="243"/>
      <c r="FJ355" s="243"/>
      <c r="FK355" s="243"/>
      <c r="FL355" s="243"/>
      <c r="FM355" s="243"/>
      <c r="FN355" s="243"/>
      <c r="FO355" s="243"/>
      <c r="FP355" s="243"/>
      <c r="FQ355" s="243"/>
      <c r="FR355" s="243"/>
      <c r="FS355" s="243"/>
      <c r="FT355" s="243"/>
      <c r="FU355" s="243"/>
      <c r="FV355" s="243"/>
      <c r="FW355" s="243"/>
      <c r="FX355" s="243"/>
      <c r="FY355" s="243"/>
      <c r="FZ355" s="243"/>
      <c r="GA355" s="243"/>
      <c r="GB355" s="243"/>
      <c r="GC355" s="243"/>
      <c r="GD355" s="243"/>
      <c r="GE355" s="243"/>
      <c r="GF355" s="243"/>
      <c r="GG355" s="243"/>
      <c r="GH355" s="243"/>
      <c r="GI355" s="243"/>
      <c r="GJ355" s="243"/>
      <c r="GK355" s="243"/>
      <c r="GL355" s="243"/>
      <c r="GM355" s="243"/>
      <c r="GN355" s="243"/>
      <c r="GO355" s="243"/>
      <c r="GP355" s="243"/>
      <c r="GQ355" s="243"/>
      <c r="GR355" s="243"/>
      <c r="GS355" s="243"/>
      <c r="GT355" s="243"/>
    </row>
    <row r="356" spans="1:202" s="79" customFormat="1" ht="11.25" customHeight="1">
      <c r="A356" s="192"/>
      <c r="B356" s="145" t="s">
        <v>567</v>
      </c>
      <c r="C356" s="216"/>
      <c r="D356" s="141"/>
      <c r="E356" s="147">
        <v>23015.17</v>
      </c>
      <c r="F356" s="147">
        <v>1657.5</v>
      </c>
      <c r="G356" s="177">
        <f>E356-F356</f>
        <v>21357.67</v>
      </c>
      <c r="H356" s="147">
        <v>23015.17</v>
      </c>
      <c r="I356" s="214">
        <v>1657.5</v>
      </c>
      <c r="J356" s="210">
        <f>H356-I356</f>
        <v>21357.67</v>
      </c>
      <c r="K356" s="253">
        <v>40.581000000000003</v>
      </c>
      <c r="L356" s="253">
        <v>40.581000000000003</v>
      </c>
      <c r="M356" s="253"/>
      <c r="N356" s="287">
        <f t="shared" si="865"/>
        <v>81.162000000000006</v>
      </c>
      <c r="O356" s="274"/>
      <c r="P356" s="274"/>
      <c r="Q356" s="291"/>
      <c r="R356" s="287"/>
      <c r="S356" s="291"/>
      <c r="T356" s="265"/>
      <c r="U356" s="274"/>
      <c r="V356" s="274"/>
      <c r="W356" s="291"/>
      <c r="X356" s="274"/>
      <c r="Y356" s="142"/>
      <c r="Z356" s="274"/>
      <c r="AA356" s="274"/>
      <c r="AB356" s="274"/>
      <c r="AC356" s="274"/>
      <c r="AD356" s="274"/>
      <c r="AE356" s="274"/>
      <c r="AF356" s="287">
        <f>SUM(Z356:AE356)</f>
        <v>0</v>
      </c>
      <c r="AG356" s="283">
        <f t="shared" si="846"/>
        <v>81.162000000000006</v>
      </c>
      <c r="AH356" s="306">
        <f t="shared" si="847"/>
        <v>866715.60626999999</v>
      </c>
      <c r="AI356" s="306">
        <f t="shared" si="848"/>
        <v>866715.60626999999</v>
      </c>
      <c r="AJ356" s="306">
        <f t="shared" si="849"/>
        <v>0</v>
      </c>
      <c r="AK356" s="261">
        <f t="shared" si="866"/>
        <v>1733431.21254</v>
      </c>
      <c r="AL356" s="229">
        <f t="shared" si="850"/>
        <v>0</v>
      </c>
      <c r="AM356" s="229">
        <f t="shared" si="851"/>
        <v>0</v>
      </c>
      <c r="AN356" s="229">
        <f t="shared" si="852"/>
        <v>0</v>
      </c>
      <c r="AO356" s="261"/>
      <c r="AP356" s="306">
        <f t="shared" si="853"/>
        <v>0</v>
      </c>
      <c r="AQ356" s="306">
        <f t="shared" si="854"/>
        <v>0</v>
      </c>
      <c r="AR356" s="306">
        <f t="shared" si="855"/>
        <v>0</v>
      </c>
      <c r="AS356" s="306">
        <f t="shared" si="856"/>
        <v>0</v>
      </c>
      <c r="AT356" s="306">
        <f t="shared" si="857"/>
        <v>0</v>
      </c>
      <c r="AU356" s="306">
        <f t="shared" si="858"/>
        <v>0</v>
      </c>
      <c r="AV356" s="261">
        <f t="shared" si="867"/>
        <v>0</v>
      </c>
      <c r="AW356" s="306">
        <f t="shared" si="859"/>
        <v>0</v>
      </c>
      <c r="AX356" s="306">
        <f t="shared" si="860"/>
        <v>0</v>
      </c>
      <c r="AY356" s="306">
        <f t="shared" si="861"/>
        <v>0</v>
      </c>
      <c r="AZ356" s="306">
        <f t="shared" si="862"/>
        <v>0</v>
      </c>
      <c r="BA356" s="306">
        <f t="shared" si="863"/>
        <v>0</v>
      </c>
      <c r="BB356" s="306">
        <f t="shared" si="864"/>
        <v>0</v>
      </c>
      <c r="BC356" s="261">
        <f>SUM(AW356:BB356)</f>
        <v>0</v>
      </c>
      <c r="BD356" s="239">
        <f t="shared" si="841"/>
        <v>1733431.21254</v>
      </c>
      <c r="BE356" s="243"/>
      <c r="BF356" s="243"/>
      <c r="BG356" s="243"/>
      <c r="BH356" s="243"/>
      <c r="BI356" s="243"/>
      <c r="BJ356" s="243"/>
      <c r="BK356" s="243"/>
      <c r="BL356" s="243"/>
      <c r="BM356" s="243"/>
      <c r="BN356" s="243"/>
      <c r="BO356" s="243"/>
      <c r="BP356" s="243"/>
      <c r="BQ356" s="243"/>
      <c r="BR356" s="243"/>
      <c r="BS356" s="243"/>
      <c r="BT356" s="243"/>
      <c r="BU356" s="243"/>
      <c r="BV356" s="243"/>
      <c r="BW356" s="243"/>
      <c r="BX356" s="243"/>
      <c r="BY356" s="243"/>
      <c r="BZ356" s="243"/>
      <c r="CA356" s="243"/>
      <c r="CB356" s="243"/>
      <c r="CC356" s="243"/>
      <c r="CD356" s="243"/>
      <c r="CE356" s="243"/>
      <c r="CF356" s="243"/>
      <c r="CG356" s="243"/>
      <c r="CH356" s="243"/>
      <c r="CI356" s="243"/>
      <c r="CJ356" s="243"/>
      <c r="CK356" s="243"/>
      <c r="CL356" s="243"/>
      <c r="CM356" s="243"/>
      <c r="CN356" s="243"/>
      <c r="CO356" s="243"/>
      <c r="CP356" s="243"/>
      <c r="CQ356" s="243"/>
      <c r="CR356" s="243"/>
      <c r="CS356" s="243"/>
      <c r="CT356" s="243"/>
      <c r="CU356" s="243"/>
      <c r="CV356" s="243"/>
      <c r="CW356" s="243"/>
      <c r="CX356" s="243"/>
      <c r="CY356" s="243"/>
      <c r="CZ356" s="243"/>
      <c r="DA356" s="243"/>
      <c r="DB356" s="243"/>
      <c r="DC356" s="243"/>
      <c r="DD356" s="243"/>
      <c r="DE356" s="243"/>
      <c r="DF356" s="243"/>
      <c r="DG356" s="243"/>
      <c r="DH356" s="243"/>
      <c r="DI356" s="243"/>
      <c r="DJ356" s="243"/>
      <c r="DK356" s="243"/>
      <c r="DL356" s="243"/>
      <c r="DM356" s="243"/>
      <c r="DN356" s="243"/>
      <c r="DO356" s="243"/>
      <c r="DP356" s="243"/>
      <c r="DQ356" s="243"/>
      <c r="DR356" s="243"/>
      <c r="DS356" s="243"/>
      <c r="DT356" s="243"/>
      <c r="DU356" s="243"/>
      <c r="DV356" s="243"/>
      <c r="DW356" s="243"/>
      <c r="DX356" s="243"/>
      <c r="DY356" s="243"/>
      <c r="DZ356" s="243"/>
      <c r="EA356" s="243"/>
      <c r="EB356" s="243"/>
      <c r="EC356" s="243"/>
      <c r="ED356" s="243"/>
      <c r="EE356" s="243"/>
      <c r="EF356" s="243"/>
      <c r="EG356" s="243"/>
      <c r="EH356" s="243"/>
      <c r="EI356" s="243"/>
      <c r="EJ356" s="243"/>
      <c r="EK356" s="243"/>
      <c r="EL356" s="243"/>
      <c r="EM356" s="243"/>
      <c r="EN356" s="243"/>
      <c r="EO356" s="243"/>
      <c r="EP356" s="243"/>
      <c r="EQ356" s="243"/>
      <c r="ER356" s="243"/>
      <c r="ES356" s="243"/>
      <c r="ET356" s="243"/>
      <c r="EU356" s="243"/>
      <c r="EV356" s="243"/>
      <c r="EW356" s="243"/>
      <c r="EX356" s="243"/>
      <c r="EY356" s="243"/>
      <c r="EZ356" s="243"/>
      <c r="FA356" s="243"/>
      <c r="FB356" s="243"/>
      <c r="FC356" s="243"/>
      <c r="FD356" s="243"/>
      <c r="FE356" s="243"/>
      <c r="FF356" s="243"/>
      <c r="FG356" s="243"/>
      <c r="FH356" s="243"/>
      <c r="FI356" s="243"/>
      <c r="FJ356" s="243"/>
      <c r="FK356" s="243"/>
      <c r="FL356" s="243"/>
      <c r="FM356" s="243"/>
      <c r="FN356" s="243"/>
      <c r="FO356" s="243"/>
      <c r="FP356" s="243"/>
      <c r="FQ356" s="243"/>
      <c r="FR356" s="243"/>
      <c r="FS356" s="243"/>
      <c r="FT356" s="243"/>
      <c r="FU356" s="243"/>
      <c r="FV356" s="243"/>
      <c r="FW356" s="243"/>
      <c r="FX356" s="243"/>
      <c r="FY356" s="243"/>
      <c r="FZ356" s="243"/>
      <c r="GA356" s="243"/>
      <c r="GB356" s="243"/>
      <c r="GC356" s="243"/>
      <c r="GD356" s="243"/>
      <c r="GE356" s="243"/>
      <c r="GF356" s="243"/>
      <c r="GG356" s="243"/>
      <c r="GH356" s="243"/>
      <c r="GI356" s="243"/>
      <c r="GJ356" s="243"/>
      <c r="GK356" s="243"/>
      <c r="GL356" s="243"/>
      <c r="GM356" s="243"/>
      <c r="GN356" s="243"/>
      <c r="GO356" s="243"/>
      <c r="GP356" s="243"/>
      <c r="GQ356" s="243"/>
      <c r="GR356" s="243"/>
      <c r="GS356" s="243"/>
      <c r="GT356" s="243"/>
    </row>
    <row r="357" spans="1:202" s="79" customFormat="1" ht="11.25" customHeight="1">
      <c r="A357" s="192"/>
      <c r="B357" s="145" t="s">
        <v>538</v>
      </c>
      <c r="C357" s="216"/>
      <c r="D357" s="141"/>
      <c r="E357" s="147">
        <v>9574.48</v>
      </c>
      <c r="F357" s="147">
        <v>1833.33</v>
      </c>
      <c r="G357" s="177">
        <f t="shared" ref="G357:G369" si="868">E357-F357</f>
        <v>7741.15</v>
      </c>
      <c r="H357" s="147">
        <v>9574.48</v>
      </c>
      <c r="I357" s="214">
        <v>1833.33</v>
      </c>
      <c r="J357" s="210">
        <f t="shared" ref="J357:J369" si="869">H357-I357</f>
        <v>7741.15</v>
      </c>
      <c r="K357" s="253">
        <v>1056.585</v>
      </c>
      <c r="L357" s="253">
        <v>865.03200000000004</v>
      </c>
      <c r="M357" s="253"/>
      <c r="N357" s="287">
        <f t="shared" si="865"/>
        <v>1921.6170000000002</v>
      </c>
      <c r="O357" s="274"/>
      <c r="P357" s="274"/>
      <c r="Q357" s="291"/>
      <c r="R357" s="287"/>
      <c r="S357" s="291"/>
      <c r="T357" s="265"/>
      <c r="U357" s="274"/>
      <c r="V357" s="274"/>
      <c r="W357" s="291"/>
      <c r="X357" s="274"/>
      <c r="Y357" s="142"/>
      <c r="Z357" s="274"/>
      <c r="AA357" s="274"/>
      <c r="AB357" s="274"/>
      <c r="AC357" s="274"/>
      <c r="AD357" s="274"/>
      <c r="AE357" s="274"/>
      <c r="AF357" s="287">
        <f t="shared" ref="AF357:AF369" si="870">SUM(Z357:AE357)</f>
        <v>0</v>
      </c>
      <c r="AG357" s="283">
        <f t="shared" si="846"/>
        <v>1921.6170000000002</v>
      </c>
      <c r="AH357" s="306">
        <f t="shared" si="847"/>
        <v>8179182.9727499997</v>
      </c>
      <c r="AI357" s="306">
        <f t="shared" si="848"/>
        <v>6696342.4667999996</v>
      </c>
      <c r="AJ357" s="306">
        <f t="shared" si="849"/>
        <v>0</v>
      </c>
      <c r="AK357" s="261">
        <f t="shared" si="866"/>
        <v>14875525.439549999</v>
      </c>
      <c r="AL357" s="229">
        <f t="shared" si="850"/>
        <v>0</v>
      </c>
      <c r="AM357" s="229">
        <f t="shared" si="851"/>
        <v>0</v>
      </c>
      <c r="AN357" s="229">
        <f t="shared" si="852"/>
        <v>0</v>
      </c>
      <c r="AO357" s="261"/>
      <c r="AP357" s="306">
        <f t="shared" si="853"/>
        <v>0</v>
      </c>
      <c r="AQ357" s="306">
        <f t="shared" si="854"/>
        <v>0</v>
      </c>
      <c r="AR357" s="306">
        <f t="shared" si="855"/>
        <v>0</v>
      </c>
      <c r="AS357" s="306">
        <f t="shared" si="856"/>
        <v>0</v>
      </c>
      <c r="AT357" s="306">
        <f t="shared" si="857"/>
        <v>0</v>
      </c>
      <c r="AU357" s="306">
        <f t="shared" si="858"/>
        <v>0</v>
      </c>
      <c r="AV357" s="261">
        <f t="shared" si="867"/>
        <v>0</v>
      </c>
      <c r="AW357" s="306">
        <f t="shared" si="859"/>
        <v>0</v>
      </c>
      <c r="AX357" s="306">
        <f t="shared" si="860"/>
        <v>0</v>
      </c>
      <c r="AY357" s="306">
        <f t="shared" si="861"/>
        <v>0</v>
      </c>
      <c r="AZ357" s="306">
        <f t="shared" si="862"/>
        <v>0</v>
      </c>
      <c r="BA357" s="306">
        <f t="shared" si="863"/>
        <v>0</v>
      </c>
      <c r="BB357" s="306">
        <f t="shared" si="864"/>
        <v>0</v>
      </c>
      <c r="BC357" s="261">
        <f t="shared" ref="BC357:BC368" si="871">SUM(AW357:BB357)</f>
        <v>0</v>
      </c>
      <c r="BD357" s="239">
        <f t="shared" si="841"/>
        <v>14875525.439549999</v>
      </c>
      <c r="BE357" s="243"/>
      <c r="BF357" s="243"/>
      <c r="BG357" s="243"/>
      <c r="BH357" s="243"/>
      <c r="BI357" s="243"/>
      <c r="BJ357" s="243"/>
      <c r="BK357" s="243"/>
      <c r="BL357" s="243"/>
      <c r="BM357" s="243"/>
      <c r="BN357" s="243"/>
      <c r="BO357" s="243"/>
      <c r="BP357" s="243"/>
      <c r="BQ357" s="243"/>
      <c r="BR357" s="243"/>
      <c r="BS357" s="243"/>
      <c r="BT357" s="243"/>
      <c r="BU357" s="243"/>
      <c r="BV357" s="243"/>
      <c r="BW357" s="243"/>
      <c r="BX357" s="243"/>
      <c r="BY357" s="243"/>
      <c r="BZ357" s="243"/>
      <c r="CA357" s="243"/>
      <c r="CB357" s="243"/>
      <c r="CC357" s="243"/>
      <c r="CD357" s="243"/>
      <c r="CE357" s="243"/>
      <c r="CF357" s="243"/>
      <c r="CG357" s="243"/>
      <c r="CH357" s="243"/>
      <c r="CI357" s="243"/>
      <c r="CJ357" s="243"/>
      <c r="CK357" s="243"/>
      <c r="CL357" s="243"/>
      <c r="CM357" s="243"/>
      <c r="CN357" s="243"/>
      <c r="CO357" s="243"/>
      <c r="CP357" s="243"/>
      <c r="CQ357" s="243"/>
      <c r="CR357" s="243"/>
      <c r="CS357" s="243"/>
      <c r="CT357" s="243"/>
      <c r="CU357" s="243"/>
      <c r="CV357" s="243"/>
      <c r="CW357" s="243"/>
      <c r="CX357" s="243"/>
      <c r="CY357" s="243"/>
      <c r="CZ357" s="243"/>
      <c r="DA357" s="243"/>
      <c r="DB357" s="243"/>
      <c r="DC357" s="243"/>
      <c r="DD357" s="243"/>
      <c r="DE357" s="243"/>
      <c r="DF357" s="243"/>
      <c r="DG357" s="243"/>
      <c r="DH357" s="243"/>
      <c r="DI357" s="243"/>
      <c r="DJ357" s="243"/>
      <c r="DK357" s="243"/>
      <c r="DL357" s="243"/>
      <c r="DM357" s="243"/>
      <c r="DN357" s="243"/>
      <c r="DO357" s="243"/>
      <c r="DP357" s="243"/>
      <c r="DQ357" s="243"/>
      <c r="DR357" s="243"/>
      <c r="DS357" s="243"/>
      <c r="DT357" s="243"/>
      <c r="DU357" s="243"/>
      <c r="DV357" s="243"/>
      <c r="DW357" s="243"/>
      <c r="DX357" s="243"/>
      <c r="DY357" s="243"/>
      <c r="DZ357" s="243"/>
      <c r="EA357" s="243"/>
      <c r="EB357" s="243"/>
      <c r="EC357" s="243"/>
      <c r="ED357" s="243"/>
      <c r="EE357" s="243"/>
      <c r="EF357" s="243"/>
      <c r="EG357" s="243"/>
      <c r="EH357" s="243"/>
      <c r="EI357" s="243"/>
      <c r="EJ357" s="243"/>
      <c r="EK357" s="243"/>
      <c r="EL357" s="243"/>
      <c r="EM357" s="243"/>
      <c r="EN357" s="243"/>
      <c r="EO357" s="243"/>
      <c r="EP357" s="243"/>
      <c r="EQ357" s="243"/>
      <c r="ER357" s="243"/>
      <c r="ES357" s="243"/>
      <c r="ET357" s="243"/>
      <c r="EU357" s="243"/>
      <c r="EV357" s="243"/>
      <c r="EW357" s="243"/>
      <c r="EX357" s="243"/>
      <c r="EY357" s="243"/>
      <c r="EZ357" s="243"/>
      <c r="FA357" s="243"/>
      <c r="FB357" s="243"/>
      <c r="FC357" s="243"/>
      <c r="FD357" s="243"/>
      <c r="FE357" s="243"/>
      <c r="FF357" s="243"/>
      <c r="FG357" s="243"/>
      <c r="FH357" s="243"/>
      <c r="FI357" s="243"/>
      <c r="FJ357" s="243"/>
      <c r="FK357" s="243"/>
      <c r="FL357" s="243"/>
      <c r="FM357" s="243"/>
      <c r="FN357" s="243"/>
      <c r="FO357" s="243"/>
      <c r="FP357" s="243"/>
      <c r="FQ357" s="243"/>
      <c r="FR357" s="243"/>
      <c r="FS357" s="243"/>
      <c r="FT357" s="243"/>
      <c r="FU357" s="243"/>
      <c r="FV357" s="243"/>
      <c r="FW357" s="243"/>
      <c r="FX357" s="243"/>
      <c r="FY357" s="243"/>
      <c r="FZ357" s="243"/>
      <c r="GA357" s="243"/>
      <c r="GB357" s="243"/>
      <c r="GC357" s="243"/>
      <c r="GD357" s="243"/>
      <c r="GE357" s="243"/>
      <c r="GF357" s="243"/>
      <c r="GG357" s="243"/>
      <c r="GH357" s="243"/>
      <c r="GI357" s="243"/>
      <c r="GJ357" s="243"/>
      <c r="GK357" s="243"/>
      <c r="GL357" s="243"/>
      <c r="GM357" s="243"/>
      <c r="GN357" s="243"/>
      <c r="GO357" s="243"/>
      <c r="GP357" s="243"/>
      <c r="GQ357" s="243"/>
      <c r="GR357" s="243"/>
      <c r="GS357" s="243"/>
      <c r="GT357" s="243"/>
    </row>
    <row r="358" spans="1:202" s="79" customFormat="1" ht="11.25" customHeight="1">
      <c r="A358" s="192"/>
      <c r="B358" s="145" t="s">
        <v>589</v>
      </c>
      <c r="C358" s="216"/>
      <c r="D358" s="141"/>
      <c r="E358" s="147">
        <v>6635.24</v>
      </c>
      <c r="F358" s="147">
        <v>1453.33</v>
      </c>
      <c r="G358" s="177">
        <f t="shared" si="868"/>
        <v>5181.91</v>
      </c>
      <c r="H358" s="147">
        <v>6635.24</v>
      </c>
      <c r="I358" s="214">
        <v>1453.33</v>
      </c>
      <c r="J358" s="210">
        <f t="shared" si="869"/>
        <v>5181.91</v>
      </c>
      <c r="K358" s="253">
        <v>125.556</v>
      </c>
      <c r="L358" s="253">
        <v>136.94399999999999</v>
      </c>
      <c r="M358" s="253"/>
      <c r="N358" s="287">
        <f t="shared" si="865"/>
        <v>262.5</v>
      </c>
      <c r="O358" s="274"/>
      <c r="P358" s="274"/>
      <c r="Q358" s="291"/>
      <c r="R358" s="287"/>
      <c r="S358" s="291"/>
      <c r="T358" s="265"/>
      <c r="U358" s="274"/>
      <c r="V358" s="274"/>
      <c r="W358" s="291"/>
      <c r="X358" s="274"/>
      <c r="Y358" s="142"/>
      <c r="Z358" s="274"/>
      <c r="AA358" s="274"/>
      <c r="AB358" s="274"/>
      <c r="AC358" s="274"/>
      <c r="AD358" s="274"/>
      <c r="AE358" s="274"/>
      <c r="AF358" s="287">
        <f t="shared" si="870"/>
        <v>0</v>
      </c>
      <c r="AG358" s="283">
        <f t="shared" si="846"/>
        <v>262.5</v>
      </c>
      <c r="AH358" s="306">
        <f t="shared" si="847"/>
        <v>650619.89195999992</v>
      </c>
      <c r="AI358" s="306">
        <f t="shared" si="848"/>
        <v>709631.48303999996</v>
      </c>
      <c r="AJ358" s="306">
        <f t="shared" si="849"/>
        <v>0</v>
      </c>
      <c r="AK358" s="261">
        <f t="shared" si="866"/>
        <v>1360251.375</v>
      </c>
      <c r="AL358" s="229">
        <f t="shared" si="850"/>
        <v>0</v>
      </c>
      <c r="AM358" s="229">
        <f t="shared" si="851"/>
        <v>0</v>
      </c>
      <c r="AN358" s="229">
        <f t="shared" si="852"/>
        <v>0</v>
      </c>
      <c r="AO358" s="261"/>
      <c r="AP358" s="306">
        <f t="shared" si="853"/>
        <v>0</v>
      </c>
      <c r="AQ358" s="306">
        <f t="shared" si="854"/>
        <v>0</v>
      </c>
      <c r="AR358" s="306">
        <f t="shared" si="855"/>
        <v>0</v>
      </c>
      <c r="AS358" s="306">
        <f t="shared" si="856"/>
        <v>0</v>
      </c>
      <c r="AT358" s="306">
        <f t="shared" si="857"/>
        <v>0</v>
      </c>
      <c r="AU358" s="306">
        <f t="shared" si="858"/>
        <v>0</v>
      </c>
      <c r="AV358" s="261">
        <f t="shared" si="867"/>
        <v>0</v>
      </c>
      <c r="AW358" s="306">
        <f t="shared" si="859"/>
        <v>0</v>
      </c>
      <c r="AX358" s="306">
        <f t="shared" si="860"/>
        <v>0</v>
      </c>
      <c r="AY358" s="306">
        <f t="shared" si="861"/>
        <v>0</v>
      </c>
      <c r="AZ358" s="306">
        <f t="shared" si="862"/>
        <v>0</v>
      </c>
      <c r="BA358" s="306">
        <f t="shared" si="863"/>
        <v>0</v>
      </c>
      <c r="BB358" s="306">
        <f t="shared" si="864"/>
        <v>0</v>
      </c>
      <c r="BC358" s="261">
        <f t="shared" si="871"/>
        <v>0</v>
      </c>
      <c r="BD358" s="239">
        <f t="shared" si="841"/>
        <v>1360251.375</v>
      </c>
      <c r="BE358" s="243"/>
      <c r="BF358" s="243"/>
      <c r="BG358" s="243"/>
      <c r="BH358" s="243"/>
      <c r="BI358" s="243"/>
      <c r="BJ358" s="243"/>
      <c r="BK358" s="243"/>
      <c r="BL358" s="243"/>
      <c r="BM358" s="243"/>
      <c r="BN358" s="243"/>
      <c r="BO358" s="243"/>
      <c r="BP358" s="243"/>
      <c r="BQ358" s="243"/>
      <c r="BR358" s="243"/>
      <c r="BS358" s="243"/>
      <c r="BT358" s="243"/>
      <c r="BU358" s="243"/>
      <c r="BV358" s="243"/>
      <c r="BW358" s="243"/>
      <c r="BX358" s="243"/>
      <c r="BY358" s="243"/>
      <c r="BZ358" s="243"/>
      <c r="CA358" s="243"/>
      <c r="CB358" s="243"/>
      <c r="CC358" s="243"/>
      <c r="CD358" s="243"/>
      <c r="CE358" s="243"/>
      <c r="CF358" s="243"/>
      <c r="CG358" s="243"/>
      <c r="CH358" s="243"/>
      <c r="CI358" s="243"/>
      <c r="CJ358" s="243"/>
      <c r="CK358" s="243"/>
      <c r="CL358" s="243"/>
      <c r="CM358" s="243"/>
      <c r="CN358" s="243"/>
      <c r="CO358" s="243"/>
      <c r="CP358" s="243"/>
      <c r="CQ358" s="243"/>
      <c r="CR358" s="243"/>
      <c r="CS358" s="243"/>
      <c r="CT358" s="243"/>
      <c r="CU358" s="243"/>
      <c r="CV358" s="243"/>
      <c r="CW358" s="243"/>
      <c r="CX358" s="243"/>
      <c r="CY358" s="243"/>
      <c r="CZ358" s="243"/>
      <c r="DA358" s="243"/>
      <c r="DB358" s="243"/>
      <c r="DC358" s="243"/>
      <c r="DD358" s="243"/>
      <c r="DE358" s="243"/>
      <c r="DF358" s="243"/>
      <c r="DG358" s="243"/>
      <c r="DH358" s="243"/>
      <c r="DI358" s="243"/>
      <c r="DJ358" s="243"/>
      <c r="DK358" s="243"/>
      <c r="DL358" s="243"/>
      <c r="DM358" s="243"/>
      <c r="DN358" s="243"/>
      <c r="DO358" s="243"/>
      <c r="DP358" s="243"/>
      <c r="DQ358" s="243"/>
      <c r="DR358" s="243"/>
      <c r="DS358" s="243"/>
      <c r="DT358" s="243"/>
      <c r="DU358" s="243"/>
      <c r="DV358" s="243"/>
      <c r="DW358" s="243"/>
      <c r="DX358" s="243"/>
      <c r="DY358" s="243"/>
      <c r="DZ358" s="243"/>
      <c r="EA358" s="243"/>
      <c r="EB358" s="243"/>
      <c r="EC358" s="243"/>
      <c r="ED358" s="243"/>
      <c r="EE358" s="243"/>
      <c r="EF358" s="243"/>
      <c r="EG358" s="243"/>
      <c r="EH358" s="243"/>
      <c r="EI358" s="243"/>
      <c r="EJ358" s="243"/>
      <c r="EK358" s="243"/>
      <c r="EL358" s="243"/>
      <c r="EM358" s="243"/>
      <c r="EN358" s="243"/>
      <c r="EO358" s="243"/>
      <c r="EP358" s="243"/>
      <c r="EQ358" s="243"/>
      <c r="ER358" s="243"/>
      <c r="ES358" s="243"/>
      <c r="ET358" s="243"/>
      <c r="EU358" s="243"/>
      <c r="EV358" s="243"/>
      <c r="EW358" s="243"/>
      <c r="EX358" s="243"/>
      <c r="EY358" s="243"/>
      <c r="EZ358" s="243"/>
      <c r="FA358" s="243"/>
      <c r="FB358" s="243"/>
      <c r="FC358" s="243"/>
      <c r="FD358" s="243"/>
      <c r="FE358" s="243"/>
      <c r="FF358" s="243"/>
      <c r="FG358" s="243"/>
      <c r="FH358" s="243"/>
      <c r="FI358" s="243"/>
      <c r="FJ358" s="243"/>
      <c r="FK358" s="243"/>
      <c r="FL358" s="243"/>
      <c r="FM358" s="243"/>
      <c r="FN358" s="243"/>
      <c r="FO358" s="243"/>
      <c r="FP358" s="243"/>
      <c r="FQ358" s="243"/>
      <c r="FR358" s="243"/>
      <c r="FS358" s="243"/>
      <c r="FT358" s="243"/>
      <c r="FU358" s="243"/>
      <c r="FV358" s="243"/>
      <c r="FW358" s="243"/>
      <c r="FX358" s="243"/>
      <c r="FY358" s="243"/>
      <c r="FZ358" s="243"/>
      <c r="GA358" s="243"/>
      <c r="GB358" s="243"/>
      <c r="GC358" s="243"/>
      <c r="GD358" s="243"/>
      <c r="GE358" s="243"/>
      <c r="GF358" s="243"/>
      <c r="GG358" s="243"/>
      <c r="GH358" s="243"/>
      <c r="GI358" s="243"/>
      <c r="GJ358" s="243"/>
      <c r="GK358" s="243"/>
      <c r="GL358" s="243"/>
      <c r="GM358" s="243"/>
      <c r="GN358" s="243"/>
      <c r="GO358" s="243"/>
      <c r="GP358" s="243"/>
      <c r="GQ358" s="243"/>
      <c r="GR358" s="243"/>
      <c r="GS358" s="243"/>
      <c r="GT358" s="243"/>
    </row>
    <row r="359" spans="1:202" s="79" customFormat="1" ht="11.25" customHeight="1">
      <c r="A359" s="192"/>
      <c r="B359" s="145" t="s">
        <v>590</v>
      </c>
      <c r="C359" s="216"/>
      <c r="D359" s="141"/>
      <c r="E359" s="147">
        <v>9193.31</v>
      </c>
      <c r="F359" s="147">
        <v>1453.33</v>
      </c>
      <c r="G359" s="177">
        <f t="shared" si="868"/>
        <v>7739.98</v>
      </c>
      <c r="H359" s="147">
        <v>9193.31</v>
      </c>
      <c r="I359" s="214">
        <v>1453.33</v>
      </c>
      <c r="J359" s="210">
        <f t="shared" si="869"/>
        <v>7739.98</v>
      </c>
      <c r="K359" s="253">
        <v>54.530999999999999</v>
      </c>
      <c r="L359" s="253">
        <v>54.530999999999999</v>
      </c>
      <c r="M359" s="253"/>
      <c r="N359" s="287">
        <f t="shared" si="865"/>
        <v>109.062</v>
      </c>
      <c r="O359" s="274"/>
      <c r="P359" s="274"/>
      <c r="Q359" s="291"/>
      <c r="R359" s="287"/>
      <c r="S359" s="291"/>
      <c r="T359" s="265"/>
      <c r="U359" s="274"/>
      <c r="V359" s="274"/>
      <c r="W359" s="291"/>
      <c r="X359" s="274"/>
      <c r="Y359" s="142"/>
      <c r="Z359" s="274"/>
      <c r="AA359" s="274"/>
      <c r="AB359" s="274"/>
      <c r="AC359" s="274"/>
      <c r="AD359" s="274"/>
      <c r="AE359" s="274"/>
      <c r="AF359" s="287">
        <f t="shared" si="870"/>
        <v>0</v>
      </c>
      <c r="AG359" s="283">
        <f t="shared" si="846"/>
        <v>109.062</v>
      </c>
      <c r="AH359" s="306">
        <f t="shared" si="847"/>
        <v>422068.84937999997</v>
      </c>
      <c r="AI359" s="306">
        <f t="shared" si="848"/>
        <v>422068.84937999997</v>
      </c>
      <c r="AJ359" s="306">
        <f t="shared" si="849"/>
        <v>0</v>
      </c>
      <c r="AK359" s="261">
        <f t="shared" si="866"/>
        <v>844137.69875999994</v>
      </c>
      <c r="AL359" s="229">
        <f t="shared" si="850"/>
        <v>0</v>
      </c>
      <c r="AM359" s="229">
        <f t="shared" si="851"/>
        <v>0</v>
      </c>
      <c r="AN359" s="229">
        <f t="shared" si="852"/>
        <v>0</v>
      </c>
      <c r="AO359" s="261"/>
      <c r="AP359" s="306">
        <f t="shared" si="853"/>
        <v>0</v>
      </c>
      <c r="AQ359" s="306">
        <f t="shared" si="854"/>
        <v>0</v>
      </c>
      <c r="AR359" s="306">
        <f t="shared" si="855"/>
        <v>0</v>
      </c>
      <c r="AS359" s="306">
        <f t="shared" si="856"/>
        <v>0</v>
      </c>
      <c r="AT359" s="306">
        <f t="shared" si="857"/>
        <v>0</v>
      </c>
      <c r="AU359" s="306">
        <f t="shared" si="858"/>
        <v>0</v>
      </c>
      <c r="AV359" s="261">
        <f t="shared" si="867"/>
        <v>0</v>
      </c>
      <c r="AW359" s="306">
        <f t="shared" si="859"/>
        <v>0</v>
      </c>
      <c r="AX359" s="306">
        <f t="shared" si="860"/>
        <v>0</v>
      </c>
      <c r="AY359" s="306">
        <f t="shared" si="861"/>
        <v>0</v>
      </c>
      <c r="AZ359" s="306">
        <f t="shared" si="862"/>
        <v>0</v>
      </c>
      <c r="BA359" s="306">
        <f t="shared" si="863"/>
        <v>0</v>
      </c>
      <c r="BB359" s="306">
        <f t="shared" si="864"/>
        <v>0</v>
      </c>
      <c r="BC359" s="261">
        <f t="shared" si="871"/>
        <v>0</v>
      </c>
      <c r="BD359" s="239">
        <f t="shared" si="841"/>
        <v>844137.69875999994</v>
      </c>
      <c r="BE359" s="243"/>
      <c r="BF359" s="243"/>
      <c r="BG359" s="243"/>
      <c r="BH359" s="243"/>
      <c r="BI359" s="243"/>
      <c r="BJ359" s="243"/>
      <c r="BK359" s="243"/>
      <c r="BL359" s="243"/>
      <c r="BM359" s="243"/>
      <c r="BN359" s="243"/>
      <c r="BO359" s="243"/>
      <c r="BP359" s="243"/>
      <c r="BQ359" s="243"/>
      <c r="BR359" s="243"/>
      <c r="BS359" s="243"/>
      <c r="BT359" s="243"/>
      <c r="BU359" s="243"/>
      <c r="BV359" s="243"/>
      <c r="BW359" s="243"/>
      <c r="BX359" s="243"/>
      <c r="BY359" s="243"/>
      <c r="BZ359" s="243"/>
      <c r="CA359" s="243"/>
      <c r="CB359" s="243"/>
      <c r="CC359" s="243"/>
      <c r="CD359" s="243"/>
      <c r="CE359" s="243"/>
      <c r="CF359" s="243"/>
      <c r="CG359" s="243"/>
      <c r="CH359" s="243"/>
      <c r="CI359" s="243"/>
      <c r="CJ359" s="243"/>
      <c r="CK359" s="243"/>
      <c r="CL359" s="243"/>
      <c r="CM359" s="243"/>
      <c r="CN359" s="243"/>
      <c r="CO359" s="243"/>
      <c r="CP359" s="243"/>
      <c r="CQ359" s="243"/>
      <c r="CR359" s="243"/>
      <c r="CS359" s="243"/>
      <c r="CT359" s="243"/>
      <c r="CU359" s="243"/>
      <c r="CV359" s="243"/>
      <c r="CW359" s="243"/>
      <c r="CX359" s="243"/>
      <c r="CY359" s="243"/>
      <c r="CZ359" s="243"/>
      <c r="DA359" s="243"/>
      <c r="DB359" s="243"/>
      <c r="DC359" s="243"/>
      <c r="DD359" s="243"/>
      <c r="DE359" s="243"/>
      <c r="DF359" s="243"/>
      <c r="DG359" s="243"/>
      <c r="DH359" s="243"/>
      <c r="DI359" s="243"/>
      <c r="DJ359" s="243"/>
      <c r="DK359" s="243"/>
      <c r="DL359" s="243"/>
      <c r="DM359" s="243"/>
      <c r="DN359" s="243"/>
      <c r="DO359" s="243"/>
      <c r="DP359" s="243"/>
      <c r="DQ359" s="243"/>
      <c r="DR359" s="243"/>
      <c r="DS359" s="243"/>
      <c r="DT359" s="243"/>
      <c r="DU359" s="243"/>
      <c r="DV359" s="243"/>
      <c r="DW359" s="243"/>
      <c r="DX359" s="243"/>
      <c r="DY359" s="243"/>
      <c r="DZ359" s="243"/>
      <c r="EA359" s="243"/>
      <c r="EB359" s="243"/>
      <c r="EC359" s="243"/>
      <c r="ED359" s="243"/>
      <c r="EE359" s="243"/>
      <c r="EF359" s="243"/>
      <c r="EG359" s="243"/>
      <c r="EH359" s="243"/>
      <c r="EI359" s="243"/>
      <c r="EJ359" s="243"/>
      <c r="EK359" s="243"/>
      <c r="EL359" s="243"/>
      <c r="EM359" s="243"/>
      <c r="EN359" s="243"/>
      <c r="EO359" s="243"/>
      <c r="EP359" s="243"/>
      <c r="EQ359" s="243"/>
      <c r="ER359" s="243"/>
      <c r="ES359" s="243"/>
      <c r="ET359" s="243"/>
      <c r="EU359" s="243"/>
      <c r="EV359" s="243"/>
      <c r="EW359" s="243"/>
      <c r="EX359" s="243"/>
      <c r="EY359" s="243"/>
      <c r="EZ359" s="243"/>
      <c r="FA359" s="243"/>
      <c r="FB359" s="243"/>
      <c r="FC359" s="243"/>
      <c r="FD359" s="243"/>
      <c r="FE359" s="243"/>
      <c r="FF359" s="243"/>
      <c r="FG359" s="243"/>
      <c r="FH359" s="243"/>
      <c r="FI359" s="243"/>
      <c r="FJ359" s="243"/>
      <c r="FK359" s="243"/>
      <c r="FL359" s="243"/>
      <c r="FM359" s="243"/>
      <c r="FN359" s="243"/>
      <c r="FO359" s="243"/>
      <c r="FP359" s="243"/>
      <c r="FQ359" s="243"/>
      <c r="FR359" s="243"/>
      <c r="FS359" s="243"/>
      <c r="FT359" s="243"/>
      <c r="FU359" s="243"/>
      <c r="FV359" s="243"/>
      <c r="FW359" s="243"/>
      <c r="FX359" s="243"/>
      <c r="FY359" s="243"/>
      <c r="FZ359" s="243"/>
      <c r="GA359" s="243"/>
      <c r="GB359" s="243"/>
      <c r="GC359" s="243"/>
      <c r="GD359" s="243"/>
      <c r="GE359" s="243"/>
      <c r="GF359" s="243"/>
      <c r="GG359" s="243"/>
      <c r="GH359" s="243"/>
      <c r="GI359" s="243"/>
      <c r="GJ359" s="243"/>
      <c r="GK359" s="243"/>
      <c r="GL359" s="243"/>
      <c r="GM359" s="243"/>
      <c r="GN359" s="243"/>
      <c r="GO359" s="243"/>
      <c r="GP359" s="243"/>
      <c r="GQ359" s="243"/>
      <c r="GR359" s="243"/>
      <c r="GS359" s="243"/>
      <c r="GT359" s="243"/>
    </row>
    <row r="360" spans="1:202" s="79" customFormat="1" ht="11.25" customHeight="1">
      <c r="A360" s="192"/>
      <c r="B360" s="145" t="s">
        <v>412</v>
      </c>
      <c r="C360" s="216"/>
      <c r="D360" s="141"/>
      <c r="E360" s="147">
        <v>11260.82</v>
      </c>
      <c r="F360" s="147">
        <v>1616.67</v>
      </c>
      <c r="G360" s="177">
        <f>E360-F360</f>
        <v>9644.15</v>
      </c>
      <c r="H360" s="147">
        <v>11260.82</v>
      </c>
      <c r="I360" s="214">
        <v>1616.67</v>
      </c>
      <c r="J360" s="210">
        <f>H360-I360</f>
        <v>9644.15</v>
      </c>
      <c r="K360" s="253">
        <v>33.484999999999999</v>
      </c>
      <c r="L360" s="253">
        <v>33.484999999999999</v>
      </c>
      <c r="M360" s="253"/>
      <c r="N360" s="287">
        <f t="shared" si="865"/>
        <v>66.97</v>
      </c>
      <c r="O360" s="274"/>
      <c r="P360" s="274"/>
      <c r="Q360" s="291"/>
      <c r="R360" s="287"/>
      <c r="S360" s="291"/>
      <c r="T360" s="265"/>
      <c r="U360" s="274"/>
      <c r="V360" s="274"/>
      <c r="W360" s="291"/>
      <c r="X360" s="274"/>
      <c r="Y360" s="142"/>
      <c r="Z360" s="274"/>
      <c r="AA360" s="274"/>
      <c r="AB360" s="274"/>
      <c r="AC360" s="274"/>
      <c r="AD360" s="274"/>
      <c r="AE360" s="274"/>
      <c r="AF360" s="287">
        <f>SUM(Z360:AE360)</f>
        <v>0</v>
      </c>
      <c r="AG360" s="283">
        <f t="shared" si="846"/>
        <v>66.97</v>
      </c>
      <c r="AH360" s="306">
        <f t="shared" si="847"/>
        <v>322934.36274999997</v>
      </c>
      <c r="AI360" s="306">
        <f t="shared" si="848"/>
        <v>322934.36274999997</v>
      </c>
      <c r="AJ360" s="306">
        <f t="shared" si="849"/>
        <v>0</v>
      </c>
      <c r="AK360" s="261">
        <f t="shared" si="866"/>
        <v>645868.72549999994</v>
      </c>
      <c r="AL360" s="229">
        <f t="shared" si="850"/>
        <v>0</v>
      </c>
      <c r="AM360" s="229">
        <f t="shared" si="851"/>
        <v>0</v>
      </c>
      <c r="AN360" s="229">
        <f t="shared" si="852"/>
        <v>0</v>
      </c>
      <c r="AO360" s="261"/>
      <c r="AP360" s="306">
        <f t="shared" si="853"/>
        <v>0</v>
      </c>
      <c r="AQ360" s="306">
        <f t="shared" si="854"/>
        <v>0</v>
      </c>
      <c r="AR360" s="306">
        <f t="shared" si="855"/>
        <v>0</v>
      </c>
      <c r="AS360" s="306">
        <f t="shared" si="856"/>
        <v>0</v>
      </c>
      <c r="AT360" s="306">
        <f t="shared" si="857"/>
        <v>0</v>
      </c>
      <c r="AU360" s="306">
        <f t="shared" si="858"/>
        <v>0</v>
      </c>
      <c r="AV360" s="261">
        <f t="shared" si="867"/>
        <v>0</v>
      </c>
      <c r="AW360" s="306">
        <f t="shared" si="859"/>
        <v>0</v>
      </c>
      <c r="AX360" s="306">
        <f t="shared" si="860"/>
        <v>0</v>
      </c>
      <c r="AY360" s="306">
        <f t="shared" si="861"/>
        <v>0</v>
      </c>
      <c r="AZ360" s="306">
        <f t="shared" si="862"/>
        <v>0</v>
      </c>
      <c r="BA360" s="306">
        <f t="shared" si="863"/>
        <v>0</v>
      </c>
      <c r="BB360" s="306">
        <f t="shared" si="864"/>
        <v>0</v>
      </c>
      <c r="BC360" s="261">
        <f>SUM(AW360:BB360)</f>
        <v>0</v>
      </c>
      <c r="BD360" s="239">
        <f t="shared" si="841"/>
        <v>645868.72549999994</v>
      </c>
      <c r="BE360" s="243"/>
      <c r="BF360" s="243"/>
      <c r="BG360" s="243"/>
      <c r="BH360" s="243"/>
      <c r="BI360" s="243"/>
      <c r="BJ360" s="243"/>
      <c r="BK360" s="243"/>
      <c r="BL360" s="243"/>
      <c r="BM360" s="243"/>
      <c r="BN360" s="243"/>
      <c r="BO360" s="243"/>
      <c r="BP360" s="243"/>
      <c r="BQ360" s="243"/>
      <c r="BR360" s="243"/>
      <c r="BS360" s="243"/>
      <c r="BT360" s="243"/>
      <c r="BU360" s="243"/>
      <c r="BV360" s="243"/>
      <c r="BW360" s="243"/>
      <c r="BX360" s="243"/>
      <c r="BY360" s="243"/>
      <c r="BZ360" s="243"/>
      <c r="CA360" s="243"/>
      <c r="CB360" s="243"/>
      <c r="CC360" s="243"/>
      <c r="CD360" s="243"/>
      <c r="CE360" s="243"/>
      <c r="CF360" s="243"/>
      <c r="CG360" s="243"/>
      <c r="CH360" s="243"/>
      <c r="CI360" s="243"/>
      <c r="CJ360" s="243"/>
      <c r="CK360" s="243"/>
      <c r="CL360" s="243"/>
      <c r="CM360" s="243"/>
      <c r="CN360" s="243"/>
      <c r="CO360" s="243"/>
      <c r="CP360" s="243"/>
      <c r="CQ360" s="243"/>
      <c r="CR360" s="243"/>
      <c r="CS360" s="243"/>
      <c r="CT360" s="243"/>
      <c r="CU360" s="243"/>
      <c r="CV360" s="243"/>
      <c r="CW360" s="243"/>
      <c r="CX360" s="243"/>
      <c r="CY360" s="243"/>
      <c r="CZ360" s="243"/>
      <c r="DA360" s="243"/>
      <c r="DB360" s="243"/>
      <c r="DC360" s="243"/>
      <c r="DD360" s="243"/>
      <c r="DE360" s="243"/>
      <c r="DF360" s="243"/>
      <c r="DG360" s="243"/>
      <c r="DH360" s="243"/>
      <c r="DI360" s="243"/>
      <c r="DJ360" s="243"/>
      <c r="DK360" s="243"/>
      <c r="DL360" s="243"/>
      <c r="DM360" s="243"/>
      <c r="DN360" s="243"/>
      <c r="DO360" s="243"/>
      <c r="DP360" s="243"/>
      <c r="DQ360" s="243"/>
      <c r="DR360" s="243"/>
      <c r="DS360" s="243"/>
      <c r="DT360" s="243"/>
      <c r="DU360" s="243"/>
      <c r="DV360" s="243"/>
      <c r="DW360" s="243"/>
      <c r="DX360" s="243"/>
      <c r="DY360" s="243"/>
      <c r="DZ360" s="243"/>
      <c r="EA360" s="243"/>
      <c r="EB360" s="243"/>
      <c r="EC360" s="243"/>
      <c r="ED360" s="243"/>
      <c r="EE360" s="243"/>
      <c r="EF360" s="243"/>
      <c r="EG360" s="243"/>
      <c r="EH360" s="243"/>
      <c r="EI360" s="243"/>
      <c r="EJ360" s="243"/>
      <c r="EK360" s="243"/>
      <c r="EL360" s="243"/>
      <c r="EM360" s="243"/>
      <c r="EN360" s="243"/>
      <c r="EO360" s="243"/>
      <c r="EP360" s="243"/>
      <c r="EQ360" s="243"/>
      <c r="ER360" s="243"/>
      <c r="ES360" s="243"/>
      <c r="ET360" s="243"/>
      <c r="EU360" s="243"/>
      <c r="EV360" s="243"/>
      <c r="EW360" s="243"/>
      <c r="EX360" s="243"/>
      <c r="EY360" s="243"/>
      <c r="EZ360" s="243"/>
      <c r="FA360" s="243"/>
      <c r="FB360" s="243"/>
      <c r="FC360" s="243"/>
      <c r="FD360" s="243"/>
      <c r="FE360" s="243"/>
      <c r="FF360" s="243"/>
      <c r="FG360" s="243"/>
      <c r="FH360" s="243"/>
      <c r="FI360" s="243"/>
      <c r="FJ360" s="243"/>
      <c r="FK360" s="243"/>
      <c r="FL360" s="243"/>
      <c r="FM360" s="243"/>
      <c r="FN360" s="243"/>
      <c r="FO360" s="243"/>
      <c r="FP360" s="243"/>
      <c r="FQ360" s="243"/>
      <c r="FR360" s="243"/>
      <c r="FS360" s="243"/>
      <c r="FT360" s="243"/>
      <c r="FU360" s="243"/>
      <c r="FV360" s="243"/>
      <c r="FW360" s="243"/>
      <c r="FX360" s="243"/>
      <c r="FY360" s="243"/>
      <c r="FZ360" s="243"/>
      <c r="GA360" s="243"/>
      <c r="GB360" s="243"/>
      <c r="GC360" s="243"/>
      <c r="GD360" s="243"/>
      <c r="GE360" s="243"/>
      <c r="GF360" s="243"/>
      <c r="GG360" s="243"/>
      <c r="GH360" s="243"/>
      <c r="GI360" s="243"/>
      <c r="GJ360" s="243"/>
      <c r="GK360" s="243"/>
      <c r="GL360" s="243"/>
      <c r="GM360" s="243"/>
      <c r="GN360" s="243"/>
      <c r="GO360" s="243"/>
      <c r="GP360" s="243"/>
      <c r="GQ360" s="243"/>
      <c r="GR360" s="243"/>
      <c r="GS360" s="243"/>
      <c r="GT360" s="243"/>
    </row>
    <row r="361" spans="1:202" s="79" customFormat="1" ht="11.25" customHeight="1">
      <c r="A361" s="192"/>
      <c r="B361" s="145" t="s">
        <v>591</v>
      </c>
      <c r="C361" s="216"/>
      <c r="D361" s="141"/>
      <c r="E361" s="147">
        <v>6602.1</v>
      </c>
      <c r="F361" s="147">
        <v>1453.33</v>
      </c>
      <c r="G361" s="177">
        <f t="shared" si="868"/>
        <v>5148.7700000000004</v>
      </c>
      <c r="H361" s="147">
        <v>6602.1</v>
      </c>
      <c r="I361" s="214">
        <v>1453.33</v>
      </c>
      <c r="J361" s="210">
        <f t="shared" si="869"/>
        <v>5148.7700000000004</v>
      </c>
      <c r="K361" s="253">
        <v>495.255</v>
      </c>
      <c r="L361" s="253">
        <v>485.91800000000001</v>
      </c>
      <c r="M361" s="253"/>
      <c r="N361" s="287">
        <f t="shared" si="865"/>
        <v>981.173</v>
      </c>
      <c r="O361" s="274"/>
      <c r="P361" s="274"/>
      <c r="Q361" s="291"/>
      <c r="R361" s="287"/>
      <c r="S361" s="291"/>
      <c r="T361" s="265"/>
      <c r="U361" s="274"/>
      <c r="V361" s="274"/>
      <c r="W361" s="291"/>
      <c r="X361" s="274"/>
      <c r="Y361" s="142"/>
      <c r="Z361" s="274"/>
      <c r="AA361" s="274"/>
      <c r="AB361" s="274"/>
      <c r="AC361" s="274"/>
      <c r="AD361" s="274"/>
      <c r="AE361" s="274"/>
      <c r="AF361" s="287">
        <f t="shared" si="870"/>
        <v>0</v>
      </c>
      <c r="AG361" s="283">
        <f t="shared" si="846"/>
        <v>981.173</v>
      </c>
      <c r="AH361" s="306">
        <f t="shared" si="847"/>
        <v>2549954.08635</v>
      </c>
      <c r="AI361" s="306">
        <f t="shared" si="848"/>
        <v>2501880.02086</v>
      </c>
      <c r="AJ361" s="306">
        <f t="shared" si="849"/>
        <v>0</v>
      </c>
      <c r="AK361" s="261">
        <f t="shared" si="866"/>
        <v>5051834.10721</v>
      </c>
      <c r="AL361" s="229">
        <f t="shared" si="850"/>
        <v>0</v>
      </c>
      <c r="AM361" s="229">
        <f t="shared" si="851"/>
        <v>0</v>
      </c>
      <c r="AN361" s="229">
        <f t="shared" si="852"/>
        <v>0</v>
      </c>
      <c r="AO361" s="261"/>
      <c r="AP361" s="306">
        <f t="shared" si="853"/>
        <v>0</v>
      </c>
      <c r="AQ361" s="306">
        <f t="shared" si="854"/>
        <v>0</v>
      </c>
      <c r="AR361" s="306">
        <f t="shared" si="855"/>
        <v>0</v>
      </c>
      <c r="AS361" s="306">
        <f t="shared" si="856"/>
        <v>0</v>
      </c>
      <c r="AT361" s="306">
        <f t="shared" si="857"/>
        <v>0</v>
      </c>
      <c r="AU361" s="306">
        <f t="shared" si="858"/>
        <v>0</v>
      </c>
      <c r="AV361" s="261">
        <f t="shared" si="867"/>
        <v>0</v>
      </c>
      <c r="AW361" s="306">
        <f t="shared" si="859"/>
        <v>0</v>
      </c>
      <c r="AX361" s="306">
        <f t="shared" si="860"/>
        <v>0</v>
      </c>
      <c r="AY361" s="306">
        <f t="shared" si="861"/>
        <v>0</v>
      </c>
      <c r="AZ361" s="306">
        <f t="shared" si="862"/>
        <v>0</v>
      </c>
      <c r="BA361" s="306">
        <f t="shared" si="863"/>
        <v>0</v>
      </c>
      <c r="BB361" s="306">
        <f t="shared" si="864"/>
        <v>0</v>
      </c>
      <c r="BC361" s="261">
        <f t="shared" si="871"/>
        <v>0</v>
      </c>
      <c r="BD361" s="239">
        <f t="shared" si="841"/>
        <v>5051834.10721</v>
      </c>
      <c r="BE361" s="243"/>
      <c r="BF361" s="243"/>
      <c r="BG361" s="243"/>
      <c r="BH361" s="243"/>
      <c r="BI361" s="243"/>
      <c r="BJ361" s="243"/>
      <c r="BK361" s="243"/>
      <c r="BL361" s="243"/>
      <c r="BM361" s="243"/>
      <c r="BN361" s="243"/>
      <c r="BO361" s="243"/>
      <c r="BP361" s="243"/>
      <c r="BQ361" s="243"/>
      <c r="BR361" s="243"/>
      <c r="BS361" s="243"/>
      <c r="BT361" s="243"/>
      <c r="BU361" s="243"/>
      <c r="BV361" s="243"/>
      <c r="BW361" s="243"/>
      <c r="BX361" s="243"/>
      <c r="BY361" s="243"/>
      <c r="BZ361" s="243"/>
      <c r="CA361" s="243"/>
      <c r="CB361" s="243"/>
      <c r="CC361" s="243"/>
      <c r="CD361" s="243"/>
      <c r="CE361" s="243"/>
      <c r="CF361" s="243"/>
      <c r="CG361" s="243"/>
      <c r="CH361" s="243"/>
      <c r="CI361" s="243"/>
      <c r="CJ361" s="243"/>
      <c r="CK361" s="243"/>
      <c r="CL361" s="243"/>
      <c r="CM361" s="243"/>
      <c r="CN361" s="243"/>
      <c r="CO361" s="243"/>
      <c r="CP361" s="243"/>
      <c r="CQ361" s="243"/>
      <c r="CR361" s="243"/>
      <c r="CS361" s="243"/>
      <c r="CT361" s="243"/>
      <c r="CU361" s="243"/>
      <c r="CV361" s="243"/>
      <c r="CW361" s="243"/>
      <c r="CX361" s="243"/>
      <c r="CY361" s="243"/>
      <c r="CZ361" s="243"/>
      <c r="DA361" s="243"/>
      <c r="DB361" s="243"/>
      <c r="DC361" s="243"/>
      <c r="DD361" s="243"/>
      <c r="DE361" s="243"/>
      <c r="DF361" s="243"/>
      <c r="DG361" s="243"/>
      <c r="DH361" s="243"/>
      <c r="DI361" s="243"/>
      <c r="DJ361" s="243"/>
      <c r="DK361" s="243"/>
      <c r="DL361" s="243"/>
      <c r="DM361" s="243"/>
      <c r="DN361" s="243"/>
      <c r="DO361" s="243"/>
      <c r="DP361" s="243"/>
      <c r="DQ361" s="243"/>
      <c r="DR361" s="243"/>
      <c r="DS361" s="243"/>
      <c r="DT361" s="243"/>
      <c r="DU361" s="243"/>
      <c r="DV361" s="243"/>
      <c r="DW361" s="243"/>
      <c r="DX361" s="243"/>
      <c r="DY361" s="243"/>
      <c r="DZ361" s="243"/>
      <c r="EA361" s="243"/>
      <c r="EB361" s="243"/>
      <c r="EC361" s="243"/>
      <c r="ED361" s="243"/>
      <c r="EE361" s="243"/>
      <c r="EF361" s="243"/>
      <c r="EG361" s="243"/>
      <c r="EH361" s="243"/>
      <c r="EI361" s="243"/>
      <c r="EJ361" s="243"/>
      <c r="EK361" s="243"/>
      <c r="EL361" s="243"/>
      <c r="EM361" s="243"/>
      <c r="EN361" s="243"/>
      <c r="EO361" s="243"/>
      <c r="EP361" s="243"/>
      <c r="EQ361" s="243"/>
      <c r="ER361" s="243"/>
      <c r="ES361" s="243"/>
      <c r="ET361" s="243"/>
      <c r="EU361" s="243"/>
      <c r="EV361" s="243"/>
      <c r="EW361" s="243"/>
      <c r="EX361" s="243"/>
      <c r="EY361" s="243"/>
      <c r="EZ361" s="243"/>
      <c r="FA361" s="243"/>
      <c r="FB361" s="243"/>
      <c r="FC361" s="243"/>
      <c r="FD361" s="243"/>
      <c r="FE361" s="243"/>
      <c r="FF361" s="243"/>
      <c r="FG361" s="243"/>
      <c r="FH361" s="243"/>
      <c r="FI361" s="243"/>
      <c r="FJ361" s="243"/>
      <c r="FK361" s="243"/>
      <c r="FL361" s="243"/>
      <c r="FM361" s="243"/>
      <c r="FN361" s="243"/>
      <c r="FO361" s="243"/>
      <c r="FP361" s="243"/>
      <c r="FQ361" s="243"/>
      <c r="FR361" s="243"/>
      <c r="FS361" s="243"/>
      <c r="FT361" s="243"/>
      <c r="FU361" s="243"/>
      <c r="FV361" s="243"/>
      <c r="FW361" s="243"/>
      <c r="FX361" s="243"/>
      <c r="FY361" s="243"/>
      <c r="FZ361" s="243"/>
      <c r="GA361" s="243"/>
      <c r="GB361" s="243"/>
      <c r="GC361" s="243"/>
      <c r="GD361" s="243"/>
      <c r="GE361" s="243"/>
      <c r="GF361" s="243"/>
      <c r="GG361" s="243"/>
      <c r="GH361" s="243"/>
      <c r="GI361" s="243"/>
      <c r="GJ361" s="243"/>
      <c r="GK361" s="243"/>
      <c r="GL361" s="243"/>
      <c r="GM361" s="243"/>
      <c r="GN361" s="243"/>
      <c r="GO361" s="243"/>
      <c r="GP361" s="243"/>
      <c r="GQ361" s="243"/>
      <c r="GR361" s="243"/>
      <c r="GS361" s="243"/>
      <c r="GT361" s="243"/>
    </row>
    <row r="362" spans="1:202" s="79" customFormat="1" ht="11.25" customHeight="1">
      <c r="A362" s="192"/>
      <c r="B362" s="145" t="s">
        <v>592</v>
      </c>
      <c r="C362" s="216"/>
      <c r="D362" s="141"/>
      <c r="E362" s="147">
        <v>8352.0300000000007</v>
      </c>
      <c r="F362" s="147">
        <v>2150</v>
      </c>
      <c r="G362" s="177">
        <f t="shared" si="868"/>
        <v>6202.0300000000007</v>
      </c>
      <c r="H362" s="147">
        <v>8352.0300000000007</v>
      </c>
      <c r="I362" s="214">
        <v>2150</v>
      </c>
      <c r="J362" s="210">
        <f t="shared" si="869"/>
        <v>6202.0300000000007</v>
      </c>
      <c r="K362" s="253">
        <v>248.18700000000001</v>
      </c>
      <c r="L362" s="253">
        <v>232.30799999999999</v>
      </c>
      <c r="M362" s="253"/>
      <c r="N362" s="287">
        <f t="shared" si="865"/>
        <v>480.495</v>
      </c>
      <c r="O362" s="274"/>
      <c r="P362" s="274"/>
      <c r="Q362" s="291"/>
      <c r="R362" s="287"/>
      <c r="S362" s="291"/>
      <c r="T362" s="265"/>
      <c r="U362" s="274"/>
      <c r="V362" s="274"/>
      <c r="W362" s="291"/>
      <c r="X362" s="274"/>
      <c r="Y362" s="142"/>
      <c r="Z362" s="274"/>
      <c r="AA362" s="274"/>
      <c r="AB362" s="274"/>
      <c r="AC362" s="274"/>
      <c r="AD362" s="274"/>
      <c r="AE362" s="274"/>
      <c r="AF362" s="287">
        <f t="shared" si="870"/>
        <v>0</v>
      </c>
      <c r="AG362" s="283">
        <f t="shared" si="846"/>
        <v>480.495</v>
      </c>
      <c r="AH362" s="306">
        <f t="shared" si="847"/>
        <v>1539263.2196100003</v>
      </c>
      <c r="AI362" s="306">
        <f t="shared" si="848"/>
        <v>1440781.18524</v>
      </c>
      <c r="AJ362" s="306">
        <f t="shared" si="849"/>
        <v>0</v>
      </c>
      <c r="AK362" s="261">
        <f t="shared" si="866"/>
        <v>2980044.4048500005</v>
      </c>
      <c r="AL362" s="229">
        <f t="shared" si="850"/>
        <v>0</v>
      </c>
      <c r="AM362" s="229">
        <f t="shared" si="851"/>
        <v>0</v>
      </c>
      <c r="AN362" s="229">
        <f t="shared" si="852"/>
        <v>0</v>
      </c>
      <c r="AO362" s="261"/>
      <c r="AP362" s="306">
        <f t="shared" si="853"/>
        <v>0</v>
      </c>
      <c r="AQ362" s="306">
        <f t="shared" si="854"/>
        <v>0</v>
      </c>
      <c r="AR362" s="306">
        <f t="shared" si="855"/>
        <v>0</v>
      </c>
      <c r="AS362" s="306">
        <f t="shared" si="856"/>
        <v>0</v>
      </c>
      <c r="AT362" s="306">
        <f t="shared" si="857"/>
        <v>0</v>
      </c>
      <c r="AU362" s="306">
        <f t="shared" si="858"/>
        <v>0</v>
      </c>
      <c r="AV362" s="261">
        <f t="shared" si="867"/>
        <v>0</v>
      </c>
      <c r="AW362" s="306">
        <f t="shared" si="859"/>
        <v>0</v>
      </c>
      <c r="AX362" s="306">
        <f t="shared" si="860"/>
        <v>0</v>
      </c>
      <c r="AY362" s="306">
        <f t="shared" si="861"/>
        <v>0</v>
      </c>
      <c r="AZ362" s="306">
        <f t="shared" si="862"/>
        <v>0</v>
      </c>
      <c r="BA362" s="306">
        <f t="shared" si="863"/>
        <v>0</v>
      </c>
      <c r="BB362" s="306">
        <f t="shared" si="864"/>
        <v>0</v>
      </c>
      <c r="BC362" s="261">
        <f t="shared" si="871"/>
        <v>0</v>
      </c>
      <c r="BD362" s="239">
        <f t="shared" si="841"/>
        <v>2980044.4048500005</v>
      </c>
      <c r="BE362" s="243"/>
      <c r="BF362" s="243"/>
      <c r="BG362" s="243"/>
      <c r="BH362" s="243"/>
      <c r="BI362" s="243"/>
      <c r="BJ362" s="243"/>
      <c r="BK362" s="243"/>
      <c r="BL362" s="243"/>
      <c r="BM362" s="243"/>
      <c r="BN362" s="243"/>
      <c r="BO362" s="243"/>
      <c r="BP362" s="243"/>
      <c r="BQ362" s="243"/>
      <c r="BR362" s="243"/>
      <c r="BS362" s="243"/>
      <c r="BT362" s="243"/>
      <c r="BU362" s="243"/>
      <c r="BV362" s="243"/>
      <c r="BW362" s="243"/>
      <c r="BX362" s="243"/>
      <c r="BY362" s="243"/>
      <c r="BZ362" s="243"/>
      <c r="CA362" s="243"/>
      <c r="CB362" s="243"/>
      <c r="CC362" s="243"/>
      <c r="CD362" s="243"/>
      <c r="CE362" s="243"/>
      <c r="CF362" s="243"/>
      <c r="CG362" s="243"/>
      <c r="CH362" s="243"/>
      <c r="CI362" s="243"/>
      <c r="CJ362" s="243"/>
      <c r="CK362" s="243"/>
      <c r="CL362" s="243"/>
      <c r="CM362" s="243"/>
      <c r="CN362" s="243"/>
      <c r="CO362" s="243"/>
      <c r="CP362" s="243"/>
      <c r="CQ362" s="243"/>
      <c r="CR362" s="243"/>
      <c r="CS362" s="243"/>
      <c r="CT362" s="243"/>
      <c r="CU362" s="243"/>
      <c r="CV362" s="243"/>
      <c r="CW362" s="243"/>
      <c r="CX362" s="243"/>
      <c r="CY362" s="243"/>
      <c r="CZ362" s="243"/>
      <c r="DA362" s="243"/>
      <c r="DB362" s="243"/>
      <c r="DC362" s="243"/>
      <c r="DD362" s="243"/>
      <c r="DE362" s="243"/>
      <c r="DF362" s="243"/>
      <c r="DG362" s="243"/>
      <c r="DH362" s="243"/>
      <c r="DI362" s="243"/>
      <c r="DJ362" s="243"/>
      <c r="DK362" s="243"/>
      <c r="DL362" s="243"/>
      <c r="DM362" s="243"/>
      <c r="DN362" s="243"/>
      <c r="DO362" s="243"/>
      <c r="DP362" s="243"/>
      <c r="DQ362" s="243"/>
      <c r="DR362" s="243"/>
      <c r="DS362" s="243"/>
      <c r="DT362" s="243"/>
      <c r="DU362" s="243"/>
      <c r="DV362" s="243"/>
      <c r="DW362" s="243"/>
      <c r="DX362" s="243"/>
      <c r="DY362" s="243"/>
      <c r="DZ362" s="243"/>
      <c r="EA362" s="243"/>
      <c r="EB362" s="243"/>
      <c r="EC362" s="243"/>
      <c r="ED362" s="243"/>
      <c r="EE362" s="243"/>
      <c r="EF362" s="243"/>
      <c r="EG362" s="243"/>
      <c r="EH362" s="243"/>
      <c r="EI362" s="243"/>
      <c r="EJ362" s="243"/>
      <c r="EK362" s="243"/>
      <c r="EL362" s="243"/>
      <c r="EM362" s="243"/>
      <c r="EN362" s="243"/>
      <c r="EO362" s="243"/>
      <c r="EP362" s="243"/>
      <c r="EQ362" s="243"/>
      <c r="ER362" s="243"/>
      <c r="ES362" s="243"/>
      <c r="ET362" s="243"/>
      <c r="EU362" s="243"/>
      <c r="EV362" s="243"/>
      <c r="EW362" s="243"/>
      <c r="EX362" s="243"/>
      <c r="EY362" s="243"/>
      <c r="EZ362" s="243"/>
      <c r="FA362" s="243"/>
      <c r="FB362" s="243"/>
      <c r="FC362" s="243"/>
      <c r="FD362" s="243"/>
      <c r="FE362" s="243"/>
      <c r="FF362" s="243"/>
      <c r="FG362" s="243"/>
      <c r="FH362" s="243"/>
      <c r="FI362" s="243"/>
      <c r="FJ362" s="243"/>
      <c r="FK362" s="243"/>
      <c r="FL362" s="243"/>
      <c r="FM362" s="243"/>
      <c r="FN362" s="243"/>
      <c r="FO362" s="243"/>
      <c r="FP362" s="243"/>
      <c r="FQ362" s="243"/>
      <c r="FR362" s="243"/>
      <c r="FS362" s="243"/>
      <c r="FT362" s="243"/>
      <c r="FU362" s="243"/>
      <c r="FV362" s="243"/>
      <c r="FW362" s="243"/>
      <c r="FX362" s="243"/>
      <c r="FY362" s="243"/>
      <c r="FZ362" s="243"/>
      <c r="GA362" s="243"/>
      <c r="GB362" s="243"/>
      <c r="GC362" s="243"/>
      <c r="GD362" s="243"/>
      <c r="GE362" s="243"/>
      <c r="GF362" s="243"/>
      <c r="GG362" s="243"/>
      <c r="GH362" s="243"/>
      <c r="GI362" s="243"/>
      <c r="GJ362" s="243"/>
      <c r="GK362" s="243"/>
      <c r="GL362" s="243"/>
      <c r="GM362" s="243"/>
      <c r="GN362" s="243"/>
      <c r="GO362" s="243"/>
      <c r="GP362" s="243"/>
      <c r="GQ362" s="243"/>
      <c r="GR362" s="243"/>
      <c r="GS362" s="243"/>
      <c r="GT362" s="243"/>
    </row>
    <row r="363" spans="1:202" s="79" customFormat="1" ht="11.25" customHeight="1">
      <c r="A363" s="192"/>
      <c r="B363" s="145" t="s">
        <v>593</v>
      </c>
      <c r="C363" s="216"/>
      <c r="D363" s="141"/>
      <c r="E363" s="147">
        <v>7260.74</v>
      </c>
      <c r="F363" s="147">
        <v>2150</v>
      </c>
      <c r="G363" s="177">
        <f t="shared" si="868"/>
        <v>5110.74</v>
      </c>
      <c r="H363" s="147">
        <v>7260.74</v>
      </c>
      <c r="I363" s="214">
        <v>2150</v>
      </c>
      <c r="J363" s="210">
        <f t="shared" si="869"/>
        <v>5110.74</v>
      </c>
      <c r="K363" s="253">
        <v>64.358000000000004</v>
      </c>
      <c r="L363" s="253">
        <v>63.957999999999998</v>
      </c>
      <c r="M363" s="253"/>
      <c r="N363" s="287">
        <f t="shared" si="865"/>
        <v>128.316</v>
      </c>
      <c r="O363" s="274"/>
      <c r="P363" s="274"/>
      <c r="Q363" s="291"/>
      <c r="R363" s="287"/>
      <c r="S363" s="291"/>
      <c r="T363" s="265"/>
      <c r="U363" s="274"/>
      <c r="V363" s="274"/>
      <c r="W363" s="291"/>
      <c r="X363" s="274"/>
      <c r="Y363" s="142"/>
      <c r="Z363" s="274"/>
      <c r="AA363" s="274"/>
      <c r="AB363" s="274"/>
      <c r="AC363" s="274"/>
      <c r="AD363" s="274"/>
      <c r="AE363" s="274"/>
      <c r="AF363" s="287">
        <f t="shared" si="870"/>
        <v>0</v>
      </c>
      <c r="AG363" s="283">
        <f t="shared" si="846"/>
        <v>128.316</v>
      </c>
      <c r="AH363" s="306">
        <f t="shared" si="847"/>
        <v>328917.00492000004</v>
      </c>
      <c r="AI363" s="306">
        <f t="shared" si="848"/>
        <v>326872.70892</v>
      </c>
      <c r="AJ363" s="306">
        <f t="shared" si="849"/>
        <v>0</v>
      </c>
      <c r="AK363" s="261">
        <f t="shared" si="866"/>
        <v>655789.7138400001</v>
      </c>
      <c r="AL363" s="229">
        <f t="shared" si="850"/>
        <v>0</v>
      </c>
      <c r="AM363" s="229">
        <f t="shared" si="851"/>
        <v>0</v>
      </c>
      <c r="AN363" s="229">
        <f t="shared" si="852"/>
        <v>0</v>
      </c>
      <c r="AO363" s="261"/>
      <c r="AP363" s="306">
        <f t="shared" si="853"/>
        <v>0</v>
      </c>
      <c r="AQ363" s="306">
        <f t="shared" si="854"/>
        <v>0</v>
      </c>
      <c r="AR363" s="306">
        <f t="shared" si="855"/>
        <v>0</v>
      </c>
      <c r="AS363" s="306">
        <f t="shared" si="856"/>
        <v>0</v>
      </c>
      <c r="AT363" s="306">
        <f t="shared" si="857"/>
        <v>0</v>
      </c>
      <c r="AU363" s="306">
        <f t="shared" si="858"/>
        <v>0</v>
      </c>
      <c r="AV363" s="261">
        <f t="shared" si="867"/>
        <v>0</v>
      </c>
      <c r="AW363" s="306">
        <f t="shared" si="859"/>
        <v>0</v>
      </c>
      <c r="AX363" s="306">
        <f t="shared" si="860"/>
        <v>0</v>
      </c>
      <c r="AY363" s="306">
        <f t="shared" si="861"/>
        <v>0</v>
      </c>
      <c r="AZ363" s="306">
        <f t="shared" si="862"/>
        <v>0</v>
      </c>
      <c r="BA363" s="306">
        <f t="shared" si="863"/>
        <v>0</v>
      </c>
      <c r="BB363" s="306">
        <f t="shared" si="864"/>
        <v>0</v>
      </c>
      <c r="BC363" s="261">
        <f t="shared" si="871"/>
        <v>0</v>
      </c>
      <c r="BD363" s="239">
        <f t="shared" si="841"/>
        <v>655789.7138400001</v>
      </c>
      <c r="BE363" s="243"/>
      <c r="BF363" s="243"/>
      <c r="BG363" s="243"/>
      <c r="BH363" s="243"/>
      <c r="BI363" s="243"/>
      <c r="BJ363" s="243"/>
      <c r="BK363" s="243"/>
      <c r="BL363" s="243"/>
      <c r="BM363" s="243"/>
      <c r="BN363" s="243"/>
      <c r="BO363" s="243"/>
      <c r="BP363" s="243"/>
      <c r="BQ363" s="243"/>
      <c r="BR363" s="243"/>
      <c r="BS363" s="243"/>
      <c r="BT363" s="243"/>
      <c r="BU363" s="243"/>
      <c r="BV363" s="243"/>
      <c r="BW363" s="243"/>
      <c r="BX363" s="243"/>
      <c r="BY363" s="243"/>
      <c r="BZ363" s="243"/>
      <c r="CA363" s="243"/>
      <c r="CB363" s="243"/>
      <c r="CC363" s="243"/>
      <c r="CD363" s="243"/>
      <c r="CE363" s="243"/>
      <c r="CF363" s="243"/>
      <c r="CG363" s="243"/>
      <c r="CH363" s="243"/>
      <c r="CI363" s="243"/>
      <c r="CJ363" s="243"/>
      <c r="CK363" s="243"/>
      <c r="CL363" s="243"/>
      <c r="CM363" s="243"/>
      <c r="CN363" s="243"/>
      <c r="CO363" s="243"/>
      <c r="CP363" s="243"/>
      <c r="CQ363" s="243"/>
      <c r="CR363" s="243"/>
      <c r="CS363" s="243"/>
      <c r="CT363" s="243"/>
      <c r="CU363" s="243"/>
      <c r="CV363" s="243"/>
      <c r="CW363" s="243"/>
      <c r="CX363" s="243"/>
      <c r="CY363" s="243"/>
      <c r="CZ363" s="243"/>
      <c r="DA363" s="243"/>
      <c r="DB363" s="243"/>
      <c r="DC363" s="243"/>
      <c r="DD363" s="243"/>
      <c r="DE363" s="243"/>
      <c r="DF363" s="243"/>
      <c r="DG363" s="243"/>
      <c r="DH363" s="243"/>
      <c r="DI363" s="243"/>
      <c r="DJ363" s="243"/>
      <c r="DK363" s="243"/>
      <c r="DL363" s="243"/>
      <c r="DM363" s="243"/>
      <c r="DN363" s="243"/>
      <c r="DO363" s="243"/>
      <c r="DP363" s="243"/>
      <c r="DQ363" s="243"/>
      <c r="DR363" s="243"/>
      <c r="DS363" s="243"/>
      <c r="DT363" s="243"/>
      <c r="DU363" s="243"/>
      <c r="DV363" s="243"/>
      <c r="DW363" s="243"/>
      <c r="DX363" s="243"/>
      <c r="DY363" s="243"/>
      <c r="DZ363" s="243"/>
      <c r="EA363" s="243"/>
      <c r="EB363" s="243"/>
      <c r="EC363" s="243"/>
      <c r="ED363" s="243"/>
      <c r="EE363" s="243"/>
      <c r="EF363" s="243"/>
      <c r="EG363" s="243"/>
      <c r="EH363" s="243"/>
      <c r="EI363" s="243"/>
      <c r="EJ363" s="243"/>
      <c r="EK363" s="243"/>
      <c r="EL363" s="243"/>
      <c r="EM363" s="243"/>
      <c r="EN363" s="243"/>
      <c r="EO363" s="243"/>
      <c r="EP363" s="243"/>
      <c r="EQ363" s="243"/>
      <c r="ER363" s="243"/>
      <c r="ES363" s="243"/>
      <c r="ET363" s="243"/>
      <c r="EU363" s="243"/>
      <c r="EV363" s="243"/>
      <c r="EW363" s="243"/>
      <c r="EX363" s="243"/>
      <c r="EY363" s="243"/>
      <c r="EZ363" s="243"/>
      <c r="FA363" s="243"/>
      <c r="FB363" s="243"/>
      <c r="FC363" s="243"/>
      <c r="FD363" s="243"/>
      <c r="FE363" s="243"/>
      <c r="FF363" s="243"/>
      <c r="FG363" s="243"/>
      <c r="FH363" s="243"/>
      <c r="FI363" s="243"/>
      <c r="FJ363" s="243"/>
      <c r="FK363" s="243"/>
      <c r="FL363" s="243"/>
      <c r="FM363" s="243"/>
      <c r="FN363" s="243"/>
      <c r="FO363" s="243"/>
      <c r="FP363" s="243"/>
      <c r="FQ363" s="243"/>
      <c r="FR363" s="243"/>
      <c r="FS363" s="243"/>
      <c r="FT363" s="243"/>
      <c r="FU363" s="243"/>
      <c r="FV363" s="243"/>
      <c r="FW363" s="243"/>
      <c r="FX363" s="243"/>
      <c r="FY363" s="243"/>
      <c r="FZ363" s="243"/>
      <c r="GA363" s="243"/>
      <c r="GB363" s="243"/>
      <c r="GC363" s="243"/>
      <c r="GD363" s="243"/>
      <c r="GE363" s="243"/>
      <c r="GF363" s="243"/>
      <c r="GG363" s="243"/>
      <c r="GH363" s="243"/>
      <c r="GI363" s="243"/>
      <c r="GJ363" s="243"/>
      <c r="GK363" s="243"/>
      <c r="GL363" s="243"/>
      <c r="GM363" s="243"/>
      <c r="GN363" s="243"/>
      <c r="GO363" s="243"/>
      <c r="GP363" s="243"/>
      <c r="GQ363" s="243"/>
      <c r="GR363" s="243"/>
      <c r="GS363" s="243"/>
      <c r="GT363" s="243"/>
    </row>
    <row r="364" spans="1:202" s="79" customFormat="1" ht="11.25" customHeight="1">
      <c r="A364" s="192"/>
      <c r="B364" s="145" t="s">
        <v>539</v>
      </c>
      <c r="C364" s="216" t="s">
        <v>577</v>
      </c>
      <c r="D364" s="141"/>
      <c r="E364" s="147">
        <v>4845.01</v>
      </c>
      <c r="F364" s="147">
        <v>2150</v>
      </c>
      <c r="G364" s="177">
        <f t="shared" si="868"/>
        <v>2695.01</v>
      </c>
      <c r="H364" s="147">
        <v>4845.01</v>
      </c>
      <c r="I364" s="214">
        <v>2150</v>
      </c>
      <c r="J364" s="210">
        <f t="shared" si="869"/>
        <v>2695.01</v>
      </c>
      <c r="K364" s="253">
        <v>3264.1729999999998</v>
      </c>
      <c r="L364" s="253">
        <v>2991.6579999999999</v>
      </c>
      <c r="M364" s="253"/>
      <c r="N364" s="287">
        <f t="shared" si="865"/>
        <v>6255.8310000000001</v>
      </c>
      <c r="O364" s="274"/>
      <c r="P364" s="274"/>
      <c r="Q364" s="291"/>
      <c r="R364" s="287"/>
      <c r="S364" s="291"/>
      <c r="T364" s="265"/>
      <c r="U364" s="274"/>
      <c r="V364" s="274"/>
      <c r="W364" s="291"/>
      <c r="X364" s="274"/>
      <c r="Y364" s="142"/>
      <c r="Z364" s="274"/>
      <c r="AA364" s="274"/>
      <c r="AB364" s="274"/>
      <c r="AC364" s="274"/>
      <c r="AD364" s="274"/>
      <c r="AE364" s="274"/>
      <c r="AF364" s="287">
        <f t="shared" si="870"/>
        <v>0</v>
      </c>
      <c r="AG364" s="283">
        <f t="shared" si="846"/>
        <v>6255.8310000000001</v>
      </c>
      <c r="AH364" s="306">
        <f t="shared" si="847"/>
        <v>8796978.8767300006</v>
      </c>
      <c r="AI364" s="306">
        <f t="shared" si="848"/>
        <v>8062548.2265800005</v>
      </c>
      <c r="AJ364" s="306">
        <f t="shared" si="849"/>
        <v>0</v>
      </c>
      <c r="AK364" s="261">
        <f t="shared" si="866"/>
        <v>16859527.10331</v>
      </c>
      <c r="AL364" s="229">
        <f t="shared" si="850"/>
        <v>0</v>
      </c>
      <c r="AM364" s="229">
        <f t="shared" si="851"/>
        <v>0</v>
      </c>
      <c r="AN364" s="229">
        <f t="shared" si="852"/>
        <v>0</v>
      </c>
      <c r="AO364" s="261"/>
      <c r="AP364" s="306">
        <f t="shared" si="853"/>
        <v>0</v>
      </c>
      <c r="AQ364" s="306">
        <f t="shared" si="854"/>
        <v>0</v>
      </c>
      <c r="AR364" s="306">
        <f t="shared" si="855"/>
        <v>0</v>
      </c>
      <c r="AS364" s="306">
        <f t="shared" si="856"/>
        <v>0</v>
      </c>
      <c r="AT364" s="306">
        <f t="shared" si="857"/>
        <v>0</v>
      </c>
      <c r="AU364" s="306">
        <f t="shared" si="858"/>
        <v>0</v>
      </c>
      <c r="AV364" s="261">
        <f t="shared" si="867"/>
        <v>0</v>
      </c>
      <c r="AW364" s="306">
        <f t="shared" si="859"/>
        <v>0</v>
      </c>
      <c r="AX364" s="306">
        <f t="shared" si="860"/>
        <v>0</v>
      </c>
      <c r="AY364" s="306">
        <f t="shared" si="861"/>
        <v>0</v>
      </c>
      <c r="AZ364" s="306">
        <f t="shared" si="862"/>
        <v>0</v>
      </c>
      <c r="BA364" s="306">
        <f t="shared" si="863"/>
        <v>0</v>
      </c>
      <c r="BB364" s="306">
        <f t="shared" si="864"/>
        <v>0</v>
      </c>
      <c r="BC364" s="261">
        <f t="shared" si="871"/>
        <v>0</v>
      </c>
      <c r="BD364" s="239">
        <f t="shared" si="841"/>
        <v>16859527.10331</v>
      </c>
      <c r="BE364" s="243"/>
      <c r="BF364" s="243"/>
      <c r="BG364" s="243"/>
      <c r="BH364" s="243"/>
      <c r="BI364" s="243"/>
      <c r="BJ364" s="243"/>
      <c r="BK364" s="243"/>
      <c r="BL364" s="243"/>
      <c r="BM364" s="243"/>
      <c r="BN364" s="243"/>
      <c r="BO364" s="243"/>
      <c r="BP364" s="243"/>
      <c r="BQ364" s="243"/>
      <c r="BR364" s="243"/>
      <c r="BS364" s="243"/>
      <c r="BT364" s="243"/>
      <c r="BU364" s="243"/>
      <c r="BV364" s="243"/>
      <c r="BW364" s="243"/>
      <c r="BX364" s="243"/>
      <c r="BY364" s="243"/>
      <c r="BZ364" s="243"/>
      <c r="CA364" s="243"/>
      <c r="CB364" s="243"/>
      <c r="CC364" s="243"/>
      <c r="CD364" s="243"/>
      <c r="CE364" s="243"/>
      <c r="CF364" s="243"/>
      <c r="CG364" s="243"/>
      <c r="CH364" s="243"/>
      <c r="CI364" s="243"/>
      <c r="CJ364" s="243"/>
      <c r="CK364" s="243"/>
      <c r="CL364" s="243"/>
      <c r="CM364" s="243"/>
      <c r="CN364" s="243"/>
      <c r="CO364" s="243"/>
      <c r="CP364" s="243"/>
      <c r="CQ364" s="243"/>
      <c r="CR364" s="243"/>
      <c r="CS364" s="243"/>
      <c r="CT364" s="243"/>
      <c r="CU364" s="243"/>
      <c r="CV364" s="243"/>
      <c r="CW364" s="243"/>
      <c r="CX364" s="243"/>
      <c r="CY364" s="243"/>
      <c r="CZ364" s="243"/>
      <c r="DA364" s="243"/>
      <c r="DB364" s="243"/>
      <c r="DC364" s="243"/>
      <c r="DD364" s="243"/>
      <c r="DE364" s="243"/>
      <c r="DF364" s="243"/>
      <c r="DG364" s="243"/>
      <c r="DH364" s="243"/>
      <c r="DI364" s="243"/>
      <c r="DJ364" s="243"/>
      <c r="DK364" s="243"/>
      <c r="DL364" s="243"/>
      <c r="DM364" s="243"/>
      <c r="DN364" s="243"/>
      <c r="DO364" s="243"/>
      <c r="DP364" s="243"/>
      <c r="DQ364" s="243"/>
      <c r="DR364" s="243"/>
      <c r="DS364" s="243"/>
      <c r="DT364" s="243"/>
      <c r="DU364" s="243"/>
      <c r="DV364" s="243"/>
      <c r="DW364" s="243"/>
      <c r="DX364" s="243"/>
      <c r="DY364" s="243"/>
      <c r="DZ364" s="243"/>
      <c r="EA364" s="243"/>
      <c r="EB364" s="243"/>
      <c r="EC364" s="243"/>
      <c r="ED364" s="243"/>
      <c r="EE364" s="243"/>
      <c r="EF364" s="243"/>
      <c r="EG364" s="243"/>
      <c r="EH364" s="243"/>
      <c r="EI364" s="243"/>
      <c r="EJ364" s="243"/>
      <c r="EK364" s="243"/>
      <c r="EL364" s="243"/>
      <c r="EM364" s="243"/>
      <c r="EN364" s="243"/>
      <c r="EO364" s="243"/>
      <c r="EP364" s="243"/>
      <c r="EQ364" s="243"/>
      <c r="ER364" s="243"/>
      <c r="ES364" s="243"/>
      <c r="ET364" s="243"/>
      <c r="EU364" s="243"/>
      <c r="EV364" s="243"/>
      <c r="EW364" s="243"/>
      <c r="EX364" s="243"/>
      <c r="EY364" s="243"/>
      <c r="EZ364" s="243"/>
      <c r="FA364" s="243"/>
      <c r="FB364" s="243"/>
      <c r="FC364" s="243"/>
      <c r="FD364" s="243"/>
      <c r="FE364" s="243"/>
      <c r="FF364" s="243"/>
      <c r="FG364" s="243"/>
      <c r="FH364" s="243"/>
      <c r="FI364" s="243"/>
      <c r="FJ364" s="243"/>
      <c r="FK364" s="243"/>
      <c r="FL364" s="243"/>
      <c r="FM364" s="243"/>
      <c r="FN364" s="243"/>
      <c r="FO364" s="243"/>
      <c r="FP364" s="243"/>
      <c r="FQ364" s="243"/>
      <c r="FR364" s="243"/>
      <c r="FS364" s="243"/>
      <c r="FT364" s="243"/>
      <c r="FU364" s="243"/>
      <c r="FV364" s="243"/>
      <c r="FW364" s="243"/>
      <c r="FX364" s="243"/>
      <c r="FY364" s="243"/>
      <c r="FZ364" s="243"/>
      <c r="GA364" s="243"/>
      <c r="GB364" s="243"/>
      <c r="GC364" s="243"/>
      <c r="GD364" s="243"/>
      <c r="GE364" s="243"/>
      <c r="GF364" s="243"/>
      <c r="GG364" s="243"/>
      <c r="GH364" s="243"/>
      <c r="GI364" s="243"/>
      <c r="GJ364" s="243"/>
      <c r="GK364" s="243"/>
      <c r="GL364" s="243"/>
      <c r="GM364" s="243"/>
      <c r="GN364" s="243"/>
      <c r="GO364" s="243"/>
      <c r="GP364" s="243"/>
      <c r="GQ364" s="243"/>
      <c r="GR364" s="243"/>
      <c r="GS364" s="243"/>
      <c r="GT364" s="243"/>
    </row>
    <row r="365" spans="1:202" s="79" customFormat="1" ht="11.25" customHeight="1">
      <c r="A365" s="192"/>
      <c r="B365" s="145" t="s">
        <v>489</v>
      </c>
      <c r="C365" s="216"/>
      <c r="D365" s="141"/>
      <c r="E365" s="147">
        <v>6836.63</v>
      </c>
      <c r="F365" s="147">
        <v>1980</v>
      </c>
      <c r="G365" s="177">
        <f t="shared" si="868"/>
        <v>4856.63</v>
      </c>
      <c r="H365" s="147">
        <v>6836.63</v>
      </c>
      <c r="I365" s="214">
        <v>1980</v>
      </c>
      <c r="J365" s="210">
        <f t="shared" si="869"/>
        <v>4856.63</v>
      </c>
      <c r="K365" s="253">
        <v>650.06299999999999</v>
      </c>
      <c r="L365" s="253">
        <v>609.33100000000002</v>
      </c>
      <c r="M365" s="253"/>
      <c r="N365" s="287">
        <f t="shared" si="865"/>
        <v>1259.394</v>
      </c>
      <c r="O365" s="274"/>
      <c r="P365" s="274"/>
      <c r="Q365" s="291"/>
      <c r="R365" s="287"/>
      <c r="S365" s="291"/>
      <c r="T365" s="265"/>
      <c r="U365" s="274"/>
      <c r="V365" s="274"/>
      <c r="W365" s="291"/>
      <c r="X365" s="274"/>
      <c r="Y365" s="142"/>
      <c r="Z365" s="274"/>
      <c r="AA365" s="274"/>
      <c r="AB365" s="274"/>
      <c r="AC365" s="274"/>
      <c r="AD365" s="274"/>
      <c r="AE365" s="274"/>
      <c r="AF365" s="287">
        <f t="shared" si="870"/>
        <v>0</v>
      </c>
      <c r="AG365" s="283">
        <f t="shared" si="846"/>
        <v>1259.394</v>
      </c>
      <c r="AH365" s="306">
        <f t="shared" si="847"/>
        <v>3157115.4676899998</v>
      </c>
      <c r="AI365" s="306">
        <f t="shared" si="848"/>
        <v>2959295.21453</v>
      </c>
      <c r="AJ365" s="306">
        <f t="shared" si="849"/>
        <v>0</v>
      </c>
      <c r="AK365" s="261">
        <f t="shared" si="866"/>
        <v>6116410.6822199998</v>
      </c>
      <c r="AL365" s="229">
        <f t="shared" si="850"/>
        <v>0</v>
      </c>
      <c r="AM365" s="229">
        <f t="shared" si="851"/>
        <v>0</v>
      </c>
      <c r="AN365" s="229">
        <f t="shared" si="852"/>
        <v>0</v>
      </c>
      <c r="AO365" s="261"/>
      <c r="AP365" s="306">
        <f t="shared" si="853"/>
        <v>0</v>
      </c>
      <c r="AQ365" s="306">
        <f t="shared" si="854"/>
        <v>0</v>
      </c>
      <c r="AR365" s="306">
        <f t="shared" si="855"/>
        <v>0</v>
      </c>
      <c r="AS365" s="306">
        <f t="shared" si="856"/>
        <v>0</v>
      </c>
      <c r="AT365" s="306">
        <f t="shared" si="857"/>
        <v>0</v>
      </c>
      <c r="AU365" s="306">
        <f t="shared" si="858"/>
        <v>0</v>
      </c>
      <c r="AV365" s="261">
        <f t="shared" si="867"/>
        <v>0</v>
      </c>
      <c r="AW365" s="306">
        <f t="shared" si="859"/>
        <v>0</v>
      </c>
      <c r="AX365" s="306">
        <f t="shared" si="860"/>
        <v>0</v>
      </c>
      <c r="AY365" s="306">
        <f t="shared" si="861"/>
        <v>0</v>
      </c>
      <c r="AZ365" s="306">
        <f t="shared" si="862"/>
        <v>0</v>
      </c>
      <c r="BA365" s="306">
        <f t="shared" si="863"/>
        <v>0</v>
      </c>
      <c r="BB365" s="306">
        <f t="shared" si="864"/>
        <v>0</v>
      </c>
      <c r="BC365" s="261">
        <f t="shared" si="871"/>
        <v>0</v>
      </c>
      <c r="BD365" s="239">
        <f t="shared" si="841"/>
        <v>6116410.6822199998</v>
      </c>
      <c r="BE365" s="243"/>
      <c r="BF365" s="243"/>
      <c r="BG365" s="243"/>
      <c r="BH365" s="243"/>
      <c r="BI365" s="243"/>
      <c r="BJ365" s="243"/>
      <c r="BK365" s="243"/>
      <c r="BL365" s="243"/>
      <c r="BM365" s="243"/>
      <c r="BN365" s="243"/>
      <c r="BO365" s="243"/>
      <c r="BP365" s="243"/>
      <c r="BQ365" s="243"/>
      <c r="BR365" s="243"/>
      <c r="BS365" s="243"/>
      <c r="BT365" s="243"/>
      <c r="BU365" s="243"/>
      <c r="BV365" s="243"/>
      <c r="BW365" s="243"/>
      <c r="BX365" s="243"/>
      <c r="BY365" s="243"/>
      <c r="BZ365" s="243"/>
      <c r="CA365" s="243"/>
      <c r="CB365" s="243"/>
      <c r="CC365" s="243"/>
      <c r="CD365" s="243"/>
      <c r="CE365" s="243"/>
      <c r="CF365" s="243"/>
      <c r="CG365" s="243"/>
      <c r="CH365" s="243"/>
      <c r="CI365" s="243"/>
      <c r="CJ365" s="243"/>
      <c r="CK365" s="243"/>
      <c r="CL365" s="243"/>
      <c r="CM365" s="243"/>
      <c r="CN365" s="243"/>
      <c r="CO365" s="243"/>
      <c r="CP365" s="243"/>
      <c r="CQ365" s="243"/>
      <c r="CR365" s="243"/>
      <c r="CS365" s="243"/>
      <c r="CT365" s="243"/>
      <c r="CU365" s="243"/>
      <c r="CV365" s="243"/>
      <c r="CW365" s="243"/>
      <c r="CX365" s="243"/>
      <c r="CY365" s="243"/>
      <c r="CZ365" s="243"/>
      <c r="DA365" s="243"/>
      <c r="DB365" s="243"/>
      <c r="DC365" s="243"/>
      <c r="DD365" s="243"/>
      <c r="DE365" s="243"/>
      <c r="DF365" s="243"/>
      <c r="DG365" s="243"/>
      <c r="DH365" s="243"/>
      <c r="DI365" s="243"/>
      <c r="DJ365" s="243"/>
      <c r="DK365" s="243"/>
      <c r="DL365" s="243"/>
      <c r="DM365" s="243"/>
      <c r="DN365" s="243"/>
      <c r="DO365" s="243"/>
      <c r="DP365" s="243"/>
      <c r="DQ365" s="243"/>
      <c r="DR365" s="243"/>
      <c r="DS365" s="243"/>
      <c r="DT365" s="243"/>
      <c r="DU365" s="243"/>
      <c r="DV365" s="243"/>
      <c r="DW365" s="243"/>
      <c r="DX365" s="243"/>
      <c r="DY365" s="243"/>
      <c r="DZ365" s="243"/>
      <c r="EA365" s="243"/>
      <c r="EB365" s="243"/>
      <c r="EC365" s="243"/>
      <c r="ED365" s="243"/>
      <c r="EE365" s="243"/>
      <c r="EF365" s="243"/>
      <c r="EG365" s="243"/>
      <c r="EH365" s="243"/>
      <c r="EI365" s="243"/>
      <c r="EJ365" s="243"/>
      <c r="EK365" s="243"/>
      <c r="EL365" s="243"/>
      <c r="EM365" s="243"/>
      <c r="EN365" s="243"/>
      <c r="EO365" s="243"/>
      <c r="EP365" s="243"/>
      <c r="EQ365" s="243"/>
      <c r="ER365" s="243"/>
      <c r="ES365" s="243"/>
      <c r="ET365" s="243"/>
      <c r="EU365" s="243"/>
      <c r="EV365" s="243"/>
      <c r="EW365" s="243"/>
      <c r="EX365" s="243"/>
      <c r="EY365" s="243"/>
      <c r="EZ365" s="243"/>
      <c r="FA365" s="243"/>
      <c r="FB365" s="243"/>
      <c r="FC365" s="243"/>
      <c r="FD365" s="243"/>
      <c r="FE365" s="243"/>
      <c r="FF365" s="243"/>
      <c r="FG365" s="243"/>
      <c r="FH365" s="243"/>
      <c r="FI365" s="243"/>
      <c r="FJ365" s="243"/>
      <c r="FK365" s="243"/>
      <c r="FL365" s="243"/>
      <c r="FM365" s="243"/>
      <c r="FN365" s="243"/>
      <c r="FO365" s="243"/>
      <c r="FP365" s="243"/>
      <c r="FQ365" s="243"/>
      <c r="FR365" s="243"/>
      <c r="FS365" s="243"/>
      <c r="FT365" s="243"/>
      <c r="FU365" s="243"/>
      <c r="FV365" s="243"/>
      <c r="FW365" s="243"/>
      <c r="FX365" s="243"/>
      <c r="FY365" s="243"/>
      <c r="FZ365" s="243"/>
      <c r="GA365" s="243"/>
      <c r="GB365" s="243"/>
      <c r="GC365" s="243"/>
      <c r="GD365" s="243"/>
      <c r="GE365" s="243"/>
      <c r="GF365" s="243"/>
      <c r="GG365" s="243"/>
      <c r="GH365" s="243"/>
      <c r="GI365" s="243"/>
      <c r="GJ365" s="243"/>
      <c r="GK365" s="243"/>
      <c r="GL365" s="243"/>
      <c r="GM365" s="243"/>
      <c r="GN365" s="243"/>
      <c r="GO365" s="243"/>
      <c r="GP365" s="243"/>
      <c r="GQ365" s="243"/>
      <c r="GR365" s="243"/>
      <c r="GS365" s="243"/>
      <c r="GT365" s="243"/>
    </row>
    <row r="366" spans="1:202" s="79" customFormat="1" ht="11.25" customHeight="1">
      <c r="A366" s="192"/>
      <c r="B366" s="145" t="s">
        <v>544</v>
      </c>
      <c r="C366" s="216"/>
      <c r="D366" s="141"/>
      <c r="E366" s="147">
        <v>6435.71</v>
      </c>
      <c r="F366" s="147">
        <v>1716.67</v>
      </c>
      <c r="G366" s="177">
        <f t="shared" si="868"/>
        <v>4719.04</v>
      </c>
      <c r="H366" s="147">
        <v>6435.71</v>
      </c>
      <c r="I366" s="214">
        <v>1716.67</v>
      </c>
      <c r="J366" s="210">
        <f t="shared" si="869"/>
        <v>4719.04</v>
      </c>
      <c r="K366" s="253">
        <v>675.76400000000001</v>
      </c>
      <c r="L366" s="253">
        <v>689.77200000000005</v>
      </c>
      <c r="M366" s="253"/>
      <c r="N366" s="287">
        <f t="shared" si="865"/>
        <v>1365.5360000000001</v>
      </c>
      <c r="O366" s="274"/>
      <c r="P366" s="274"/>
      <c r="Q366" s="291"/>
      <c r="R366" s="287"/>
      <c r="S366" s="291"/>
      <c r="T366" s="265"/>
      <c r="U366" s="274"/>
      <c r="V366" s="274"/>
      <c r="W366" s="291"/>
      <c r="X366" s="274"/>
      <c r="Y366" s="142"/>
      <c r="Z366" s="274"/>
      <c r="AA366" s="274"/>
      <c r="AB366" s="274"/>
      <c r="AC366" s="274"/>
      <c r="AD366" s="274"/>
      <c r="AE366" s="274"/>
      <c r="AF366" s="287">
        <f t="shared" si="870"/>
        <v>0</v>
      </c>
      <c r="AG366" s="283">
        <f t="shared" si="846"/>
        <v>1365.5360000000001</v>
      </c>
      <c r="AH366" s="306">
        <f t="shared" si="847"/>
        <v>3188957.34656</v>
      </c>
      <c r="AI366" s="306">
        <f t="shared" si="848"/>
        <v>3255061.65888</v>
      </c>
      <c r="AJ366" s="306">
        <f t="shared" si="849"/>
        <v>0</v>
      </c>
      <c r="AK366" s="261">
        <f t="shared" si="866"/>
        <v>6444019.0054400004</v>
      </c>
      <c r="AL366" s="229">
        <f t="shared" si="850"/>
        <v>0</v>
      </c>
      <c r="AM366" s="229">
        <f t="shared" si="851"/>
        <v>0</v>
      </c>
      <c r="AN366" s="229">
        <f t="shared" si="852"/>
        <v>0</v>
      </c>
      <c r="AO366" s="261"/>
      <c r="AP366" s="306">
        <f t="shared" si="853"/>
        <v>0</v>
      </c>
      <c r="AQ366" s="306">
        <f t="shared" si="854"/>
        <v>0</v>
      </c>
      <c r="AR366" s="306">
        <f t="shared" si="855"/>
        <v>0</v>
      </c>
      <c r="AS366" s="306">
        <f t="shared" si="856"/>
        <v>0</v>
      </c>
      <c r="AT366" s="306">
        <f t="shared" si="857"/>
        <v>0</v>
      </c>
      <c r="AU366" s="306">
        <f t="shared" si="858"/>
        <v>0</v>
      </c>
      <c r="AV366" s="261">
        <f t="shared" si="867"/>
        <v>0</v>
      </c>
      <c r="AW366" s="306">
        <f t="shared" si="859"/>
        <v>0</v>
      </c>
      <c r="AX366" s="306">
        <f t="shared" si="860"/>
        <v>0</v>
      </c>
      <c r="AY366" s="306">
        <f t="shared" si="861"/>
        <v>0</v>
      </c>
      <c r="AZ366" s="306">
        <f t="shared" si="862"/>
        <v>0</v>
      </c>
      <c r="BA366" s="306">
        <f t="shared" si="863"/>
        <v>0</v>
      </c>
      <c r="BB366" s="306">
        <f t="shared" si="864"/>
        <v>0</v>
      </c>
      <c r="BC366" s="261">
        <f t="shared" si="871"/>
        <v>0</v>
      </c>
      <c r="BD366" s="239">
        <f t="shared" si="841"/>
        <v>6444019.0054400004</v>
      </c>
      <c r="BE366" s="243"/>
      <c r="BF366" s="243"/>
      <c r="BG366" s="243"/>
      <c r="BH366" s="243"/>
      <c r="BI366" s="243"/>
      <c r="BJ366" s="243"/>
      <c r="BK366" s="243"/>
      <c r="BL366" s="243"/>
      <c r="BM366" s="243"/>
      <c r="BN366" s="243"/>
      <c r="BO366" s="243"/>
      <c r="BP366" s="243"/>
      <c r="BQ366" s="243"/>
      <c r="BR366" s="243"/>
      <c r="BS366" s="243"/>
      <c r="BT366" s="243"/>
      <c r="BU366" s="243"/>
      <c r="BV366" s="243"/>
      <c r="BW366" s="243"/>
      <c r="BX366" s="243"/>
      <c r="BY366" s="243"/>
      <c r="BZ366" s="243"/>
      <c r="CA366" s="243"/>
      <c r="CB366" s="243"/>
      <c r="CC366" s="243"/>
      <c r="CD366" s="243"/>
      <c r="CE366" s="243"/>
      <c r="CF366" s="243"/>
      <c r="CG366" s="243"/>
      <c r="CH366" s="243"/>
      <c r="CI366" s="243"/>
      <c r="CJ366" s="243"/>
      <c r="CK366" s="243"/>
      <c r="CL366" s="243"/>
      <c r="CM366" s="243"/>
      <c r="CN366" s="243"/>
      <c r="CO366" s="243"/>
      <c r="CP366" s="243"/>
      <c r="CQ366" s="243"/>
      <c r="CR366" s="243"/>
      <c r="CS366" s="243"/>
      <c r="CT366" s="243"/>
      <c r="CU366" s="243"/>
      <c r="CV366" s="243"/>
      <c r="CW366" s="243"/>
      <c r="CX366" s="243"/>
      <c r="CY366" s="243"/>
      <c r="CZ366" s="243"/>
      <c r="DA366" s="243"/>
      <c r="DB366" s="243"/>
      <c r="DC366" s="243"/>
      <c r="DD366" s="243"/>
      <c r="DE366" s="243"/>
      <c r="DF366" s="243"/>
      <c r="DG366" s="243"/>
      <c r="DH366" s="243"/>
      <c r="DI366" s="243"/>
      <c r="DJ366" s="243"/>
      <c r="DK366" s="243"/>
      <c r="DL366" s="243"/>
      <c r="DM366" s="243"/>
      <c r="DN366" s="243"/>
      <c r="DO366" s="243"/>
      <c r="DP366" s="243"/>
      <c r="DQ366" s="243"/>
      <c r="DR366" s="243"/>
      <c r="DS366" s="243"/>
      <c r="DT366" s="243"/>
      <c r="DU366" s="243"/>
      <c r="DV366" s="243"/>
      <c r="DW366" s="243"/>
      <c r="DX366" s="243"/>
      <c r="DY366" s="243"/>
      <c r="DZ366" s="243"/>
      <c r="EA366" s="243"/>
      <c r="EB366" s="243"/>
      <c r="EC366" s="243"/>
      <c r="ED366" s="243"/>
      <c r="EE366" s="243"/>
      <c r="EF366" s="243"/>
      <c r="EG366" s="243"/>
      <c r="EH366" s="243"/>
      <c r="EI366" s="243"/>
      <c r="EJ366" s="243"/>
      <c r="EK366" s="243"/>
      <c r="EL366" s="243"/>
      <c r="EM366" s="243"/>
      <c r="EN366" s="243"/>
      <c r="EO366" s="243"/>
      <c r="EP366" s="243"/>
      <c r="EQ366" s="243"/>
      <c r="ER366" s="243"/>
      <c r="ES366" s="243"/>
      <c r="ET366" s="243"/>
      <c r="EU366" s="243"/>
      <c r="EV366" s="243"/>
      <c r="EW366" s="243"/>
      <c r="EX366" s="243"/>
      <c r="EY366" s="243"/>
      <c r="EZ366" s="243"/>
      <c r="FA366" s="243"/>
      <c r="FB366" s="243"/>
      <c r="FC366" s="243"/>
      <c r="FD366" s="243"/>
      <c r="FE366" s="243"/>
      <c r="FF366" s="243"/>
      <c r="FG366" s="243"/>
      <c r="FH366" s="243"/>
      <c r="FI366" s="243"/>
      <c r="FJ366" s="243"/>
      <c r="FK366" s="243"/>
      <c r="FL366" s="243"/>
      <c r="FM366" s="243"/>
      <c r="FN366" s="243"/>
      <c r="FO366" s="243"/>
      <c r="FP366" s="243"/>
      <c r="FQ366" s="243"/>
      <c r="FR366" s="243"/>
      <c r="FS366" s="243"/>
      <c r="FT366" s="243"/>
      <c r="FU366" s="243"/>
      <c r="FV366" s="243"/>
      <c r="FW366" s="243"/>
      <c r="FX366" s="243"/>
      <c r="FY366" s="243"/>
      <c r="FZ366" s="243"/>
      <c r="GA366" s="243"/>
      <c r="GB366" s="243"/>
      <c r="GC366" s="243"/>
      <c r="GD366" s="243"/>
      <c r="GE366" s="243"/>
      <c r="GF366" s="243"/>
      <c r="GG366" s="243"/>
      <c r="GH366" s="243"/>
      <c r="GI366" s="243"/>
      <c r="GJ366" s="243"/>
      <c r="GK366" s="243"/>
      <c r="GL366" s="243"/>
      <c r="GM366" s="243"/>
      <c r="GN366" s="243"/>
      <c r="GO366" s="243"/>
      <c r="GP366" s="243"/>
      <c r="GQ366" s="243"/>
      <c r="GR366" s="243"/>
      <c r="GS366" s="243"/>
      <c r="GT366" s="243"/>
    </row>
    <row r="367" spans="1:202" s="79" customFormat="1" ht="11.25" customHeight="1">
      <c r="A367" s="192"/>
      <c r="B367" s="145" t="s">
        <v>538</v>
      </c>
      <c r="C367" s="216" t="s">
        <v>578</v>
      </c>
      <c r="D367" s="141"/>
      <c r="E367" s="147">
        <v>9574.48</v>
      </c>
      <c r="F367" s="147">
        <v>1833.33</v>
      </c>
      <c r="G367" s="177">
        <f>E367-F367</f>
        <v>7741.15</v>
      </c>
      <c r="H367" s="147">
        <v>9574.48</v>
      </c>
      <c r="I367" s="214">
        <v>1833.33</v>
      </c>
      <c r="J367" s="210">
        <f>H367-I367</f>
        <v>7741.15</v>
      </c>
      <c r="K367" s="253">
        <v>14.231999999999999</v>
      </c>
      <c r="L367" s="253">
        <v>12.714</v>
      </c>
      <c r="M367" s="253"/>
      <c r="N367" s="287">
        <f t="shared" si="865"/>
        <v>26.945999999999998</v>
      </c>
      <c r="O367" s="274"/>
      <c r="P367" s="274"/>
      <c r="Q367" s="291"/>
      <c r="R367" s="287"/>
      <c r="S367" s="291"/>
      <c r="T367" s="265"/>
      <c r="U367" s="274"/>
      <c r="V367" s="274"/>
      <c r="W367" s="291"/>
      <c r="X367" s="274"/>
      <c r="Y367" s="142"/>
      <c r="Z367" s="274"/>
      <c r="AA367" s="274"/>
      <c r="AB367" s="274"/>
      <c r="AC367" s="274"/>
      <c r="AD367" s="274"/>
      <c r="AE367" s="274"/>
      <c r="AF367" s="287">
        <f>SUM(Z367:AE367)</f>
        <v>0</v>
      </c>
      <c r="AG367" s="283">
        <f t="shared" si="846"/>
        <v>26.945999999999998</v>
      </c>
      <c r="AH367" s="306">
        <f t="shared" si="847"/>
        <v>110172.0468</v>
      </c>
      <c r="AI367" s="306">
        <f t="shared" si="848"/>
        <v>98420.981100000005</v>
      </c>
      <c r="AJ367" s="306">
        <f t="shared" si="849"/>
        <v>0</v>
      </c>
      <c r="AK367" s="261">
        <f t="shared" si="866"/>
        <v>208593.02789999999</v>
      </c>
      <c r="AL367" s="229">
        <f t="shared" si="850"/>
        <v>0</v>
      </c>
      <c r="AM367" s="229">
        <f t="shared" si="851"/>
        <v>0</v>
      </c>
      <c r="AN367" s="229">
        <f t="shared" si="852"/>
        <v>0</v>
      </c>
      <c r="AO367" s="261"/>
      <c r="AP367" s="306">
        <f t="shared" si="853"/>
        <v>0</v>
      </c>
      <c r="AQ367" s="306">
        <f t="shared" si="854"/>
        <v>0</v>
      </c>
      <c r="AR367" s="306">
        <f t="shared" si="855"/>
        <v>0</v>
      </c>
      <c r="AS367" s="306">
        <f t="shared" si="856"/>
        <v>0</v>
      </c>
      <c r="AT367" s="306">
        <f t="shared" si="857"/>
        <v>0</v>
      </c>
      <c r="AU367" s="306">
        <f t="shared" si="858"/>
        <v>0</v>
      </c>
      <c r="AV367" s="261">
        <f t="shared" si="867"/>
        <v>0</v>
      </c>
      <c r="AW367" s="306">
        <f t="shared" si="859"/>
        <v>0</v>
      </c>
      <c r="AX367" s="306">
        <f t="shared" si="860"/>
        <v>0</v>
      </c>
      <c r="AY367" s="306">
        <f t="shared" si="861"/>
        <v>0</v>
      </c>
      <c r="AZ367" s="306">
        <f t="shared" si="862"/>
        <v>0</v>
      </c>
      <c r="BA367" s="306">
        <f t="shared" si="863"/>
        <v>0</v>
      </c>
      <c r="BB367" s="306">
        <f t="shared" si="864"/>
        <v>0</v>
      </c>
      <c r="BC367" s="261">
        <f>SUM(AW367:BB367)</f>
        <v>0</v>
      </c>
      <c r="BD367" s="239">
        <f t="shared" si="841"/>
        <v>208593.02789999999</v>
      </c>
      <c r="BE367" s="243"/>
      <c r="BF367" s="243"/>
      <c r="BG367" s="243"/>
      <c r="BH367" s="243"/>
      <c r="BI367" s="243"/>
      <c r="BJ367" s="243"/>
      <c r="BK367" s="243"/>
      <c r="BL367" s="243"/>
      <c r="BM367" s="243"/>
      <c r="BN367" s="243"/>
      <c r="BO367" s="243"/>
      <c r="BP367" s="243"/>
      <c r="BQ367" s="243"/>
      <c r="BR367" s="243"/>
      <c r="BS367" s="243"/>
      <c r="BT367" s="243"/>
      <c r="BU367" s="243"/>
      <c r="BV367" s="243"/>
      <c r="BW367" s="243"/>
      <c r="BX367" s="243"/>
      <c r="BY367" s="243"/>
      <c r="BZ367" s="243"/>
      <c r="CA367" s="243"/>
      <c r="CB367" s="243"/>
      <c r="CC367" s="243"/>
      <c r="CD367" s="243"/>
      <c r="CE367" s="243"/>
      <c r="CF367" s="243"/>
      <c r="CG367" s="243"/>
      <c r="CH367" s="243"/>
      <c r="CI367" s="243"/>
      <c r="CJ367" s="243"/>
      <c r="CK367" s="243"/>
      <c r="CL367" s="243"/>
      <c r="CM367" s="243"/>
      <c r="CN367" s="243"/>
      <c r="CO367" s="243"/>
      <c r="CP367" s="243"/>
      <c r="CQ367" s="243"/>
      <c r="CR367" s="243"/>
      <c r="CS367" s="243"/>
      <c r="CT367" s="243"/>
      <c r="CU367" s="243"/>
      <c r="CV367" s="243"/>
      <c r="CW367" s="243"/>
      <c r="CX367" s="243"/>
      <c r="CY367" s="243"/>
      <c r="CZ367" s="243"/>
      <c r="DA367" s="243"/>
      <c r="DB367" s="243"/>
      <c r="DC367" s="243"/>
      <c r="DD367" s="243"/>
      <c r="DE367" s="243"/>
      <c r="DF367" s="243"/>
      <c r="DG367" s="243"/>
      <c r="DH367" s="243"/>
      <c r="DI367" s="243"/>
      <c r="DJ367" s="243"/>
      <c r="DK367" s="243"/>
      <c r="DL367" s="243"/>
      <c r="DM367" s="243"/>
      <c r="DN367" s="243"/>
      <c r="DO367" s="243"/>
      <c r="DP367" s="243"/>
      <c r="DQ367" s="243"/>
      <c r="DR367" s="243"/>
      <c r="DS367" s="243"/>
      <c r="DT367" s="243"/>
      <c r="DU367" s="243"/>
      <c r="DV367" s="243"/>
      <c r="DW367" s="243"/>
      <c r="DX367" s="243"/>
      <c r="DY367" s="243"/>
      <c r="DZ367" s="243"/>
      <c r="EA367" s="243"/>
      <c r="EB367" s="243"/>
      <c r="EC367" s="243"/>
      <c r="ED367" s="243"/>
      <c r="EE367" s="243"/>
      <c r="EF367" s="243"/>
      <c r="EG367" s="243"/>
      <c r="EH367" s="243"/>
      <c r="EI367" s="243"/>
      <c r="EJ367" s="243"/>
      <c r="EK367" s="243"/>
      <c r="EL367" s="243"/>
      <c r="EM367" s="243"/>
      <c r="EN367" s="243"/>
      <c r="EO367" s="243"/>
      <c r="EP367" s="243"/>
      <c r="EQ367" s="243"/>
      <c r="ER367" s="243"/>
      <c r="ES367" s="243"/>
      <c r="ET367" s="243"/>
      <c r="EU367" s="243"/>
      <c r="EV367" s="243"/>
      <c r="EW367" s="243"/>
      <c r="EX367" s="243"/>
      <c r="EY367" s="243"/>
      <c r="EZ367" s="243"/>
      <c r="FA367" s="243"/>
      <c r="FB367" s="243"/>
      <c r="FC367" s="243"/>
      <c r="FD367" s="243"/>
      <c r="FE367" s="243"/>
      <c r="FF367" s="243"/>
      <c r="FG367" s="243"/>
      <c r="FH367" s="243"/>
      <c r="FI367" s="243"/>
      <c r="FJ367" s="243"/>
      <c r="FK367" s="243"/>
      <c r="FL367" s="243"/>
      <c r="FM367" s="243"/>
      <c r="FN367" s="243"/>
      <c r="FO367" s="243"/>
      <c r="FP367" s="243"/>
      <c r="FQ367" s="243"/>
      <c r="FR367" s="243"/>
      <c r="FS367" s="243"/>
      <c r="FT367" s="243"/>
      <c r="FU367" s="243"/>
      <c r="FV367" s="243"/>
      <c r="FW367" s="243"/>
      <c r="FX367" s="243"/>
      <c r="FY367" s="243"/>
      <c r="FZ367" s="243"/>
      <c r="GA367" s="243"/>
      <c r="GB367" s="243"/>
      <c r="GC367" s="243"/>
      <c r="GD367" s="243"/>
      <c r="GE367" s="243"/>
      <c r="GF367" s="243"/>
      <c r="GG367" s="243"/>
      <c r="GH367" s="243"/>
      <c r="GI367" s="243"/>
      <c r="GJ367" s="243"/>
      <c r="GK367" s="243"/>
      <c r="GL367" s="243"/>
      <c r="GM367" s="243"/>
      <c r="GN367" s="243"/>
      <c r="GO367" s="243"/>
      <c r="GP367" s="243"/>
      <c r="GQ367" s="243"/>
      <c r="GR367" s="243"/>
      <c r="GS367" s="243"/>
      <c r="GT367" s="243"/>
    </row>
    <row r="368" spans="1:202" s="79" customFormat="1" ht="11.25" customHeight="1">
      <c r="A368" s="192"/>
      <c r="B368" s="145" t="s">
        <v>539</v>
      </c>
      <c r="C368" s="216" t="s">
        <v>578</v>
      </c>
      <c r="D368" s="141"/>
      <c r="E368" s="147">
        <v>4845.01</v>
      </c>
      <c r="F368" s="147">
        <v>2150</v>
      </c>
      <c r="G368" s="177">
        <f t="shared" si="868"/>
        <v>2695.01</v>
      </c>
      <c r="H368" s="147">
        <v>4845.01</v>
      </c>
      <c r="I368" s="214">
        <v>2150</v>
      </c>
      <c r="J368" s="210">
        <f t="shared" si="869"/>
        <v>2695.01</v>
      </c>
      <c r="K368" s="253">
        <v>465.54599999999999</v>
      </c>
      <c r="L368" s="253">
        <v>440.61900000000003</v>
      </c>
      <c r="M368" s="253"/>
      <c r="N368" s="287">
        <f t="shared" si="865"/>
        <v>906.16499999999996</v>
      </c>
      <c r="O368" s="274"/>
      <c r="P368" s="274"/>
      <c r="Q368" s="291"/>
      <c r="R368" s="287"/>
      <c r="S368" s="291"/>
      <c r="T368" s="265"/>
      <c r="U368" s="274"/>
      <c r="V368" s="274"/>
      <c r="W368" s="291"/>
      <c r="X368" s="274"/>
      <c r="Y368" s="142"/>
      <c r="Z368" s="274"/>
      <c r="AA368" s="274"/>
      <c r="AB368" s="274"/>
      <c r="AC368" s="274"/>
      <c r="AD368" s="274"/>
      <c r="AE368" s="274"/>
      <c r="AF368" s="287">
        <f t="shared" si="870"/>
        <v>0</v>
      </c>
      <c r="AG368" s="283">
        <f t="shared" si="846"/>
        <v>906.16499999999996</v>
      </c>
      <c r="AH368" s="306">
        <f t="shared" si="847"/>
        <v>1254651.12546</v>
      </c>
      <c r="AI368" s="306">
        <f t="shared" si="848"/>
        <v>1187472.6111900001</v>
      </c>
      <c r="AJ368" s="306">
        <f t="shared" si="849"/>
        <v>0</v>
      </c>
      <c r="AK368" s="261">
        <f t="shared" si="866"/>
        <v>2442123.7366500003</v>
      </c>
      <c r="AL368" s="229">
        <f t="shared" si="850"/>
        <v>0</v>
      </c>
      <c r="AM368" s="229">
        <f t="shared" si="851"/>
        <v>0</v>
      </c>
      <c r="AN368" s="229">
        <f t="shared" si="852"/>
        <v>0</v>
      </c>
      <c r="AO368" s="261"/>
      <c r="AP368" s="306">
        <f t="shared" si="853"/>
        <v>0</v>
      </c>
      <c r="AQ368" s="306">
        <f t="shared" si="854"/>
        <v>0</v>
      </c>
      <c r="AR368" s="306">
        <f t="shared" si="855"/>
        <v>0</v>
      </c>
      <c r="AS368" s="306">
        <f t="shared" si="856"/>
        <v>0</v>
      </c>
      <c r="AT368" s="306">
        <f t="shared" si="857"/>
        <v>0</v>
      </c>
      <c r="AU368" s="306">
        <f t="shared" si="858"/>
        <v>0</v>
      </c>
      <c r="AV368" s="261">
        <f t="shared" si="867"/>
        <v>0</v>
      </c>
      <c r="AW368" s="306">
        <f t="shared" si="859"/>
        <v>0</v>
      </c>
      <c r="AX368" s="306">
        <f t="shared" si="860"/>
        <v>0</v>
      </c>
      <c r="AY368" s="306">
        <f t="shared" si="861"/>
        <v>0</v>
      </c>
      <c r="AZ368" s="306">
        <f t="shared" si="862"/>
        <v>0</v>
      </c>
      <c r="BA368" s="306">
        <f t="shared" si="863"/>
        <v>0</v>
      </c>
      <c r="BB368" s="306">
        <f t="shared" si="864"/>
        <v>0</v>
      </c>
      <c r="BC368" s="261">
        <f t="shared" si="871"/>
        <v>0</v>
      </c>
      <c r="BD368" s="239">
        <f t="shared" si="841"/>
        <v>2442123.7366500003</v>
      </c>
      <c r="BE368" s="243"/>
      <c r="BF368" s="243"/>
      <c r="BG368" s="243"/>
      <c r="BH368" s="243"/>
      <c r="BI368" s="243"/>
      <c r="BJ368" s="243"/>
      <c r="BK368" s="243"/>
      <c r="BL368" s="243"/>
      <c r="BM368" s="243"/>
      <c r="BN368" s="243"/>
      <c r="BO368" s="243"/>
      <c r="BP368" s="243"/>
      <c r="BQ368" s="243"/>
      <c r="BR368" s="243"/>
      <c r="BS368" s="243"/>
      <c r="BT368" s="243"/>
      <c r="BU368" s="243"/>
      <c r="BV368" s="243"/>
      <c r="BW368" s="243"/>
      <c r="BX368" s="243"/>
      <c r="BY368" s="243"/>
      <c r="BZ368" s="243"/>
      <c r="CA368" s="243"/>
      <c r="CB368" s="243"/>
      <c r="CC368" s="243"/>
      <c r="CD368" s="243"/>
      <c r="CE368" s="243"/>
      <c r="CF368" s="243"/>
      <c r="CG368" s="243"/>
      <c r="CH368" s="243"/>
      <c r="CI368" s="243"/>
      <c r="CJ368" s="243"/>
      <c r="CK368" s="243"/>
      <c r="CL368" s="243"/>
      <c r="CM368" s="243"/>
      <c r="CN368" s="243"/>
      <c r="CO368" s="243"/>
      <c r="CP368" s="243"/>
      <c r="CQ368" s="243"/>
      <c r="CR368" s="243"/>
      <c r="CS368" s="243"/>
      <c r="CT368" s="243"/>
      <c r="CU368" s="243"/>
      <c r="CV368" s="243"/>
      <c r="CW368" s="243"/>
      <c r="CX368" s="243"/>
      <c r="CY368" s="243"/>
      <c r="CZ368" s="243"/>
      <c r="DA368" s="243"/>
      <c r="DB368" s="243"/>
      <c r="DC368" s="243"/>
      <c r="DD368" s="243"/>
      <c r="DE368" s="243"/>
      <c r="DF368" s="243"/>
      <c r="DG368" s="243"/>
      <c r="DH368" s="243"/>
      <c r="DI368" s="243"/>
      <c r="DJ368" s="243"/>
      <c r="DK368" s="243"/>
      <c r="DL368" s="243"/>
      <c r="DM368" s="243"/>
      <c r="DN368" s="243"/>
      <c r="DO368" s="243"/>
      <c r="DP368" s="243"/>
      <c r="DQ368" s="243"/>
      <c r="DR368" s="243"/>
      <c r="DS368" s="243"/>
      <c r="DT368" s="243"/>
      <c r="DU368" s="243"/>
      <c r="DV368" s="243"/>
      <c r="DW368" s="243"/>
      <c r="DX368" s="243"/>
      <c r="DY368" s="243"/>
      <c r="DZ368" s="243"/>
      <c r="EA368" s="243"/>
      <c r="EB368" s="243"/>
      <c r="EC368" s="243"/>
      <c r="ED368" s="243"/>
      <c r="EE368" s="243"/>
      <c r="EF368" s="243"/>
      <c r="EG368" s="243"/>
      <c r="EH368" s="243"/>
      <c r="EI368" s="243"/>
      <c r="EJ368" s="243"/>
      <c r="EK368" s="243"/>
      <c r="EL368" s="243"/>
      <c r="EM368" s="243"/>
      <c r="EN368" s="243"/>
      <c r="EO368" s="243"/>
      <c r="EP368" s="243"/>
      <c r="EQ368" s="243"/>
      <c r="ER368" s="243"/>
      <c r="ES368" s="243"/>
      <c r="ET368" s="243"/>
      <c r="EU368" s="243"/>
      <c r="EV368" s="243"/>
      <c r="EW368" s="243"/>
      <c r="EX368" s="243"/>
      <c r="EY368" s="243"/>
      <c r="EZ368" s="243"/>
      <c r="FA368" s="243"/>
      <c r="FB368" s="243"/>
      <c r="FC368" s="243"/>
      <c r="FD368" s="243"/>
      <c r="FE368" s="243"/>
      <c r="FF368" s="243"/>
      <c r="FG368" s="243"/>
      <c r="FH368" s="243"/>
      <c r="FI368" s="243"/>
      <c r="FJ368" s="243"/>
      <c r="FK368" s="243"/>
      <c r="FL368" s="243"/>
      <c r="FM368" s="243"/>
      <c r="FN368" s="243"/>
      <c r="FO368" s="243"/>
      <c r="FP368" s="243"/>
      <c r="FQ368" s="243"/>
      <c r="FR368" s="243"/>
      <c r="FS368" s="243"/>
      <c r="FT368" s="243"/>
      <c r="FU368" s="243"/>
      <c r="FV368" s="243"/>
      <c r="FW368" s="243"/>
      <c r="FX368" s="243"/>
      <c r="FY368" s="243"/>
      <c r="FZ368" s="243"/>
      <c r="GA368" s="243"/>
      <c r="GB368" s="243"/>
      <c r="GC368" s="243"/>
      <c r="GD368" s="243"/>
      <c r="GE368" s="243"/>
      <c r="GF368" s="243"/>
      <c r="GG368" s="243"/>
      <c r="GH368" s="243"/>
      <c r="GI368" s="243"/>
      <c r="GJ368" s="243"/>
      <c r="GK368" s="243"/>
      <c r="GL368" s="243"/>
      <c r="GM368" s="243"/>
      <c r="GN368" s="243"/>
      <c r="GO368" s="243"/>
      <c r="GP368" s="243"/>
      <c r="GQ368" s="243"/>
      <c r="GR368" s="243"/>
      <c r="GS368" s="243"/>
      <c r="GT368" s="243"/>
    </row>
    <row r="369" spans="1:202" s="79" customFormat="1" ht="11.25" customHeight="1">
      <c r="A369" s="192"/>
      <c r="B369" s="145" t="s">
        <v>489</v>
      </c>
      <c r="C369" s="216" t="s">
        <v>578</v>
      </c>
      <c r="D369" s="141"/>
      <c r="E369" s="147">
        <v>6836.63</v>
      </c>
      <c r="F369" s="147">
        <v>1980</v>
      </c>
      <c r="G369" s="177">
        <f t="shared" si="868"/>
        <v>4856.63</v>
      </c>
      <c r="H369" s="147">
        <v>6836.63</v>
      </c>
      <c r="I369" s="214">
        <v>1980</v>
      </c>
      <c r="J369" s="210">
        <f t="shared" si="869"/>
        <v>4856.63</v>
      </c>
      <c r="K369" s="253">
        <v>121.14</v>
      </c>
      <c r="L369" s="253">
        <v>97.799000000000007</v>
      </c>
      <c r="M369" s="253"/>
      <c r="N369" s="287">
        <f t="shared" si="865"/>
        <v>218.93900000000002</v>
      </c>
      <c r="O369" s="274"/>
      <c r="P369" s="274"/>
      <c r="Q369" s="291"/>
      <c r="R369" s="287"/>
      <c r="S369" s="291"/>
      <c r="T369" s="265"/>
      <c r="U369" s="274"/>
      <c r="V369" s="274"/>
      <c r="W369" s="291"/>
      <c r="X369" s="274"/>
      <c r="Y369" s="142"/>
      <c r="Z369" s="274"/>
      <c r="AA369" s="274"/>
      <c r="AB369" s="274"/>
      <c r="AC369" s="274"/>
      <c r="AD369" s="274"/>
      <c r="AE369" s="274"/>
      <c r="AF369" s="287">
        <f t="shared" si="870"/>
        <v>0</v>
      </c>
      <c r="AG369" s="283">
        <f t="shared" si="846"/>
        <v>218.93900000000002</v>
      </c>
      <c r="AH369" s="306">
        <f t="shared" si="847"/>
        <v>588332.15820000006</v>
      </c>
      <c r="AI369" s="306">
        <f t="shared" si="848"/>
        <v>474973.55737000005</v>
      </c>
      <c r="AJ369" s="306">
        <f t="shared" si="849"/>
        <v>0</v>
      </c>
      <c r="AK369" s="261">
        <f t="shared" si="866"/>
        <v>1063305.71557</v>
      </c>
      <c r="AL369" s="229">
        <f t="shared" si="850"/>
        <v>0</v>
      </c>
      <c r="AM369" s="229">
        <f t="shared" si="851"/>
        <v>0</v>
      </c>
      <c r="AN369" s="229">
        <f t="shared" si="852"/>
        <v>0</v>
      </c>
      <c r="AO369" s="261"/>
      <c r="AP369" s="306"/>
      <c r="AQ369" s="306"/>
      <c r="AR369" s="306"/>
      <c r="AS369" s="306"/>
      <c r="AT369" s="306"/>
      <c r="AU369" s="306"/>
      <c r="AV369" s="261">
        <f t="shared" si="867"/>
        <v>0</v>
      </c>
      <c r="AW369" s="306"/>
      <c r="AX369" s="306"/>
      <c r="AY369" s="306"/>
      <c r="AZ369" s="306"/>
      <c r="BA369" s="306"/>
      <c r="BB369" s="306"/>
      <c r="BC369" s="261"/>
      <c r="BD369" s="239">
        <f t="shared" si="841"/>
        <v>1063305.71557</v>
      </c>
      <c r="BE369" s="243"/>
      <c r="BF369" s="243"/>
      <c r="BG369" s="243"/>
      <c r="BH369" s="243"/>
      <c r="BI369" s="243"/>
      <c r="BJ369" s="243"/>
      <c r="BK369" s="243"/>
      <c r="BL369" s="243"/>
      <c r="BM369" s="243"/>
      <c r="BN369" s="243"/>
      <c r="BO369" s="243"/>
      <c r="BP369" s="243"/>
      <c r="BQ369" s="243"/>
      <c r="BR369" s="243"/>
      <c r="BS369" s="243"/>
      <c r="BT369" s="243"/>
      <c r="BU369" s="243"/>
      <c r="BV369" s="243"/>
      <c r="BW369" s="243"/>
      <c r="BX369" s="243"/>
      <c r="BY369" s="243"/>
      <c r="BZ369" s="243"/>
      <c r="CA369" s="243"/>
      <c r="CB369" s="243"/>
      <c r="CC369" s="243"/>
      <c r="CD369" s="243"/>
      <c r="CE369" s="243"/>
      <c r="CF369" s="243"/>
      <c r="CG369" s="243"/>
      <c r="CH369" s="243"/>
      <c r="CI369" s="243"/>
      <c r="CJ369" s="243"/>
      <c r="CK369" s="243"/>
      <c r="CL369" s="243"/>
      <c r="CM369" s="243"/>
      <c r="CN369" s="243"/>
      <c r="CO369" s="243"/>
      <c r="CP369" s="243"/>
      <c r="CQ369" s="243"/>
      <c r="CR369" s="243"/>
      <c r="CS369" s="243"/>
      <c r="CT369" s="243"/>
      <c r="CU369" s="243"/>
      <c r="CV369" s="243"/>
      <c r="CW369" s="243"/>
      <c r="CX369" s="243"/>
      <c r="CY369" s="243"/>
      <c r="CZ369" s="243"/>
      <c r="DA369" s="243"/>
      <c r="DB369" s="243"/>
      <c r="DC369" s="243"/>
      <c r="DD369" s="243"/>
      <c r="DE369" s="243"/>
      <c r="DF369" s="243"/>
      <c r="DG369" s="243"/>
      <c r="DH369" s="243"/>
      <c r="DI369" s="243"/>
      <c r="DJ369" s="243"/>
      <c r="DK369" s="243"/>
      <c r="DL369" s="243"/>
      <c r="DM369" s="243"/>
      <c r="DN369" s="243"/>
      <c r="DO369" s="243"/>
      <c r="DP369" s="243"/>
      <c r="DQ369" s="243"/>
      <c r="DR369" s="243"/>
      <c r="DS369" s="243"/>
      <c r="DT369" s="243"/>
      <c r="DU369" s="243"/>
      <c r="DV369" s="243"/>
      <c r="DW369" s="243"/>
      <c r="DX369" s="243"/>
      <c r="DY369" s="243"/>
      <c r="DZ369" s="243"/>
      <c r="EA369" s="243"/>
      <c r="EB369" s="243"/>
      <c r="EC369" s="243"/>
      <c r="ED369" s="243"/>
      <c r="EE369" s="243"/>
      <c r="EF369" s="243"/>
      <c r="EG369" s="243"/>
      <c r="EH369" s="243"/>
      <c r="EI369" s="243"/>
      <c r="EJ369" s="243"/>
      <c r="EK369" s="243"/>
      <c r="EL369" s="243"/>
      <c r="EM369" s="243"/>
      <c r="EN369" s="243"/>
      <c r="EO369" s="243"/>
      <c r="EP369" s="243"/>
      <c r="EQ369" s="243"/>
      <c r="ER369" s="243"/>
      <c r="ES369" s="243"/>
      <c r="ET369" s="243"/>
      <c r="EU369" s="243"/>
      <c r="EV369" s="243"/>
      <c r="EW369" s="243"/>
      <c r="EX369" s="243"/>
      <c r="EY369" s="243"/>
      <c r="EZ369" s="243"/>
      <c r="FA369" s="243"/>
      <c r="FB369" s="243"/>
      <c r="FC369" s="243"/>
      <c r="FD369" s="243"/>
      <c r="FE369" s="243"/>
      <c r="FF369" s="243"/>
      <c r="FG369" s="243"/>
      <c r="FH369" s="243"/>
      <c r="FI369" s="243"/>
      <c r="FJ369" s="243"/>
      <c r="FK369" s="243"/>
      <c r="FL369" s="243"/>
      <c r="FM369" s="243"/>
      <c r="FN369" s="243"/>
      <c r="FO369" s="243"/>
      <c r="FP369" s="243"/>
      <c r="FQ369" s="243"/>
      <c r="FR369" s="243"/>
      <c r="FS369" s="243"/>
      <c r="FT369" s="243"/>
      <c r="FU369" s="243"/>
      <c r="FV369" s="243"/>
      <c r="FW369" s="243"/>
      <c r="FX369" s="243"/>
      <c r="FY369" s="243"/>
      <c r="FZ369" s="243"/>
      <c r="GA369" s="243"/>
      <c r="GB369" s="243"/>
      <c r="GC369" s="243"/>
      <c r="GD369" s="243"/>
      <c r="GE369" s="243"/>
      <c r="GF369" s="243"/>
      <c r="GG369" s="243"/>
      <c r="GH369" s="243"/>
      <c r="GI369" s="243"/>
      <c r="GJ369" s="243"/>
      <c r="GK369" s="243"/>
      <c r="GL369" s="243"/>
      <c r="GM369" s="243"/>
      <c r="GN369" s="243"/>
      <c r="GO369" s="243"/>
      <c r="GP369" s="243"/>
      <c r="GQ369" s="243"/>
      <c r="GR369" s="243"/>
      <c r="GS369" s="243"/>
      <c r="GT369" s="243"/>
    </row>
    <row r="370" spans="1:202" ht="15" customHeight="1">
      <c r="A370" s="193" t="s">
        <v>26</v>
      </c>
      <c r="B370" s="182" t="s">
        <v>84</v>
      </c>
      <c r="C370" s="221" t="s">
        <v>217</v>
      </c>
      <c r="D370" s="73" t="s">
        <v>85</v>
      </c>
      <c r="E370" s="82"/>
      <c r="F370" s="86"/>
      <c r="G370" s="177"/>
      <c r="H370" s="82"/>
      <c r="I370" s="86"/>
      <c r="J370" s="210"/>
      <c r="K370" s="258"/>
      <c r="L370" s="258"/>
      <c r="M370" s="258"/>
      <c r="N370" s="284">
        <f>K370+L370+M370</f>
        <v>0</v>
      </c>
      <c r="O370" s="280"/>
      <c r="P370" s="280"/>
      <c r="Q370" s="297"/>
      <c r="R370" s="284">
        <f>O370+P370+Q370</f>
        <v>0</v>
      </c>
      <c r="S370" s="297"/>
      <c r="T370" s="271"/>
      <c r="U370" s="280"/>
      <c r="V370" s="280"/>
      <c r="W370" s="297"/>
      <c r="X370" s="269"/>
      <c r="Y370" s="284">
        <f>SUM(S370:X370)</f>
        <v>0</v>
      </c>
      <c r="Z370" s="280"/>
      <c r="AA370" s="280"/>
      <c r="AB370" s="280"/>
      <c r="AC370" s="280"/>
      <c r="AD370" s="280"/>
      <c r="AE370" s="280"/>
      <c r="AF370" s="284">
        <f>SUM(Z370:AE370)</f>
        <v>0</v>
      </c>
      <c r="AG370" s="282">
        <f t="shared" si="846"/>
        <v>0</v>
      </c>
      <c r="AH370" s="236">
        <f t="shared" si="847"/>
        <v>0</v>
      </c>
      <c r="AI370" s="236">
        <f t="shared" si="848"/>
        <v>0</v>
      </c>
      <c r="AJ370" s="236">
        <f t="shared" si="849"/>
        <v>0</v>
      </c>
      <c r="AK370" s="260">
        <f>AH370+AI370+AJ370</f>
        <v>0</v>
      </c>
      <c r="AL370" s="236">
        <f t="shared" si="850"/>
        <v>0</v>
      </c>
      <c r="AM370" s="236">
        <f t="shared" si="851"/>
        <v>0</v>
      </c>
      <c r="AN370" s="236">
        <f t="shared" si="852"/>
        <v>0</v>
      </c>
      <c r="AO370" s="260">
        <f>SUM(AL370:AN370)</f>
        <v>0</v>
      </c>
      <c r="AP370" s="236">
        <f t="shared" ref="AP370:AU371" si="872">S370*$J370</f>
        <v>0</v>
      </c>
      <c r="AQ370" s="236">
        <f t="shared" si="872"/>
        <v>0</v>
      </c>
      <c r="AR370" s="236">
        <f t="shared" si="872"/>
        <v>0</v>
      </c>
      <c r="AS370" s="236">
        <f t="shared" si="872"/>
        <v>0</v>
      </c>
      <c r="AT370" s="236">
        <f t="shared" si="872"/>
        <v>0</v>
      </c>
      <c r="AU370" s="236">
        <f t="shared" si="872"/>
        <v>0</v>
      </c>
      <c r="AV370" s="260">
        <f>SUM(AP370:AU370)</f>
        <v>0</v>
      </c>
      <c r="AW370" s="236">
        <f t="shared" ref="AW370:BB371" si="873">Z370*$J370</f>
        <v>0</v>
      </c>
      <c r="AX370" s="236">
        <f t="shared" si="873"/>
        <v>0</v>
      </c>
      <c r="AY370" s="236">
        <f t="shared" si="873"/>
        <v>0</v>
      </c>
      <c r="AZ370" s="236">
        <f t="shared" si="873"/>
        <v>0</v>
      </c>
      <c r="BA370" s="236">
        <f t="shared" si="873"/>
        <v>0</v>
      </c>
      <c r="BB370" s="236">
        <f t="shared" si="873"/>
        <v>0</v>
      </c>
      <c r="BC370" s="260">
        <f t="shared" ref="BC370:BC380" si="874">SUM(AW370:BB370)</f>
        <v>0</v>
      </c>
      <c r="BD370" s="238">
        <f t="shared" si="841"/>
        <v>0</v>
      </c>
    </row>
    <row r="371" spans="1:202" ht="12.75">
      <c r="A371" s="193" t="s">
        <v>26</v>
      </c>
      <c r="B371" s="182" t="s">
        <v>82</v>
      </c>
      <c r="C371" s="221" t="s">
        <v>232</v>
      </c>
      <c r="D371" s="73" t="s">
        <v>83</v>
      </c>
      <c r="E371" s="82"/>
      <c r="F371" s="86"/>
      <c r="G371" s="177"/>
      <c r="H371" s="82"/>
      <c r="I371" s="82"/>
      <c r="J371" s="210"/>
      <c r="K371" s="254"/>
      <c r="L371" s="254"/>
      <c r="M371" s="254"/>
      <c r="N371" s="284">
        <f>K371+L371+M371</f>
        <v>0</v>
      </c>
      <c r="O371" s="275"/>
      <c r="P371" s="275"/>
      <c r="Q371" s="293"/>
      <c r="R371" s="284">
        <f>O371+P371+Q371</f>
        <v>0</v>
      </c>
      <c r="S371" s="293"/>
      <c r="T371" s="266"/>
      <c r="U371" s="275"/>
      <c r="V371" s="275"/>
      <c r="W371" s="293"/>
      <c r="X371" s="263"/>
      <c r="Y371" s="284">
        <f>SUM(S371:X371)</f>
        <v>0</v>
      </c>
      <c r="Z371" s="275"/>
      <c r="AA371" s="275"/>
      <c r="AB371" s="275"/>
      <c r="AC371" s="275"/>
      <c r="AD371" s="275"/>
      <c r="AE371" s="275"/>
      <c r="AF371" s="284">
        <f>SUM(Z371:AE371)</f>
        <v>0</v>
      </c>
      <c r="AG371" s="282">
        <f t="shared" si="846"/>
        <v>0</v>
      </c>
      <c r="AH371" s="232">
        <f t="shared" si="847"/>
        <v>0</v>
      </c>
      <c r="AI371" s="232">
        <f t="shared" si="848"/>
        <v>0</v>
      </c>
      <c r="AJ371" s="232">
        <f t="shared" si="849"/>
        <v>0</v>
      </c>
      <c r="AK371" s="260">
        <f>AH371+AI371+AJ371</f>
        <v>0</v>
      </c>
      <c r="AL371" s="232">
        <f t="shared" si="850"/>
        <v>0</v>
      </c>
      <c r="AM371" s="232">
        <f t="shared" si="851"/>
        <v>0</v>
      </c>
      <c r="AN371" s="232">
        <f t="shared" si="852"/>
        <v>0</v>
      </c>
      <c r="AO371" s="260">
        <f>SUM(AL371:AN371)</f>
        <v>0</v>
      </c>
      <c r="AP371" s="232">
        <f t="shared" si="872"/>
        <v>0</v>
      </c>
      <c r="AQ371" s="232">
        <f t="shared" si="872"/>
        <v>0</v>
      </c>
      <c r="AR371" s="232">
        <f t="shared" si="872"/>
        <v>0</v>
      </c>
      <c r="AS371" s="232">
        <f t="shared" si="872"/>
        <v>0</v>
      </c>
      <c r="AT371" s="232">
        <f t="shared" si="872"/>
        <v>0</v>
      </c>
      <c r="AU371" s="232">
        <f t="shared" si="872"/>
        <v>0</v>
      </c>
      <c r="AV371" s="260">
        <f>SUM(AP371:AU371)</f>
        <v>0</v>
      </c>
      <c r="AW371" s="232">
        <f t="shared" si="873"/>
        <v>0</v>
      </c>
      <c r="AX371" s="232">
        <f t="shared" si="873"/>
        <v>0</v>
      </c>
      <c r="AY371" s="232">
        <f t="shared" si="873"/>
        <v>0</v>
      </c>
      <c r="AZ371" s="232">
        <f t="shared" si="873"/>
        <v>0</v>
      </c>
      <c r="BA371" s="232">
        <f t="shared" si="873"/>
        <v>0</v>
      </c>
      <c r="BB371" s="232">
        <f t="shared" si="873"/>
        <v>0</v>
      </c>
      <c r="BC371" s="260">
        <f t="shared" si="874"/>
        <v>0</v>
      </c>
      <c r="BD371" s="238">
        <f t="shared" si="841"/>
        <v>0</v>
      </c>
    </row>
    <row r="372" spans="1:202" ht="11.25" customHeight="1">
      <c r="A372" s="193" t="s">
        <v>26</v>
      </c>
      <c r="B372" s="182" t="s">
        <v>90</v>
      </c>
      <c r="C372" s="221" t="s">
        <v>236</v>
      </c>
      <c r="D372" s="73" t="s">
        <v>91</v>
      </c>
      <c r="E372" s="214"/>
      <c r="F372" s="214"/>
      <c r="G372" s="177"/>
      <c r="H372" s="214"/>
      <c r="I372" s="214"/>
      <c r="J372" s="210"/>
      <c r="K372" s="254">
        <f>SUM(K373:K376)</f>
        <v>622.48800000000006</v>
      </c>
      <c r="L372" s="254">
        <f>SUM(L373:L376)</f>
        <v>604.43799999999999</v>
      </c>
      <c r="M372" s="254">
        <f>SUM(M373:M376)</f>
        <v>0</v>
      </c>
      <c r="N372" s="284">
        <f>SUM(K372:M372)</f>
        <v>1226.9259999999999</v>
      </c>
      <c r="O372" s="254">
        <f t="shared" ref="O372:AF372" si="875">SUM(O373:O376)</f>
        <v>0</v>
      </c>
      <c r="P372" s="275">
        <f t="shared" si="875"/>
        <v>0</v>
      </c>
      <c r="Q372" s="293">
        <f t="shared" si="875"/>
        <v>0</v>
      </c>
      <c r="R372" s="284">
        <f t="shared" si="875"/>
        <v>0</v>
      </c>
      <c r="S372" s="293">
        <f t="shared" si="875"/>
        <v>0</v>
      </c>
      <c r="T372" s="293">
        <f t="shared" si="875"/>
        <v>0</v>
      </c>
      <c r="U372" s="293">
        <f t="shared" si="875"/>
        <v>0</v>
      </c>
      <c r="V372" s="293">
        <f t="shared" si="875"/>
        <v>0</v>
      </c>
      <c r="W372" s="293">
        <f t="shared" si="875"/>
        <v>0</v>
      </c>
      <c r="X372" s="293">
        <f t="shared" si="875"/>
        <v>0</v>
      </c>
      <c r="Y372" s="284">
        <f t="shared" si="875"/>
        <v>0</v>
      </c>
      <c r="Z372" s="275">
        <f t="shared" si="875"/>
        <v>0</v>
      </c>
      <c r="AA372" s="275">
        <f t="shared" si="875"/>
        <v>0</v>
      </c>
      <c r="AB372" s="275">
        <f t="shared" si="875"/>
        <v>0</v>
      </c>
      <c r="AC372" s="275">
        <f t="shared" si="875"/>
        <v>0</v>
      </c>
      <c r="AD372" s="275">
        <f t="shared" si="875"/>
        <v>0</v>
      </c>
      <c r="AE372" s="275">
        <f t="shared" si="875"/>
        <v>0</v>
      </c>
      <c r="AF372" s="284">
        <f t="shared" si="875"/>
        <v>0</v>
      </c>
      <c r="AG372" s="282">
        <f t="shared" si="846"/>
        <v>1226.9259999999999</v>
      </c>
      <c r="AH372" s="232">
        <f>SUM(AH373:AH376)</f>
        <v>2494849.2069800003</v>
      </c>
      <c r="AI372" s="232">
        <f>SUM(AI373:AI376)</f>
        <v>2428116.0104800002</v>
      </c>
      <c r="AJ372" s="232">
        <f>SUM(AJ373:AJ376)</f>
        <v>0</v>
      </c>
      <c r="AK372" s="260">
        <f>SUM(AH372:AJ372)</f>
        <v>4922965.2174600009</v>
      </c>
      <c r="AL372" s="232">
        <f>SUM(AL373:AL376)</f>
        <v>0</v>
      </c>
      <c r="AM372" s="232">
        <f>SUM(AM373:AM376)</f>
        <v>0</v>
      </c>
      <c r="AN372" s="232">
        <f>SUM(AN373:AN376)</f>
        <v>0</v>
      </c>
      <c r="AO372" s="260">
        <f>SUM(AL372:AN372)</f>
        <v>0</v>
      </c>
      <c r="AP372" s="232">
        <f t="shared" ref="AP372:AU372" si="876">SUM(AP373:AP376)</f>
        <v>0</v>
      </c>
      <c r="AQ372" s="232">
        <f t="shared" si="876"/>
        <v>0</v>
      </c>
      <c r="AR372" s="232">
        <f t="shared" si="876"/>
        <v>0</v>
      </c>
      <c r="AS372" s="232">
        <f t="shared" si="876"/>
        <v>0</v>
      </c>
      <c r="AT372" s="232">
        <f t="shared" si="876"/>
        <v>0</v>
      </c>
      <c r="AU372" s="232">
        <f t="shared" si="876"/>
        <v>0</v>
      </c>
      <c r="AV372" s="260">
        <f>SUM(AP372:AU372)</f>
        <v>0</v>
      </c>
      <c r="AW372" s="232">
        <f t="shared" ref="AW372:BB372" si="877">SUM(AW373:AW376)</f>
        <v>0</v>
      </c>
      <c r="AX372" s="232">
        <f t="shared" si="877"/>
        <v>0</v>
      </c>
      <c r="AY372" s="232">
        <f t="shared" si="877"/>
        <v>0</v>
      </c>
      <c r="AZ372" s="232">
        <f t="shared" si="877"/>
        <v>0</v>
      </c>
      <c r="BA372" s="232">
        <f t="shared" si="877"/>
        <v>0</v>
      </c>
      <c r="BB372" s="232">
        <f t="shared" si="877"/>
        <v>0</v>
      </c>
      <c r="BC372" s="260">
        <f t="shared" si="874"/>
        <v>0</v>
      </c>
      <c r="BD372" s="238">
        <f t="shared" si="841"/>
        <v>4922965.2174600009</v>
      </c>
    </row>
    <row r="373" spans="1:202" s="79" customFormat="1" ht="24.75" customHeight="1">
      <c r="A373" s="192"/>
      <c r="B373" s="145" t="s">
        <v>534</v>
      </c>
      <c r="C373" s="216"/>
      <c r="D373" s="141"/>
      <c r="E373" s="147">
        <v>5847.13</v>
      </c>
      <c r="F373" s="342">
        <v>2150</v>
      </c>
      <c r="G373" s="177">
        <f t="shared" ref="G373:G381" si="878">E373-F373</f>
        <v>3697.13</v>
      </c>
      <c r="H373" s="147">
        <v>5847.13</v>
      </c>
      <c r="I373" s="144">
        <v>2150</v>
      </c>
      <c r="J373" s="210">
        <f>H373-I373</f>
        <v>3697.13</v>
      </c>
      <c r="K373" s="252">
        <v>373.589</v>
      </c>
      <c r="L373" s="252">
        <v>355.53899999999999</v>
      </c>
      <c r="M373" s="252"/>
      <c r="N373" s="287">
        <f>SUM(K373:M373)</f>
        <v>729.12799999999993</v>
      </c>
      <c r="O373" s="273"/>
      <c r="P373" s="273"/>
      <c r="Q373" s="290"/>
      <c r="R373" s="287"/>
      <c r="S373" s="290"/>
      <c r="T373" s="264"/>
      <c r="U373" s="273"/>
      <c r="V373" s="273"/>
      <c r="W373" s="290"/>
      <c r="X373" s="264"/>
      <c r="Y373" s="142"/>
      <c r="Z373" s="273"/>
      <c r="AA373" s="273"/>
      <c r="AB373" s="273"/>
      <c r="AC373" s="273"/>
      <c r="AD373" s="273"/>
      <c r="AE373" s="273"/>
      <c r="AF373" s="287">
        <f>SUM(Z373:AE373)</f>
        <v>0</v>
      </c>
      <c r="AG373" s="283">
        <f t="shared" si="846"/>
        <v>729.12799999999993</v>
      </c>
      <c r="AH373" s="228">
        <f t="shared" ref="AH373:AJ377" si="879">K373*$G373</f>
        <v>1381207.0995700001</v>
      </c>
      <c r="AI373" s="228">
        <f t="shared" si="879"/>
        <v>1314473.90307</v>
      </c>
      <c r="AJ373" s="228">
        <f t="shared" si="879"/>
        <v>0</v>
      </c>
      <c r="AK373" s="261">
        <f>SUM(AH373:AJ373)</f>
        <v>2695681.0026400001</v>
      </c>
      <c r="AL373" s="228">
        <f t="shared" ref="AL373:AN377" si="880">O373*$G373</f>
        <v>0</v>
      </c>
      <c r="AM373" s="228">
        <f t="shared" si="880"/>
        <v>0</v>
      </c>
      <c r="AN373" s="228">
        <f t="shared" si="880"/>
        <v>0</v>
      </c>
      <c r="AO373" s="261"/>
      <c r="AP373" s="228">
        <f t="shared" ref="AP373:AU377" si="881">S373*$J373</f>
        <v>0</v>
      </c>
      <c r="AQ373" s="228">
        <f t="shared" si="881"/>
        <v>0</v>
      </c>
      <c r="AR373" s="228">
        <f t="shared" si="881"/>
        <v>0</v>
      </c>
      <c r="AS373" s="228">
        <f t="shared" si="881"/>
        <v>0</v>
      </c>
      <c r="AT373" s="228">
        <f t="shared" si="881"/>
        <v>0</v>
      </c>
      <c r="AU373" s="228">
        <f t="shared" si="881"/>
        <v>0</v>
      </c>
      <c r="AV373" s="261"/>
      <c r="AW373" s="228">
        <f t="shared" ref="AW373:BB377" si="882">Z373*$J373</f>
        <v>0</v>
      </c>
      <c r="AX373" s="228">
        <f t="shared" si="882"/>
        <v>0</v>
      </c>
      <c r="AY373" s="228">
        <f t="shared" si="882"/>
        <v>0</v>
      </c>
      <c r="AZ373" s="228">
        <f t="shared" si="882"/>
        <v>0</v>
      </c>
      <c r="BA373" s="228">
        <f t="shared" si="882"/>
        <v>0</v>
      </c>
      <c r="BB373" s="228">
        <f t="shared" si="882"/>
        <v>0</v>
      </c>
      <c r="BC373" s="261">
        <f t="shared" si="874"/>
        <v>0</v>
      </c>
      <c r="BD373" s="239">
        <f t="shared" si="841"/>
        <v>2695681.0026400001</v>
      </c>
      <c r="BE373" s="243"/>
      <c r="BF373" s="243"/>
      <c r="BG373" s="243"/>
      <c r="BH373" s="243"/>
      <c r="BI373" s="243"/>
      <c r="BJ373" s="243"/>
      <c r="BK373" s="243"/>
      <c r="BL373" s="243"/>
      <c r="BM373" s="243"/>
      <c r="BN373" s="243"/>
      <c r="BO373" s="243"/>
      <c r="BP373" s="243"/>
      <c r="BQ373" s="243"/>
      <c r="BR373" s="243"/>
      <c r="BS373" s="243"/>
      <c r="BT373" s="243"/>
      <c r="BU373" s="243"/>
      <c r="BV373" s="243"/>
      <c r="BW373" s="243"/>
      <c r="BX373" s="243"/>
      <c r="BY373" s="243"/>
      <c r="BZ373" s="243"/>
      <c r="CA373" s="243"/>
      <c r="CB373" s="243"/>
      <c r="CC373" s="243"/>
      <c r="CD373" s="243"/>
      <c r="CE373" s="243"/>
      <c r="CF373" s="243"/>
      <c r="CG373" s="243"/>
      <c r="CH373" s="243"/>
      <c r="CI373" s="243"/>
      <c r="CJ373" s="243"/>
      <c r="CK373" s="243"/>
      <c r="CL373" s="243"/>
      <c r="CM373" s="243"/>
      <c r="CN373" s="243"/>
      <c r="CO373" s="243"/>
      <c r="CP373" s="243"/>
      <c r="CQ373" s="243"/>
      <c r="CR373" s="243"/>
      <c r="CS373" s="243"/>
      <c r="CT373" s="243"/>
      <c r="CU373" s="243"/>
      <c r="CV373" s="243"/>
      <c r="CW373" s="243"/>
      <c r="CX373" s="243"/>
      <c r="CY373" s="243"/>
      <c r="CZ373" s="243"/>
      <c r="DA373" s="243"/>
      <c r="DB373" s="243"/>
      <c r="DC373" s="243"/>
      <c r="DD373" s="243"/>
      <c r="DE373" s="243"/>
      <c r="DF373" s="243"/>
      <c r="DG373" s="243"/>
      <c r="DH373" s="243"/>
      <c r="DI373" s="243"/>
      <c r="DJ373" s="243"/>
      <c r="DK373" s="243"/>
      <c r="DL373" s="243"/>
      <c r="DM373" s="243"/>
      <c r="DN373" s="243"/>
      <c r="DO373" s="243"/>
      <c r="DP373" s="243"/>
      <c r="DQ373" s="243"/>
      <c r="DR373" s="243"/>
      <c r="DS373" s="243"/>
      <c r="DT373" s="243"/>
      <c r="DU373" s="243"/>
      <c r="DV373" s="243"/>
      <c r="DW373" s="243"/>
      <c r="DX373" s="243"/>
      <c r="DY373" s="243"/>
      <c r="DZ373" s="243"/>
      <c r="EA373" s="243"/>
      <c r="EB373" s="243"/>
      <c r="EC373" s="243"/>
      <c r="ED373" s="243"/>
      <c r="EE373" s="243"/>
      <c r="EF373" s="243"/>
      <c r="EG373" s="243"/>
      <c r="EH373" s="243"/>
      <c r="EI373" s="243"/>
      <c r="EJ373" s="243"/>
      <c r="EK373" s="243"/>
      <c r="EL373" s="243"/>
      <c r="EM373" s="243"/>
      <c r="EN373" s="243"/>
      <c r="EO373" s="243"/>
      <c r="EP373" s="243"/>
      <c r="EQ373" s="243"/>
      <c r="ER373" s="243"/>
      <c r="ES373" s="243"/>
      <c r="ET373" s="243"/>
      <c r="EU373" s="243"/>
      <c r="EV373" s="243"/>
      <c r="EW373" s="243"/>
      <c r="EX373" s="243"/>
      <c r="EY373" s="243"/>
      <c r="EZ373" s="243"/>
      <c r="FA373" s="243"/>
      <c r="FB373" s="243"/>
      <c r="FC373" s="243"/>
      <c r="FD373" s="243"/>
      <c r="FE373" s="243"/>
      <c r="FF373" s="243"/>
      <c r="FG373" s="243"/>
      <c r="FH373" s="243"/>
      <c r="FI373" s="243"/>
      <c r="FJ373" s="243"/>
      <c r="FK373" s="243"/>
      <c r="FL373" s="243"/>
      <c r="FM373" s="243"/>
      <c r="FN373" s="243"/>
      <c r="FO373" s="243"/>
      <c r="FP373" s="243"/>
      <c r="FQ373" s="243"/>
      <c r="FR373" s="243"/>
      <c r="FS373" s="243"/>
      <c r="FT373" s="243"/>
      <c r="FU373" s="243"/>
      <c r="FV373" s="243"/>
      <c r="FW373" s="243"/>
      <c r="FX373" s="243"/>
      <c r="FY373" s="243"/>
      <c r="FZ373" s="243"/>
      <c r="GA373" s="243"/>
      <c r="GB373" s="243"/>
      <c r="GC373" s="243"/>
      <c r="GD373" s="243"/>
      <c r="GE373" s="243"/>
      <c r="GF373" s="243"/>
      <c r="GG373" s="243"/>
      <c r="GH373" s="243"/>
      <c r="GI373" s="243"/>
      <c r="GJ373" s="243"/>
      <c r="GK373" s="243"/>
      <c r="GL373" s="243"/>
      <c r="GM373" s="243"/>
      <c r="GN373" s="243"/>
      <c r="GO373" s="243"/>
      <c r="GP373" s="243"/>
      <c r="GQ373" s="243"/>
      <c r="GR373" s="243"/>
      <c r="GS373" s="243"/>
      <c r="GT373" s="243"/>
    </row>
    <row r="374" spans="1:202" s="79" customFormat="1" ht="24.75" customHeight="1">
      <c r="A374" s="192"/>
      <c r="B374" s="145" t="s">
        <v>428</v>
      </c>
      <c r="C374" s="216"/>
      <c r="D374" s="141"/>
      <c r="E374" s="147">
        <v>6980.97</v>
      </c>
      <c r="F374" s="342">
        <v>2150</v>
      </c>
      <c r="G374" s="177">
        <f>E374-F374</f>
        <v>4830.97</v>
      </c>
      <c r="H374" s="147">
        <v>6980.97</v>
      </c>
      <c r="I374" s="144">
        <v>2150</v>
      </c>
      <c r="J374" s="210">
        <f>H374-I374</f>
        <v>4830.97</v>
      </c>
      <c r="K374" s="252">
        <v>2.9260000000000002</v>
      </c>
      <c r="L374" s="252">
        <v>2.9260000000000002</v>
      </c>
      <c r="M374" s="252"/>
      <c r="N374" s="287">
        <f>SUM(K374:M374)</f>
        <v>5.8520000000000003</v>
      </c>
      <c r="O374" s="273"/>
      <c r="P374" s="273"/>
      <c r="Q374" s="290"/>
      <c r="R374" s="287"/>
      <c r="S374" s="290"/>
      <c r="T374" s="264"/>
      <c r="U374" s="273"/>
      <c r="V374" s="273"/>
      <c r="W374" s="290"/>
      <c r="X374" s="264"/>
      <c r="Y374" s="142"/>
      <c r="Z374" s="273"/>
      <c r="AA374" s="273"/>
      <c r="AB374" s="273"/>
      <c r="AC374" s="273"/>
      <c r="AD374" s="273"/>
      <c r="AE374" s="273"/>
      <c r="AF374" s="287">
        <f>SUM(Z374:AE374)</f>
        <v>0</v>
      </c>
      <c r="AG374" s="283">
        <f t="shared" si="846"/>
        <v>5.8520000000000003</v>
      </c>
      <c r="AH374" s="228">
        <f t="shared" si="879"/>
        <v>14135.418220000001</v>
      </c>
      <c r="AI374" s="228">
        <f t="shared" si="879"/>
        <v>14135.418220000001</v>
      </c>
      <c r="AJ374" s="228">
        <f t="shared" si="879"/>
        <v>0</v>
      </c>
      <c r="AK374" s="261">
        <f>SUM(AH374:AJ374)</f>
        <v>28270.836440000003</v>
      </c>
      <c r="AL374" s="228">
        <f t="shared" si="880"/>
        <v>0</v>
      </c>
      <c r="AM374" s="228">
        <f t="shared" si="880"/>
        <v>0</v>
      </c>
      <c r="AN374" s="228">
        <f t="shared" si="880"/>
        <v>0</v>
      </c>
      <c r="AO374" s="261"/>
      <c r="AP374" s="228">
        <f t="shared" si="881"/>
        <v>0</v>
      </c>
      <c r="AQ374" s="228">
        <f t="shared" si="881"/>
        <v>0</v>
      </c>
      <c r="AR374" s="228">
        <f t="shared" si="881"/>
        <v>0</v>
      </c>
      <c r="AS374" s="228">
        <f t="shared" si="881"/>
        <v>0</v>
      </c>
      <c r="AT374" s="228">
        <f t="shared" si="881"/>
        <v>0</v>
      </c>
      <c r="AU374" s="228">
        <f t="shared" si="881"/>
        <v>0</v>
      </c>
      <c r="AV374" s="261"/>
      <c r="AW374" s="228">
        <f t="shared" si="882"/>
        <v>0</v>
      </c>
      <c r="AX374" s="228">
        <f t="shared" si="882"/>
        <v>0</v>
      </c>
      <c r="AY374" s="228">
        <f t="shared" si="882"/>
        <v>0</v>
      </c>
      <c r="AZ374" s="228">
        <f t="shared" si="882"/>
        <v>0</v>
      </c>
      <c r="BA374" s="228">
        <f t="shared" si="882"/>
        <v>0</v>
      </c>
      <c r="BB374" s="228">
        <f t="shared" si="882"/>
        <v>0</v>
      </c>
      <c r="BC374" s="261">
        <f t="shared" si="874"/>
        <v>0</v>
      </c>
      <c r="BD374" s="239">
        <f t="shared" si="841"/>
        <v>28270.836440000003</v>
      </c>
      <c r="BE374" s="243"/>
      <c r="BF374" s="243"/>
      <c r="BG374" s="243"/>
      <c r="BH374" s="243"/>
      <c r="BI374" s="243"/>
      <c r="BJ374" s="243"/>
      <c r="BK374" s="243"/>
      <c r="BL374" s="243"/>
      <c r="BM374" s="243"/>
      <c r="BN374" s="243"/>
      <c r="BO374" s="243"/>
      <c r="BP374" s="243"/>
      <c r="BQ374" s="243"/>
      <c r="BR374" s="243"/>
      <c r="BS374" s="243"/>
      <c r="BT374" s="243"/>
      <c r="BU374" s="243"/>
      <c r="BV374" s="243"/>
      <c r="BW374" s="243"/>
      <c r="BX374" s="243"/>
      <c r="BY374" s="243"/>
      <c r="BZ374" s="243"/>
      <c r="CA374" s="243"/>
      <c r="CB374" s="243"/>
      <c r="CC374" s="243"/>
      <c r="CD374" s="243"/>
      <c r="CE374" s="243"/>
      <c r="CF374" s="243"/>
      <c r="CG374" s="243"/>
      <c r="CH374" s="243"/>
      <c r="CI374" s="243"/>
      <c r="CJ374" s="243"/>
      <c r="CK374" s="243"/>
      <c r="CL374" s="243"/>
      <c r="CM374" s="243"/>
      <c r="CN374" s="243"/>
      <c r="CO374" s="243"/>
      <c r="CP374" s="243"/>
      <c r="CQ374" s="243"/>
      <c r="CR374" s="243"/>
      <c r="CS374" s="243"/>
      <c r="CT374" s="243"/>
      <c r="CU374" s="243"/>
      <c r="CV374" s="243"/>
      <c r="CW374" s="243"/>
      <c r="CX374" s="243"/>
      <c r="CY374" s="243"/>
      <c r="CZ374" s="243"/>
      <c r="DA374" s="243"/>
      <c r="DB374" s="243"/>
      <c r="DC374" s="243"/>
      <c r="DD374" s="243"/>
      <c r="DE374" s="243"/>
      <c r="DF374" s="243"/>
      <c r="DG374" s="243"/>
      <c r="DH374" s="243"/>
      <c r="DI374" s="243"/>
      <c r="DJ374" s="243"/>
      <c r="DK374" s="243"/>
      <c r="DL374" s="243"/>
      <c r="DM374" s="243"/>
      <c r="DN374" s="243"/>
      <c r="DO374" s="243"/>
      <c r="DP374" s="243"/>
      <c r="DQ374" s="243"/>
      <c r="DR374" s="243"/>
      <c r="DS374" s="243"/>
      <c r="DT374" s="243"/>
      <c r="DU374" s="243"/>
      <c r="DV374" s="243"/>
      <c r="DW374" s="243"/>
      <c r="DX374" s="243"/>
      <c r="DY374" s="243"/>
      <c r="DZ374" s="243"/>
      <c r="EA374" s="243"/>
      <c r="EB374" s="243"/>
      <c r="EC374" s="243"/>
      <c r="ED374" s="243"/>
      <c r="EE374" s="243"/>
      <c r="EF374" s="243"/>
      <c r="EG374" s="243"/>
      <c r="EH374" s="243"/>
      <c r="EI374" s="243"/>
      <c r="EJ374" s="243"/>
      <c r="EK374" s="243"/>
      <c r="EL374" s="243"/>
      <c r="EM374" s="243"/>
      <c r="EN374" s="243"/>
      <c r="EO374" s="243"/>
      <c r="EP374" s="243"/>
      <c r="EQ374" s="243"/>
      <c r="ER374" s="243"/>
      <c r="ES374" s="243"/>
      <c r="ET374" s="243"/>
      <c r="EU374" s="243"/>
      <c r="EV374" s="243"/>
      <c r="EW374" s="243"/>
      <c r="EX374" s="243"/>
      <c r="EY374" s="243"/>
      <c r="EZ374" s="243"/>
      <c r="FA374" s="243"/>
      <c r="FB374" s="243"/>
      <c r="FC374" s="243"/>
      <c r="FD374" s="243"/>
      <c r="FE374" s="243"/>
      <c r="FF374" s="243"/>
      <c r="FG374" s="243"/>
      <c r="FH374" s="243"/>
      <c r="FI374" s="243"/>
      <c r="FJ374" s="243"/>
      <c r="FK374" s="243"/>
      <c r="FL374" s="243"/>
      <c r="FM374" s="243"/>
      <c r="FN374" s="243"/>
      <c r="FO374" s="243"/>
      <c r="FP374" s="243"/>
      <c r="FQ374" s="243"/>
      <c r="FR374" s="243"/>
      <c r="FS374" s="243"/>
      <c r="FT374" s="243"/>
      <c r="FU374" s="243"/>
      <c r="FV374" s="243"/>
      <c r="FW374" s="243"/>
      <c r="FX374" s="243"/>
      <c r="FY374" s="243"/>
      <c r="FZ374" s="243"/>
      <c r="GA374" s="243"/>
      <c r="GB374" s="243"/>
      <c r="GC374" s="243"/>
      <c r="GD374" s="243"/>
      <c r="GE374" s="243"/>
      <c r="GF374" s="243"/>
      <c r="GG374" s="243"/>
      <c r="GH374" s="243"/>
      <c r="GI374" s="243"/>
      <c r="GJ374" s="243"/>
      <c r="GK374" s="243"/>
      <c r="GL374" s="243"/>
      <c r="GM374" s="243"/>
      <c r="GN374" s="243"/>
      <c r="GO374" s="243"/>
      <c r="GP374" s="243"/>
      <c r="GQ374" s="243"/>
      <c r="GR374" s="243"/>
      <c r="GS374" s="243"/>
      <c r="GT374" s="243"/>
    </row>
    <row r="375" spans="1:202" s="79" customFormat="1" ht="24.75" customHeight="1">
      <c r="A375" s="192"/>
      <c r="B375" s="145" t="s">
        <v>535</v>
      </c>
      <c r="C375" s="216"/>
      <c r="D375" s="141"/>
      <c r="E375" s="147">
        <v>6620.03</v>
      </c>
      <c r="F375" s="342">
        <v>2150</v>
      </c>
      <c r="G375" s="177">
        <f t="shared" si="878"/>
        <v>4470.03</v>
      </c>
      <c r="H375" s="147">
        <v>6620.03</v>
      </c>
      <c r="I375" s="144">
        <v>2150</v>
      </c>
      <c r="J375" s="210">
        <f>H375-I375</f>
        <v>4470.03</v>
      </c>
      <c r="K375" s="252">
        <v>245.97300000000001</v>
      </c>
      <c r="L375" s="252">
        <v>245.97300000000001</v>
      </c>
      <c r="M375" s="252"/>
      <c r="N375" s="287">
        <f>SUM(K375:M375)</f>
        <v>491.94600000000003</v>
      </c>
      <c r="O375" s="273"/>
      <c r="P375" s="273"/>
      <c r="Q375" s="290"/>
      <c r="R375" s="287"/>
      <c r="S375" s="290"/>
      <c r="T375" s="264"/>
      <c r="U375" s="273"/>
      <c r="V375" s="273"/>
      <c r="W375" s="290"/>
      <c r="X375" s="264"/>
      <c r="Y375" s="142"/>
      <c r="Z375" s="273"/>
      <c r="AA375" s="273"/>
      <c r="AB375" s="273"/>
      <c r="AC375" s="273"/>
      <c r="AD375" s="273"/>
      <c r="AE375" s="273"/>
      <c r="AF375" s="287">
        <f>SUM(Z375:AE375)</f>
        <v>0</v>
      </c>
      <c r="AG375" s="283">
        <f t="shared" si="846"/>
        <v>491.94600000000003</v>
      </c>
      <c r="AH375" s="228">
        <f t="shared" si="879"/>
        <v>1099506.6891900001</v>
      </c>
      <c r="AI375" s="228">
        <f t="shared" si="879"/>
        <v>1099506.6891900001</v>
      </c>
      <c r="AJ375" s="228">
        <f t="shared" si="879"/>
        <v>0</v>
      </c>
      <c r="AK375" s="261">
        <f>SUM(AH375:AJ375)</f>
        <v>2199013.3783800001</v>
      </c>
      <c r="AL375" s="228">
        <f t="shared" si="880"/>
        <v>0</v>
      </c>
      <c r="AM375" s="228">
        <f t="shared" si="880"/>
        <v>0</v>
      </c>
      <c r="AN375" s="228">
        <f t="shared" si="880"/>
        <v>0</v>
      </c>
      <c r="AO375" s="261"/>
      <c r="AP375" s="228">
        <f t="shared" si="881"/>
        <v>0</v>
      </c>
      <c r="AQ375" s="228">
        <f t="shared" si="881"/>
        <v>0</v>
      </c>
      <c r="AR375" s="228">
        <f t="shared" si="881"/>
        <v>0</v>
      </c>
      <c r="AS375" s="228">
        <f t="shared" si="881"/>
        <v>0</v>
      </c>
      <c r="AT375" s="228">
        <f t="shared" si="881"/>
        <v>0</v>
      </c>
      <c r="AU375" s="228">
        <f t="shared" si="881"/>
        <v>0</v>
      </c>
      <c r="AV375" s="261"/>
      <c r="AW375" s="228">
        <f t="shared" si="882"/>
        <v>0</v>
      </c>
      <c r="AX375" s="228">
        <f t="shared" si="882"/>
        <v>0</v>
      </c>
      <c r="AY375" s="228">
        <f t="shared" si="882"/>
        <v>0</v>
      </c>
      <c r="AZ375" s="228">
        <f t="shared" si="882"/>
        <v>0</v>
      </c>
      <c r="BA375" s="228">
        <f t="shared" si="882"/>
        <v>0</v>
      </c>
      <c r="BB375" s="228">
        <f t="shared" si="882"/>
        <v>0</v>
      </c>
      <c r="BC375" s="261">
        <f t="shared" si="874"/>
        <v>0</v>
      </c>
      <c r="BD375" s="239">
        <f t="shared" si="841"/>
        <v>2199013.3783800001</v>
      </c>
      <c r="BE375" s="243"/>
      <c r="BF375" s="243"/>
      <c r="BG375" s="243"/>
      <c r="BH375" s="243"/>
      <c r="BI375" s="243"/>
      <c r="BJ375" s="243"/>
      <c r="BK375" s="243"/>
      <c r="BL375" s="243"/>
      <c r="BM375" s="243"/>
      <c r="BN375" s="243"/>
      <c r="BO375" s="243"/>
      <c r="BP375" s="243"/>
      <c r="BQ375" s="243"/>
      <c r="BR375" s="243"/>
      <c r="BS375" s="243"/>
      <c r="BT375" s="243"/>
      <c r="BU375" s="243"/>
      <c r="BV375" s="243"/>
      <c r="BW375" s="243"/>
      <c r="BX375" s="243"/>
      <c r="BY375" s="243"/>
      <c r="BZ375" s="243"/>
      <c r="CA375" s="243"/>
      <c r="CB375" s="243"/>
      <c r="CC375" s="243"/>
      <c r="CD375" s="243"/>
      <c r="CE375" s="243"/>
      <c r="CF375" s="243"/>
      <c r="CG375" s="243"/>
      <c r="CH375" s="243"/>
      <c r="CI375" s="243"/>
      <c r="CJ375" s="243"/>
      <c r="CK375" s="243"/>
      <c r="CL375" s="243"/>
      <c r="CM375" s="243"/>
      <c r="CN375" s="243"/>
      <c r="CO375" s="243"/>
      <c r="CP375" s="243"/>
      <c r="CQ375" s="243"/>
      <c r="CR375" s="243"/>
      <c r="CS375" s="243"/>
      <c r="CT375" s="243"/>
      <c r="CU375" s="243"/>
      <c r="CV375" s="243"/>
      <c r="CW375" s="243"/>
      <c r="CX375" s="243"/>
      <c r="CY375" s="243"/>
      <c r="CZ375" s="243"/>
      <c r="DA375" s="243"/>
      <c r="DB375" s="243"/>
      <c r="DC375" s="243"/>
      <c r="DD375" s="243"/>
      <c r="DE375" s="243"/>
      <c r="DF375" s="243"/>
      <c r="DG375" s="243"/>
      <c r="DH375" s="243"/>
      <c r="DI375" s="243"/>
      <c r="DJ375" s="243"/>
      <c r="DK375" s="243"/>
      <c r="DL375" s="243"/>
      <c r="DM375" s="243"/>
      <c r="DN375" s="243"/>
      <c r="DO375" s="243"/>
      <c r="DP375" s="243"/>
      <c r="DQ375" s="243"/>
      <c r="DR375" s="243"/>
      <c r="DS375" s="243"/>
      <c r="DT375" s="243"/>
      <c r="DU375" s="243"/>
      <c r="DV375" s="243"/>
      <c r="DW375" s="243"/>
      <c r="DX375" s="243"/>
      <c r="DY375" s="243"/>
      <c r="DZ375" s="243"/>
      <c r="EA375" s="243"/>
      <c r="EB375" s="243"/>
      <c r="EC375" s="243"/>
      <c r="ED375" s="243"/>
      <c r="EE375" s="243"/>
      <c r="EF375" s="243"/>
      <c r="EG375" s="243"/>
      <c r="EH375" s="243"/>
      <c r="EI375" s="243"/>
      <c r="EJ375" s="243"/>
      <c r="EK375" s="243"/>
      <c r="EL375" s="243"/>
      <c r="EM375" s="243"/>
      <c r="EN375" s="243"/>
      <c r="EO375" s="243"/>
      <c r="EP375" s="243"/>
      <c r="EQ375" s="243"/>
      <c r="ER375" s="243"/>
      <c r="ES375" s="243"/>
      <c r="ET375" s="243"/>
      <c r="EU375" s="243"/>
      <c r="EV375" s="243"/>
      <c r="EW375" s="243"/>
      <c r="EX375" s="243"/>
      <c r="EY375" s="243"/>
      <c r="EZ375" s="243"/>
      <c r="FA375" s="243"/>
      <c r="FB375" s="243"/>
      <c r="FC375" s="243"/>
      <c r="FD375" s="243"/>
      <c r="FE375" s="243"/>
      <c r="FF375" s="243"/>
      <c r="FG375" s="243"/>
      <c r="FH375" s="243"/>
      <c r="FI375" s="243"/>
      <c r="FJ375" s="243"/>
      <c r="FK375" s="243"/>
      <c r="FL375" s="243"/>
      <c r="FM375" s="243"/>
      <c r="FN375" s="243"/>
      <c r="FO375" s="243"/>
      <c r="FP375" s="243"/>
      <c r="FQ375" s="243"/>
      <c r="FR375" s="243"/>
      <c r="FS375" s="243"/>
      <c r="FT375" s="243"/>
      <c r="FU375" s="243"/>
      <c r="FV375" s="243"/>
      <c r="FW375" s="243"/>
      <c r="FX375" s="243"/>
      <c r="FY375" s="243"/>
      <c r="FZ375" s="243"/>
      <c r="GA375" s="243"/>
      <c r="GB375" s="243"/>
      <c r="GC375" s="243"/>
      <c r="GD375" s="243"/>
      <c r="GE375" s="243"/>
      <c r="GF375" s="243"/>
      <c r="GG375" s="243"/>
      <c r="GH375" s="243"/>
      <c r="GI375" s="243"/>
      <c r="GJ375" s="243"/>
      <c r="GK375" s="243"/>
      <c r="GL375" s="243"/>
      <c r="GM375" s="243"/>
      <c r="GN375" s="243"/>
      <c r="GO375" s="243"/>
      <c r="GP375" s="243"/>
      <c r="GQ375" s="243"/>
      <c r="GR375" s="243"/>
      <c r="GS375" s="243"/>
      <c r="GT375" s="243"/>
    </row>
    <row r="376" spans="1:202" s="79" customFormat="1" ht="11.25" customHeight="1">
      <c r="A376" s="192"/>
      <c r="B376" s="145" t="s">
        <v>429</v>
      </c>
      <c r="C376" s="216"/>
      <c r="D376" s="141"/>
      <c r="E376" s="147"/>
      <c r="F376" s="144"/>
      <c r="G376" s="177"/>
      <c r="H376" s="147"/>
      <c r="I376" s="144"/>
      <c r="J376" s="210"/>
      <c r="K376" s="252"/>
      <c r="L376" s="252"/>
      <c r="M376" s="252"/>
      <c r="N376" s="287">
        <f>K376+L376+M376</f>
        <v>0</v>
      </c>
      <c r="O376" s="273"/>
      <c r="P376" s="273"/>
      <c r="Q376" s="290"/>
      <c r="R376" s="287">
        <f t="shared" ref="R376:R386" si="883">O376+P376+Q376</f>
        <v>0</v>
      </c>
      <c r="S376" s="290"/>
      <c r="T376" s="264"/>
      <c r="U376" s="273"/>
      <c r="V376" s="273"/>
      <c r="W376" s="290">
        <v>0</v>
      </c>
      <c r="X376" s="264"/>
      <c r="Y376" s="142">
        <f t="shared" ref="Y376:Y386" si="884">SUM(S376:X376)</f>
        <v>0</v>
      </c>
      <c r="Z376" s="273"/>
      <c r="AA376" s="273"/>
      <c r="AB376" s="273"/>
      <c r="AC376" s="273"/>
      <c r="AD376" s="273"/>
      <c r="AE376" s="273"/>
      <c r="AF376" s="287">
        <f>SUM(Z376:AE376)</f>
        <v>0</v>
      </c>
      <c r="AG376" s="283">
        <f t="shared" si="846"/>
        <v>0</v>
      </c>
      <c r="AH376" s="228">
        <f t="shared" si="879"/>
        <v>0</v>
      </c>
      <c r="AI376" s="228">
        <f t="shared" si="879"/>
        <v>0</v>
      </c>
      <c r="AJ376" s="228">
        <f t="shared" si="879"/>
        <v>0</v>
      </c>
      <c r="AK376" s="261">
        <f t="shared" ref="AK376:AK386" si="885">AH376+AI376+AJ376</f>
        <v>0</v>
      </c>
      <c r="AL376" s="228">
        <f t="shared" si="880"/>
        <v>0</v>
      </c>
      <c r="AM376" s="228">
        <f t="shared" si="880"/>
        <v>0</v>
      </c>
      <c r="AN376" s="228">
        <f t="shared" si="880"/>
        <v>0</v>
      </c>
      <c r="AO376" s="261">
        <f>SUM(AL376:AN376)</f>
        <v>0</v>
      </c>
      <c r="AP376" s="228">
        <f t="shared" si="881"/>
        <v>0</v>
      </c>
      <c r="AQ376" s="228">
        <f t="shared" si="881"/>
        <v>0</v>
      </c>
      <c r="AR376" s="228">
        <f t="shared" si="881"/>
        <v>0</v>
      </c>
      <c r="AS376" s="228">
        <f t="shared" si="881"/>
        <v>0</v>
      </c>
      <c r="AT376" s="228">
        <f t="shared" si="881"/>
        <v>0</v>
      </c>
      <c r="AU376" s="228">
        <f t="shared" si="881"/>
        <v>0</v>
      </c>
      <c r="AV376" s="261">
        <f>SUM(AP376:AU376)</f>
        <v>0</v>
      </c>
      <c r="AW376" s="228">
        <f t="shared" si="882"/>
        <v>0</v>
      </c>
      <c r="AX376" s="228">
        <f t="shared" si="882"/>
        <v>0</v>
      </c>
      <c r="AY376" s="228">
        <f t="shared" si="882"/>
        <v>0</v>
      </c>
      <c r="AZ376" s="228">
        <f t="shared" si="882"/>
        <v>0</v>
      </c>
      <c r="BA376" s="228">
        <f t="shared" si="882"/>
        <v>0</v>
      </c>
      <c r="BB376" s="228">
        <f t="shared" si="882"/>
        <v>0</v>
      </c>
      <c r="BC376" s="261">
        <f t="shared" si="874"/>
        <v>0</v>
      </c>
      <c r="BD376" s="239">
        <f t="shared" si="841"/>
        <v>0</v>
      </c>
      <c r="BE376" s="243"/>
      <c r="BF376" s="243"/>
      <c r="BG376" s="243"/>
      <c r="BH376" s="243"/>
      <c r="BI376" s="243"/>
      <c r="BJ376" s="243"/>
      <c r="BK376" s="243"/>
      <c r="BL376" s="243"/>
      <c r="BM376" s="243"/>
      <c r="BN376" s="243"/>
      <c r="BO376" s="243"/>
      <c r="BP376" s="243"/>
      <c r="BQ376" s="243"/>
      <c r="BR376" s="243"/>
      <c r="BS376" s="243"/>
      <c r="BT376" s="243"/>
      <c r="BU376" s="243"/>
      <c r="BV376" s="243"/>
      <c r="BW376" s="243"/>
      <c r="BX376" s="243"/>
      <c r="BY376" s="243"/>
      <c r="BZ376" s="243"/>
      <c r="CA376" s="243"/>
      <c r="CB376" s="243"/>
      <c r="CC376" s="243"/>
      <c r="CD376" s="243"/>
      <c r="CE376" s="243"/>
      <c r="CF376" s="243"/>
      <c r="CG376" s="243"/>
      <c r="CH376" s="243"/>
      <c r="CI376" s="243"/>
      <c r="CJ376" s="243"/>
      <c r="CK376" s="243"/>
      <c r="CL376" s="243"/>
      <c r="CM376" s="243"/>
      <c r="CN376" s="243"/>
      <c r="CO376" s="243"/>
      <c r="CP376" s="243"/>
      <c r="CQ376" s="243"/>
      <c r="CR376" s="243"/>
      <c r="CS376" s="243"/>
      <c r="CT376" s="243"/>
      <c r="CU376" s="243"/>
      <c r="CV376" s="243"/>
      <c r="CW376" s="243"/>
      <c r="CX376" s="243"/>
      <c r="CY376" s="243"/>
      <c r="CZ376" s="243"/>
      <c r="DA376" s="243"/>
      <c r="DB376" s="243"/>
      <c r="DC376" s="243"/>
      <c r="DD376" s="243"/>
      <c r="DE376" s="243"/>
      <c r="DF376" s="243"/>
      <c r="DG376" s="243"/>
      <c r="DH376" s="243"/>
      <c r="DI376" s="243"/>
      <c r="DJ376" s="243"/>
      <c r="DK376" s="243"/>
      <c r="DL376" s="243"/>
      <c r="DM376" s="243"/>
      <c r="DN376" s="243"/>
      <c r="DO376" s="243"/>
      <c r="DP376" s="243"/>
      <c r="DQ376" s="243"/>
      <c r="DR376" s="243"/>
      <c r="DS376" s="243"/>
      <c r="DT376" s="243"/>
      <c r="DU376" s="243"/>
      <c r="DV376" s="243"/>
      <c r="DW376" s="243"/>
      <c r="DX376" s="243"/>
      <c r="DY376" s="243"/>
      <c r="DZ376" s="243"/>
      <c r="EA376" s="243"/>
      <c r="EB376" s="243"/>
      <c r="EC376" s="243"/>
      <c r="ED376" s="243"/>
      <c r="EE376" s="243"/>
      <c r="EF376" s="243"/>
      <c r="EG376" s="243"/>
      <c r="EH376" s="243"/>
      <c r="EI376" s="243"/>
      <c r="EJ376" s="243"/>
      <c r="EK376" s="243"/>
      <c r="EL376" s="243"/>
      <c r="EM376" s="243"/>
      <c r="EN376" s="243"/>
      <c r="EO376" s="243"/>
      <c r="EP376" s="243"/>
      <c r="EQ376" s="243"/>
      <c r="ER376" s="243"/>
      <c r="ES376" s="243"/>
      <c r="ET376" s="243"/>
      <c r="EU376" s="243"/>
      <c r="EV376" s="243"/>
      <c r="EW376" s="243"/>
      <c r="EX376" s="243"/>
      <c r="EY376" s="243"/>
      <c r="EZ376" s="243"/>
      <c r="FA376" s="243"/>
      <c r="FB376" s="243"/>
      <c r="FC376" s="243"/>
      <c r="FD376" s="243"/>
      <c r="FE376" s="243"/>
      <c r="FF376" s="243"/>
      <c r="FG376" s="243"/>
      <c r="FH376" s="243"/>
      <c r="FI376" s="243"/>
      <c r="FJ376" s="243"/>
      <c r="FK376" s="243"/>
      <c r="FL376" s="243"/>
      <c r="FM376" s="243"/>
      <c r="FN376" s="243"/>
      <c r="FO376" s="243"/>
      <c r="FP376" s="243"/>
      <c r="FQ376" s="243"/>
      <c r="FR376" s="243"/>
      <c r="FS376" s="243"/>
      <c r="FT376" s="243"/>
      <c r="FU376" s="243"/>
      <c r="FV376" s="243"/>
      <c r="FW376" s="243"/>
      <c r="FX376" s="243"/>
      <c r="FY376" s="243"/>
      <c r="FZ376" s="243"/>
      <c r="GA376" s="243"/>
      <c r="GB376" s="243"/>
      <c r="GC376" s="243"/>
      <c r="GD376" s="243"/>
      <c r="GE376" s="243"/>
      <c r="GF376" s="243"/>
      <c r="GG376" s="243"/>
      <c r="GH376" s="243"/>
      <c r="GI376" s="243"/>
      <c r="GJ376" s="243"/>
      <c r="GK376" s="243"/>
      <c r="GL376" s="243"/>
      <c r="GM376" s="243"/>
      <c r="GN376" s="243"/>
      <c r="GO376" s="243"/>
      <c r="GP376" s="243"/>
      <c r="GQ376" s="243"/>
      <c r="GR376" s="243"/>
      <c r="GS376" s="243"/>
      <c r="GT376" s="243"/>
    </row>
    <row r="377" spans="1:202" s="79" customFormat="1" ht="11.25" customHeight="1">
      <c r="A377" s="193" t="s">
        <v>26</v>
      </c>
      <c r="B377" s="182" t="s">
        <v>88</v>
      </c>
      <c r="C377" s="221" t="s">
        <v>160</v>
      </c>
      <c r="D377" s="73">
        <v>2924005452</v>
      </c>
      <c r="E377" s="82"/>
      <c r="F377" s="304"/>
      <c r="G377" s="177"/>
      <c r="H377" s="82"/>
      <c r="I377" s="82"/>
      <c r="J377" s="210"/>
      <c r="K377" s="254"/>
      <c r="L377" s="254"/>
      <c r="M377" s="254"/>
      <c r="N377" s="284">
        <f>K377+L377+M377</f>
        <v>0</v>
      </c>
      <c r="O377" s="275"/>
      <c r="P377" s="275"/>
      <c r="Q377" s="293"/>
      <c r="R377" s="284">
        <f t="shared" si="883"/>
        <v>0</v>
      </c>
      <c r="S377" s="293"/>
      <c r="T377" s="266"/>
      <c r="U377" s="275"/>
      <c r="V377" s="275"/>
      <c r="W377" s="293"/>
      <c r="X377" s="263"/>
      <c r="Y377" s="284">
        <f t="shared" si="884"/>
        <v>0</v>
      </c>
      <c r="Z377" s="275"/>
      <c r="AA377" s="275"/>
      <c r="AB377" s="275"/>
      <c r="AC377" s="275"/>
      <c r="AD377" s="275"/>
      <c r="AE377" s="275"/>
      <c r="AF377" s="284">
        <f>SUM(Z377:AE377)</f>
        <v>0</v>
      </c>
      <c r="AG377" s="282">
        <f t="shared" si="846"/>
        <v>0</v>
      </c>
      <c r="AH377" s="232">
        <f t="shared" si="879"/>
        <v>0</v>
      </c>
      <c r="AI377" s="232">
        <f t="shared" si="879"/>
        <v>0</v>
      </c>
      <c r="AJ377" s="232">
        <f t="shared" si="879"/>
        <v>0</v>
      </c>
      <c r="AK377" s="260">
        <f t="shared" si="885"/>
        <v>0</v>
      </c>
      <c r="AL377" s="232">
        <f t="shared" si="880"/>
        <v>0</v>
      </c>
      <c r="AM377" s="232">
        <f t="shared" si="880"/>
        <v>0</v>
      </c>
      <c r="AN377" s="232">
        <f t="shared" si="880"/>
        <v>0</v>
      </c>
      <c r="AO377" s="260">
        <f>SUM(AL377:AN377)</f>
        <v>0</v>
      </c>
      <c r="AP377" s="232">
        <f t="shared" si="881"/>
        <v>0</v>
      </c>
      <c r="AQ377" s="232">
        <f t="shared" si="881"/>
        <v>0</v>
      </c>
      <c r="AR377" s="232">
        <f t="shared" si="881"/>
        <v>0</v>
      </c>
      <c r="AS377" s="232">
        <f t="shared" si="881"/>
        <v>0</v>
      </c>
      <c r="AT377" s="232">
        <f t="shared" si="881"/>
        <v>0</v>
      </c>
      <c r="AU377" s="232">
        <f t="shared" si="881"/>
        <v>0</v>
      </c>
      <c r="AV377" s="260">
        <f>SUM(AP377:AU377)</f>
        <v>0</v>
      </c>
      <c r="AW377" s="232">
        <f t="shared" si="882"/>
        <v>0</v>
      </c>
      <c r="AX377" s="232">
        <f t="shared" si="882"/>
        <v>0</v>
      </c>
      <c r="AY377" s="232">
        <f t="shared" si="882"/>
        <v>0</v>
      </c>
      <c r="AZ377" s="232">
        <f t="shared" si="882"/>
        <v>0</v>
      </c>
      <c r="BA377" s="232">
        <f t="shared" si="882"/>
        <v>0</v>
      </c>
      <c r="BB377" s="232">
        <f t="shared" si="882"/>
        <v>0</v>
      </c>
      <c r="BC377" s="260">
        <f t="shared" si="874"/>
        <v>0</v>
      </c>
      <c r="BD377" s="238">
        <f t="shared" si="841"/>
        <v>0</v>
      </c>
      <c r="BE377" s="13"/>
      <c r="BF377" s="243"/>
      <c r="BG377" s="243"/>
      <c r="BH377" s="243"/>
      <c r="BI377" s="243"/>
      <c r="BJ377" s="243"/>
      <c r="BK377" s="243"/>
      <c r="BL377" s="243"/>
      <c r="BM377" s="243"/>
      <c r="BN377" s="243"/>
      <c r="BO377" s="243"/>
      <c r="BP377" s="243"/>
      <c r="BQ377" s="243"/>
      <c r="BR377" s="243"/>
      <c r="BS377" s="243"/>
      <c r="BT377" s="243"/>
      <c r="BU377" s="243"/>
      <c r="BV377" s="243"/>
      <c r="BW377" s="243"/>
      <c r="BX377" s="243"/>
      <c r="BY377" s="243"/>
      <c r="BZ377" s="243"/>
      <c r="CA377" s="243"/>
      <c r="CB377" s="243"/>
      <c r="CC377" s="243"/>
      <c r="CD377" s="243"/>
      <c r="CE377" s="243"/>
      <c r="CF377" s="243"/>
      <c r="CG377" s="243"/>
      <c r="CH377" s="243"/>
      <c r="CI377" s="243"/>
      <c r="CJ377" s="243"/>
      <c r="CK377" s="243"/>
      <c r="CL377" s="243"/>
      <c r="CM377" s="243"/>
      <c r="CN377" s="243"/>
      <c r="CO377" s="243"/>
      <c r="CP377" s="243"/>
      <c r="CQ377" s="243"/>
      <c r="CR377" s="243"/>
      <c r="CS377" s="243"/>
      <c r="CT377" s="243"/>
      <c r="CU377" s="243"/>
      <c r="CV377" s="243"/>
      <c r="CW377" s="243"/>
      <c r="CX377" s="243"/>
      <c r="CY377" s="243"/>
      <c r="CZ377" s="243"/>
      <c r="DA377" s="243"/>
      <c r="DB377" s="243"/>
      <c r="DC377" s="243"/>
      <c r="DD377" s="243"/>
      <c r="DE377" s="243"/>
      <c r="DF377" s="243"/>
      <c r="DG377" s="243"/>
      <c r="DH377" s="243"/>
      <c r="DI377" s="243"/>
      <c r="DJ377" s="243"/>
      <c r="DK377" s="243"/>
      <c r="DL377" s="243"/>
      <c r="DM377" s="243"/>
      <c r="DN377" s="243"/>
      <c r="DO377" s="243"/>
      <c r="DP377" s="243"/>
      <c r="DQ377" s="243"/>
      <c r="DR377" s="243"/>
      <c r="DS377" s="243"/>
      <c r="DT377" s="243"/>
      <c r="DU377" s="243"/>
      <c r="DV377" s="243"/>
      <c r="DW377" s="243"/>
      <c r="DX377" s="243"/>
      <c r="DY377" s="243"/>
      <c r="DZ377" s="243"/>
      <c r="EA377" s="243"/>
      <c r="EB377" s="243"/>
      <c r="EC377" s="243"/>
      <c r="ED377" s="243"/>
      <c r="EE377" s="243"/>
      <c r="EF377" s="243"/>
      <c r="EG377" s="243"/>
      <c r="EH377" s="243"/>
      <c r="EI377" s="243"/>
      <c r="EJ377" s="243"/>
      <c r="EK377" s="243"/>
      <c r="EL377" s="243"/>
      <c r="EM377" s="243"/>
      <c r="EN377" s="243"/>
      <c r="EO377" s="243"/>
      <c r="EP377" s="243"/>
      <c r="EQ377" s="243"/>
      <c r="ER377" s="243"/>
      <c r="ES377" s="243"/>
      <c r="ET377" s="243"/>
      <c r="EU377" s="243"/>
      <c r="EV377" s="243"/>
      <c r="EW377" s="243"/>
      <c r="EX377" s="243"/>
      <c r="EY377" s="243"/>
      <c r="EZ377" s="243"/>
      <c r="FA377" s="243"/>
      <c r="FB377" s="243"/>
      <c r="FC377" s="243"/>
      <c r="FD377" s="243"/>
      <c r="FE377" s="243"/>
      <c r="FF377" s="243"/>
      <c r="FG377" s="243"/>
      <c r="FH377" s="243"/>
      <c r="FI377" s="243"/>
      <c r="FJ377" s="243"/>
      <c r="FK377" s="243"/>
      <c r="FL377" s="243"/>
      <c r="FM377" s="243"/>
      <c r="FN377" s="243"/>
      <c r="FO377" s="243"/>
      <c r="FP377" s="243"/>
      <c r="FQ377" s="243"/>
      <c r="FR377" s="243"/>
      <c r="FS377" s="243"/>
      <c r="FT377" s="243"/>
      <c r="FU377" s="243"/>
      <c r="FV377" s="243"/>
      <c r="FW377" s="243"/>
      <c r="FX377" s="243"/>
      <c r="FY377" s="243"/>
      <c r="FZ377" s="243"/>
      <c r="GA377" s="243"/>
      <c r="GB377" s="243"/>
      <c r="GC377" s="243"/>
      <c r="GD377" s="243"/>
      <c r="GE377" s="243"/>
      <c r="GF377" s="243"/>
      <c r="GG377" s="243"/>
      <c r="GH377" s="243"/>
      <c r="GI377" s="243"/>
      <c r="GJ377" s="243"/>
      <c r="GK377" s="243"/>
      <c r="GL377" s="243"/>
      <c r="GM377" s="243"/>
      <c r="GN377" s="243"/>
      <c r="GO377" s="243"/>
      <c r="GP377" s="243"/>
      <c r="GQ377" s="243"/>
      <c r="GR377" s="243"/>
      <c r="GS377" s="243"/>
      <c r="GT377" s="243"/>
    </row>
    <row r="378" spans="1:202" ht="12.75">
      <c r="A378" s="204" t="s">
        <v>26</v>
      </c>
      <c r="B378" s="182" t="s">
        <v>203</v>
      </c>
      <c r="C378" s="221"/>
      <c r="D378" s="73">
        <v>2920016693</v>
      </c>
      <c r="E378" s="82"/>
      <c r="F378" s="86"/>
      <c r="G378" s="177"/>
      <c r="H378" s="82"/>
      <c r="I378" s="86"/>
      <c r="J378" s="210"/>
      <c r="K378" s="254">
        <f>K379</f>
        <v>972.07100000000003</v>
      </c>
      <c r="L378" s="254">
        <f>L379</f>
        <v>878.51300000000003</v>
      </c>
      <c r="M378" s="254">
        <f>M379</f>
        <v>0</v>
      </c>
      <c r="N378" s="284">
        <f>SUM(K378:M378)</f>
        <v>1850.5840000000001</v>
      </c>
      <c r="O378" s="293">
        <f>O379</f>
        <v>0</v>
      </c>
      <c r="P378" s="293">
        <f>P379</f>
        <v>0</v>
      </c>
      <c r="Q378" s="293">
        <f>Q379</f>
        <v>0</v>
      </c>
      <c r="R378" s="284">
        <f>O378+P378+Q378</f>
        <v>0</v>
      </c>
      <c r="S378" s="266">
        <f t="shared" ref="S378:X378" si="886">S379</f>
        <v>0</v>
      </c>
      <c r="T378" s="266">
        <f t="shared" si="886"/>
        <v>0</v>
      </c>
      <c r="U378" s="266">
        <f t="shared" si="886"/>
        <v>0</v>
      </c>
      <c r="V378" s="266">
        <f t="shared" si="886"/>
        <v>0</v>
      </c>
      <c r="W378" s="266">
        <f t="shared" si="886"/>
        <v>0</v>
      </c>
      <c r="X378" s="266">
        <f t="shared" si="886"/>
        <v>0</v>
      </c>
      <c r="Y378" s="262">
        <f>SUM(S378:X378)</f>
        <v>0</v>
      </c>
      <c r="Z378" s="266">
        <f t="shared" ref="Z378:AE378" si="887">Z379</f>
        <v>0</v>
      </c>
      <c r="AA378" s="266">
        <f t="shared" si="887"/>
        <v>0</v>
      </c>
      <c r="AB378" s="266">
        <f t="shared" si="887"/>
        <v>0</v>
      </c>
      <c r="AC378" s="266">
        <f t="shared" si="887"/>
        <v>0</v>
      </c>
      <c r="AD378" s="266">
        <f t="shared" si="887"/>
        <v>0</v>
      </c>
      <c r="AE378" s="266">
        <f t="shared" si="887"/>
        <v>0</v>
      </c>
      <c r="AF378" s="284">
        <f>SUM(AF379:AF379)</f>
        <v>0</v>
      </c>
      <c r="AG378" s="282">
        <f t="shared" si="846"/>
        <v>1850.5840000000001</v>
      </c>
      <c r="AH378" s="232">
        <f>AH379</f>
        <v>2534451.5561700007</v>
      </c>
      <c r="AI378" s="232">
        <f>AI379</f>
        <v>2290520.5895100003</v>
      </c>
      <c r="AJ378" s="232">
        <f>AJ379</f>
        <v>0</v>
      </c>
      <c r="AK378" s="260">
        <f>AH378+AI378+AJ378</f>
        <v>4824972.145680001</v>
      </c>
      <c r="AL378" s="232">
        <f>AL379</f>
        <v>0</v>
      </c>
      <c r="AM378" s="232">
        <f>AM379</f>
        <v>0</v>
      </c>
      <c r="AN378" s="232">
        <f>AN379</f>
        <v>0</v>
      </c>
      <c r="AO378" s="260">
        <f>SUM(AL378:AN378)</f>
        <v>0</v>
      </c>
      <c r="AP378" s="232">
        <f t="shared" ref="AP378:AU378" si="888">AP379</f>
        <v>0</v>
      </c>
      <c r="AQ378" s="232">
        <f t="shared" si="888"/>
        <v>0</v>
      </c>
      <c r="AR378" s="232">
        <f t="shared" si="888"/>
        <v>0</v>
      </c>
      <c r="AS378" s="232">
        <f t="shared" si="888"/>
        <v>0</v>
      </c>
      <c r="AT378" s="232">
        <f t="shared" si="888"/>
        <v>0</v>
      </c>
      <c r="AU378" s="232">
        <f t="shared" si="888"/>
        <v>0</v>
      </c>
      <c r="AV378" s="260">
        <f>SUM(AP378:AU378)</f>
        <v>0</v>
      </c>
      <c r="AW378" s="232">
        <f t="shared" ref="AW378:BB378" si="889">AW379</f>
        <v>0</v>
      </c>
      <c r="AX378" s="232">
        <f t="shared" si="889"/>
        <v>0</v>
      </c>
      <c r="AY378" s="232">
        <f t="shared" si="889"/>
        <v>0</v>
      </c>
      <c r="AZ378" s="232">
        <f t="shared" si="889"/>
        <v>0</v>
      </c>
      <c r="BA378" s="232">
        <f t="shared" si="889"/>
        <v>0</v>
      </c>
      <c r="BB378" s="232">
        <f t="shared" si="889"/>
        <v>0</v>
      </c>
      <c r="BC378" s="260">
        <f t="shared" si="874"/>
        <v>0</v>
      </c>
      <c r="BD378" s="238">
        <f t="shared" si="841"/>
        <v>4824972.145680001</v>
      </c>
    </row>
    <row r="379" spans="1:202" s="79" customFormat="1" ht="11.25" customHeight="1">
      <c r="A379" s="192"/>
      <c r="B379" s="145"/>
      <c r="C379" s="216" t="s">
        <v>204</v>
      </c>
      <c r="D379" s="141"/>
      <c r="E379" s="147">
        <v>5187.2700000000004</v>
      </c>
      <c r="F379" s="214">
        <v>2580</v>
      </c>
      <c r="G379" s="177">
        <f t="shared" si="878"/>
        <v>2607.2700000000004</v>
      </c>
      <c r="H379" s="147">
        <v>5187.2700000000004</v>
      </c>
      <c r="I379" s="144">
        <v>2580</v>
      </c>
      <c r="J379" s="210">
        <f>H379-I379</f>
        <v>2607.2700000000004</v>
      </c>
      <c r="K379" s="252">
        <v>972.07100000000003</v>
      </c>
      <c r="L379" s="252">
        <v>878.51300000000003</v>
      </c>
      <c r="M379" s="252"/>
      <c r="N379" s="287">
        <f>SUM(K379:M379)</f>
        <v>1850.5840000000001</v>
      </c>
      <c r="O379" s="273"/>
      <c r="P379" s="273"/>
      <c r="Q379" s="290"/>
      <c r="R379" s="287"/>
      <c r="S379" s="290"/>
      <c r="T379" s="264"/>
      <c r="U379" s="273"/>
      <c r="V379" s="273"/>
      <c r="W379" s="290"/>
      <c r="X379" s="264"/>
      <c r="Y379" s="142"/>
      <c r="Z379" s="273"/>
      <c r="AA379" s="273"/>
      <c r="AB379" s="273"/>
      <c r="AC379" s="273"/>
      <c r="AD379" s="273"/>
      <c r="AE379" s="273"/>
      <c r="AF379" s="287">
        <f t="shared" ref="AF379:AF386" si="890">SUM(Z379:AE379)</f>
        <v>0</v>
      </c>
      <c r="AG379" s="283">
        <f t="shared" si="846"/>
        <v>1850.5840000000001</v>
      </c>
      <c r="AH379" s="228">
        <f>K379*$G379</f>
        <v>2534451.5561700007</v>
      </c>
      <c r="AI379" s="228">
        <f>L379*$G379</f>
        <v>2290520.5895100003</v>
      </c>
      <c r="AJ379" s="228">
        <f>M379*$G379</f>
        <v>0</v>
      </c>
      <c r="AK379" s="261">
        <f>AH379+AI379+AJ379</f>
        <v>4824972.145680001</v>
      </c>
      <c r="AL379" s="228">
        <f>O379*$G379</f>
        <v>0</v>
      </c>
      <c r="AM379" s="228">
        <f>P379*$G379</f>
        <v>0</v>
      </c>
      <c r="AN379" s="228">
        <f>Q379*$G379</f>
        <v>0</v>
      </c>
      <c r="AO379" s="261"/>
      <c r="AP379" s="228">
        <f t="shared" ref="AP379:AU379" si="891">S379*$J379</f>
        <v>0</v>
      </c>
      <c r="AQ379" s="228">
        <f t="shared" si="891"/>
        <v>0</v>
      </c>
      <c r="AR379" s="228">
        <f t="shared" si="891"/>
        <v>0</v>
      </c>
      <c r="AS379" s="228">
        <f t="shared" si="891"/>
        <v>0</v>
      </c>
      <c r="AT379" s="228">
        <f t="shared" si="891"/>
        <v>0</v>
      </c>
      <c r="AU379" s="228">
        <f t="shared" si="891"/>
        <v>0</v>
      </c>
      <c r="AV379" s="261"/>
      <c r="AW379" s="228">
        <f t="shared" ref="AW379:BB379" si="892">Z379*$J379</f>
        <v>0</v>
      </c>
      <c r="AX379" s="228">
        <f t="shared" si="892"/>
        <v>0</v>
      </c>
      <c r="AY379" s="228">
        <f t="shared" si="892"/>
        <v>0</v>
      </c>
      <c r="AZ379" s="228">
        <f t="shared" si="892"/>
        <v>0</v>
      </c>
      <c r="BA379" s="228">
        <f t="shared" si="892"/>
        <v>0</v>
      </c>
      <c r="BB379" s="228">
        <f t="shared" si="892"/>
        <v>0</v>
      </c>
      <c r="BC379" s="261">
        <f t="shared" si="874"/>
        <v>0</v>
      </c>
      <c r="BD379" s="239">
        <f t="shared" si="841"/>
        <v>4824972.145680001</v>
      </c>
      <c r="BE379" s="243"/>
      <c r="BF379" s="243"/>
      <c r="BG379" s="243"/>
      <c r="BH379" s="243"/>
      <c r="BI379" s="243"/>
      <c r="BJ379" s="243"/>
      <c r="BK379" s="243"/>
      <c r="BL379" s="243"/>
      <c r="BM379" s="243"/>
      <c r="BN379" s="243"/>
      <c r="BO379" s="243"/>
      <c r="BP379" s="243"/>
      <c r="BQ379" s="243"/>
      <c r="BR379" s="243"/>
      <c r="BS379" s="243"/>
      <c r="BT379" s="243"/>
      <c r="BU379" s="243"/>
      <c r="BV379" s="243"/>
      <c r="BW379" s="243"/>
      <c r="BX379" s="243"/>
      <c r="BY379" s="243"/>
      <c r="BZ379" s="243"/>
      <c r="CA379" s="243"/>
      <c r="CB379" s="243"/>
      <c r="CC379" s="243"/>
      <c r="CD379" s="243"/>
      <c r="CE379" s="243"/>
      <c r="CF379" s="243"/>
      <c r="CG379" s="243"/>
      <c r="CH379" s="243"/>
      <c r="CI379" s="243"/>
      <c r="CJ379" s="243"/>
      <c r="CK379" s="243"/>
      <c r="CL379" s="243"/>
      <c r="CM379" s="243"/>
      <c r="CN379" s="243"/>
      <c r="CO379" s="243"/>
      <c r="CP379" s="243"/>
      <c r="CQ379" s="243"/>
      <c r="CR379" s="243"/>
      <c r="CS379" s="243"/>
      <c r="CT379" s="243"/>
      <c r="CU379" s="243"/>
      <c r="CV379" s="243"/>
      <c r="CW379" s="243"/>
      <c r="CX379" s="243"/>
      <c r="CY379" s="243"/>
      <c r="CZ379" s="243"/>
      <c r="DA379" s="243"/>
      <c r="DB379" s="243"/>
      <c r="DC379" s="243"/>
      <c r="DD379" s="243"/>
      <c r="DE379" s="243"/>
      <c r="DF379" s="243"/>
      <c r="DG379" s="243"/>
      <c r="DH379" s="243"/>
      <c r="DI379" s="243"/>
      <c r="DJ379" s="243"/>
      <c r="DK379" s="243"/>
      <c r="DL379" s="243"/>
      <c r="DM379" s="243"/>
      <c r="DN379" s="243"/>
      <c r="DO379" s="243"/>
      <c r="DP379" s="243"/>
      <c r="DQ379" s="243"/>
      <c r="DR379" s="243"/>
      <c r="DS379" s="243"/>
      <c r="DT379" s="243"/>
      <c r="DU379" s="243"/>
      <c r="DV379" s="243"/>
      <c r="DW379" s="243"/>
      <c r="DX379" s="243"/>
      <c r="DY379" s="243"/>
      <c r="DZ379" s="243"/>
      <c r="EA379" s="243"/>
      <c r="EB379" s="243"/>
      <c r="EC379" s="243"/>
      <c r="ED379" s="243"/>
      <c r="EE379" s="243"/>
      <c r="EF379" s="243"/>
      <c r="EG379" s="243"/>
      <c r="EH379" s="243"/>
      <c r="EI379" s="243"/>
      <c r="EJ379" s="243"/>
      <c r="EK379" s="243"/>
      <c r="EL379" s="243"/>
      <c r="EM379" s="243"/>
      <c r="EN379" s="243"/>
      <c r="EO379" s="243"/>
      <c r="EP379" s="243"/>
      <c r="EQ379" s="243"/>
      <c r="ER379" s="243"/>
      <c r="ES379" s="243"/>
      <c r="ET379" s="243"/>
      <c r="EU379" s="243"/>
      <c r="EV379" s="243"/>
      <c r="EW379" s="243"/>
      <c r="EX379" s="243"/>
      <c r="EY379" s="243"/>
      <c r="EZ379" s="243"/>
      <c r="FA379" s="243"/>
      <c r="FB379" s="243"/>
      <c r="FC379" s="243"/>
      <c r="FD379" s="243"/>
      <c r="FE379" s="243"/>
      <c r="FF379" s="243"/>
      <c r="FG379" s="243"/>
      <c r="FH379" s="243"/>
      <c r="FI379" s="243"/>
      <c r="FJ379" s="243"/>
      <c r="FK379" s="243"/>
      <c r="FL379" s="243"/>
      <c r="FM379" s="243"/>
      <c r="FN379" s="243"/>
      <c r="FO379" s="243"/>
      <c r="FP379" s="243"/>
      <c r="FQ379" s="243"/>
      <c r="FR379" s="243"/>
      <c r="FS379" s="243"/>
      <c r="FT379" s="243"/>
      <c r="FU379" s="243"/>
      <c r="FV379" s="243"/>
      <c r="FW379" s="243"/>
      <c r="FX379" s="243"/>
      <c r="FY379" s="243"/>
      <c r="FZ379" s="243"/>
      <c r="GA379" s="243"/>
      <c r="GB379" s="243"/>
      <c r="GC379" s="243"/>
      <c r="GD379" s="243"/>
      <c r="GE379" s="243"/>
      <c r="GF379" s="243"/>
      <c r="GG379" s="243"/>
      <c r="GH379" s="243"/>
      <c r="GI379" s="243"/>
      <c r="GJ379" s="243"/>
      <c r="GK379" s="243"/>
      <c r="GL379" s="243"/>
      <c r="GM379" s="243"/>
      <c r="GN379" s="243"/>
      <c r="GO379" s="243"/>
      <c r="GP379" s="243"/>
      <c r="GQ379" s="243"/>
      <c r="GR379" s="243"/>
      <c r="GS379" s="243"/>
      <c r="GT379" s="243"/>
    </row>
    <row r="380" spans="1:202" ht="21.75" customHeight="1">
      <c r="A380" s="193" t="s">
        <v>26</v>
      </c>
      <c r="B380" s="182" t="s">
        <v>92</v>
      </c>
      <c r="C380" s="221"/>
      <c r="D380" s="73">
        <v>2901230116</v>
      </c>
      <c r="E380" s="82"/>
      <c r="F380" s="82"/>
      <c r="G380" s="177"/>
      <c r="H380" s="82"/>
      <c r="I380" s="82"/>
      <c r="J380" s="210"/>
      <c r="K380" s="254">
        <f>K381</f>
        <v>961.67399999999998</v>
      </c>
      <c r="L380" s="254">
        <f>L381</f>
        <v>961.67399999999998</v>
      </c>
      <c r="M380" s="254">
        <f>M381</f>
        <v>0</v>
      </c>
      <c r="N380" s="284">
        <f>K380+L380+M380</f>
        <v>1923.348</v>
      </c>
      <c r="O380" s="275">
        <f>O381</f>
        <v>0</v>
      </c>
      <c r="P380" s="275">
        <f>P381</f>
        <v>0</v>
      </c>
      <c r="Q380" s="275">
        <f>Q381</f>
        <v>0</v>
      </c>
      <c r="R380" s="284">
        <f t="shared" si="883"/>
        <v>0</v>
      </c>
      <c r="S380" s="293">
        <f t="shared" ref="S380:X380" si="893">S381</f>
        <v>0</v>
      </c>
      <c r="T380" s="293">
        <f t="shared" si="893"/>
        <v>0</v>
      </c>
      <c r="U380" s="293">
        <f t="shared" si="893"/>
        <v>0</v>
      </c>
      <c r="V380" s="293">
        <f t="shared" si="893"/>
        <v>0</v>
      </c>
      <c r="W380" s="293">
        <f t="shared" si="893"/>
        <v>0</v>
      </c>
      <c r="X380" s="293">
        <f t="shared" si="893"/>
        <v>0</v>
      </c>
      <c r="Y380" s="284">
        <f t="shared" si="884"/>
        <v>0</v>
      </c>
      <c r="Z380" s="275">
        <f t="shared" ref="Z380:AE380" si="894">Z381</f>
        <v>0</v>
      </c>
      <c r="AA380" s="275">
        <f t="shared" si="894"/>
        <v>0</v>
      </c>
      <c r="AB380" s="275">
        <f t="shared" si="894"/>
        <v>0</v>
      </c>
      <c r="AC380" s="275">
        <f t="shared" si="894"/>
        <v>0</v>
      </c>
      <c r="AD380" s="275">
        <f t="shared" si="894"/>
        <v>0</v>
      </c>
      <c r="AE380" s="275">
        <f t="shared" si="894"/>
        <v>0</v>
      </c>
      <c r="AF380" s="284">
        <f t="shared" si="890"/>
        <v>0</v>
      </c>
      <c r="AG380" s="282">
        <f t="shared" si="846"/>
        <v>1923.348</v>
      </c>
      <c r="AH380" s="232">
        <f>AH381</f>
        <v>3660621.6977400002</v>
      </c>
      <c r="AI380" s="232">
        <f>AI381</f>
        <v>3660621.6977400002</v>
      </c>
      <c r="AJ380" s="232">
        <f>AJ381</f>
        <v>0</v>
      </c>
      <c r="AK380" s="260">
        <f t="shared" si="885"/>
        <v>7321243.3954800004</v>
      </c>
      <c r="AL380" s="232">
        <f>AL381</f>
        <v>0</v>
      </c>
      <c r="AM380" s="232">
        <f>AM381</f>
        <v>0</v>
      </c>
      <c r="AN380" s="232">
        <f>AN381</f>
        <v>0</v>
      </c>
      <c r="AO380" s="260">
        <f>SUM(AL380:AN380)</f>
        <v>0</v>
      </c>
      <c r="AP380" s="232">
        <f t="shared" ref="AP380:AU380" si="895">AP381</f>
        <v>0</v>
      </c>
      <c r="AQ380" s="232">
        <f t="shared" si="895"/>
        <v>0</v>
      </c>
      <c r="AR380" s="232">
        <f t="shared" si="895"/>
        <v>0</v>
      </c>
      <c r="AS380" s="232">
        <f t="shared" si="895"/>
        <v>0</v>
      </c>
      <c r="AT380" s="232">
        <f t="shared" si="895"/>
        <v>0</v>
      </c>
      <c r="AU380" s="232">
        <f t="shared" si="895"/>
        <v>0</v>
      </c>
      <c r="AV380" s="260">
        <f>SUM(AP380:AU380)</f>
        <v>0</v>
      </c>
      <c r="AW380" s="232">
        <f t="shared" ref="AW380:BB380" si="896">AW381</f>
        <v>0</v>
      </c>
      <c r="AX380" s="232">
        <f t="shared" si="896"/>
        <v>0</v>
      </c>
      <c r="AY380" s="232">
        <f t="shared" si="896"/>
        <v>0</v>
      </c>
      <c r="AZ380" s="232">
        <f t="shared" si="896"/>
        <v>0</v>
      </c>
      <c r="BA380" s="232">
        <f t="shared" si="896"/>
        <v>0</v>
      </c>
      <c r="BB380" s="232">
        <f t="shared" si="896"/>
        <v>0</v>
      </c>
      <c r="BC380" s="260">
        <f t="shared" si="874"/>
        <v>0</v>
      </c>
      <c r="BD380" s="238">
        <f t="shared" si="841"/>
        <v>7321243.3954800004</v>
      </c>
    </row>
    <row r="381" spans="1:202" s="83" customFormat="1" ht="20.25" customHeight="1">
      <c r="A381" s="199"/>
      <c r="B381" s="144"/>
      <c r="C381" s="216" t="s">
        <v>398</v>
      </c>
      <c r="D381" s="150"/>
      <c r="E381" s="147">
        <v>5506.51</v>
      </c>
      <c r="F381" s="209">
        <v>1700</v>
      </c>
      <c r="G381" s="177">
        <f t="shared" si="878"/>
        <v>3806.51</v>
      </c>
      <c r="H381" s="147">
        <v>5506.51</v>
      </c>
      <c r="I381" s="176">
        <v>1700</v>
      </c>
      <c r="J381" s="177">
        <f>H381-I381</f>
        <v>3806.51</v>
      </c>
      <c r="K381" s="252">
        <v>961.67399999999998</v>
      </c>
      <c r="L381" s="252">
        <v>961.67399999999998</v>
      </c>
      <c r="M381" s="252"/>
      <c r="N381" s="287">
        <f>SUM(K381:M381)</f>
        <v>1923.348</v>
      </c>
      <c r="O381" s="273"/>
      <c r="P381" s="273"/>
      <c r="Q381" s="290"/>
      <c r="R381" s="287"/>
      <c r="S381" s="290"/>
      <c r="T381" s="264"/>
      <c r="U381" s="273"/>
      <c r="V381" s="273"/>
      <c r="W381" s="290"/>
      <c r="X381" s="264"/>
      <c r="Y381" s="142"/>
      <c r="Z381" s="273"/>
      <c r="AA381" s="273"/>
      <c r="AB381" s="273"/>
      <c r="AC381" s="273"/>
      <c r="AD381" s="273"/>
      <c r="AE381" s="273"/>
      <c r="AF381" s="287">
        <f t="shared" si="890"/>
        <v>0</v>
      </c>
      <c r="AG381" s="283">
        <f t="shared" si="846"/>
        <v>1923.348</v>
      </c>
      <c r="AH381" s="228">
        <f>K381*$G381</f>
        <v>3660621.6977400002</v>
      </c>
      <c r="AI381" s="228">
        <f>L381*$G381</f>
        <v>3660621.6977400002</v>
      </c>
      <c r="AJ381" s="228">
        <f>M381*$G381</f>
        <v>0</v>
      </c>
      <c r="AK381" s="261">
        <f t="shared" si="885"/>
        <v>7321243.3954800004</v>
      </c>
      <c r="AL381" s="229">
        <f>O381*$G381</f>
        <v>0</v>
      </c>
      <c r="AM381" s="228">
        <f>P381*$G381</f>
        <v>0</v>
      </c>
      <c r="AN381" s="228">
        <f>Q381*$G381</f>
        <v>0</v>
      </c>
      <c r="AO381" s="261"/>
      <c r="AP381" s="228">
        <f t="shared" ref="AP381:AU381" si="897">S381*$J381</f>
        <v>0</v>
      </c>
      <c r="AQ381" s="228">
        <f t="shared" si="897"/>
        <v>0</v>
      </c>
      <c r="AR381" s="228">
        <f t="shared" si="897"/>
        <v>0</v>
      </c>
      <c r="AS381" s="228">
        <f t="shared" si="897"/>
        <v>0</v>
      </c>
      <c r="AT381" s="228">
        <f t="shared" si="897"/>
        <v>0</v>
      </c>
      <c r="AU381" s="228">
        <f t="shared" si="897"/>
        <v>0</v>
      </c>
      <c r="AV381" s="261"/>
      <c r="AW381" s="228">
        <f t="shared" ref="AW381:BB381" si="898">Z381*$J381</f>
        <v>0</v>
      </c>
      <c r="AX381" s="228">
        <f t="shared" si="898"/>
        <v>0</v>
      </c>
      <c r="AY381" s="228">
        <f t="shared" si="898"/>
        <v>0</v>
      </c>
      <c r="AZ381" s="228">
        <f t="shared" si="898"/>
        <v>0</v>
      </c>
      <c r="BA381" s="228">
        <f t="shared" si="898"/>
        <v>0</v>
      </c>
      <c r="BB381" s="228">
        <f t="shared" si="898"/>
        <v>0</v>
      </c>
      <c r="BC381" s="261"/>
      <c r="BD381" s="239">
        <f t="shared" si="841"/>
        <v>7321243.3954800004</v>
      </c>
      <c r="BE381" s="246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44"/>
      <c r="CC381" s="244"/>
      <c r="CD381" s="244"/>
      <c r="CE381" s="244"/>
      <c r="CF381" s="244"/>
      <c r="CG381" s="244"/>
      <c r="CH381" s="244"/>
      <c r="CI381" s="244"/>
      <c r="CJ381" s="244"/>
      <c r="CK381" s="244"/>
      <c r="CL381" s="244"/>
      <c r="CM381" s="244"/>
      <c r="CN381" s="244"/>
      <c r="CO381" s="244"/>
      <c r="CP381" s="244"/>
      <c r="CQ381" s="244"/>
      <c r="CR381" s="244"/>
      <c r="CS381" s="244"/>
      <c r="CT381" s="244"/>
      <c r="CU381" s="244"/>
      <c r="CV381" s="244"/>
      <c r="CW381" s="244"/>
      <c r="CX381" s="244"/>
      <c r="CY381" s="244"/>
      <c r="CZ381" s="244"/>
      <c r="DA381" s="244"/>
      <c r="DB381" s="244"/>
      <c r="DC381" s="244"/>
      <c r="DD381" s="244"/>
      <c r="DE381" s="244"/>
      <c r="DF381" s="244"/>
      <c r="DG381" s="244"/>
      <c r="DH381" s="244"/>
      <c r="DI381" s="244"/>
      <c r="DJ381" s="244"/>
      <c r="DK381" s="244"/>
      <c r="DL381" s="244"/>
      <c r="DM381" s="244"/>
      <c r="DN381" s="244"/>
      <c r="DO381" s="244"/>
      <c r="DP381" s="244"/>
      <c r="DQ381" s="244"/>
      <c r="DR381" s="244"/>
      <c r="DS381" s="244"/>
      <c r="DT381" s="244"/>
      <c r="DU381" s="244"/>
      <c r="DV381" s="244"/>
      <c r="DW381" s="244"/>
      <c r="DX381" s="244"/>
      <c r="DY381" s="244"/>
      <c r="DZ381" s="244"/>
      <c r="EA381" s="244"/>
      <c r="EB381" s="244"/>
      <c r="EC381" s="244"/>
      <c r="ED381" s="244"/>
      <c r="EE381" s="244"/>
      <c r="EF381" s="244"/>
      <c r="EG381" s="244"/>
      <c r="EH381" s="244"/>
      <c r="EI381" s="244"/>
      <c r="EJ381" s="244"/>
      <c r="EK381" s="244"/>
      <c r="EL381" s="244"/>
      <c r="EM381" s="244"/>
      <c r="EN381" s="244"/>
      <c r="EO381" s="244"/>
      <c r="EP381" s="244"/>
      <c r="EQ381" s="244"/>
      <c r="ER381" s="244"/>
      <c r="ES381" s="244"/>
      <c r="ET381" s="244"/>
      <c r="EU381" s="244"/>
      <c r="EV381" s="244"/>
      <c r="EW381" s="244"/>
      <c r="EX381" s="244"/>
      <c r="EY381" s="244"/>
      <c r="EZ381" s="244"/>
      <c r="FA381" s="244"/>
      <c r="FB381" s="244"/>
      <c r="FC381" s="244"/>
      <c r="FD381" s="244"/>
      <c r="FE381" s="244"/>
      <c r="FF381" s="244"/>
      <c r="FG381" s="244"/>
      <c r="FH381" s="244"/>
      <c r="FI381" s="244"/>
      <c r="FJ381" s="244"/>
      <c r="FK381" s="244"/>
      <c r="FL381" s="244"/>
      <c r="FM381" s="244"/>
      <c r="FN381" s="244"/>
      <c r="FO381" s="244"/>
      <c r="FP381" s="244"/>
      <c r="FQ381" s="244"/>
      <c r="FR381" s="244"/>
      <c r="FS381" s="244"/>
      <c r="FT381" s="244"/>
      <c r="FU381" s="244"/>
      <c r="FV381" s="244"/>
      <c r="FW381" s="244"/>
      <c r="FX381" s="244"/>
      <c r="FY381" s="244"/>
      <c r="FZ381" s="244"/>
      <c r="GA381" s="244"/>
      <c r="GB381" s="244"/>
      <c r="GC381" s="244"/>
      <c r="GD381" s="244"/>
      <c r="GE381" s="244"/>
      <c r="GF381" s="244"/>
      <c r="GG381" s="244"/>
      <c r="GH381" s="244"/>
      <c r="GI381" s="244"/>
      <c r="GJ381" s="244"/>
      <c r="GK381" s="244"/>
      <c r="GL381" s="244"/>
      <c r="GM381" s="244"/>
      <c r="GN381" s="244"/>
      <c r="GO381" s="244"/>
      <c r="GP381" s="244"/>
      <c r="GQ381" s="244"/>
      <c r="GR381" s="244"/>
      <c r="GS381" s="244"/>
      <c r="GT381" s="244"/>
    </row>
    <row r="382" spans="1:202" s="83" customFormat="1" ht="12.75">
      <c r="A382" s="187" t="s">
        <v>26</v>
      </c>
      <c r="B382" s="170" t="s">
        <v>198</v>
      </c>
      <c r="C382" s="216" t="s">
        <v>265</v>
      </c>
      <c r="D382" s="138">
        <v>3525369837</v>
      </c>
      <c r="E382" s="147"/>
      <c r="F382" s="209"/>
      <c r="G382" s="177"/>
      <c r="H382" s="147"/>
      <c r="I382" s="209"/>
      <c r="J382" s="210"/>
      <c r="K382" s="251">
        <f t="shared" ref="K382:Q382" si="899">K383</f>
        <v>0</v>
      </c>
      <c r="L382" s="251">
        <f t="shared" si="899"/>
        <v>0</v>
      </c>
      <c r="M382" s="251">
        <f t="shared" si="899"/>
        <v>0</v>
      </c>
      <c r="N382" s="284">
        <f t="shared" si="899"/>
        <v>0</v>
      </c>
      <c r="O382" s="272">
        <f t="shared" si="899"/>
        <v>0</v>
      </c>
      <c r="P382" s="272">
        <f t="shared" si="899"/>
        <v>0</v>
      </c>
      <c r="Q382" s="272">
        <f t="shared" si="899"/>
        <v>0</v>
      </c>
      <c r="R382" s="284">
        <f t="shared" si="883"/>
        <v>0</v>
      </c>
      <c r="S382" s="289">
        <f t="shared" ref="S382:X382" si="900">S383</f>
        <v>0</v>
      </c>
      <c r="T382" s="289">
        <f t="shared" si="900"/>
        <v>0</v>
      </c>
      <c r="U382" s="289">
        <f t="shared" si="900"/>
        <v>0</v>
      </c>
      <c r="V382" s="289">
        <f t="shared" si="900"/>
        <v>0</v>
      </c>
      <c r="W382" s="289">
        <f t="shared" si="900"/>
        <v>0</v>
      </c>
      <c r="X382" s="289">
        <f t="shared" si="900"/>
        <v>0</v>
      </c>
      <c r="Y382" s="284">
        <f>SUM(S382:X382)</f>
        <v>0</v>
      </c>
      <c r="Z382" s="272">
        <f t="shared" ref="Z382:AE382" si="901">Z383</f>
        <v>0</v>
      </c>
      <c r="AA382" s="272">
        <f t="shared" si="901"/>
        <v>0</v>
      </c>
      <c r="AB382" s="272">
        <f t="shared" si="901"/>
        <v>0</v>
      </c>
      <c r="AC382" s="272">
        <f t="shared" si="901"/>
        <v>0</v>
      </c>
      <c r="AD382" s="272">
        <f t="shared" si="901"/>
        <v>0</v>
      </c>
      <c r="AE382" s="272">
        <f t="shared" si="901"/>
        <v>0</v>
      </c>
      <c r="AF382" s="284">
        <f t="shared" si="890"/>
        <v>0</v>
      </c>
      <c r="AG382" s="282">
        <f t="shared" si="846"/>
        <v>0</v>
      </c>
      <c r="AH382" s="227">
        <f>AH383</f>
        <v>0</v>
      </c>
      <c r="AI382" s="227">
        <f>AI383</f>
        <v>0</v>
      </c>
      <c r="AJ382" s="227">
        <f>AJ383</f>
        <v>0</v>
      </c>
      <c r="AK382" s="260">
        <f t="shared" si="885"/>
        <v>0</v>
      </c>
      <c r="AL382" s="227">
        <f>AL383</f>
        <v>0</v>
      </c>
      <c r="AM382" s="227">
        <f>AM383</f>
        <v>0</v>
      </c>
      <c r="AN382" s="227">
        <f>AN383</f>
        <v>0</v>
      </c>
      <c r="AO382" s="260">
        <f>SUM(AL382:AN382)</f>
        <v>0</v>
      </c>
      <c r="AP382" s="227">
        <f t="shared" ref="AP382:AU382" si="902">AP383</f>
        <v>0</v>
      </c>
      <c r="AQ382" s="227">
        <f t="shared" si="902"/>
        <v>0</v>
      </c>
      <c r="AR382" s="227">
        <f t="shared" si="902"/>
        <v>0</v>
      </c>
      <c r="AS382" s="227">
        <f t="shared" si="902"/>
        <v>0</v>
      </c>
      <c r="AT382" s="227">
        <f t="shared" si="902"/>
        <v>0</v>
      </c>
      <c r="AU382" s="227">
        <f t="shared" si="902"/>
        <v>0</v>
      </c>
      <c r="AV382" s="260">
        <f>SUM(AP382:AU382)</f>
        <v>0</v>
      </c>
      <c r="AW382" s="227">
        <f t="shared" ref="AW382:BB382" si="903">AW383</f>
        <v>0</v>
      </c>
      <c r="AX382" s="227">
        <f t="shared" si="903"/>
        <v>0</v>
      </c>
      <c r="AY382" s="227">
        <f t="shared" si="903"/>
        <v>0</v>
      </c>
      <c r="AZ382" s="227">
        <f t="shared" si="903"/>
        <v>0</v>
      </c>
      <c r="BA382" s="227">
        <f t="shared" si="903"/>
        <v>0</v>
      </c>
      <c r="BB382" s="227">
        <f t="shared" si="903"/>
        <v>0</v>
      </c>
      <c r="BC382" s="260">
        <f t="shared" ref="BC382:BC399" si="904">SUM(AW382:BB382)</f>
        <v>0</v>
      </c>
      <c r="BD382" s="238">
        <f t="shared" si="841"/>
        <v>0</v>
      </c>
      <c r="BE382" s="13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44"/>
      <c r="CC382" s="244"/>
      <c r="CD382" s="244"/>
      <c r="CE382" s="244"/>
      <c r="CF382" s="244"/>
      <c r="CG382" s="244"/>
      <c r="CH382" s="244"/>
      <c r="CI382" s="244"/>
      <c r="CJ382" s="244"/>
      <c r="CK382" s="244"/>
      <c r="CL382" s="244"/>
      <c r="CM382" s="244"/>
      <c r="CN382" s="244"/>
      <c r="CO382" s="244"/>
      <c r="CP382" s="244"/>
      <c r="CQ382" s="244"/>
      <c r="CR382" s="244"/>
      <c r="CS382" s="244"/>
      <c r="CT382" s="244"/>
      <c r="CU382" s="244"/>
      <c r="CV382" s="244"/>
      <c r="CW382" s="244"/>
      <c r="CX382" s="244"/>
      <c r="CY382" s="244"/>
      <c r="CZ382" s="244"/>
      <c r="DA382" s="244"/>
      <c r="DB382" s="244"/>
      <c r="DC382" s="244"/>
      <c r="DD382" s="244"/>
      <c r="DE382" s="244"/>
      <c r="DF382" s="244"/>
      <c r="DG382" s="244"/>
      <c r="DH382" s="244"/>
      <c r="DI382" s="244"/>
      <c r="DJ382" s="244"/>
      <c r="DK382" s="244"/>
      <c r="DL382" s="244"/>
      <c r="DM382" s="244"/>
      <c r="DN382" s="244"/>
      <c r="DO382" s="244"/>
      <c r="DP382" s="244"/>
      <c r="DQ382" s="244"/>
      <c r="DR382" s="244"/>
      <c r="DS382" s="244"/>
      <c r="DT382" s="244"/>
      <c r="DU382" s="244"/>
      <c r="DV382" s="244"/>
      <c r="DW382" s="244"/>
      <c r="DX382" s="244"/>
      <c r="DY382" s="244"/>
      <c r="DZ382" s="244"/>
      <c r="EA382" s="244"/>
      <c r="EB382" s="244"/>
      <c r="EC382" s="244"/>
      <c r="ED382" s="244"/>
      <c r="EE382" s="244"/>
      <c r="EF382" s="244"/>
      <c r="EG382" s="244"/>
      <c r="EH382" s="244"/>
      <c r="EI382" s="244"/>
      <c r="EJ382" s="244"/>
      <c r="EK382" s="244"/>
      <c r="EL382" s="244"/>
      <c r="EM382" s="244"/>
      <c r="EN382" s="244"/>
      <c r="EO382" s="244"/>
      <c r="EP382" s="244"/>
      <c r="EQ382" s="244"/>
      <c r="ER382" s="244"/>
      <c r="ES382" s="244"/>
      <c r="ET382" s="244"/>
      <c r="EU382" s="244"/>
      <c r="EV382" s="244"/>
      <c r="EW382" s="244"/>
      <c r="EX382" s="244"/>
      <c r="EY382" s="244"/>
      <c r="EZ382" s="244"/>
      <c r="FA382" s="244"/>
      <c r="FB382" s="244"/>
      <c r="FC382" s="244"/>
      <c r="FD382" s="244"/>
      <c r="FE382" s="244"/>
      <c r="FF382" s="244"/>
      <c r="FG382" s="244"/>
      <c r="FH382" s="244"/>
      <c r="FI382" s="244"/>
      <c r="FJ382" s="244"/>
      <c r="FK382" s="244"/>
      <c r="FL382" s="244"/>
      <c r="FM382" s="244"/>
      <c r="FN382" s="244"/>
      <c r="FO382" s="244"/>
      <c r="FP382" s="244"/>
      <c r="FQ382" s="244"/>
      <c r="FR382" s="244"/>
      <c r="FS382" s="244"/>
      <c r="FT382" s="244"/>
      <c r="FU382" s="244"/>
      <c r="FV382" s="244"/>
      <c r="FW382" s="244"/>
      <c r="FX382" s="244"/>
      <c r="FY382" s="244"/>
      <c r="FZ382" s="244"/>
      <c r="GA382" s="244"/>
      <c r="GB382" s="244"/>
      <c r="GC382" s="244"/>
      <c r="GD382" s="244"/>
      <c r="GE382" s="244"/>
      <c r="GF382" s="244"/>
      <c r="GG382" s="244"/>
      <c r="GH382" s="244"/>
      <c r="GI382" s="244"/>
      <c r="GJ382" s="244"/>
      <c r="GK382" s="244"/>
      <c r="GL382" s="244"/>
      <c r="GM382" s="244"/>
      <c r="GN382" s="244"/>
      <c r="GO382" s="244"/>
      <c r="GP382" s="244"/>
      <c r="GQ382" s="244"/>
      <c r="GR382" s="244"/>
      <c r="GS382" s="244"/>
      <c r="GT382" s="244"/>
    </row>
    <row r="383" spans="1:202" s="83" customFormat="1" ht="12.75">
      <c r="A383" s="199"/>
      <c r="B383" s="205"/>
      <c r="C383" s="150"/>
      <c r="D383" s="150"/>
      <c r="E383" s="176">
        <v>4052.71</v>
      </c>
      <c r="F383" s="205">
        <v>2300</v>
      </c>
      <c r="G383" s="177">
        <f>E383-F383</f>
        <v>1752.71</v>
      </c>
      <c r="H383" s="147">
        <v>4052.71</v>
      </c>
      <c r="I383" s="144">
        <v>2300</v>
      </c>
      <c r="J383" s="177">
        <f>H383-I383</f>
        <v>1752.71</v>
      </c>
      <c r="K383" s="252"/>
      <c r="L383" s="252"/>
      <c r="M383" s="252"/>
      <c r="N383" s="287"/>
      <c r="O383" s="273"/>
      <c r="P383" s="273"/>
      <c r="Q383" s="290"/>
      <c r="R383" s="287"/>
      <c r="S383" s="290"/>
      <c r="T383" s="264"/>
      <c r="U383" s="273"/>
      <c r="V383" s="273"/>
      <c r="W383" s="290"/>
      <c r="X383" s="264"/>
      <c r="Y383" s="142"/>
      <c r="Z383" s="273"/>
      <c r="AA383" s="273"/>
      <c r="AB383" s="273"/>
      <c r="AC383" s="273"/>
      <c r="AD383" s="273"/>
      <c r="AE383" s="273"/>
      <c r="AF383" s="287">
        <f t="shared" si="890"/>
        <v>0</v>
      </c>
      <c r="AG383" s="283">
        <f t="shared" si="846"/>
        <v>0</v>
      </c>
      <c r="AH383" s="228">
        <f>K383*$G383</f>
        <v>0</v>
      </c>
      <c r="AI383" s="228">
        <f>L383*$G383</f>
        <v>0</v>
      </c>
      <c r="AJ383" s="228">
        <f>M383*$G383</f>
        <v>0</v>
      </c>
      <c r="AK383" s="261"/>
      <c r="AL383" s="229">
        <f>O383*$G383</f>
        <v>0</v>
      </c>
      <c r="AM383" s="228">
        <f>P383*$G383</f>
        <v>0</v>
      </c>
      <c r="AN383" s="228">
        <f>Q383*$G383</f>
        <v>0</v>
      </c>
      <c r="AO383" s="261"/>
      <c r="AP383" s="228">
        <f t="shared" ref="AP383:AU383" si="905">S383*$J383</f>
        <v>0</v>
      </c>
      <c r="AQ383" s="228">
        <f t="shared" si="905"/>
        <v>0</v>
      </c>
      <c r="AR383" s="228">
        <f t="shared" si="905"/>
        <v>0</v>
      </c>
      <c r="AS383" s="228">
        <f t="shared" si="905"/>
        <v>0</v>
      </c>
      <c r="AT383" s="228">
        <f t="shared" si="905"/>
        <v>0</v>
      </c>
      <c r="AU383" s="228">
        <f t="shared" si="905"/>
        <v>0</v>
      </c>
      <c r="AV383" s="261">
        <f>SUM(AP383:AU383)</f>
        <v>0</v>
      </c>
      <c r="AW383" s="228">
        <f t="shared" ref="AW383:BB383" si="906">Z383*$J383</f>
        <v>0</v>
      </c>
      <c r="AX383" s="228">
        <f t="shared" si="906"/>
        <v>0</v>
      </c>
      <c r="AY383" s="228">
        <f t="shared" si="906"/>
        <v>0</v>
      </c>
      <c r="AZ383" s="228">
        <f t="shared" si="906"/>
        <v>0</v>
      </c>
      <c r="BA383" s="228">
        <f t="shared" si="906"/>
        <v>0</v>
      </c>
      <c r="BB383" s="228">
        <f t="shared" si="906"/>
        <v>0</v>
      </c>
      <c r="BC383" s="261">
        <f t="shared" si="904"/>
        <v>0</v>
      </c>
      <c r="BD383" s="239">
        <f t="shared" si="841"/>
        <v>0</v>
      </c>
      <c r="BE383" s="246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44"/>
      <c r="CC383" s="244"/>
      <c r="CD383" s="244"/>
      <c r="CE383" s="244"/>
      <c r="CF383" s="244"/>
      <c r="CG383" s="244"/>
      <c r="CH383" s="244"/>
      <c r="CI383" s="244"/>
      <c r="CJ383" s="244"/>
      <c r="CK383" s="244"/>
      <c r="CL383" s="244"/>
      <c r="CM383" s="244"/>
      <c r="CN383" s="244"/>
      <c r="CO383" s="244"/>
      <c r="CP383" s="244"/>
      <c r="CQ383" s="244"/>
      <c r="CR383" s="244"/>
      <c r="CS383" s="244"/>
      <c r="CT383" s="244"/>
      <c r="CU383" s="244"/>
      <c r="CV383" s="244"/>
      <c r="CW383" s="244"/>
      <c r="CX383" s="244"/>
      <c r="CY383" s="244"/>
      <c r="CZ383" s="244"/>
      <c r="DA383" s="244"/>
      <c r="DB383" s="244"/>
      <c r="DC383" s="244"/>
      <c r="DD383" s="244"/>
      <c r="DE383" s="244"/>
      <c r="DF383" s="244"/>
      <c r="DG383" s="244"/>
      <c r="DH383" s="244"/>
      <c r="DI383" s="244"/>
      <c r="DJ383" s="244"/>
      <c r="DK383" s="244"/>
      <c r="DL383" s="244"/>
      <c r="DM383" s="244"/>
      <c r="DN383" s="244"/>
      <c r="DO383" s="244"/>
      <c r="DP383" s="244"/>
      <c r="DQ383" s="244"/>
      <c r="DR383" s="244"/>
      <c r="DS383" s="244"/>
      <c r="DT383" s="244"/>
      <c r="DU383" s="244"/>
      <c r="DV383" s="244"/>
      <c r="DW383" s="244"/>
      <c r="DX383" s="244"/>
      <c r="DY383" s="244"/>
      <c r="DZ383" s="244"/>
      <c r="EA383" s="244"/>
      <c r="EB383" s="244"/>
      <c r="EC383" s="244"/>
      <c r="ED383" s="244"/>
      <c r="EE383" s="244"/>
      <c r="EF383" s="244"/>
      <c r="EG383" s="244"/>
      <c r="EH383" s="244"/>
      <c r="EI383" s="244"/>
      <c r="EJ383" s="244"/>
      <c r="EK383" s="244"/>
      <c r="EL383" s="244"/>
      <c r="EM383" s="244"/>
      <c r="EN383" s="244"/>
      <c r="EO383" s="244"/>
      <c r="EP383" s="244"/>
      <c r="EQ383" s="244"/>
      <c r="ER383" s="244"/>
      <c r="ES383" s="244"/>
      <c r="ET383" s="244"/>
      <c r="EU383" s="244"/>
      <c r="EV383" s="244"/>
      <c r="EW383" s="244"/>
      <c r="EX383" s="244"/>
      <c r="EY383" s="244"/>
      <c r="EZ383" s="244"/>
      <c r="FA383" s="244"/>
      <c r="FB383" s="244"/>
      <c r="FC383" s="244"/>
      <c r="FD383" s="244"/>
      <c r="FE383" s="244"/>
      <c r="FF383" s="244"/>
      <c r="FG383" s="244"/>
      <c r="FH383" s="244"/>
      <c r="FI383" s="244"/>
      <c r="FJ383" s="244"/>
      <c r="FK383" s="244"/>
      <c r="FL383" s="244"/>
      <c r="FM383" s="244"/>
      <c r="FN383" s="244"/>
      <c r="FO383" s="244"/>
      <c r="FP383" s="244"/>
      <c r="FQ383" s="244"/>
      <c r="FR383" s="244"/>
      <c r="FS383" s="244"/>
      <c r="FT383" s="244"/>
      <c r="FU383" s="244"/>
      <c r="FV383" s="244"/>
      <c r="FW383" s="244"/>
      <c r="FX383" s="244"/>
      <c r="FY383" s="244"/>
      <c r="FZ383" s="244"/>
      <c r="GA383" s="244"/>
      <c r="GB383" s="244"/>
      <c r="GC383" s="244"/>
      <c r="GD383" s="244"/>
      <c r="GE383" s="244"/>
      <c r="GF383" s="244"/>
      <c r="GG383" s="244"/>
      <c r="GH383" s="244"/>
      <c r="GI383" s="244"/>
      <c r="GJ383" s="244"/>
      <c r="GK383" s="244"/>
      <c r="GL383" s="244"/>
      <c r="GM383" s="244"/>
      <c r="GN383" s="244"/>
      <c r="GO383" s="244"/>
      <c r="GP383" s="244"/>
      <c r="GQ383" s="244"/>
      <c r="GR383" s="244"/>
      <c r="GS383" s="244"/>
      <c r="GT383" s="244"/>
    </row>
    <row r="384" spans="1:202" ht="32.25" customHeight="1">
      <c r="A384" s="187" t="s">
        <v>26</v>
      </c>
      <c r="B384" s="170" t="s">
        <v>93</v>
      </c>
      <c r="C384" s="216" t="s">
        <v>406</v>
      </c>
      <c r="D384" s="138">
        <v>2923006541</v>
      </c>
      <c r="E384" s="147"/>
      <c r="F384" s="209"/>
      <c r="G384" s="177"/>
      <c r="H384" s="147"/>
      <c r="I384" s="147"/>
      <c r="J384" s="210"/>
      <c r="K384" s="251">
        <f>K385</f>
        <v>831.83799999999997</v>
      </c>
      <c r="L384" s="251">
        <f>L385</f>
        <v>921.21600000000001</v>
      </c>
      <c r="M384" s="251">
        <f>M385</f>
        <v>0</v>
      </c>
      <c r="N384" s="284">
        <f>K384+L384+M384</f>
        <v>1753.0540000000001</v>
      </c>
      <c r="O384" s="272">
        <f>O385</f>
        <v>0</v>
      </c>
      <c r="P384" s="272">
        <f>P385</f>
        <v>0</v>
      </c>
      <c r="Q384" s="272">
        <f>Q385</f>
        <v>0</v>
      </c>
      <c r="R384" s="284">
        <f t="shared" si="883"/>
        <v>0</v>
      </c>
      <c r="S384" s="289">
        <f t="shared" ref="S384:X384" si="907">S385</f>
        <v>0</v>
      </c>
      <c r="T384" s="289">
        <f t="shared" si="907"/>
        <v>0</v>
      </c>
      <c r="U384" s="289">
        <f t="shared" si="907"/>
        <v>0</v>
      </c>
      <c r="V384" s="289">
        <f t="shared" si="907"/>
        <v>0</v>
      </c>
      <c r="W384" s="289">
        <f t="shared" si="907"/>
        <v>0</v>
      </c>
      <c r="X384" s="289">
        <f t="shared" si="907"/>
        <v>0</v>
      </c>
      <c r="Y384" s="284">
        <f t="shared" si="884"/>
        <v>0</v>
      </c>
      <c r="Z384" s="272">
        <f t="shared" ref="Z384:AE384" si="908">Z385</f>
        <v>0</v>
      </c>
      <c r="AA384" s="272">
        <f t="shared" si="908"/>
        <v>0</v>
      </c>
      <c r="AB384" s="272">
        <f t="shared" si="908"/>
        <v>0</v>
      </c>
      <c r="AC384" s="272">
        <f t="shared" si="908"/>
        <v>0</v>
      </c>
      <c r="AD384" s="272">
        <f t="shared" si="908"/>
        <v>0</v>
      </c>
      <c r="AE384" s="272">
        <f t="shared" si="908"/>
        <v>0</v>
      </c>
      <c r="AF384" s="284">
        <f t="shared" si="890"/>
        <v>0</v>
      </c>
      <c r="AG384" s="282">
        <f t="shared" ref="AG384:AG415" si="909">AF384+Y384+R384+N384</f>
        <v>1753.0540000000001</v>
      </c>
      <c r="AH384" s="227">
        <f>AH385</f>
        <v>3239102.3065799996</v>
      </c>
      <c r="AI384" s="227">
        <f>AI385</f>
        <v>3587132.1945599997</v>
      </c>
      <c r="AJ384" s="227">
        <f>AJ385</f>
        <v>0</v>
      </c>
      <c r="AK384" s="260">
        <f t="shared" si="885"/>
        <v>6826234.5011399994</v>
      </c>
      <c r="AL384" s="227">
        <f>AL385</f>
        <v>0</v>
      </c>
      <c r="AM384" s="227">
        <f>AM385</f>
        <v>0</v>
      </c>
      <c r="AN384" s="227">
        <f>AN385</f>
        <v>0</v>
      </c>
      <c r="AO384" s="260">
        <f>SUM(AL384:AN384)</f>
        <v>0</v>
      </c>
      <c r="AP384" s="227">
        <f t="shared" ref="AP384:AU384" si="910">AP385</f>
        <v>0</v>
      </c>
      <c r="AQ384" s="227">
        <f t="shared" si="910"/>
        <v>0</v>
      </c>
      <c r="AR384" s="227">
        <f t="shared" si="910"/>
        <v>0</v>
      </c>
      <c r="AS384" s="227">
        <f t="shared" si="910"/>
        <v>0</v>
      </c>
      <c r="AT384" s="227">
        <f t="shared" si="910"/>
        <v>0</v>
      </c>
      <c r="AU384" s="227">
        <f t="shared" si="910"/>
        <v>0</v>
      </c>
      <c r="AV384" s="260">
        <f>SUM(AP384:AU384)</f>
        <v>0</v>
      </c>
      <c r="AW384" s="227">
        <f t="shared" ref="AW384:BB384" si="911">AW385</f>
        <v>0</v>
      </c>
      <c r="AX384" s="227">
        <f t="shared" si="911"/>
        <v>0</v>
      </c>
      <c r="AY384" s="227">
        <f t="shared" si="911"/>
        <v>0</v>
      </c>
      <c r="AZ384" s="227">
        <f t="shared" si="911"/>
        <v>0</v>
      </c>
      <c r="BA384" s="227">
        <f t="shared" si="911"/>
        <v>0</v>
      </c>
      <c r="BB384" s="227">
        <f t="shared" si="911"/>
        <v>0</v>
      </c>
      <c r="BC384" s="260">
        <f t="shared" si="904"/>
        <v>0</v>
      </c>
      <c r="BD384" s="238">
        <f t="shared" si="841"/>
        <v>6826234.5011399994</v>
      </c>
    </row>
    <row r="385" spans="1:202" s="83" customFormat="1" ht="12.75">
      <c r="A385" s="200"/>
      <c r="B385" s="205"/>
      <c r="C385" s="151"/>
      <c r="D385" s="151"/>
      <c r="E385" s="176">
        <v>5637.91</v>
      </c>
      <c r="F385" s="305">
        <v>1744</v>
      </c>
      <c r="G385" s="177">
        <f>E385-F385</f>
        <v>3893.91</v>
      </c>
      <c r="H385" s="176">
        <v>5637.91</v>
      </c>
      <c r="I385" s="176">
        <v>1744</v>
      </c>
      <c r="J385" s="177">
        <f>H385-I385</f>
        <v>3893.91</v>
      </c>
      <c r="K385" s="253">
        <v>831.83799999999997</v>
      </c>
      <c r="L385" s="253">
        <v>921.21600000000001</v>
      </c>
      <c r="M385" s="253"/>
      <c r="N385" s="287">
        <f>K385+L385+M385</f>
        <v>1753.0540000000001</v>
      </c>
      <c r="O385" s="274"/>
      <c r="P385" s="274"/>
      <c r="Q385" s="291"/>
      <c r="R385" s="287"/>
      <c r="S385" s="291"/>
      <c r="T385" s="265"/>
      <c r="U385" s="274"/>
      <c r="V385" s="274"/>
      <c r="W385" s="291"/>
      <c r="X385" s="265"/>
      <c r="Y385" s="142"/>
      <c r="Z385" s="274"/>
      <c r="AA385" s="274"/>
      <c r="AB385" s="274"/>
      <c r="AC385" s="274"/>
      <c r="AD385" s="274"/>
      <c r="AE385" s="274"/>
      <c r="AF385" s="287">
        <f t="shared" si="890"/>
        <v>0</v>
      </c>
      <c r="AG385" s="283">
        <f t="shared" si="909"/>
        <v>1753.0540000000001</v>
      </c>
      <c r="AH385" s="229">
        <f t="shared" ref="AH385:AJ386" si="912">K385*$G385</f>
        <v>3239102.3065799996</v>
      </c>
      <c r="AI385" s="229">
        <f t="shared" si="912"/>
        <v>3587132.1945599997</v>
      </c>
      <c r="AJ385" s="229">
        <f t="shared" si="912"/>
        <v>0</v>
      </c>
      <c r="AK385" s="261">
        <f t="shared" si="885"/>
        <v>6826234.5011399994</v>
      </c>
      <c r="AL385" s="229">
        <f t="shared" ref="AL385:AN386" si="913">O385*$G385</f>
        <v>0</v>
      </c>
      <c r="AM385" s="229">
        <f t="shared" si="913"/>
        <v>0</v>
      </c>
      <c r="AN385" s="229">
        <f t="shared" si="913"/>
        <v>0</v>
      </c>
      <c r="AO385" s="261"/>
      <c r="AP385" s="229">
        <f t="shared" ref="AP385:AU386" si="914">S385*$J385</f>
        <v>0</v>
      </c>
      <c r="AQ385" s="229">
        <f t="shared" si="914"/>
        <v>0</v>
      </c>
      <c r="AR385" s="229">
        <f t="shared" si="914"/>
        <v>0</v>
      </c>
      <c r="AS385" s="229">
        <f t="shared" si="914"/>
        <v>0</v>
      </c>
      <c r="AT385" s="229">
        <f t="shared" si="914"/>
        <v>0</v>
      </c>
      <c r="AU385" s="229">
        <f t="shared" si="914"/>
        <v>0</v>
      </c>
      <c r="AV385" s="261"/>
      <c r="AW385" s="229">
        <f t="shared" ref="AW385:BB386" si="915">Z385*$J385</f>
        <v>0</v>
      </c>
      <c r="AX385" s="229">
        <f t="shared" si="915"/>
        <v>0</v>
      </c>
      <c r="AY385" s="229">
        <f t="shared" si="915"/>
        <v>0</v>
      </c>
      <c r="AZ385" s="229">
        <f t="shared" si="915"/>
        <v>0</v>
      </c>
      <c r="BA385" s="229">
        <f t="shared" si="915"/>
        <v>0</v>
      </c>
      <c r="BB385" s="229">
        <f t="shared" si="915"/>
        <v>0</v>
      </c>
      <c r="BC385" s="261">
        <f t="shared" si="904"/>
        <v>0</v>
      </c>
      <c r="BD385" s="239">
        <f t="shared" si="841"/>
        <v>6826234.5011399994</v>
      </c>
      <c r="BE385" s="246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44"/>
      <c r="CC385" s="244"/>
      <c r="CD385" s="244"/>
      <c r="CE385" s="244"/>
      <c r="CF385" s="244"/>
      <c r="CG385" s="244"/>
      <c r="CH385" s="244"/>
      <c r="CI385" s="244"/>
      <c r="CJ385" s="244"/>
      <c r="CK385" s="244"/>
      <c r="CL385" s="244"/>
      <c r="CM385" s="244"/>
      <c r="CN385" s="244"/>
      <c r="CO385" s="244"/>
      <c r="CP385" s="244"/>
      <c r="CQ385" s="244"/>
      <c r="CR385" s="244"/>
      <c r="CS385" s="244"/>
      <c r="CT385" s="244"/>
      <c r="CU385" s="244"/>
      <c r="CV385" s="244"/>
      <c r="CW385" s="244"/>
      <c r="CX385" s="244"/>
      <c r="CY385" s="244"/>
      <c r="CZ385" s="244"/>
      <c r="DA385" s="244"/>
      <c r="DB385" s="244"/>
      <c r="DC385" s="244"/>
      <c r="DD385" s="244"/>
      <c r="DE385" s="244"/>
      <c r="DF385" s="244"/>
      <c r="DG385" s="244"/>
      <c r="DH385" s="244"/>
      <c r="DI385" s="244"/>
      <c r="DJ385" s="244"/>
      <c r="DK385" s="244"/>
      <c r="DL385" s="244"/>
      <c r="DM385" s="244"/>
      <c r="DN385" s="244"/>
      <c r="DO385" s="244"/>
      <c r="DP385" s="244"/>
      <c r="DQ385" s="244"/>
      <c r="DR385" s="244"/>
      <c r="DS385" s="244"/>
      <c r="DT385" s="244"/>
      <c r="DU385" s="244"/>
      <c r="DV385" s="244"/>
      <c r="DW385" s="244"/>
      <c r="DX385" s="244"/>
      <c r="DY385" s="244"/>
      <c r="DZ385" s="244"/>
      <c r="EA385" s="244"/>
      <c r="EB385" s="244"/>
      <c r="EC385" s="244"/>
      <c r="ED385" s="244"/>
      <c r="EE385" s="244"/>
      <c r="EF385" s="244"/>
      <c r="EG385" s="244"/>
      <c r="EH385" s="244"/>
      <c r="EI385" s="244"/>
      <c r="EJ385" s="244"/>
      <c r="EK385" s="244"/>
      <c r="EL385" s="244"/>
      <c r="EM385" s="244"/>
      <c r="EN385" s="244"/>
      <c r="EO385" s="244"/>
      <c r="EP385" s="244"/>
      <c r="EQ385" s="244"/>
      <c r="ER385" s="244"/>
      <c r="ES385" s="244"/>
      <c r="ET385" s="244"/>
      <c r="EU385" s="244"/>
      <c r="EV385" s="244"/>
      <c r="EW385" s="244"/>
      <c r="EX385" s="244"/>
      <c r="EY385" s="244"/>
      <c r="EZ385" s="244"/>
      <c r="FA385" s="244"/>
      <c r="FB385" s="244"/>
      <c r="FC385" s="244"/>
      <c r="FD385" s="244"/>
      <c r="FE385" s="244"/>
      <c r="FF385" s="244"/>
      <c r="FG385" s="244"/>
      <c r="FH385" s="244"/>
      <c r="FI385" s="244"/>
      <c r="FJ385" s="244"/>
      <c r="FK385" s="244"/>
      <c r="FL385" s="244"/>
      <c r="FM385" s="244"/>
      <c r="FN385" s="244"/>
      <c r="FO385" s="244"/>
      <c r="FP385" s="244"/>
      <c r="FQ385" s="244"/>
      <c r="FR385" s="244"/>
      <c r="FS385" s="244"/>
      <c r="FT385" s="244"/>
      <c r="FU385" s="244"/>
      <c r="FV385" s="244"/>
      <c r="FW385" s="244"/>
      <c r="FX385" s="244"/>
      <c r="FY385" s="244"/>
      <c r="FZ385" s="244"/>
      <c r="GA385" s="244"/>
      <c r="GB385" s="244"/>
      <c r="GC385" s="244"/>
      <c r="GD385" s="244"/>
      <c r="GE385" s="244"/>
      <c r="GF385" s="244"/>
      <c r="GG385" s="244"/>
      <c r="GH385" s="244"/>
      <c r="GI385" s="244"/>
      <c r="GJ385" s="244"/>
      <c r="GK385" s="244"/>
      <c r="GL385" s="244"/>
      <c r="GM385" s="244"/>
      <c r="GN385" s="244"/>
      <c r="GO385" s="244"/>
      <c r="GP385" s="244"/>
      <c r="GQ385" s="244"/>
      <c r="GR385" s="244"/>
      <c r="GS385" s="244"/>
      <c r="GT385" s="244"/>
    </row>
    <row r="386" spans="1:202" s="79" customFormat="1" ht="22.5" customHeight="1">
      <c r="A386" s="193" t="s">
        <v>26</v>
      </c>
      <c r="B386" s="182" t="s">
        <v>158</v>
      </c>
      <c r="C386" s="221" t="s">
        <v>414</v>
      </c>
      <c r="D386" s="73">
        <v>2922009317</v>
      </c>
      <c r="E386" s="82"/>
      <c r="F386" s="304"/>
      <c r="G386" s="177"/>
      <c r="H386" s="82"/>
      <c r="I386" s="82"/>
      <c r="J386" s="210"/>
      <c r="K386" s="254"/>
      <c r="L386" s="254"/>
      <c r="M386" s="254"/>
      <c r="N386" s="284">
        <f>K386+L386+M386</f>
        <v>0</v>
      </c>
      <c r="O386" s="275"/>
      <c r="P386" s="275"/>
      <c r="Q386" s="293"/>
      <c r="R386" s="284">
        <f t="shared" si="883"/>
        <v>0</v>
      </c>
      <c r="S386" s="293"/>
      <c r="T386" s="266"/>
      <c r="U386" s="275"/>
      <c r="V386" s="275"/>
      <c r="W386" s="293"/>
      <c r="X386" s="263"/>
      <c r="Y386" s="284">
        <f t="shared" si="884"/>
        <v>0</v>
      </c>
      <c r="Z386" s="275"/>
      <c r="AA386" s="275"/>
      <c r="AB386" s="275"/>
      <c r="AC386" s="275"/>
      <c r="AD386" s="275"/>
      <c r="AE386" s="275"/>
      <c r="AF386" s="284">
        <f t="shared" si="890"/>
        <v>0</v>
      </c>
      <c r="AG386" s="282">
        <f t="shared" si="909"/>
        <v>0</v>
      </c>
      <c r="AH386" s="232">
        <f t="shared" si="912"/>
        <v>0</v>
      </c>
      <c r="AI386" s="232">
        <f t="shared" si="912"/>
        <v>0</v>
      </c>
      <c r="AJ386" s="232">
        <f t="shared" si="912"/>
        <v>0</v>
      </c>
      <c r="AK386" s="260">
        <f t="shared" si="885"/>
        <v>0</v>
      </c>
      <c r="AL386" s="232">
        <f t="shared" si="913"/>
        <v>0</v>
      </c>
      <c r="AM386" s="232">
        <f t="shared" si="913"/>
        <v>0</v>
      </c>
      <c r="AN386" s="232">
        <f t="shared" si="913"/>
        <v>0</v>
      </c>
      <c r="AO386" s="260">
        <f>SUM(AL386:AN386)</f>
        <v>0</v>
      </c>
      <c r="AP386" s="232">
        <f t="shared" si="914"/>
        <v>0</v>
      </c>
      <c r="AQ386" s="232">
        <f t="shared" si="914"/>
        <v>0</v>
      </c>
      <c r="AR386" s="232">
        <f t="shared" si="914"/>
        <v>0</v>
      </c>
      <c r="AS386" s="232">
        <f t="shared" si="914"/>
        <v>0</v>
      </c>
      <c r="AT386" s="232">
        <f t="shared" si="914"/>
        <v>0</v>
      </c>
      <c r="AU386" s="232">
        <f t="shared" si="914"/>
        <v>0</v>
      </c>
      <c r="AV386" s="260">
        <f>SUM(AP386:AU386)</f>
        <v>0</v>
      </c>
      <c r="AW386" s="232">
        <f t="shared" si="915"/>
        <v>0</v>
      </c>
      <c r="AX386" s="232">
        <f t="shared" si="915"/>
        <v>0</v>
      </c>
      <c r="AY386" s="232">
        <f t="shared" si="915"/>
        <v>0</v>
      </c>
      <c r="AZ386" s="232">
        <f t="shared" si="915"/>
        <v>0</v>
      </c>
      <c r="BA386" s="232">
        <f t="shared" si="915"/>
        <v>0</v>
      </c>
      <c r="BB386" s="232">
        <f t="shared" si="915"/>
        <v>0</v>
      </c>
      <c r="BC386" s="260">
        <f t="shared" si="904"/>
        <v>0</v>
      </c>
      <c r="BD386" s="238">
        <f t="shared" si="841"/>
        <v>0</v>
      </c>
      <c r="BE386" s="13"/>
      <c r="BF386" s="243"/>
      <c r="BG386" s="243"/>
      <c r="BH386" s="243"/>
      <c r="BI386" s="243"/>
      <c r="BJ386" s="243"/>
      <c r="BK386" s="243"/>
      <c r="BL386" s="243"/>
      <c r="BM386" s="243"/>
      <c r="BN386" s="243"/>
      <c r="BO386" s="243"/>
      <c r="BP386" s="243"/>
      <c r="BQ386" s="243"/>
      <c r="BR386" s="243"/>
      <c r="BS386" s="243"/>
      <c r="BT386" s="243"/>
      <c r="BU386" s="243"/>
      <c r="BV386" s="243"/>
      <c r="BW386" s="243"/>
      <c r="BX386" s="243"/>
      <c r="BY386" s="243"/>
      <c r="BZ386" s="243"/>
      <c r="CA386" s="243"/>
      <c r="CB386" s="243"/>
      <c r="CC386" s="243"/>
      <c r="CD386" s="243"/>
      <c r="CE386" s="243"/>
      <c r="CF386" s="243"/>
      <c r="CG386" s="243"/>
      <c r="CH386" s="243"/>
      <c r="CI386" s="243"/>
      <c r="CJ386" s="243"/>
      <c r="CK386" s="243"/>
      <c r="CL386" s="243"/>
      <c r="CM386" s="243"/>
      <c r="CN386" s="243"/>
      <c r="CO386" s="243"/>
      <c r="CP386" s="243"/>
      <c r="CQ386" s="243"/>
      <c r="CR386" s="243"/>
      <c r="CS386" s="243"/>
      <c r="CT386" s="243"/>
      <c r="CU386" s="243"/>
      <c r="CV386" s="243"/>
      <c r="CW386" s="243"/>
      <c r="CX386" s="243"/>
      <c r="CY386" s="243"/>
      <c r="CZ386" s="243"/>
      <c r="DA386" s="243"/>
      <c r="DB386" s="243"/>
      <c r="DC386" s="243"/>
      <c r="DD386" s="243"/>
      <c r="DE386" s="243"/>
      <c r="DF386" s="243"/>
      <c r="DG386" s="243"/>
      <c r="DH386" s="243"/>
      <c r="DI386" s="243"/>
      <c r="DJ386" s="243"/>
      <c r="DK386" s="243"/>
      <c r="DL386" s="243"/>
      <c r="DM386" s="243"/>
      <c r="DN386" s="243"/>
      <c r="DO386" s="243"/>
      <c r="DP386" s="243"/>
      <c r="DQ386" s="243"/>
      <c r="DR386" s="243"/>
      <c r="DS386" s="243"/>
      <c r="DT386" s="243"/>
      <c r="DU386" s="243"/>
      <c r="DV386" s="243"/>
      <c r="DW386" s="243"/>
      <c r="DX386" s="243"/>
      <c r="DY386" s="243"/>
      <c r="DZ386" s="243"/>
      <c r="EA386" s="243"/>
      <c r="EB386" s="243"/>
      <c r="EC386" s="243"/>
      <c r="ED386" s="243"/>
      <c r="EE386" s="243"/>
      <c r="EF386" s="243"/>
      <c r="EG386" s="243"/>
      <c r="EH386" s="243"/>
      <c r="EI386" s="243"/>
      <c r="EJ386" s="243"/>
      <c r="EK386" s="243"/>
      <c r="EL386" s="243"/>
      <c r="EM386" s="243"/>
      <c r="EN386" s="243"/>
      <c r="EO386" s="243"/>
      <c r="EP386" s="243"/>
      <c r="EQ386" s="243"/>
      <c r="ER386" s="243"/>
      <c r="ES386" s="243"/>
      <c r="ET386" s="243"/>
      <c r="EU386" s="243"/>
      <c r="EV386" s="243"/>
      <c r="EW386" s="243"/>
      <c r="EX386" s="243"/>
      <c r="EY386" s="243"/>
      <c r="EZ386" s="243"/>
      <c r="FA386" s="243"/>
      <c r="FB386" s="243"/>
      <c r="FC386" s="243"/>
      <c r="FD386" s="243"/>
      <c r="FE386" s="243"/>
      <c r="FF386" s="243"/>
      <c r="FG386" s="243"/>
      <c r="FH386" s="243"/>
      <c r="FI386" s="243"/>
      <c r="FJ386" s="243"/>
      <c r="FK386" s="243"/>
      <c r="FL386" s="243"/>
      <c r="FM386" s="243"/>
      <c r="FN386" s="243"/>
      <c r="FO386" s="243"/>
      <c r="FP386" s="243"/>
      <c r="FQ386" s="243"/>
      <c r="FR386" s="243"/>
      <c r="FS386" s="243"/>
      <c r="FT386" s="243"/>
      <c r="FU386" s="243"/>
      <c r="FV386" s="243"/>
      <c r="FW386" s="243"/>
      <c r="FX386" s="243"/>
      <c r="FY386" s="243"/>
      <c r="FZ386" s="243"/>
      <c r="GA386" s="243"/>
      <c r="GB386" s="243"/>
      <c r="GC386" s="243"/>
      <c r="GD386" s="243"/>
      <c r="GE386" s="243"/>
      <c r="GF386" s="243"/>
      <c r="GG386" s="243"/>
      <c r="GH386" s="243"/>
      <c r="GI386" s="243"/>
      <c r="GJ386" s="243"/>
      <c r="GK386" s="243"/>
      <c r="GL386" s="243"/>
      <c r="GM386" s="243"/>
      <c r="GN386" s="243"/>
      <c r="GO386" s="243"/>
      <c r="GP386" s="243"/>
      <c r="GQ386" s="243"/>
      <c r="GR386" s="243"/>
      <c r="GS386" s="243"/>
      <c r="GT386" s="243"/>
    </row>
    <row r="387" spans="1:202" s="79" customFormat="1" ht="11.25" customHeight="1">
      <c r="A387" s="193" t="s">
        <v>26</v>
      </c>
      <c r="B387" s="182" t="s">
        <v>166</v>
      </c>
      <c r="C387" s="221" t="s">
        <v>162</v>
      </c>
      <c r="D387" s="73">
        <v>2901127253</v>
      </c>
      <c r="E387" s="82"/>
      <c r="F387" s="86"/>
      <c r="G387" s="177"/>
      <c r="H387" s="82"/>
      <c r="I387" s="86"/>
      <c r="J387" s="210"/>
      <c r="K387" s="254">
        <f>SUM(K388:K392)</f>
        <v>1815.52</v>
      </c>
      <c r="L387" s="254">
        <f>SUM(L388:L392)</f>
        <v>1602.8189999999997</v>
      </c>
      <c r="M387" s="254">
        <f>SUM(M388:M392)</f>
        <v>0</v>
      </c>
      <c r="N387" s="284">
        <f t="shared" ref="N387:N396" si="916">SUM(K387:M387)</f>
        <v>3418.3389999999999</v>
      </c>
      <c r="O387" s="275">
        <f>SUM(O392:O392)</f>
        <v>0</v>
      </c>
      <c r="P387" s="275">
        <f>SUM(P392:P392)</f>
        <v>0</v>
      </c>
      <c r="Q387" s="275">
        <f>SUM(Q392:Q392)</f>
        <v>0</v>
      </c>
      <c r="R387" s="284">
        <f>O387+P387+Q387</f>
        <v>0</v>
      </c>
      <c r="S387" s="293">
        <f t="shared" ref="S387:X387" si="917">SUM(S392:S392)</f>
        <v>0</v>
      </c>
      <c r="T387" s="293">
        <f t="shared" si="917"/>
        <v>0</v>
      </c>
      <c r="U387" s="293">
        <f t="shared" si="917"/>
        <v>0</v>
      </c>
      <c r="V387" s="293">
        <f t="shared" si="917"/>
        <v>0</v>
      </c>
      <c r="W387" s="293">
        <f t="shared" si="917"/>
        <v>0</v>
      </c>
      <c r="X387" s="293">
        <f t="shared" si="917"/>
        <v>0</v>
      </c>
      <c r="Y387" s="262">
        <f>SUM(S387:X387)</f>
        <v>0</v>
      </c>
      <c r="Z387" s="275">
        <f t="shared" ref="Z387:AF387" si="918">SUM(Z392:Z392)</f>
        <v>0</v>
      </c>
      <c r="AA387" s="275">
        <f t="shared" si="918"/>
        <v>0</v>
      </c>
      <c r="AB387" s="275">
        <f t="shared" si="918"/>
        <v>0</v>
      </c>
      <c r="AC387" s="275">
        <f t="shared" si="918"/>
        <v>0</v>
      </c>
      <c r="AD387" s="275">
        <f t="shared" si="918"/>
        <v>0</v>
      </c>
      <c r="AE387" s="275">
        <f t="shared" si="918"/>
        <v>0</v>
      </c>
      <c r="AF387" s="262">
        <f t="shared" si="918"/>
        <v>0</v>
      </c>
      <c r="AG387" s="282">
        <f t="shared" si="909"/>
        <v>3418.3389999999999</v>
      </c>
      <c r="AH387" s="232">
        <f>SUM(AH388:AH392)</f>
        <v>9949521.1839799993</v>
      </c>
      <c r="AI387" s="232">
        <f>SUM(AI388:AI392)</f>
        <v>8820812.1691199988</v>
      </c>
      <c r="AJ387" s="232">
        <f>SUM(AJ388:AJ392)</f>
        <v>0</v>
      </c>
      <c r="AK387" s="260">
        <f t="shared" ref="AK387:AK397" si="919">AH387+AI387+AJ387</f>
        <v>18770333.353099998</v>
      </c>
      <c r="AL387" s="232">
        <f>SUM(AL392:AL392)</f>
        <v>0</v>
      </c>
      <c r="AM387" s="232">
        <f>SUM(AM392:AM392)</f>
        <v>0</v>
      </c>
      <c r="AN387" s="232">
        <f>SUM(AN392:AN392)</f>
        <v>0</v>
      </c>
      <c r="AO387" s="260">
        <f>SUM(AL387:AN387)</f>
        <v>0</v>
      </c>
      <c r="AP387" s="232">
        <f t="shared" ref="AP387:AU387" si="920">SUM(AP392:AP392)</f>
        <v>0</v>
      </c>
      <c r="AQ387" s="232">
        <f t="shared" si="920"/>
        <v>0</v>
      </c>
      <c r="AR387" s="232">
        <f t="shared" si="920"/>
        <v>0</v>
      </c>
      <c r="AS387" s="232">
        <f t="shared" si="920"/>
        <v>0</v>
      </c>
      <c r="AT387" s="232">
        <f t="shared" si="920"/>
        <v>0</v>
      </c>
      <c r="AU387" s="232">
        <f t="shared" si="920"/>
        <v>0</v>
      </c>
      <c r="AV387" s="260">
        <f>SUM(AP387:AU387)</f>
        <v>0</v>
      </c>
      <c r="AW387" s="232">
        <f t="shared" ref="AW387:BB387" si="921">SUM(AW392:AW392)</f>
        <v>0</v>
      </c>
      <c r="AX387" s="232">
        <f t="shared" si="921"/>
        <v>0</v>
      </c>
      <c r="AY387" s="232">
        <f t="shared" si="921"/>
        <v>0</v>
      </c>
      <c r="AZ387" s="232">
        <f t="shared" si="921"/>
        <v>0</v>
      </c>
      <c r="BA387" s="232">
        <f t="shared" si="921"/>
        <v>0</v>
      </c>
      <c r="BB387" s="232">
        <f t="shared" si="921"/>
        <v>0</v>
      </c>
      <c r="BC387" s="260">
        <f t="shared" si="904"/>
        <v>0</v>
      </c>
      <c r="BD387" s="238">
        <f t="shared" si="841"/>
        <v>18770333.353099998</v>
      </c>
      <c r="BE387" s="13"/>
      <c r="BF387" s="243"/>
      <c r="BG387" s="243"/>
      <c r="BH387" s="243"/>
      <c r="BI387" s="243"/>
      <c r="BJ387" s="243"/>
      <c r="BK387" s="243"/>
      <c r="BL387" s="243"/>
      <c r="BM387" s="243"/>
      <c r="BN387" s="243"/>
      <c r="BO387" s="243"/>
      <c r="BP387" s="243"/>
      <c r="BQ387" s="243"/>
      <c r="BR387" s="243"/>
      <c r="BS387" s="243"/>
      <c r="BT387" s="243"/>
      <c r="BU387" s="243"/>
      <c r="BV387" s="243"/>
      <c r="BW387" s="243"/>
      <c r="BX387" s="243"/>
      <c r="BY387" s="243"/>
      <c r="BZ387" s="243"/>
      <c r="CA387" s="243"/>
      <c r="CB387" s="243"/>
      <c r="CC387" s="243"/>
      <c r="CD387" s="243"/>
      <c r="CE387" s="243"/>
      <c r="CF387" s="243"/>
      <c r="CG387" s="243"/>
      <c r="CH387" s="243"/>
      <c r="CI387" s="243"/>
      <c r="CJ387" s="243"/>
      <c r="CK387" s="243"/>
      <c r="CL387" s="243"/>
      <c r="CM387" s="243"/>
      <c r="CN387" s="243"/>
      <c r="CO387" s="243"/>
      <c r="CP387" s="243"/>
      <c r="CQ387" s="243"/>
      <c r="CR387" s="243"/>
      <c r="CS387" s="243"/>
      <c r="CT387" s="243"/>
      <c r="CU387" s="243"/>
      <c r="CV387" s="243"/>
      <c r="CW387" s="243"/>
      <c r="CX387" s="243"/>
      <c r="CY387" s="243"/>
      <c r="CZ387" s="243"/>
      <c r="DA387" s="243"/>
      <c r="DB387" s="243"/>
      <c r="DC387" s="243"/>
      <c r="DD387" s="243"/>
      <c r="DE387" s="243"/>
      <c r="DF387" s="243"/>
      <c r="DG387" s="243"/>
      <c r="DH387" s="243"/>
      <c r="DI387" s="243"/>
      <c r="DJ387" s="243"/>
      <c r="DK387" s="243"/>
      <c r="DL387" s="243"/>
      <c r="DM387" s="243"/>
      <c r="DN387" s="243"/>
      <c r="DO387" s="243"/>
      <c r="DP387" s="243"/>
      <c r="DQ387" s="243"/>
      <c r="DR387" s="243"/>
      <c r="DS387" s="243"/>
      <c r="DT387" s="243"/>
      <c r="DU387" s="243"/>
      <c r="DV387" s="243"/>
      <c r="DW387" s="243"/>
      <c r="DX387" s="243"/>
      <c r="DY387" s="243"/>
      <c r="DZ387" s="243"/>
      <c r="EA387" s="243"/>
      <c r="EB387" s="243"/>
      <c r="EC387" s="243"/>
      <c r="ED387" s="243"/>
      <c r="EE387" s="243"/>
      <c r="EF387" s="243"/>
      <c r="EG387" s="243"/>
      <c r="EH387" s="243"/>
      <c r="EI387" s="243"/>
      <c r="EJ387" s="243"/>
      <c r="EK387" s="243"/>
      <c r="EL387" s="243"/>
      <c r="EM387" s="243"/>
      <c r="EN387" s="243"/>
      <c r="EO387" s="243"/>
      <c r="EP387" s="243"/>
      <c r="EQ387" s="243"/>
      <c r="ER387" s="243"/>
      <c r="ES387" s="243"/>
      <c r="ET387" s="243"/>
      <c r="EU387" s="243"/>
      <c r="EV387" s="243"/>
      <c r="EW387" s="243"/>
      <c r="EX387" s="243"/>
      <c r="EY387" s="243"/>
      <c r="EZ387" s="243"/>
      <c r="FA387" s="243"/>
      <c r="FB387" s="243"/>
      <c r="FC387" s="243"/>
      <c r="FD387" s="243"/>
      <c r="FE387" s="243"/>
      <c r="FF387" s="243"/>
      <c r="FG387" s="243"/>
      <c r="FH387" s="243"/>
      <c r="FI387" s="243"/>
      <c r="FJ387" s="243"/>
      <c r="FK387" s="243"/>
      <c r="FL387" s="243"/>
      <c r="FM387" s="243"/>
      <c r="FN387" s="243"/>
      <c r="FO387" s="243"/>
      <c r="FP387" s="243"/>
      <c r="FQ387" s="243"/>
      <c r="FR387" s="243"/>
      <c r="FS387" s="243"/>
      <c r="FT387" s="243"/>
      <c r="FU387" s="243"/>
      <c r="FV387" s="243"/>
      <c r="FW387" s="243"/>
      <c r="FX387" s="243"/>
      <c r="FY387" s="243"/>
      <c r="FZ387" s="243"/>
      <c r="GA387" s="243"/>
      <c r="GB387" s="243"/>
      <c r="GC387" s="243"/>
      <c r="GD387" s="243"/>
      <c r="GE387" s="243"/>
      <c r="GF387" s="243"/>
      <c r="GG387" s="243"/>
      <c r="GH387" s="243"/>
      <c r="GI387" s="243"/>
      <c r="GJ387" s="243"/>
      <c r="GK387" s="243"/>
      <c r="GL387" s="243"/>
      <c r="GM387" s="243"/>
      <c r="GN387" s="243"/>
      <c r="GO387" s="243"/>
      <c r="GP387" s="243"/>
      <c r="GQ387" s="243"/>
      <c r="GR387" s="243"/>
      <c r="GS387" s="243"/>
      <c r="GT387" s="243"/>
    </row>
    <row r="388" spans="1:202" s="83" customFormat="1" ht="12.75">
      <c r="A388" s="200"/>
      <c r="B388" s="205" t="s">
        <v>319</v>
      </c>
      <c r="C388" s="151"/>
      <c r="D388" s="151"/>
      <c r="E388" s="176">
        <v>5997.75</v>
      </c>
      <c r="F388" s="305">
        <v>1744</v>
      </c>
      <c r="G388" s="177">
        <f>E388-F388</f>
        <v>4253.75</v>
      </c>
      <c r="H388" s="176">
        <v>5997.75</v>
      </c>
      <c r="I388" s="176">
        <v>1744</v>
      </c>
      <c r="J388" s="177">
        <f>H388-I388</f>
        <v>4253.75</v>
      </c>
      <c r="K388" s="253">
        <v>359.476</v>
      </c>
      <c r="L388" s="253">
        <v>317.01900000000001</v>
      </c>
      <c r="M388" s="253"/>
      <c r="N388" s="287">
        <f t="shared" si="916"/>
        <v>676.495</v>
      </c>
      <c r="O388" s="274"/>
      <c r="P388" s="274"/>
      <c r="Q388" s="291"/>
      <c r="R388" s="287"/>
      <c r="S388" s="291"/>
      <c r="T388" s="265"/>
      <c r="U388" s="274"/>
      <c r="V388" s="274"/>
      <c r="W388" s="291"/>
      <c r="X388" s="265"/>
      <c r="Y388" s="142"/>
      <c r="Z388" s="274"/>
      <c r="AA388" s="274"/>
      <c r="AB388" s="274"/>
      <c r="AC388" s="274"/>
      <c r="AD388" s="274"/>
      <c r="AE388" s="274"/>
      <c r="AF388" s="287">
        <f t="shared" ref="AF388:AF397" si="922">SUM(Z388:AE388)</f>
        <v>0</v>
      </c>
      <c r="AG388" s="283">
        <f t="shared" si="909"/>
        <v>676.495</v>
      </c>
      <c r="AH388" s="228">
        <f t="shared" ref="AH388:AJ392" si="923">K388*$G388</f>
        <v>1529121.0349999999</v>
      </c>
      <c r="AI388" s="228">
        <f t="shared" si="923"/>
        <v>1348519.57125</v>
      </c>
      <c r="AJ388" s="228">
        <f t="shared" si="923"/>
        <v>0</v>
      </c>
      <c r="AK388" s="261">
        <f t="shared" si="919"/>
        <v>2877640.6062500002</v>
      </c>
      <c r="AL388" s="229">
        <f t="shared" ref="AL388:AN392" si="924">O388*$G388</f>
        <v>0</v>
      </c>
      <c r="AM388" s="228">
        <f t="shared" si="924"/>
        <v>0</v>
      </c>
      <c r="AN388" s="228">
        <f t="shared" si="924"/>
        <v>0</v>
      </c>
      <c r="AO388" s="261"/>
      <c r="AP388" s="229">
        <f t="shared" ref="AP388:AU392" si="925">S388*$J388</f>
        <v>0</v>
      </c>
      <c r="AQ388" s="229">
        <f t="shared" si="925"/>
        <v>0</v>
      </c>
      <c r="AR388" s="229">
        <f t="shared" si="925"/>
        <v>0</v>
      </c>
      <c r="AS388" s="229">
        <f t="shared" si="925"/>
        <v>0</v>
      </c>
      <c r="AT388" s="229">
        <f t="shared" si="925"/>
        <v>0</v>
      </c>
      <c r="AU388" s="229">
        <f t="shared" si="925"/>
        <v>0</v>
      </c>
      <c r="AV388" s="261"/>
      <c r="AW388" s="229">
        <f t="shared" ref="AW388:BB392" si="926">Z388*$J388</f>
        <v>0</v>
      </c>
      <c r="AX388" s="229">
        <f t="shared" si="926"/>
        <v>0</v>
      </c>
      <c r="AY388" s="229">
        <f t="shared" si="926"/>
        <v>0</v>
      </c>
      <c r="AZ388" s="229">
        <f t="shared" si="926"/>
        <v>0</v>
      </c>
      <c r="BA388" s="229">
        <f t="shared" si="926"/>
        <v>0</v>
      </c>
      <c r="BB388" s="229">
        <f t="shared" si="926"/>
        <v>0</v>
      </c>
      <c r="BC388" s="261">
        <f t="shared" si="904"/>
        <v>0</v>
      </c>
      <c r="BD388" s="239">
        <f t="shared" si="841"/>
        <v>2877640.6062500002</v>
      </c>
      <c r="BE388" s="246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44"/>
      <c r="CC388" s="244"/>
      <c r="CD388" s="244"/>
      <c r="CE388" s="244"/>
      <c r="CF388" s="244"/>
      <c r="CG388" s="244"/>
      <c r="CH388" s="244"/>
      <c r="CI388" s="244"/>
      <c r="CJ388" s="244"/>
      <c r="CK388" s="244"/>
      <c r="CL388" s="244"/>
      <c r="CM388" s="244"/>
      <c r="CN388" s="244"/>
      <c r="CO388" s="244"/>
      <c r="CP388" s="244"/>
      <c r="CQ388" s="244"/>
      <c r="CR388" s="244"/>
      <c r="CS388" s="244"/>
      <c r="CT388" s="244"/>
      <c r="CU388" s="244"/>
      <c r="CV388" s="244"/>
      <c r="CW388" s="244"/>
      <c r="CX388" s="244"/>
      <c r="CY388" s="244"/>
      <c r="CZ388" s="244"/>
      <c r="DA388" s="244"/>
      <c r="DB388" s="244"/>
      <c r="DC388" s="244"/>
      <c r="DD388" s="244"/>
      <c r="DE388" s="244"/>
      <c r="DF388" s="244"/>
      <c r="DG388" s="244"/>
      <c r="DH388" s="244"/>
      <c r="DI388" s="244"/>
      <c r="DJ388" s="244"/>
      <c r="DK388" s="244"/>
      <c r="DL388" s="244"/>
      <c r="DM388" s="244"/>
      <c r="DN388" s="244"/>
      <c r="DO388" s="244"/>
      <c r="DP388" s="244"/>
      <c r="DQ388" s="244"/>
      <c r="DR388" s="244"/>
      <c r="DS388" s="244"/>
      <c r="DT388" s="244"/>
      <c r="DU388" s="244"/>
      <c r="DV388" s="244"/>
      <c r="DW388" s="244"/>
      <c r="DX388" s="244"/>
      <c r="DY388" s="244"/>
      <c r="DZ388" s="244"/>
      <c r="EA388" s="244"/>
      <c r="EB388" s="244"/>
      <c r="EC388" s="244"/>
      <c r="ED388" s="244"/>
      <c r="EE388" s="244"/>
      <c r="EF388" s="244"/>
      <c r="EG388" s="244"/>
      <c r="EH388" s="244"/>
      <c r="EI388" s="244"/>
      <c r="EJ388" s="244"/>
      <c r="EK388" s="244"/>
      <c r="EL388" s="244"/>
      <c r="EM388" s="244"/>
      <c r="EN388" s="244"/>
      <c r="EO388" s="244"/>
      <c r="EP388" s="244"/>
      <c r="EQ388" s="244"/>
      <c r="ER388" s="244"/>
      <c r="ES388" s="244"/>
      <c r="ET388" s="244"/>
      <c r="EU388" s="244"/>
      <c r="EV388" s="244"/>
      <c r="EW388" s="244"/>
      <c r="EX388" s="244"/>
      <c r="EY388" s="244"/>
      <c r="EZ388" s="244"/>
      <c r="FA388" s="244"/>
      <c r="FB388" s="244"/>
      <c r="FC388" s="244"/>
      <c r="FD388" s="244"/>
      <c r="FE388" s="244"/>
      <c r="FF388" s="244"/>
      <c r="FG388" s="244"/>
      <c r="FH388" s="244"/>
      <c r="FI388" s="244"/>
      <c r="FJ388" s="244"/>
      <c r="FK388" s="244"/>
      <c r="FL388" s="244"/>
      <c r="FM388" s="244"/>
      <c r="FN388" s="244"/>
      <c r="FO388" s="244"/>
      <c r="FP388" s="244"/>
      <c r="FQ388" s="244"/>
      <c r="FR388" s="244"/>
      <c r="FS388" s="244"/>
      <c r="FT388" s="244"/>
      <c r="FU388" s="244"/>
      <c r="FV388" s="244"/>
      <c r="FW388" s="244"/>
      <c r="FX388" s="244"/>
      <c r="FY388" s="244"/>
      <c r="FZ388" s="244"/>
      <c r="GA388" s="244"/>
      <c r="GB388" s="244"/>
      <c r="GC388" s="244"/>
      <c r="GD388" s="244"/>
      <c r="GE388" s="244"/>
      <c r="GF388" s="244"/>
      <c r="GG388" s="244"/>
      <c r="GH388" s="244"/>
      <c r="GI388" s="244"/>
      <c r="GJ388" s="244"/>
      <c r="GK388" s="244"/>
      <c r="GL388" s="244"/>
      <c r="GM388" s="244"/>
      <c r="GN388" s="244"/>
      <c r="GO388" s="244"/>
      <c r="GP388" s="244"/>
      <c r="GQ388" s="244"/>
      <c r="GR388" s="244"/>
      <c r="GS388" s="244"/>
      <c r="GT388" s="244"/>
    </row>
    <row r="389" spans="1:202" s="83" customFormat="1" ht="12.75">
      <c r="A389" s="200"/>
      <c r="B389" s="205" t="s">
        <v>317</v>
      </c>
      <c r="C389" s="151"/>
      <c r="D389" s="151"/>
      <c r="E389" s="176">
        <v>5885.93</v>
      </c>
      <c r="F389" s="305">
        <v>1744</v>
      </c>
      <c r="G389" s="177">
        <f>E389-F389</f>
        <v>4141.93</v>
      </c>
      <c r="H389" s="176">
        <v>5885.93</v>
      </c>
      <c r="I389" s="176">
        <v>1744</v>
      </c>
      <c r="J389" s="177">
        <f>H389-I389</f>
        <v>4141.93</v>
      </c>
      <c r="K389" s="253">
        <v>213.446</v>
      </c>
      <c r="L389" s="253">
        <v>143.20599999999999</v>
      </c>
      <c r="M389" s="253"/>
      <c r="N389" s="287">
        <f t="shared" si="916"/>
        <v>356.65199999999999</v>
      </c>
      <c r="O389" s="274"/>
      <c r="P389" s="274"/>
      <c r="Q389" s="291"/>
      <c r="R389" s="287"/>
      <c r="S389" s="291"/>
      <c r="T389" s="265"/>
      <c r="U389" s="274"/>
      <c r="V389" s="274"/>
      <c r="W389" s="291"/>
      <c r="X389" s="265"/>
      <c r="Y389" s="142"/>
      <c r="Z389" s="274"/>
      <c r="AA389" s="274"/>
      <c r="AB389" s="274"/>
      <c r="AC389" s="274"/>
      <c r="AD389" s="274"/>
      <c r="AE389" s="274"/>
      <c r="AF389" s="287">
        <f t="shared" si="922"/>
        <v>0</v>
      </c>
      <c r="AG389" s="283">
        <f t="shared" si="909"/>
        <v>356.65199999999999</v>
      </c>
      <c r="AH389" s="228">
        <f t="shared" si="923"/>
        <v>884078.39078000002</v>
      </c>
      <c r="AI389" s="228">
        <f t="shared" si="923"/>
        <v>593149.22757999995</v>
      </c>
      <c r="AJ389" s="228">
        <f t="shared" si="923"/>
        <v>0</v>
      </c>
      <c r="AK389" s="261">
        <f t="shared" si="919"/>
        <v>1477227.61836</v>
      </c>
      <c r="AL389" s="229">
        <f t="shared" si="924"/>
        <v>0</v>
      </c>
      <c r="AM389" s="228">
        <f t="shared" si="924"/>
        <v>0</v>
      </c>
      <c r="AN389" s="228">
        <f t="shared" si="924"/>
        <v>0</v>
      </c>
      <c r="AO389" s="261"/>
      <c r="AP389" s="229">
        <f t="shared" si="925"/>
        <v>0</v>
      </c>
      <c r="AQ389" s="229">
        <f t="shared" si="925"/>
        <v>0</v>
      </c>
      <c r="AR389" s="229">
        <f t="shared" si="925"/>
        <v>0</v>
      </c>
      <c r="AS389" s="229">
        <f t="shared" si="925"/>
        <v>0</v>
      </c>
      <c r="AT389" s="229">
        <f t="shared" si="925"/>
        <v>0</v>
      </c>
      <c r="AU389" s="229">
        <f t="shared" si="925"/>
        <v>0</v>
      </c>
      <c r="AV389" s="261"/>
      <c r="AW389" s="229">
        <f t="shared" si="926"/>
        <v>0</v>
      </c>
      <c r="AX389" s="229">
        <f t="shared" si="926"/>
        <v>0</v>
      </c>
      <c r="AY389" s="229">
        <f t="shared" si="926"/>
        <v>0</v>
      </c>
      <c r="AZ389" s="229">
        <f t="shared" si="926"/>
        <v>0</v>
      </c>
      <c r="BA389" s="229">
        <f t="shared" si="926"/>
        <v>0</v>
      </c>
      <c r="BB389" s="229">
        <f t="shared" si="926"/>
        <v>0</v>
      </c>
      <c r="BC389" s="261">
        <f t="shared" si="904"/>
        <v>0</v>
      </c>
      <c r="BD389" s="239">
        <f t="shared" si="841"/>
        <v>1477227.61836</v>
      </c>
      <c r="BE389" s="246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44"/>
      <c r="CC389" s="244"/>
      <c r="CD389" s="244"/>
      <c r="CE389" s="244"/>
      <c r="CF389" s="244"/>
      <c r="CG389" s="244"/>
      <c r="CH389" s="244"/>
      <c r="CI389" s="244"/>
      <c r="CJ389" s="244"/>
      <c r="CK389" s="244"/>
      <c r="CL389" s="244"/>
      <c r="CM389" s="244"/>
      <c r="CN389" s="244"/>
      <c r="CO389" s="244"/>
      <c r="CP389" s="244"/>
      <c r="CQ389" s="244"/>
      <c r="CR389" s="244"/>
      <c r="CS389" s="244"/>
      <c r="CT389" s="244"/>
      <c r="CU389" s="244"/>
      <c r="CV389" s="244"/>
      <c r="CW389" s="244"/>
      <c r="CX389" s="244"/>
      <c r="CY389" s="244"/>
      <c r="CZ389" s="244"/>
      <c r="DA389" s="244"/>
      <c r="DB389" s="244"/>
      <c r="DC389" s="244"/>
      <c r="DD389" s="244"/>
      <c r="DE389" s="244"/>
      <c r="DF389" s="244"/>
      <c r="DG389" s="244"/>
      <c r="DH389" s="244"/>
      <c r="DI389" s="244"/>
      <c r="DJ389" s="244"/>
      <c r="DK389" s="244"/>
      <c r="DL389" s="244"/>
      <c r="DM389" s="244"/>
      <c r="DN389" s="244"/>
      <c r="DO389" s="244"/>
      <c r="DP389" s="244"/>
      <c r="DQ389" s="244"/>
      <c r="DR389" s="244"/>
      <c r="DS389" s="244"/>
      <c r="DT389" s="244"/>
      <c r="DU389" s="244"/>
      <c r="DV389" s="244"/>
      <c r="DW389" s="244"/>
      <c r="DX389" s="244"/>
      <c r="DY389" s="244"/>
      <c r="DZ389" s="244"/>
      <c r="EA389" s="244"/>
      <c r="EB389" s="244"/>
      <c r="EC389" s="244"/>
      <c r="ED389" s="244"/>
      <c r="EE389" s="244"/>
      <c r="EF389" s="244"/>
      <c r="EG389" s="244"/>
      <c r="EH389" s="244"/>
      <c r="EI389" s="244"/>
      <c r="EJ389" s="244"/>
      <c r="EK389" s="244"/>
      <c r="EL389" s="244"/>
      <c r="EM389" s="244"/>
      <c r="EN389" s="244"/>
      <c r="EO389" s="244"/>
      <c r="EP389" s="244"/>
      <c r="EQ389" s="244"/>
      <c r="ER389" s="244"/>
      <c r="ES389" s="244"/>
      <c r="ET389" s="244"/>
      <c r="EU389" s="244"/>
      <c r="EV389" s="244"/>
      <c r="EW389" s="244"/>
      <c r="EX389" s="244"/>
      <c r="EY389" s="244"/>
      <c r="EZ389" s="244"/>
      <c r="FA389" s="244"/>
      <c r="FB389" s="244"/>
      <c r="FC389" s="244"/>
      <c r="FD389" s="244"/>
      <c r="FE389" s="244"/>
      <c r="FF389" s="244"/>
      <c r="FG389" s="244"/>
      <c r="FH389" s="244"/>
      <c r="FI389" s="244"/>
      <c r="FJ389" s="244"/>
      <c r="FK389" s="244"/>
      <c r="FL389" s="244"/>
      <c r="FM389" s="244"/>
      <c r="FN389" s="244"/>
      <c r="FO389" s="244"/>
      <c r="FP389" s="244"/>
      <c r="FQ389" s="244"/>
      <c r="FR389" s="244"/>
      <c r="FS389" s="244"/>
      <c r="FT389" s="244"/>
      <c r="FU389" s="244"/>
      <c r="FV389" s="244"/>
      <c r="FW389" s="244"/>
      <c r="FX389" s="244"/>
      <c r="FY389" s="244"/>
      <c r="FZ389" s="244"/>
      <c r="GA389" s="244"/>
      <c r="GB389" s="244"/>
      <c r="GC389" s="244"/>
      <c r="GD389" s="244"/>
      <c r="GE389" s="244"/>
      <c r="GF389" s="244"/>
      <c r="GG389" s="244"/>
      <c r="GH389" s="244"/>
      <c r="GI389" s="244"/>
      <c r="GJ389" s="244"/>
      <c r="GK389" s="244"/>
      <c r="GL389" s="244"/>
      <c r="GM389" s="244"/>
      <c r="GN389" s="244"/>
      <c r="GO389" s="244"/>
      <c r="GP389" s="244"/>
      <c r="GQ389" s="244"/>
      <c r="GR389" s="244"/>
      <c r="GS389" s="244"/>
      <c r="GT389" s="244"/>
    </row>
    <row r="390" spans="1:202" s="83" customFormat="1" ht="12.75">
      <c r="A390" s="200"/>
      <c r="B390" s="205" t="s">
        <v>318</v>
      </c>
      <c r="C390" s="151"/>
      <c r="D390" s="151"/>
      <c r="E390" s="176">
        <v>5885.93</v>
      </c>
      <c r="F390" s="305">
        <v>1700</v>
      </c>
      <c r="G390" s="177">
        <f>E390-F390</f>
        <v>4185.93</v>
      </c>
      <c r="H390" s="176">
        <v>5885.93</v>
      </c>
      <c r="I390" s="176">
        <v>1700</v>
      </c>
      <c r="J390" s="177">
        <f>H390-I390</f>
        <v>4185.93</v>
      </c>
      <c r="K390" s="253">
        <v>141.892</v>
      </c>
      <c r="L390" s="253">
        <v>141.892</v>
      </c>
      <c r="M390" s="253"/>
      <c r="N390" s="287">
        <f t="shared" si="916"/>
        <v>283.78399999999999</v>
      </c>
      <c r="O390" s="274"/>
      <c r="P390" s="274"/>
      <c r="Q390" s="291"/>
      <c r="R390" s="287"/>
      <c r="S390" s="291"/>
      <c r="T390" s="265"/>
      <c r="U390" s="274"/>
      <c r="V390" s="274"/>
      <c r="W390" s="291"/>
      <c r="X390" s="265"/>
      <c r="Y390" s="142"/>
      <c r="Z390" s="274"/>
      <c r="AA390" s="274"/>
      <c r="AB390" s="274"/>
      <c r="AC390" s="274"/>
      <c r="AD390" s="274"/>
      <c r="AE390" s="274"/>
      <c r="AF390" s="287">
        <f t="shared" si="922"/>
        <v>0</v>
      </c>
      <c r="AG390" s="283">
        <f t="shared" si="909"/>
        <v>283.78399999999999</v>
      </c>
      <c r="AH390" s="228">
        <f t="shared" si="923"/>
        <v>593949.97956000001</v>
      </c>
      <c r="AI390" s="228">
        <f t="shared" si="923"/>
        <v>593949.97956000001</v>
      </c>
      <c r="AJ390" s="228">
        <f t="shared" si="923"/>
        <v>0</v>
      </c>
      <c r="AK390" s="261">
        <f t="shared" si="919"/>
        <v>1187899.95912</v>
      </c>
      <c r="AL390" s="229">
        <f t="shared" si="924"/>
        <v>0</v>
      </c>
      <c r="AM390" s="228">
        <f t="shared" si="924"/>
        <v>0</v>
      </c>
      <c r="AN390" s="228">
        <f t="shared" si="924"/>
        <v>0</v>
      </c>
      <c r="AO390" s="261"/>
      <c r="AP390" s="229">
        <f t="shared" si="925"/>
        <v>0</v>
      </c>
      <c r="AQ390" s="229">
        <f t="shared" si="925"/>
        <v>0</v>
      </c>
      <c r="AR390" s="229">
        <f t="shared" si="925"/>
        <v>0</v>
      </c>
      <c r="AS390" s="229">
        <f t="shared" si="925"/>
        <v>0</v>
      </c>
      <c r="AT390" s="229">
        <f t="shared" si="925"/>
        <v>0</v>
      </c>
      <c r="AU390" s="229">
        <f t="shared" si="925"/>
        <v>0</v>
      </c>
      <c r="AV390" s="261"/>
      <c r="AW390" s="229">
        <f t="shared" si="926"/>
        <v>0</v>
      </c>
      <c r="AX390" s="229">
        <f t="shared" si="926"/>
        <v>0</v>
      </c>
      <c r="AY390" s="229">
        <f t="shared" si="926"/>
        <v>0</v>
      </c>
      <c r="AZ390" s="229">
        <f t="shared" si="926"/>
        <v>0</v>
      </c>
      <c r="BA390" s="229">
        <f t="shared" si="926"/>
        <v>0</v>
      </c>
      <c r="BB390" s="229">
        <f t="shared" si="926"/>
        <v>0</v>
      </c>
      <c r="BC390" s="261">
        <f t="shared" si="904"/>
        <v>0</v>
      </c>
      <c r="BD390" s="239">
        <f t="shared" si="841"/>
        <v>1187899.95912</v>
      </c>
      <c r="BE390" s="246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44"/>
      <c r="CC390" s="244"/>
      <c r="CD390" s="244"/>
      <c r="CE390" s="244"/>
      <c r="CF390" s="244"/>
      <c r="CG390" s="244"/>
      <c r="CH390" s="244"/>
      <c r="CI390" s="244"/>
      <c r="CJ390" s="244"/>
      <c r="CK390" s="244"/>
      <c r="CL390" s="244"/>
      <c r="CM390" s="244"/>
      <c r="CN390" s="244"/>
      <c r="CO390" s="244"/>
      <c r="CP390" s="244"/>
      <c r="CQ390" s="244"/>
      <c r="CR390" s="244"/>
      <c r="CS390" s="244"/>
      <c r="CT390" s="244"/>
      <c r="CU390" s="244"/>
      <c r="CV390" s="244"/>
      <c r="CW390" s="244"/>
      <c r="CX390" s="244"/>
      <c r="CY390" s="244"/>
      <c r="CZ390" s="244"/>
      <c r="DA390" s="244"/>
      <c r="DB390" s="244"/>
      <c r="DC390" s="244"/>
      <c r="DD390" s="244"/>
      <c r="DE390" s="244"/>
      <c r="DF390" s="244"/>
      <c r="DG390" s="244"/>
      <c r="DH390" s="244"/>
      <c r="DI390" s="244"/>
      <c r="DJ390" s="244"/>
      <c r="DK390" s="244"/>
      <c r="DL390" s="244"/>
      <c r="DM390" s="244"/>
      <c r="DN390" s="244"/>
      <c r="DO390" s="244"/>
      <c r="DP390" s="244"/>
      <c r="DQ390" s="244"/>
      <c r="DR390" s="244"/>
      <c r="DS390" s="244"/>
      <c r="DT390" s="244"/>
      <c r="DU390" s="244"/>
      <c r="DV390" s="244"/>
      <c r="DW390" s="244"/>
      <c r="DX390" s="244"/>
      <c r="DY390" s="244"/>
      <c r="DZ390" s="244"/>
      <c r="EA390" s="244"/>
      <c r="EB390" s="244"/>
      <c r="EC390" s="244"/>
      <c r="ED390" s="244"/>
      <c r="EE390" s="244"/>
      <c r="EF390" s="244"/>
      <c r="EG390" s="244"/>
      <c r="EH390" s="244"/>
      <c r="EI390" s="244"/>
      <c r="EJ390" s="244"/>
      <c r="EK390" s="244"/>
      <c r="EL390" s="244"/>
      <c r="EM390" s="244"/>
      <c r="EN390" s="244"/>
      <c r="EO390" s="244"/>
      <c r="EP390" s="244"/>
      <c r="EQ390" s="244"/>
      <c r="ER390" s="244"/>
      <c r="ES390" s="244"/>
      <c r="ET390" s="244"/>
      <c r="EU390" s="244"/>
      <c r="EV390" s="244"/>
      <c r="EW390" s="244"/>
      <c r="EX390" s="244"/>
      <c r="EY390" s="244"/>
      <c r="EZ390" s="244"/>
      <c r="FA390" s="244"/>
      <c r="FB390" s="244"/>
      <c r="FC390" s="244"/>
      <c r="FD390" s="244"/>
      <c r="FE390" s="244"/>
      <c r="FF390" s="244"/>
      <c r="FG390" s="244"/>
      <c r="FH390" s="244"/>
      <c r="FI390" s="244"/>
      <c r="FJ390" s="244"/>
      <c r="FK390" s="244"/>
      <c r="FL390" s="244"/>
      <c r="FM390" s="244"/>
      <c r="FN390" s="244"/>
      <c r="FO390" s="244"/>
      <c r="FP390" s="244"/>
      <c r="FQ390" s="244"/>
      <c r="FR390" s="244"/>
      <c r="FS390" s="244"/>
      <c r="FT390" s="244"/>
      <c r="FU390" s="244"/>
      <c r="FV390" s="244"/>
      <c r="FW390" s="244"/>
      <c r="FX390" s="244"/>
      <c r="FY390" s="244"/>
      <c r="FZ390" s="244"/>
      <c r="GA390" s="244"/>
      <c r="GB390" s="244"/>
      <c r="GC390" s="244"/>
      <c r="GD390" s="244"/>
      <c r="GE390" s="244"/>
      <c r="GF390" s="244"/>
      <c r="GG390" s="244"/>
      <c r="GH390" s="244"/>
      <c r="GI390" s="244"/>
      <c r="GJ390" s="244"/>
      <c r="GK390" s="244"/>
      <c r="GL390" s="244"/>
      <c r="GM390" s="244"/>
      <c r="GN390" s="244"/>
      <c r="GO390" s="244"/>
      <c r="GP390" s="244"/>
      <c r="GQ390" s="244"/>
      <c r="GR390" s="244"/>
      <c r="GS390" s="244"/>
      <c r="GT390" s="244"/>
    </row>
    <row r="391" spans="1:202" s="83" customFormat="1" ht="12.75">
      <c r="A391" s="200"/>
      <c r="B391" s="205" t="s">
        <v>372</v>
      </c>
      <c r="C391" s="151"/>
      <c r="D391" s="151"/>
      <c r="E391" s="176">
        <v>7618.91</v>
      </c>
      <c r="F391" s="305">
        <v>1700</v>
      </c>
      <c r="G391" s="177">
        <f>E391-F391</f>
        <v>5918.91</v>
      </c>
      <c r="H391" s="176">
        <v>7618.91</v>
      </c>
      <c r="I391" s="176">
        <v>1700</v>
      </c>
      <c r="J391" s="177">
        <f>H391-I391</f>
        <v>5918.91</v>
      </c>
      <c r="K391" s="253">
        <v>1061.3679999999999</v>
      </c>
      <c r="L391" s="253">
        <v>967.37099999999998</v>
      </c>
      <c r="M391" s="253"/>
      <c r="N391" s="287">
        <f t="shared" si="916"/>
        <v>2028.739</v>
      </c>
      <c r="O391" s="274"/>
      <c r="P391" s="274"/>
      <c r="Q391" s="291"/>
      <c r="R391" s="287"/>
      <c r="S391" s="291"/>
      <c r="T391" s="265"/>
      <c r="U391" s="274"/>
      <c r="V391" s="274"/>
      <c r="W391" s="291"/>
      <c r="X391" s="265"/>
      <c r="Y391" s="142"/>
      <c r="Z391" s="274"/>
      <c r="AA391" s="274"/>
      <c r="AB391" s="274"/>
      <c r="AC391" s="274"/>
      <c r="AD391" s="274"/>
      <c r="AE391" s="274"/>
      <c r="AF391" s="287">
        <f t="shared" si="922"/>
        <v>0</v>
      </c>
      <c r="AG391" s="283">
        <f t="shared" si="909"/>
        <v>2028.739</v>
      </c>
      <c r="AH391" s="228">
        <f t="shared" si="923"/>
        <v>6282141.6688799998</v>
      </c>
      <c r="AI391" s="228">
        <f t="shared" si="923"/>
        <v>5725781.8856099993</v>
      </c>
      <c r="AJ391" s="228">
        <f t="shared" si="923"/>
        <v>0</v>
      </c>
      <c r="AK391" s="261">
        <f t="shared" si="919"/>
        <v>12007923.55449</v>
      </c>
      <c r="AL391" s="229">
        <f t="shared" si="924"/>
        <v>0</v>
      </c>
      <c r="AM391" s="228">
        <f t="shared" si="924"/>
        <v>0</v>
      </c>
      <c r="AN391" s="228">
        <f t="shared" si="924"/>
        <v>0</v>
      </c>
      <c r="AO391" s="261"/>
      <c r="AP391" s="229">
        <f t="shared" si="925"/>
        <v>0</v>
      </c>
      <c r="AQ391" s="229">
        <f t="shared" si="925"/>
        <v>0</v>
      </c>
      <c r="AR391" s="229">
        <f t="shared" si="925"/>
        <v>0</v>
      </c>
      <c r="AS391" s="229">
        <f t="shared" si="925"/>
        <v>0</v>
      </c>
      <c r="AT391" s="229">
        <f t="shared" si="925"/>
        <v>0</v>
      </c>
      <c r="AU391" s="229">
        <f t="shared" si="925"/>
        <v>0</v>
      </c>
      <c r="AV391" s="261"/>
      <c r="AW391" s="229">
        <f t="shared" si="926"/>
        <v>0</v>
      </c>
      <c r="AX391" s="229">
        <f t="shared" si="926"/>
        <v>0</v>
      </c>
      <c r="AY391" s="229">
        <f t="shared" si="926"/>
        <v>0</v>
      </c>
      <c r="AZ391" s="229">
        <f t="shared" si="926"/>
        <v>0</v>
      </c>
      <c r="BA391" s="229">
        <f t="shared" si="926"/>
        <v>0</v>
      </c>
      <c r="BB391" s="229">
        <f t="shared" si="926"/>
        <v>0</v>
      </c>
      <c r="BC391" s="261">
        <f t="shared" si="904"/>
        <v>0</v>
      </c>
      <c r="BD391" s="239">
        <f t="shared" si="841"/>
        <v>12007923.55449</v>
      </c>
      <c r="BE391" s="246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44"/>
      <c r="CC391" s="244"/>
      <c r="CD391" s="244"/>
      <c r="CE391" s="244"/>
      <c r="CF391" s="244"/>
      <c r="CG391" s="244"/>
      <c r="CH391" s="244"/>
      <c r="CI391" s="244"/>
      <c r="CJ391" s="244"/>
      <c r="CK391" s="244"/>
      <c r="CL391" s="244"/>
      <c r="CM391" s="244"/>
      <c r="CN391" s="244"/>
      <c r="CO391" s="244"/>
      <c r="CP391" s="244"/>
      <c r="CQ391" s="244"/>
      <c r="CR391" s="244"/>
      <c r="CS391" s="244"/>
      <c r="CT391" s="244"/>
      <c r="CU391" s="244"/>
      <c r="CV391" s="244"/>
      <c r="CW391" s="244"/>
      <c r="CX391" s="244"/>
      <c r="CY391" s="244"/>
      <c r="CZ391" s="244"/>
      <c r="DA391" s="244"/>
      <c r="DB391" s="244"/>
      <c r="DC391" s="244"/>
      <c r="DD391" s="244"/>
      <c r="DE391" s="244"/>
      <c r="DF391" s="244"/>
      <c r="DG391" s="244"/>
      <c r="DH391" s="244"/>
      <c r="DI391" s="244"/>
      <c r="DJ391" s="244"/>
      <c r="DK391" s="244"/>
      <c r="DL391" s="244"/>
      <c r="DM391" s="244"/>
      <c r="DN391" s="244"/>
      <c r="DO391" s="244"/>
      <c r="DP391" s="244"/>
      <c r="DQ391" s="244"/>
      <c r="DR391" s="244"/>
      <c r="DS391" s="244"/>
      <c r="DT391" s="244"/>
      <c r="DU391" s="244"/>
      <c r="DV391" s="244"/>
      <c r="DW391" s="244"/>
      <c r="DX391" s="244"/>
      <c r="DY391" s="244"/>
      <c r="DZ391" s="244"/>
      <c r="EA391" s="244"/>
      <c r="EB391" s="244"/>
      <c r="EC391" s="244"/>
      <c r="ED391" s="244"/>
      <c r="EE391" s="244"/>
      <c r="EF391" s="244"/>
      <c r="EG391" s="244"/>
      <c r="EH391" s="244"/>
      <c r="EI391" s="244"/>
      <c r="EJ391" s="244"/>
      <c r="EK391" s="244"/>
      <c r="EL391" s="244"/>
      <c r="EM391" s="244"/>
      <c r="EN391" s="244"/>
      <c r="EO391" s="244"/>
      <c r="EP391" s="244"/>
      <c r="EQ391" s="244"/>
      <c r="ER391" s="244"/>
      <c r="ES391" s="244"/>
      <c r="ET391" s="244"/>
      <c r="EU391" s="244"/>
      <c r="EV391" s="244"/>
      <c r="EW391" s="244"/>
      <c r="EX391" s="244"/>
      <c r="EY391" s="244"/>
      <c r="EZ391" s="244"/>
      <c r="FA391" s="244"/>
      <c r="FB391" s="244"/>
      <c r="FC391" s="244"/>
      <c r="FD391" s="244"/>
      <c r="FE391" s="244"/>
      <c r="FF391" s="244"/>
      <c r="FG391" s="244"/>
      <c r="FH391" s="244"/>
      <c r="FI391" s="244"/>
      <c r="FJ391" s="244"/>
      <c r="FK391" s="244"/>
      <c r="FL391" s="244"/>
      <c r="FM391" s="244"/>
      <c r="FN391" s="244"/>
      <c r="FO391" s="244"/>
      <c r="FP391" s="244"/>
      <c r="FQ391" s="244"/>
      <c r="FR391" s="244"/>
      <c r="FS391" s="244"/>
      <c r="FT391" s="244"/>
      <c r="FU391" s="244"/>
      <c r="FV391" s="244"/>
      <c r="FW391" s="244"/>
      <c r="FX391" s="244"/>
      <c r="FY391" s="244"/>
      <c r="FZ391" s="244"/>
      <c r="GA391" s="244"/>
      <c r="GB391" s="244"/>
      <c r="GC391" s="244"/>
      <c r="GD391" s="244"/>
      <c r="GE391" s="244"/>
      <c r="GF391" s="244"/>
      <c r="GG391" s="244"/>
      <c r="GH391" s="244"/>
      <c r="GI391" s="244"/>
      <c r="GJ391" s="244"/>
      <c r="GK391" s="244"/>
      <c r="GL391" s="244"/>
      <c r="GM391" s="244"/>
      <c r="GN391" s="244"/>
      <c r="GO391" s="244"/>
      <c r="GP391" s="244"/>
      <c r="GQ391" s="244"/>
      <c r="GR391" s="244"/>
      <c r="GS391" s="244"/>
      <c r="GT391" s="244"/>
    </row>
    <row r="392" spans="1:202" s="83" customFormat="1" ht="12.75">
      <c r="A392" s="200"/>
      <c r="B392" s="205" t="s">
        <v>585</v>
      </c>
      <c r="C392" s="151"/>
      <c r="D392" s="151"/>
      <c r="E392" s="176">
        <v>18167.52</v>
      </c>
      <c r="F392" s="305">
        <v>1384</v>
      </c>
      <c r="G392" s="177">
        <f>E392-F392</f>
        <v>16783.52</v>
      </c>
      <c r="H392" s="176">
        <v>18167.52</v>
      </c>
      <c r="I392" s="176">
        <v>1384</v>
      </c>
      <c r="J392" s="177">
        <f>H392-I392</f>
        <v>16783.52</v>
      </c>
      <c r="K392" s="253">
        <v>39.338000000000001</v>
      </c>
      <c r="L392" s="253">
        <v>33.331000000000003</v>
      </c>
      <c r="M392" s="253"/>
      <c r="N392" s="287">
        <f t="shared" si="916"/>
        <v>72.669000000000011</v>
      </c>
      <c r="O392" s="274"/>
      <c r="P392" s="274"/>
      <c r="Q392" s="291"/>
      <c r="R392" s="287"/>
      <c r="S392" s="291"/>
      <c r="T392" s="265"/>
      <c r="U392" s="274"/>
      <c r="V392" s="274"/>
      <c r="W392" s="291"/>
      <c r="X392" s="265"/>
      <c r="Y392" s="142"/>
      <c r="Z392" s="274"/>
      <c r="AA392" s="274"/>
      <c r="AB392" s="274"/>
      <c r="AC392" s="274"/>
      <c r="AD392" s="274"/>
      <c r="AE392" s="274"/>
      <c r="AF392" s="287">
        <f t="shared" si="922"/>
        <v>0</v>
      </c>
      <c r="AG392" s="283">
        <f t="shared" si="909"/>
        <v>72.669000000000011</v>
      </c>
      <c r="AH392" s="228">
        <f t="shared" si="923"/>
        <v>660230.10976000002</v>
      </c>
      <c r="AI392" s="228">
        <f t="shared" si="923"/>
        <v>559411.5051200001</v>
      </c>
      <c r="AJ392" s="228">
        <f t="shared" si="923"/>
        <v>0</v>
      </c>
      <c r="AK392" s="261">
        <f t="shared" si="919"/>
        <v>1219641.6148800002</v>
      </c>
      <c r="AL392" s="229">
        <f t="shared" si="924"/>
        <v>0</v>
      </c>
      <c r="AM392" s="228">
        <f t="shared" si="924"/>
        <v>0</v>
      </c>
      <c r="AN392" s="228">
        <f t="shared" si="924"/>
        <v>0</v>
      </c>
      <c r="AO392" s="261"/>
      <c r="AP392" s="229">
        <f t="shared" si="925"/>
        <v>0</v>
      </c>
      <c r="AQ392" s="229">
        <f t="shared" si="925"/>
        <v>0</v>
      </c>
      <c r="AR392" s="229">
        <f t="shared" si="925"/>
        <v>0</v>
      </c>
      <c r="AS392" s="229">
        <f t="shared" si="925"/>
        <v>0</v>
      </c>
      <c r="AT392" s="229">
        <f t="shared" si="925"/>
        <v>0</v>
      </c>
      <c r="AU392" s="229">
        <f t="shared" si="925"/>
        <v>0</v>
      </c>
      <c r="AV392" s="261"/>
      <c r="AW392" s="229">
        <f t="shared" si="926"/>
        <v>0</v>
      </c>
      <c r="AX392" s="229">
        <f t="shared" si="926"/>
        <v>0</v>
      </c>
      <c r="AY392" s="229">
        <f t="shared" si="926"/>
        <v>0</v>
      </c>
      <c r="AZ392" s="229">
        <f t="shared" si="926"/>
        <v>0</v>
      </c>
      <c r="BA392" s="229">
        <f t="shared" si="926"/>
        <v>0</v>
      </c>
      <c r="BB392" s="229">
        <f t="shared" si="926"/>
        <v>0</v>
      </c>
      <c r="BC392" s="261">
        <f t="shared" si="904"/>
        <v>0</v>
      </c>
      <c r="BD392" s="239">
        <f t="shared" si="841"/>
        <v>1219641.6148800002</v>
      </c>
      <c r="BE392" s="246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44"/>
      <c r="CC392" s="244"/>
      <c r="CD392" s="244"/>
      <c r="CE392" s="244"/>
      <c r="CF392" s="244"/>
      <c r="CG392" s="244"/>
      <c r="CH392" s="244"/>
      <c r="CI392" s="244"/>
      <c r="CJ392" s="244"/>
      <c r="CK392" s="244"/>
      <c r="CL392" s="244"/>
      <c r="CM392" s="244"/>
      <c r="CN392" s="244"/>
      <c r="CO392" s="244"/>
      <c r="CP392" s="244"/>
      <c r="CQ392" s="244"/>
      <c r="CR392" s="244"/>
      <c r="CS392" s="244"/>
      <c r="CT392" s="244"/>
      <c r="CU392" s="244"/>
      <c r="CV392" s="244"/>
      <c r="CW392" s="244"/>
      <c r="CX392" s="244"/>
      <c r="CY392" s="244"/>
      <c r="CZ392" s="244"/>
      <c r="DA392" s="244"/>
      <c r="DB392" s="244"/>
      <c r="DC392" s="244"/>
      <c r="DD392" s="244"/>
      <c r="DE392" s="244"/>
      <c r="DF392" s="244"/>
      <c r="DG392" s="244"/>
      <c r="DH392" s="244"/>
      <c r="DI392" s="244"/>
      <c r="DJ392" s="244"/>
      <c r="DK392" s="244"/>
      <c r="DL392" s="244"/>
      <c r="DM392" s="244"/>
      <c r="DN392" s="244"/>
      <c r="DO392" s="244"/>
      <c r="DP392" s="244"/>
      <c r="DQ392" s="244"/>
      <c r="DR392" s="244"/>
      <c r="DS392" s="244"/>
      <c r="DT392" s="244"/>
      <c r="DU392" s="244"/>
      <c r="DV392" s="244"/>
      <c r="DW392" s="244"/>
      <c r="DX392" s="244"/>
      <c r="DY392" s="244"/>
      <c r="DZ392" s="244"/>
      <c r="EA392" s="244"/>
      <c r="EB392" s="244"/>
      <c r="EC392" s="244"/>
      <c r="ED392" s="244"/>
      <c r="EE392" s="244"/>
      <c r="EF392" s="244"/>
      <c r="EG392" s="244"/>
      <c r="EH392" s="244"/>
      <c r="EI392" s="244"/>
      <c r="EJ392" s="244"/>
      <c r="EK392" s="244"/>
      <c r="EL392" s="244"/>
      <c r="EM392" s="244"/>
      <c r="EN392" s="244"/>
      <c r="EO392" s="244"/>
      <c r="EP392" s="244"/>
      <c r="EQ392" s="244"/>
      <c r="ER392" s="244"/>
      <c r="ES392" s="244"/>
      <c r="ET392" s="244"/>
      <c r="EU392" s="244"/>
      <c r="EV392" s="244"/>
      <c r="EW392" s="244"/>
      <c r="EX392" s="244"/>
      <c r="EY392" s="244"/>
      <c r="EZ392" s="244"/>
      <c r="FA392" s="244"/>
      <c r="FB392" s="244"/>
      <c r="FC392" s="244"/>
      <c r="FD392" s="244"/>
      <c r="FE392" s="244"/>
      <c r="FF392" s="244"/>
      <c r="FG392" s="244"/>
      <c r="FH392" s="244"/>
      <c r="FI392" s="244"/>
      <c r="FJ392" s="244"/>
      <c r="FK392" s="244"/>
      <c r="FL392" s="244"/>
      <c r="FM392" s="244"/>
      <c r="FN392" s="244"/>
      <c r="FO392" s="244"/>
      <c r="FP392" s="244"/>
      <c r="FQ392" s="244"/>
      <c r="FR392" s="244"/>
      <c r="FS392" s="244"/>
      <c r="FT392" s="244"/>
      <c r="FU392" s="244"/>
      <c r="FV392" s="244"/>
      <c r="FW392" s="244"/>
      <c r="FX392" s="244"/>
      <c r="FY392" s="244"/>
      <c r="FZ392" s="244"/>
      <c r="GA392" s="244"/>
      <c r="GB392" s="244"/>
      <c r="GC392" s="244"/>
      <c r="GD392" s="244"/>
      <c r="GE392" s="244"/>
      <c r="GF392" s="244"/>
      <c r="GG392" s="244"/>
      <c r="GH392" s="244"/>
      <c r="GI392" s="244"/>
      <c r="GJ392" s="244"/>
      <c r="GK392" s="244"/>
      <c r="GL392" s="244"/>
      <c r="GM392" s="244"/>
      <c r="GN392" s="244"/>
      <c r="GO392" s="244"/>
      <c r="GP392" s="244"/>
      <c r="GQ392" s="244"/>
      <c r="GR392" s="244"/>
      <c r="GS392" s="244"/>
      <c r="GT392" s="244"/>
    </row>
    <row r="393" spans="1:202" s="83" customFormat="1" ht="20.25">
      <c r="A393" s="187" t="s">
        <v>26</v>
      </c>
      <c r="B393" s="170" t="s">
        <v>96</v>
      </c>
      <c r="C393" s="216" t="s">
        <v>403</v>
      </c>
      <c r="D393" s="138">
        <v>2918011948</v>
      </c>
      <c r="E393" s="147">
        <v>4773.55</v>
      </c>
      <c r="F393" s="209">
        <v>1510</v>
      </c>
      <c r="G393" s="177"/>
      <c r="H393" s="147"/>
      <c r="I393" s="209"/>
      <c r="J393" s="210"/>
      <c r="K393" s="251">
        <f>SUM(K394:K396)</f>
        <v>13267.522999999999</v>
      </c>
      <c r="L393" s="251">
        <f>SUM(L394:L396)</f>
        <v>10004.402</v>
      </c>
      <c r="M393" s="251">
        <f>SUM(M394:M396)</f>
        <v>0</v>
      </c>
      <c r="N393" s="284">
        <f t="shared" si="916"/>
        <v>23271.924999999999</v>
      </c>
      <c r="O393" s="272">
        <f>SUM(O394:O396)</f>
        <v>0</v>
      </c>
      <c r="P393" s="272">
        <f>SUM(P394:P396)</f>
        <v>0</v>
      </c>
      <c r="Q393" s="272">
        <f>SUM(Q394:Q396)</f>
        <v>0</v>
      </c>
      <c r="R393" s="284">
        <f>O393+P393+Q393</f>
        <v>0</v>
      </c>
      <c r="S393" s="289">
        <f t="shared" ref="S393:X393" si="927">SUM(S394:S396)</f>
        <v>0</v>
      </c>
      <c r="T393" s="289">
        <f t="shared" si="927"/>
        <v>0</v>
      </c>
      <c r="U393" s="289">
        <f t="shared" si="927"/>
        <v>0</v>
      </c>
      <c r="V393" s="289">
        <f t="shared" si="927"/>
        <v>0</v>
      </c>
      <c r="W393" s="289">
        <f t="shared" si="927"/>
        <v>0</v>
      </c>
      <c r="X393" s="289">
        <f t="shared" si="927"/>
        <v>0</v>
      </c>
      <c r="Y393" s="262">
        <f>SUM(S393:X393)</f>
        <v>0</v>
      </c>
      <c r="Z393" s="272">
        <f t="shared" ref="Z393:AE393" si="928">SUM(Z394:Z396)</f>
        <v>0</v>
      </c>
      <c r="AA393" s="272">
        <f t="shared" si="928"/>
        <v>0</v>
      </c>
      <c r="AB393" s="272">
        <f t="shared" si="928"/>
        <v>0</v>
      </c>
      <c r="AC393" s="272">
        <f t="shared" si="928"/>
        <v>0</v>
      </c>
      <c r="AD393" s="272">
        <f t="shared" si="928"/>
        <v>0</v>
      </c>
      <c r="AE393" s="272">
        <f t="shared" si="928"/>
        <v>0</v>
      </c>
      <c r="AF393" s="287">
        <f t="shared" si="922"/>
        <v>0</v>
      </c>
      <c r="AG393" s="282">
        <f t="shared" si="909"/>
        <v>23271.924999999999</v>
      </c>
      <c r="AH393" s="227">
        <f>SUM(AH394:AH396)</f>
        <v>49660887.505349994</v>
      </c>
      <c r="AI393" s="227">
        <f>SUM(AI394:AI396)</f>
        <v>35687613.959940001</v>
      </c>
      <c r="AJ393" s="227">
        <f>SUM(AJ394:AJ396)</f>
        <v>0</v>
      </c>
      <c r="AK393" s="260">
        <f t="shared" si="919"/>
        <v>85348501.465289995</v>
      </c>
      <c r="AL393" s="227">
        <f>SUM(AL394:AL396)</f>
        <v>0</v>
      </c>
      <c r="AM393" s="227">
        <f>SUM(AM394:AM396)</f>
        <v>0</v>
      </c>
      <c r="AN393" s="227">
        <f>SUM(AN394:AN396)</f>
        <v>0</v>
      </c>
      <c r="AO393" s="260">
        <f>SUM(AL393:AN393)</f>
        <v>0</v>
      </c>
      <c r="AP393" s="227">
        <f t="shared" ref="AP393:AU393" si="929">SUM(AP394:AP396)</f>
        <v>0</v>
      </c>
      <c r="AQ393" s="227">
        <f t="shared" si="929"/>
        <v>0</v>
      </c>
      <c r="AR393" s="227">
        <f t="shared" si="929"/>
        <v>0</v>
      </c>
      <c r="AS393" s="227">
        <f t="shared" si="929"/>
        <v>0</v>
      </c>
      <c r="AT393" s="227">
        <f t="shared" si="929"/>
        <v>0</v>
      </c>
      <c r="AU393" s="227">
        <f t="shared" si="929"/>
        <v>0</v>
      </c>
      <c r="AV393" s="260">
        <f>SUM(AP393:AU393)</f>
        <v>0</v>
      </c>
      <c r="AW393" s="227">
        <f t="shared" ref="AW393:BB393" si="930">SUM(AW394:AW396)</f>
        <v>0</v>
      </c>
      <c r="AX393" s="227">
        <f t="shared" si="930"/>
        <v>0</v>
      </c>
      <c r="AY393" s="227">
        <f t="shared" si="930"/>
        <v>0</v>
      </c>
      <c r="AZ393" s="227">
        <f t="shared" si="930"/>
        <v>0</v>
      </c>
      <c r="BA393" s="227">
        <f t="shared" si="930"/>
        <v>0</v>
      </c>
      <c r="BB393" s="227">
        <f t="shared" si="930"/>
        <v>0</v>
      </c>
      <c r="BC393" s="261">
        <f t="shared" si="904"/>
        <v>0</v>
      </c>
      <c r="BD393" s="239">
        <f t="shared" si="841"/>
        <v>85348501.465289995</v>
      </c>
      <c r="BE393" s="13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44"/>
      <c r="CC393" s="244"/>
      <c r="CD393" s="244"/>
      <c r="CE393" s="244"/>
      <c r="CF393" s="244"/>
      <c r="CG393" s="244"/>
      <c r="CH393" s="244"/>
      <c r="CI393" s="244"/>
      <c r="CJ393" s="244"/>
      <c r="CK393" s="244"/>
      <c r="CL393" s="244"/>
      <c r="CM393" s="244"/>
      <c r="CN393" s="244"/>
      <c r="CO393" s="244"/>
      <c r="CP393" s="244"/>
      <c r="CQ393" s="244"/>
      <c r="CR393" s="244"/>
      <c r="CS393" s="244"/>
      <c r="CT393" s="244"/>
      <c r="CU393" s="244"/>
      <c r="CV393" s="244"/>
      <c r="CW393" s="244"/>
      <c r="CX393" s="244"/>
      <c r="CY393" s="244"/>
      <c r="CZ393" s="244"/>
      <c r="DA393" s="244"/>
      <c r="DB393" s="244"/>
      <c r="DC393" s="244"/>
      <c r="DD393" s="244"/>
      <c r="DE393" s="244"/>
      <c r="DF393" s="244"/>
      <c r="DG393" s="244"/>
      <c r="DH393" s="244"/>
      <c r="DI393" s="244"/>
      <c r="DJ393" s="244"/>
      <c r="DK393" s="244"/>
      <c r="DL393" s="244"/>
      <c r="DM393" s="244"/>
      <c r="DN393" s="244"/>
      <c r="DO393" s="244"/>
      <c r="DP393" s="244"/>
      <c r="DQ393" s="244"/>
      <c r="DR393" s="244"/>
      <c r="DS393" s="244"/>
      <c r="DT393" s="244"/>
      <c r="DU393" s="244"/>
      <c r="DV393" s="244"/>
      <c r="DW393" s="244"/>
      <c r="DX393" s="244"/>
      <c r="DY393" s="244"/>
      <c r="DZ393" s="244"/>
      <c r="EA393" s="244"/>
      <c r="EB393" s="244"/>
      <c r="EC393" s="244"/>
      <c r="ED393" s="244"/>
      <c r="EE393" s="244"/>
      <c r="EF393" s="244"/>
      <c r="EG393" s="244"/>
      <c r="EH393" s="244"/>
      <c r="EI393" s="244"/>
      <c r="EJ393" s="244"/>
      <c r="EK393" s="244"/>
      <c r="EL393" s="244"/>
      <c r="EM393" s="244"/>
      <c r="EN393" s="244"/>
      <c r="EO393" s="244"/>
      <c r="EP393" s="244"/>
      <c r="EQ393" s="244"/>
      <c r="ER393" s="244"/>
      <c r="ES393" s="244"/>
      <c r="ET393" s="244"/>
      <c r="EU393" s="244"/>
      <c r="EV393" s="244"/>
      <c r="EW393" s="244"/>
      <c r="EX393" s="244"/>
      <c r="EY393" s="244"/>
      <c r="EZ393" s="244"/>
      <c r="FA393" s="244"/>
      <c r="FB393" s="244"/>
      <c r="FC393" s="244"/>
      <c r="FD393" s="244"/>
      <c r="FE393" s="244"/>
      <c r="FF393" s="244"/>
      <c r="FG393" s="244"/>
      <c r="FH393" s="244"/>
      <c r="FI393" s="244"/>
      <c r="FJ393" s="244"/>
      <c r="FK393" s="244"/>
      <c r="FL393" s="244"/>
      <c r="FM393" s="244"/>
      <c r="FN393" s="244"/>
      <c r="FO393" s="244"/>
      <c r="FP393" s="244"/>
      <c r="FQ393" s="244"/>
      <c r="FR393" s="244"/>
      <c r="FS393" s="244"/>
      <c r="FT393" s="244"/>
      <c r="FU393" s="244"/>
      <c r="FV393" s="244"/>
      <c r="FW393" s="244"/>
      <c r="FX393" s="244"/>
      <c r="FY393" s="244"/>
      <c r="FZ393" s="244"/>
      <c r="GA393" s="244"/>
      <c r="GB393" s="244"/>
      <c r="GC393" s="244"/>
      <c r="GD393" s="244"/>
      <c r="GE393" s="244"/>
      <c r="GF393" s="244"/>
      <c r="GG393" s="244"/>
      <c r="GH393" s="244"/>
      <c r="GI393" s="244"/>
      <c r="GJ393" s="244"/>
      <c r="GK393" s="244"/>
      <c r="GL393" s="244"/>
      <c r="GM393" s="244"/>
      <c r="GN393" s="244"/>
      <c r="GO393" s="244"/>
      <c r="GP393" s="244"/>
      <c r="GQ393" s="244"/>
      <c r="GR393" s="244"/>
      <c r="GS393" s="244"/>
      <c r="GT393" s="244"/>
    </row>
    <row r="394" spans="1:202" s="83" customFormat="1" ht="12.75">
      <c r="A394" s="200"/>
      <c r="B394" s="205"/>
      <c r="C394" s="151" t="s">
        <v>577</v>
      </c>
      <c r="D394" s="151"/>
      <c r="E394" s="176">
        <v>5794.29</v>
      </c>
      <c r="F394" s="305">
        <v>1377</v>
      </c>
      <c r="G394" s="177">
        <f>E394-F394</f>
        <v>4417.29</v>
      </c>
      <c r="H394" s="176">
        <v>5794.29</v>
      </c>
      <c r="I394" s="176">
        <v>1377</v>
      </c>
      <c r="J394" s="177">
        <f>H394-I394</f>
        <v>4417.29</v>
      </c>
      <c r="K394" s="253">
        <v>10435.105</v>
      </c>
      <c r="L394" s="253">
        <v>7311.8980000000001</v>
      </c>
      <c r="M394" s="253"/>
      <c r="N394" s="287">
        <f t="shared" si="916"/>
        <v>17747.003000000001</v>
      </c>
      <c r="O394" s="274"/>
      <c r="P394" s="274"/>
      <c r="Q394" s="291"/>
      <c r="R394" s="287"/>
      <c r="S394" s="291"/>
      <c r="T394" s="265"/>
      <c r="U394" s="274"/>
      <c r="V394" s="274"/>
      <c r="W394" s="291"/>
      <c r="X394" s="265"/>
      <c r="Y394" s="142"/>
      <c r="Z394" s="274"/>
      <c r="AA394" s="274"/>
      <c r="AB394" s="274"/>
      <c r="AC394" s="274"/>
      <c r="AD394" s="274"/>
      <c r="AE394" s="274"/>
      <c r="AF394" s="287">
        <f t="shared" si="922"/>
        <v>0</v>
      </c>
      <c r="AG394" s="283">
        <f t="shared" si="909"/>
        <v>17747.003000000001</v>
      </c>
      <c r="AH394" s="228">
        <f t="shared" ref="AH394:AJ397" si="931">K394*$G394</f>
        <v>46094884.965449996</v>
      </c>
      <c r="AI394" s="228">
        <f t="shared" si="931"/>
        <v>32298773.916420002</v>
      </c>
      <c r="AJ394" s="228">
        <f t="shared" si="931"/>
        <v>0</v>
      </c>
      <c r="AK394" s="261">
        <f t="shared" si="919"/>
        <v>78393658.881870002</v>
      </c>
      <c r="AL394" s="229">
        <f t="shared" ref="AL394:AN397" si="932">O394*$G394</f>
        <v>0</v>
      </c>
      <c r="AM394" s="228">
        <f t="shared" si="932"/>
        <v>0</v>
      </c>
      <c r="AN394" s="228">
        <f t="shared" si="932"/>
        <v>0</v>
      </c>
      <c r="AO394" s="261"/>
      <c r="AP394" s="229">
        <f t="shared" ref="AP394:AU397" si="933">S394*$J394</f>
        <v>0</v>
      </c>
      <c r="AQ394" s="229">
        <f t="shared" si="933"/>
        <v>0</v>
      </c>
      <c r="AR394" s="229">
        <f t="shared" si="933"/>
        <v>0</v>
      </c>
      <c r="AS394" s="229">
        <f t="shared" si="933"/>
        <v>0</v>
      </c>
      <c r="AT394" s="229">
        <f t="shared" si="933"/>
        <v>0</v>
      </c>
      <c r="AU394" s="229">
        <f t="shared" si="933"/>
        <v>0</v>
      </c>
      <c r="AV394" s="261"/>
      <c r="AW394" s="229">
        <f t="shared" ref="AW394:BB397" si="934">Z394*$J394</f>
        <v>0</v>
      </c>
      <c r="AX394" s="229">
        <f t="shared" si="934"/>
        <v>0</v>
      </c>
      <c r="AY394" s="229">
        <f t="shared" si="934"/>
        <v>0</v>
      </c>
      <c r="AZ394" s="229">
        <f t="shared" si="934"/>
        <v>0</v>
      </c>
      <c r="BA394" s="229">
        <f t="shared" si="934"/>
        <v>0</v>
      </c>
      <c r="BB394" s="229">
        <f t="shared" si="934"/>
        <v>0</v>
      </c>
      <c r="BC394" s="261">
        <f t="shared" si="904"/>
        <v>0</v>
      </c>
      <c r="BD394" s="239">
        <f t="shared" si="841"/>
        <v>78393658.881870002</v>
      </c>
      <c r="BE394" s="246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44"/>
      <c r="CC394" s="244"/>
      <c r="CD394" s="244"/>
      <c r="CE394" s="244"/>
      <c r="CF394" s="244"/>
      <c r="CG394" s="244"/>
      <c r="CH394" s="244"/>
      <c r="CI394" s="244"/>
      <c r="CJ394" s="244"/>
      <c r="CK394" s="244"/>
      <c r="CL394" s="244"/>
      <c r="CM394" s="244"/>
      <c r="CN394" s="244"/>
      <c r="CO394" s="244"/>
      <c r="CP394" s="244"/>
      <c r="CQ394" s="244"/>
      <c r="CR394" s="244"/>
      <c r="CS394" s="244"/>
      <c r="CT394" s="244"/>
      <c r="CU394" s="244"/>
      <c r="CV394" s="244"/>
      <c r="CW394" s="244"/>
      <c r="CX394" s="244"/>
      <c r="CY394" s="244"/>
      <c r="CZ394" s="244"/>
      <c r="DA394" s="244"/>
      <c r="DB394" s="244"/>
      <c r="DC394" s="244"/>
      <c r="DD394" s="244"/>
      <c r="DE394" s="244"/>
      <c r="DF394" s="244"/>
      <c r="DG394" s="244"/>
      <c r="DH394" s="244"/>
      <c r="DI394" s="244"/>
      <c r="DJ394" s="244"/>
      <c r="DK394" s="244"/>
      <c r="DL394" s="244"/>
      <c r="DM394" s="244"/>
      <c r="DN394" s="244"/>
      <c r="DO394" s="244"/>
      <c r="DP394" s="244"/>
      <c r="DQ394" s="244"/>
      <c r="DR394" s="244"/>
      <c r="DS394" s="244"/>
      <c r="DT394" s="244"/>
      <c r="DU394" s="244"/>
      <c r="DV394" s="244"/>
      <c r="DW394" s="244"/>
      <c r="DX394" s="244"/>
      <c r="DY394" s="244"/>
      <c r="DZ394" s="244"/>
      <c r="EA394" s="244"/>
      <c r="EB394" s="244"/>
      <c r="EC394" s="244"/>
      <c r="ED394" s="244"/>
      <c r="EE394" s="244"/>
      <c r="EF394" s="244"/>
      <c r="EG394" s="244"/>
      <c r="EH394" s="244"/>
      <c r="EI394" s="244"/>
      <c r="EJ394" s="244"/>
      <c r="EK394" s="244"/>
      <c r="EL394" s="244"/>
      <c r="EM394" s="244"/>
      <c r="EN394" s="244"/>
      <c r="EO394" s="244"/>
      <c r="EP394" s="244"/>
      <c r="EQ394" s="244"/>
      <c r="ER394" s="244"/>
      <c r="ES394" s="244"/>
      <c r="ET394" s="244"/>
      <c r="EU394" s="244"/>
      <c r="EV394" s="244"/>
      <c r="EW394" s="244"/>
      <c r="EX394" s="244"/>
      <c r="EY394" s="244"/>
      <c r="EZ394" s="244"/>
      <c r="FA394" s="244"/>
      <c r="FB394" s="244"/>
      <c r="FC394" s="244"/>
      <c r="FD394" s="244"/>
      <c r="FE394" s="244"/>
      <c r="FF394" s="244"/>
      <c r="FG394" s="244"/>
      <c r="FH394" s="244"/>
      <c r="FI394" s="244"/>
      <c r="FJ394" s="244"/>
      <c r="FK394" s="244"/>
      <c r="FL394" s="244"/>
      <c r="FM394" s="244"/>
      <c r="FN394" s="244"/>
      <c r="FO394" s="244"/>
      <c r="FP394" s="244"/>
      <c r="FQ394" s="244"/>
      <c r="FR394" s="244"/>
      <c r="FS394" s="244"/>
      <c r="FT394" s="244"/>
      <c r="FU394" s="244"/>
      <c r="FV394" s="244"/>
      <c r="FW394" s="244"/>
      <c r="FX394" s="244"/>
      <c r="FY394" s="244"/>
      <c r="FZ394" s="244"/>
      <c r="GA394" s="244"/>
      <c r="GB394" s="244"/>
      <c r="GC394" s="244"/>
      <c r="GD394" s="244"/>
      <c r="GE394" s="244"/>
      <c r="GF394" s="244"/>
      <c r="GG394" s="244"/>
      <c r="GH394" s="244"/>
      <c r="GI394" s="244"/>
      <c r="GJ394" s="244"/>
      <c r="GK394" s="244"/>
      <c r="GL394" s="244"/>
      <c r="GM394" s="244"/>
      <c r="GN394" s="244"/>
      <c r="GO394" s="244"/>
      <c r="GP394" s="244"/>
      <c r="GQ394" s="244"/>
      <c r="GR394" s="244"/>
      <c r="GS394" s="244"/>
      <c r="GT394" s="244"/>
    </row>
    <row r="395" spans="1:202" s="83" customFormat="1" ht="12.75">
      <c r="A395" s="200"/>
      <c r="B395" s="205"/>
      <c r="C395" s="151" t="s">
        <v>578</v>
      </c>
      <c r="D395" s="151"/>
      <c r="E395" s="176">
        <v>5794.29</v>
      </c>
      <c r="F395" s="305">
        <v>1377</v>
      </c>
      <c r="G395" s="177">
        <f>E395-F395</f>
        <v>4417.29</v>
      </c>
      <c r="H395" s="176">
        <v>5794.29</v>
      </c>
      <c r="I395" s="176">
        <v>1377</v>
      </c>
      <c r="J395" s="177">
        <f>H395-I395</f>
        <v>4417.29</v>
      </c>
      <c r="K395" s="253">
        <v>785.49900000000002</v>
      </c>
      <c r="L395" s="253">
        <f>746.561-0.095</f>
        <v>746.46600000000001</v>
      </c>
      <c r="M395" s="253"/>
      <c r="N395" s="287">
        <f t="shared" si="916"/>
        <v>1531.9650000000001</v>
      </c>
      <c r="O395" s="274"/>
      <c r="P395" s="274"/>
      <c r="Q395" s="291"/>
      <c r="R395" s="287"/>
      <c r="S395" s="291"/>
      <c r="T395" s="265"/>
      <c r="U395" s="274"/>
      <c r="V395" s="274"/>
      <c r="W395" s="291"/>
      <c r="X395" s="265"/>
      <c r="Y395" s="142"/>
      <c r="Z395" s="274"/>
      <c r="AA395" s="274"/>
      <c r="AB395" s="274"/>
      <c r="AC395" s="274"/>
      <c r="AD395" s="274"/>
      <c r="AE395" s="274"/>
      <c r="AF395" s="287">
        <f t="shared" si="922"/>
        <v>0</v>
      </c>
      <c r="AG395" s="283">
        <f t="shared" si="909"/>
        <v>1531.9650000000001</v>
      </c>
      <c r="AH395" s="228">
        <f t="shared" si="931"/>
        <v>3469776.8777100001</v>
      </c>
      <c r="AI395" s="228">
        <f t="shared" si="931"/>
        <v>3297356.7971399999</v>
      </c>
      <c r="AJ395" s="228">
        <f t="shared" si="931"/>
        <v>0</v>
      </c>
      <c r="AK395" s="261">
        <f t="shared" si="919"/>
        <v>6767133.6748500001</v>
      </c>
      <c r="AL395" s="229">
        <f t="shared" si="932"/>
        <v>0</v>
      </c>
      <c r="AM395" s="228">
        <f t="shared" si="932"/>
        <v>0</v>
      </c>
      <c r="AN395" s="228">
        <f t="shared" si="932"/>
        <v>0</v>
      </c>
      <c r="AO395" s="261"/>
      <c r="AP395" s="229">
        <f t="shared" si="933"/>
        <v>0</v>
      </c>
      <c r="AQ395" s="229">
        <f t="shared" si="933"/>
        <v>0</v>
      </c>
      <c r="AR395" s="229">
        <f t="shared" si="933"/>
        <v>0</v>
      </c>
      <c r="AS395" s="229">
        <f t="shared" si="933"/>
        <v>0</v>
      </c>
      <c r="AT395" s="229">
        <f t="shared" si="933"/>
        <v>0</v>
      </c>
      <c r="AU395" s="229">
        <f t="shared" si="933"/>
        <v>0</v>
      </c>
      <c r="AV395" s="261"/>
      <c r="AW395" s="229">
        <f t="shared" si="934"/>
        <v>0</v>
      </c>
      <c r="AX395" s="229">
        <f t="shared" si="934"/>
        <v>0</v>
      </c>
      <c r="AY395" s="229">
        <f t="shared" si="934"/>
        <v>0</v>
      </c>
      <c r="AZ395" s="229">
        <f t="shared" si="934"/>
        <v>0</v>
      </c>
      <c r="BA395" s="229">
        <f t="shared" si="934"/>
        <v>0</v>
      </c>
      <c r="BB395" s="229">
        <f t="shared" si="934"/>
        <v>0</v>
      </c>
      <c r="BC395" s="261">
        <f t="shared" si="904"/>
        <v>0</v>
      </c>
      <c r="BD395" s="239">
        <f t="shared" si="841"/>
        <v>6767133.6748500001</v>
      </c>
      <c r="BE395" s="246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44"/>
      <c r="CC395" s="244"/>
      <c r="CD395" s="244"/>
      <c r="CE395" s="244"/>
      <c r="CF395" s="244"/>
      <c r="CG395" s="244"/>
      <c r="CH395" s="244"/>
      <c r="CI395" s="244"/>
      <c r="CJ395" s="244"/>
      <c r="CK395" s="244"/>
      <c r="CL395" s="244"/>
      <c r="CM395" s="244"/>
      <c r="CN395" s="244"/>
      <c r="CO395" s="244"/>
      <c r="CP395" s="244"/>
      <c r="CQ395" s="244"/>
      <c r="CR395" s="244"/>
      <c r="CS395" s="244"/>
      <c r="CT395" s="244"/>
      <c r="CU395" s="244"/>
      <c r="CV395" s="244"/>
      <c r="CW395" s="244"/>
      <c r="CX395" s="244"/>
      <c r="CY395" s="244"/>
      <c r="CZ395" s="244"/>
      <c r="DA395" s="244"/>
      <c r="DB395" s="244"/>
      <c r="DC395" s="244"/>
      <c r="DD395" s="244"/>
      <c r="DE395" s="244"/>
      <c r="DF395" s="244"/>
      <c r="DG395" s="244"/>
      <c r="DH395" s="244"/>
      <c r="DI395" s="244"/>
      <c r="DJ395" s="244"/>
      <c r="DK395" s="244"/>
      <c r="DL395" s="244"/>
      <c r="DM395" s="244"/>
      <c r="DN395" s="244"/>
      <c r="DO395" s="244"/>
      <c r="DP395" s="244"/>
      <c r="DQ395" s="244"/>
      <c r="DR395" s="244"/>
      <c r="DS395" s="244"/>
      <c r="DT395" s="244"/>
      <c r="DU395" s="244"/>
      <c r="DV395" s="244"/>
      <c r="DW395" s="244"/>
      <c r="DX395" s="244"/>
      <c r="DY395" s="244"/>
      <c r="DZ395" s="244"/>
      <c r="EA395" s="244"/>
      <c r="EB395" s="244"/>
      <c r="EC395" s="244"/>
      <c r="ED395" s="244"/>
      <c r="EE395" s="244"/>
      <c r="EF395" s="244"/>
      <c r="EG395" s="244"/>
      <c r="EH395" s="244"/>
      <c r="EI395" s="244"/>
      <c r="EJ395" s="244"/>
      <c r="EK395" s="244"/>
      <c r="EL395" s="244"/>
      <c r="EM395" s="244"/>
      <c r="EN395" s="244"/>
      <c r="EO395" s="244"/>
      <c r="EP395" s="244"/>
      <c r="EQ395" s="244"/>
      <c r="ER395" s="244"/>
      <c r="ES395" s="244"/>
      <c r="ET395" s="244"/>
      <c r="EU395" s="244"/>
      <c r="EV395" s="244"/>
      <c r="EW395" s="244"/>
      <c r="EX395" s="244"/>
      <c r="EY395" s="244"/>
      <c r="EZ395" s="244"/>
      <c r="FA395" s="244"/>
      <c r="FB395" s="244"/>
      <c r="FC395" s="244"/>
      <c r="FD395" s="244"/>
      <c r="FE395" s="244"/>
      <c r="FF395" s="244"/>
      <c r="FG395" s="244"/>
      <c r="FH395" s="244"/>
      <c r="FI395" s="244"/>
      <c r="FJ395" s="244"/>
      <c r="FK395" s="244"/>
      <c r="FL395" s="244"/>
      <c r="FM395" s="244"/>
      <c r="FN395" s="244"/>
      <c r="FO395" s="244"/>
      <c r="FP395" s="244"/>
      <c r="FQ395" s="244"/>
      <c r="FR395" s="244"/>
      <c r="FS395" s="244"/>
      <c r="FT395" s="244"/>
      <c r="FU395" s="244"/>
      <c r="FV395" s="244"/>
      <c r="FW395" s="244"/>
      <c r="FX395" s="244"/>
      <c r="FY395" s="244"/>
      <c r="FZ395" s="244"/>
      <c r="GA395" s="244"/>
      <c r="GB395" s="244"/>
      <c r="GC395" s="244"/>
      <c r="GD395" s="244"/>
      <c r="GE395" s="244"/>
      <c r="GF395" s="244"/>
      <c r="GG395" s="244"/>
      <c r="GH395" s="244"/>
      <c r="GI395" s="244"/>
      <c r="GJ395" s="244"/>
      <c r="GK395" s="244"/>
      <c r="GL395" s="244"/>
      <c r="GM395" s="244"/>
      <c r="GN395" s="244"/>
      <c r="GO395" s="244"/>
      <c r="GP395" s="244"/>
      <c r="GQ395" s="244"/>
      <c r="GR395" s="244"/>
      <c r="GS395" s="244"/>
      <c r="GT395" s="244"/>
    </row>
    <row r="396" spans="1:202" s="83" customFormat="1" ht="12.75">
      <c r="A396" s="200"/>
      <c r="B396" s="205"/>
      <c r="C396" s="151" t="s">
        <v>579</v>
      </c>
      <c r="D396" s="151"/>
      <c r="E396" s="176">
        <v>94.43</v>
      </c>
      <c r="F396" s="305">
        <v>47.42</v>
      </c>
      <c r="G396" s="177">
        <f>E396-F396</f>
        <v>47.010000000000005</v>
      </c>
      <c r="H396" s="176">
        <v>94.43</v>
      </c>
      <c r="I396" s="176">
        <v>47.42</v>
      </c>
      <c r="J396" s="177">
        <f>H396-I396</f>
        <v>47.010000000000005</v>
      </c>
      <c r="K396" s="253">
        <v>2046.9190000000001</v>
      </c>
      <c r="L396" s="253">
        <f>1941.206+4.832</f>
        <v>1946.038</v>
      </c>
      <c r="M396" s="253"/>
      <c r="N396" s="287">
        <f t="shared" si="916"/>
        <v>3992.9570000000003</v>
      </c>
      <c r="O396" s="274"/>
      <c r="P396" s="274"/>
      <c r="Q396" s="291"/>
      <c r="R396" s="287"/>
      <c r="S396" s="291"/>
      <c r="T396" s="265"/>
      <c r="U396" s="274"/>
      <c r="V396" s="274"/>
      <c r="W396" s="291"/>
      <c r="X396" s="265"/>
      <c r="Y396" s="142"/>
      <c r="Z396" s="274"/>
      <c r="AA396" s="274"/>
      <c r="AB396" s="274"/>
      <c r="AC396" s="274"/>
      <c r="AD396" s="274"/>
      <c r="AE396" s="274"/>
      <c r="AF396" s="287">
        <f t="shared" si="922"/>
        <v>0</v>
      </c>
      <c r="AG396" s="283">
        <f t="shared" si="909"/>
        <v>3992.9570000000003</v>
      </c>
      <c r="AH396" s="228">
        <f t="shared" si="931"/>
        <v>96225.662190000017</v>
      </c>
      <c r="AI396" s="228">
        <f t="shared" si="931"/>
        <v>91483.246380000011</v>
      </c>
      <c r="AJ396" s="228">
        <f t="shared" si="931"/>
        <v>0</v>
      </c>
      <c r="AK396" s="261">
        <f t="shared" si="919"/>
        <v>187708.90857000003</v>
      </c>
      <c r="AL396" s="229">
        <f t="shared" si="932"/>
        <v>0</v>
      </c>
      <c r="AM396" s="228">
        <f t="shared" si="932"/>
        <v>0</v>
      </c>
      <c r="AN396" s="228">
        <f t="shared" si="932"/>
        <v>0</v>
      </c>
      <c r="AO396" s="261"/>
      <c r="AP396" s="229">
        <f t="shared" si="933"/>
        <v>0</v>
      </c>
      <c r="AQ396" s="229">
        <f t="shared" si="933"/>
        <v>0</v>
      </c>
      <c r="AR396" s="229">
        <f t="shared" si="933"/>
        <v>0</v>
      </c>
      <c r="AS396" s="229">
        <f t="shared" si="933"/>
        <v>0</v>
      </c>
      <c r="AT396" s="229">
        <f t="shared" si="933"/>
        <v>0</v>
      </c>
      <c r="AU396" s="229">
        <f t="shared" si="933"/>
        <v>0</v>
      </c>
      <c r="AV396" s="261"/>
      <c r="AW396" s="229">
        <f t="shared" si="934"/>
        <v>0</v>
      </c>
      <c r="AX396" s="229">
        <f t="shared" si="934"/>
        <v>0</v>
      </c>
      <c r="AY396" s="229">
        <f t="shared" si="934"/>
        <v>0</v>
      </c>
      <c r="AZ396" s="229">
        <f t="shared" si="934"/>
        <v>0</v>
      </c>
      <c r="BA396" s="229">
        <f t="shared" si="934"/>
        <v>0</v>
      </c>
      <c r="BB396" s="229">
        <f t="shared" si="934"/>
        <v>0</v>
      </c>
      <c r="BC396" s="261">
        <f t="shared" si="904"/>
        <v>0</v>
      </c>
      <c r="BD396" s="239">
        <f t="shared" si="841"/>
        <v>187708.90857000003</v>
      </c>
      <c r="BE396" s="246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44"/>
      <c r="CC396" s="244"/>
      <c r="CD396" s="244"/>
      <c r="CE396" s="244"/>
      <c r="CF396" s="244"/>
      <c r="CG396" s="244"/>
      <c r="CH396" s="244"/>
      <c r="CI396" s="244"/>
      <c r="CJ396" s="244"/>
      <c r="CK396" s="244"/>
      <c r="CL396" s="244"/>
      <c r="CM396" s="244"/>
      <c r="CN396" s="244"/>
      <c r="CO396" s="244"/>
      <c r="CP396" s="244"/>
      <c r="CQ396" s="244"/>
      <c r="CR396" s="244"/>
      <c r="CS396" s="244"/>
      <c r="CT396" s="244"/>
      <c r="CU396" s="244"/>
      <c r="CV396" s="244"/>
      <c r="CW396" s="244"/>
      <c r="CX396" s="244"/>
      <c r="CY396" s="244"/>
      <c r="CZ396" s="244"/>
      <c r="DA396" s="244"/>
      <c r="DB396" s="244"/>
      <c r="DC396" s="244"/>
      <c r="DD396" s="244"/>
      <c r="DE396" s="244"/>
      <c r="DF396" s="244"/>
      <c r="DG396" s="244"/>
      <c r="DH396" s="244"/>
      <c r="DI396" s="244"/>
      <c r="DJ396" s="244"/>
      <c r="DK396" s="244"/>
      <c r="DL396" s="244"/>
      <c r="DM396" s="244"/>
      <c r="DN396" s="244"/>
      <c r="DO396" s="244"/>
      <c r="DP396" s="244"/>
      <c r="DQ396" s="244"/>
      <c r="DR396" s="244"/>
      <c r="DS396" s="244"/>
      <c r="DT396" s="244"/>
      <c r="DU396" s="244"/>
      <c r="DV396" s="244"/>
      <c r="DW396" s="244"/>
      <c r="DX396" s="244"/>
      <c r="DY396" s="244"/>
      <c r="DZ396" s="244"/>
      <c r="EA396" s="244"/>
      <c r="EB396" s="244"/>
      <c r="EC396" s="244"/>
      <c r="ED396" s="244"/>
      <c r="EE396" s="244"/>
      <c r="EF396" s="244"/>
      <c r="EG396" s="244"/>
      <c r="EH396" s="244"/>
      <c r="EI396" s="244"/>
      <c r="EJ396" s="244"/>
      <c r="EK396" s="244"/>
      <c r="EL396" s="244"/>
      <c r="EM396" s="244"/>
      <c r="EN396" s="244"/>
      <c r="EO396" s="244"/>
      <c r="EP396" s="244"/>
      <c r="EQ396" s="244"/>
      <c r="ER396" s="244"/>
      <c r="ES396" s="244"/>
      <c r="ET396" s="244"/>
      <c r="EU396" s="244"/>
      <c r="EV396" s="244"/>
      <c r="EW396" s="244"/>
      <c r="EX396" s="244"/>
      <c r="EY396" s="244"/>
      <c r="EZ396" s="244"/>
      <c r="FA396" s="244"/>
      <c r="FB396" s="244"/>
      <c r="FC396" s="244"/>
      <c r="FD396" s="244"/>
      <c r="FE396" s="244"/>
      <c r="FF396" s="244"/>
      <c r="FG396" s="244"/>
      <c r="FH396" s="244"/>
      <c r="FI396" s="244"/>
      <c r="FJ396" s="244"/>
      <c r="FK396" s="244"/>
      <c r="FL396" s="244"/>
      <c r="FM396" s="244"/>
      <c r="FN396" s="244"/>
      <c r="FO396" s="244"/>
      <c r="FP396" s="244"/>
      <c r="FQ396" s="244"/>
      <c r="FR396" s="244"/>
      <c r="FS396" s="244"/>
      <c r="FT396" s="244"/>
      <c r="FU396" s="244"/>
      <c r="FV396" s="244"/>
      <c r="FW396" s="244"/>
      <c r="FX396" s="244"/>
      <c r="FY396" s="244"/>
      <c r="FZ396" s="244"/>
      <c r="GA396" s="244"/>
      <c r="GB396" s="244"/>
      <c r="GC396" s="244"/>
      <c r="GD396" s="244"/>
      <c r="GE396" s="244"/>
      <c r="GF396" s="244"/>
      <c r="GG396" s="244"/>
      <c r="GH396" s="244"/>
      <c r="GI396" s="244"/>
      <c r="GJ396" s="244"/>
      <c r="GK396" s="244"/>
      <c r="GL396" s="244"/>
      <c r="GM396" s="244"/>
      <c r="GN396" s="244"/>
      <c r="GO396" s="244"/>
      <c r="GP396" s="244"/>
      <c r="GQ396" s="244"/>
      <c r="GR396" s="244"/>
      <c r="GS396" s="244"/>
      <c r="GT396" s="244"/>
    </row>
    <row r="397" spans="1:202" s="83" customFormat="1" ht="12.75">
      <c r="A397" s="187" t="s">
        <v>26</v>
      </c>
      <c r="B397" s="170" t="s">
        <v>97</v>
      </c>
      <c r="C397" s="216" t="s">
        <v>234</v>
      </c>
      <c r="D397" s="138">
        <v>2915004011</v>
      </c>
      <c r="E397" s="147"/>
      <c r="F397" s="209"/>
      <c r="G397" s="177">
        <f>E397-F397</f>
        <v>0</v>
      </c>
      <c r="H397" s="147"/>
      <c r="I397" s="209"/>
      <c r="J397" s="210">
        <f>H397-I397</f>
        <v>0</v>
      </c>
      <c r="K397" s="251"/>
      <c r="L397" s="251"/>
      <c r="M397" s="251"/>
      <c r="N397" s="284">
        <f>K397+L397+M397</f>
        <v>0</v>
      </c>
      <c r="O397" s="272"/>
      <c r="P397" s="272"/>
      <c r="Q397" s="289"/>
      <c r="R397" s="284">
        <f>O397+P397+Q397</f>
        <v>0</v>
      </c>
      <c r="S397" s="289"/>
      <c r="T397" s="263"/>
      <c r="U397" s="272"/>
      <c r="V397" s="272"/>
      <c r="W397" s="289"/>
      <c r="X397" s="263"/>
      <c r="Y397" s="262">
        <f>SUM(S397:X397)</f>
        <v>0</v>
      </c>
      <c r="Z397" s="272"/>
      <c r="AA397" s="272"/>
      <c r="AB397" s="272"/>
      <c r="AC397" s="272"/>
      <c r="AD397" s="272"/>
      <c r="AE397" s="272"/>
      <c r="AF397" s="284">
        <f t="shared" si="922"/>
        <v>0</v>
      </c>
      <c r="AG397" s="282">
        <f t="shared" si="909"/>
        <v>0</v>
      </c>
      <c r="AH397" s="227">
        <f t="shared" si="931"/>
        <v>0</v>
      </c>
      <c r="AI397" s="227">
        <f t="shared" si="931"/>
        <v>0</v>
      </c>
      <c r="AJ397" s="227">
        <f t="shared" si="931"/>
        <v>0</v>
      </c>
      <c r="AK397" s="260">
        <f t="shared" si="919"/>
        <v>0</v>
      </c>
      <c r="AL397" s="227">
        <f t="shared" si="932"/>
        <v>0</v>
      </c>
      <c r="AM397" s="227">
        <f t="shared" si="932"/>
        <v>0</v>
      </c>
      <c r="AN397" s="227">
        <f t="shared" si="932"/>
        <v>0</v>
      </c>
      <c r="AO397" s="260">
        <f>SUM(AL397:AN397)</f>
        <v>0</v>
      </c>
      <c r="AP397" s="227">
        <f t="shared" si="933"/>
        <v>0</v>
      </c>
      <c r="AQ397" s="227">
        <f t="shared" si="933"/>
        <v>0</v>
      </c>
      <c r="AR397" s="227">
        <f t="shared" si="933"/>
        <v>0</v>
      </c>
      <c r="AS397" s="227">
        <f t="shared" si="933"/>
        <v>0</v>
      </c>
      <c r="AT397" s="227">
        <f t="shared" si="933"/>
        <v>0</v>
      </c>
      <c r="AU397" s="227">
        <f t="shared" si="933"/>
        <v>0</v>
      </c>
      <c r="AV397" s="260">
        <f>SUM(AP397:AU397)</f>
        <v>0</v>
      </c>
      <c r="AW397" s="227">
        <f t="shared" si="934"/>
        <v>0</v>
      </c>
      <c r="AX397" s="227">
        <f t="shared" si="934"/>
        <v>0</v>
      </c>
      <c r="AY397" s="227">
        <f t="shared" si="934"/>
        <v>0</v>
      </c>
      <c r="AZ397" s="227">
        <f t="shared" si="934"/>
        <v>0</v>
      </c>
      <c r="BA397" s="227">
        <f t="shared" si="934"/>
        <v>0</v>
      </c>
      <c r="BB397" s="227">
        <f t="shared" si="934"/>
        <v>0</v>
      </c>
      <c r="BC397" s="260">
        <f t="shared" si="904"/>
        <v>0</v>
      </c>
      <c r="BD397" s="238">
        <f t="shared" si="841"/>
        <v>0</v>
      </c>
      <c r="BE397" s="13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44"/>
      <c r="CC397" s="244"/>
      <c r="CD397" s="244"/>
      <c r="CE397" s="244"/>
      <c r="CF397" s="244"/>
      <c r="CG397" s="244"/>
      <c r="CH397" s="244"/>
      <c r="CI397" s="244"/>
      <c r="CJ397" s="244"/>
      <c r="CK397" s="244"/>
      <c r="CL397" s="244"/>
      <c r="CM397" s="244"/>
      <c r="CN397" s="244"/>
      <c r="CO397" s="244"/>
      <c r="CP397" s="244"/>
      <c r="CQ397" s="244"/>
      <c r="CR397" s="244"/>
      <c r="CS397" s="244"/>
      <c r="CT397" s="244"/>
      <c r="CU397" s="244"/>
      <c r="CV397" s="244"/>
      <c r="CW397" s="244"/>
      <c r="CX397" s="244"/>
      <c r="CY397" s="244"/>
      <c r="CZ397" s="244"/>
      <c r="DA397" s="244"/>
      <c r="DB397" s="244"/>
      <c r="DC397" s="244"/>
      <c r="DD397" s="244"/>
      <c r="DE397" s="244"/>
      <c r="DF397" s="244"/>
      <c r="DG397" s="244"/>
      <c r="DH397" s="244"/>
      <c r="DI397" s="244"/>
      <c r="DJ397" s="244"/>
      <c r="DK397" s="244"/>
      <c r="DL397" s="244"/>
      <c r="DM397" s="244"/>
      <c r="DN397" s="244"/>
      <c r="DO397" s="244"/>
      <c r="DP397" s="244"/>
      <c r="DQ397" s="244"/>
      <c r="DR397" s="244"/>
      <c r="DS397" s="244"/>
      <c r="DT397" s="244"/>
      <c r="DU397" s="244"/>
      <c r="DV397" s="244"/>
      <c r="DW397" s="244"/>
      <c r="DX397" s="244"/>
      <c r="DY397" s="244"/>
      <c r="DZ397" s="244"/>
      <c r="EA397" s="244"/>
      <c r="EB397" s="244"/>
      <c r="EC397" s="244"/>
      <c r="ED397" s="244"/>
      <c r="EE397" s="244"/>
      <c r="EF397" s="244"/>
      <c r="EG397" s="244"/>
      <c r="EH397" s="244"/>
      <c r="EI397" s="244"/>
      <c r="EJ397" s="244"/>
      <c r="EK397" s="244"/>
      <c r="EL397" s="244"/>
      <c r="EM397" s="244"/>
      <c r="EN397" s="244"/>
      <c r="EO397" s="244"/>
      <c r="EP397" s="244"/>
      <c r="EQ397" s="244"/>
      <c r="ER397" s="244"/>
      <c r="ES397" s="244"/>
      <c r="ET397" s="244"/>
      <c r="EU397" s="244"/>
      <c r="EV397" s="244"/>
      <c r="EW397" s="244"/>
      <c r="EX397" s="244"/>
      <c r="EY397" s="244"/>
      <c r="EZ397" s="244"/>
      <c r="FA397" s="244"/>
      <c r="FB397" s="244"/>
      <c r="FC397" s="244"/>
      <c r="FD397" s="244"/>
      <c r="FE397" s="244"/>
      <c r="FF397" s="244"/>
      <c r="FG397" s="244"/>
      <c r="FH397" s="244"/>
      <c r="FI397" s="244"/>
      <c r="FJ397" s="244"/>
      <c r="FK397" s="244"/>
      <c r="FL397" s="244"/>
      <c r="FM397" s="244"/>
      <c r="FN397" s="244"/>
      <c r="FO397" s="244"/>
      <c r="FP397" s="244"/>
      <c r="FQ397" s="244"/>
      <c r="FR397" s="244"/>
      <c r="FS397" s="244"/>
      <c r="FT397" s="244"/>
      <c r="FU397" s="244"/>
      <c r="FV397" s="244"/>
      <c r="FW397" s="244"/>
      <c r="FX397" s="244"/>
      <c r="FY397" s="244"/>
      <c r="FZ397" s="244"/>
      <c r="GA397" s="244"/>
      <c r="GB397" s="244"/>
      <c r="GC397" s="244"/>
      <c r="GD397" s="244"/>
      <c r="GE397" s="244"/>
      <c r="GF397" s="244"/>
      <c r="GG397" s="244"/>
      <c r="GH397" s="244"/>
      <c r="GI397" s="244"/>
      <c r="GJ397" s="244"/>
      <c r="GK397" s="244"/>
      <c r="GL397" s="244"/>
      <c r="GM397" s="244"/>
      <c r="GN397" s="244"/>
      <c r="GO397" s="244"/>
      <c r="GP397" s="244"/>
      <c r="GQ397" s="244"/>
      <c r="GR397" s="244"/>
      <c r="GS397" s="244"/>
      <c r="GT397" s="244"/>
    </row>
    <row r="398" spans="1:202" s="83" customFormat="1" ht="12.75">
      <c r="A398" s="193" t="s">
        <v>26</v>
      </c>
      <c r="B398" s="182" t="s">
        <v>163</v>
      </c>
      <c r="C398" s="221"/>
      <c r="D398" s="73">
        <v>2901248674</v>
      </c>
      <c r="E398" s="214"/>
      <c r="F398" s="214"/>
      <c r="G398" s="177"/>
      <c r="H398" s="214"/>
      <c r="I398" s="214"/>
      <c r="J398" s="210"/>
      <c r="K398" s="254">
        <f t="shared" ref="K398:AF398" si="935">SUM(K399:K401)</f>
        <v>0</v>
      </c>
      <c r="L398" s="254">
        <f t="shared" si="935"/>
        <v>0</v>
      </c>
      <c r="M398" s="254">
        <f t="shared" si="935"/>
        <v>0</v>
      </c>
      <c r="N398" s="284">
        <f t="shared" si="935"/>
        <v>0</v>
      </c>
      <c r="O398" s="275">
        <f t="shared" si="935"/>
        <v>0</v>
      </c>
      <c r="P398" s="275">
        <f t="shared" si="935"/>
        <v>0</v>
      </c>
      <c r="Q398" s="293">
        <f t="shared" si="935"/>
        <v>0</v>
      </c>
      <c r="R398" s="284">
        <f t="shared" si="935"/>
        <v>0</v>
      </c>
      <c r="S398" s="293">
        <f t="shared" si="935"/>
        <v>0</v>
      </c>
      <c r="T398" s="293">
        <f t="shared" si="935"/>
        <v>0</v>
      </c>
      <c r="U398" s="293">
        <f t="shared" si="935"/>
        <v>0</v>
      </c>
      <c r="V398" s="293">
        <f t="shared" si="935"/>
        <v>0</v>
      </c>
      <c r="W398" s="293">
        <f t="shared" si="935"/>
        <v>0</v>
      </c>
      <c r="X398" s="293">
        <f t="shared" si="935"/>
        <v>0</v>
      </c>
      <c r="Y398" s="262">
        <f t="shared" si="935"/>
        <v>0</v>
      </c>
      <c r="Z398" s="275">
        <f t="shared" si="935"/>
        <v>0</v>
      </c>
      <c r="AA398" s="275">
        <f t="shared" si="935"/>
        <v>0</v>
      </c>
      <c r="AB398" s="275">
        <f t="shared" si="935"/>
        <v>0</v>
      </c>
      <c r="AC398" s="275">
        <f t="shared" si="935"/>
        <v>0</v>
      </c>
      <c r="AD398" s="275">
        <f t="shared" si="935"/>
        <v>0</v>
      </c>
      <c r="AE398" s="275">
        <f t="shared" si="935"/>
        <v>0</v>
      </c>
      <c r="AF398" s="284">
        <f t="shared" si="935"/>
        <v>0</v>
      </c>
      <c r="AG398" s="282">
        <f t="shared" si="909"/>
        <v>0</v>
      </c>
      <c r="AH398" s="232">
        <f t="shared" ref="AH398:AN398" si="936">SUM(AH399:AH401)</f>
        <v>0</v>
      </c>
      <c r="AI398" s="232">
        <f t="shared" si="936"/>
        <v>0</v>
      </c>
      <c r="AJ398" s="232">
        <f t="shared" si="936"/>
        <v>0</v>
      </c>
      <c r="AK398" s="260">
        <f t="shared" si="936"/>
        <v>0</v>
      </c>
      <c r="AL398" s="232">
        <f t="shared" si="936"/>
        <v>0</v>
      </c>
      <c r="AM398" s="232">
        <f t="shared" si="936"/>
        <v>0</v>
      </c>
      <c r="AN398" s="232">
        <f t="shared" si="936"/>
        <v>0</v>
      </c>
      <c r="AO398" s="260">
        <f>SUM(AL398:AN398)</f>
        <v>0</v>
      </c>
      <c r="AP398" s="232">
        <f t="shared" ref="AP398:AU398" si="937">SUM(AP399:AP401)</f>
        <v>0</v>
      </c>
      <c r="AQ398" s="232">
        <f t="shared" si="937"/>
        <v>0</v>
      </c>
      <c r="AR398" s="232">
        <f t="shared" si="937"/>
        <v>0</v>
      </c>
      <c r="AS398" s="232">
        <f t="shared" si="937"/>
        <v>0</v>
      </c>
      <c r="AT398" s="232">
        <f t="shared" si="937"/>
        <v>0</v>
      </c>
      <c r="AU398" s="232">
        <f t="shared" si="937"/>
        <v>0</v>
      </c>
      <c r="AV398" s="260">
        <f>SUM(AP398:AU398)</f>
        <v>0</v>
      </c>
      <c r="AW398" s="232">
        <f t="shared" ref="AW398:BB398" si="938">SUM(AW399:AW401)</f>
        <v>0</v>
      </c>
      <c r="AX398" s="232">
        <f t="shared" si="938"/>
        <v>0</v>
      </c>
      <c r="AY398" s="232">
        <f t="shared" si="938"/>
        <v>0</v>
      </c>
      <c r="AZ398" s="232">
        <f t="shared" si="938"/>
        <v>0</v>
      </c>
      <c r="BA398" s="232">
        <f t="shared" si="938"/>
        <v>0</v>
      </c>
      <c r="BB398" s="232">
        <f t="shared" si="938"/>
        <v>0</v>
      </c>
      <c r="BC398" s="260">
        <f t="shared" si="904"/>
        <v>0</v>
      </c>
      <c r="BD398" s="238">
        <f t="shared" si="841"/>
        <v>0</v>
      </c>
      <c r="BE398" s="13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44"/>
      <c r="CC398" s="244"/>
      <c r="CD398" s="244"/>
      <c r="CE398" s="244"/>
      <c r="CF398" s="244"/>
      <c r="CG398" s="244"/>
      <c r="CH398" s="244"/>
      <c r="CI398" s="244"/>
      <c r="CJ398" s="244"/>
      <c r="CK398" s="244"/>
      <c r="CL398" s="244"/>
      <c r="CM398" s="244"/>
      <c r="CN398" s="244"/>
      <c r="CO398" s="244"/>
      <c r="CP398" s="244"/>
      <c r="CQ398" s="244"/>
      <c r="CR398" s="244"/>
      <c r="CS398" s="244"/>
      <c r="CT398" s="244"/>
      <c r="CU398" s="244"/>
      <c r="CV398" s="244"/>
      <c r="CW398" s="244"/>
      <c r="CX398" s="244"/>
      <c r="CY398" s="244"/>
      <c r="CZ398" s="244"/>
      <c r="DA398" s="244"/>
      <c r="DB398" s="244"/>
      <c r="DC398" s="244"/>
      <c r="DD398" s="244"/>
      <c r="DE398" s="244"/>
      <c r="DF398" s="244"/>
      <c r="DG398" s="244"/>
      <c r="DH398" s="244"/>
      <c r="DI398" s="244"/>
      <c r="DJ398" s="244"/>
      <c r="DK398" s="244"/>
      <c r="DL398" s="244"/>
      <c r="DM398" s="244"/>
      <c r="DN398" s="244"/>
      <c r="DO398" s="244"/>
      <c r="DP398" s="244"/>
      <c r="DQ398" s="244"/>
      <c r="DR398" s="244"/>
      <c r="DS398" s="244"/>
      <c r="DT398" s="244"/>
      <c r="DU398" s="244"/>
      <c r="DV398" s="244"/>
      <c r="DW398" s="244"/>
      <c r="DX398" s="244"/>
      <c r="DY398" s="244"/>
      <c r="DZ398" s="244"/>
      <c r="EA398" s="244"/>
      <c r="EB398" s="244"/>
      <c r="EC398" s="244"/>
      <c r="ED398" s="244"/>
      <c r="EE398" s="244"/>
      <c r="EF398" s="244"/>
      <c r="EG398" s="244"/>
      <c r="EH398" s="244"/>
      <c r="EI398" s="244"/>
      <c r="EJ398" s="244"/>
      <c r="EK398" s="244"/>
      <c r="EL398" s="244"/>
      <c r="EM398" s="244"/>
      <c r="EN398" s="244"/>
      <c r="EO398" s="244"/>
      <c r="EP398" s="244"/>
      <c r="EQ398" s="244"/>
      <c r="ER398" s="244"/>
      <c r="ES398" s="244"/>
      <c r="ET398" s="244"/>
      <c r="EU398" s="244"/>
      <c r="EV398" s="244"/>
      <c r="EW398" s="244"/>
      <c r="EX398" s="244"/>
      <c r="EY398" s="244"/>
      <c r="EZ398" s="244"/>
      <c r="FA398" s="244"/>
      <c r="FB398" s="244"/>
      <c r="FC398" s="244"/>
      <c r="FD398" s="244"/>
      <c r="FE398" s="244"/>
      <c r="FF398" s="244"/>
      <c r="FG398" s="244"/>
      <c r="FH398" s="244"/>
      <c r="FI398" s="244"/>
      <c r="FJ398" s="244"/>
      <c r="FK398" s="244"/>
      <c r="FL398" s="244"/>
      <c r="FM398" s="244"/>
      <c r="FN398" s="244"/>
      <c r="FO398" s="244"/>
      <c r="FP398" s="244"/>
      <c r="FQ398" s="244"/>
      <c r="FR398" s="244"/>
      <c r="FS398" s="244"/>
      <c r="FT398" s="244"/>
      <c r="FU398" s="244"/>
      <c r="FV398" s="244"/>
      <c r="FW398" s="244"/>
      <c r="FX398" s="244"/>
      <c r="FY398" s="244"/>
      <c r="FZ398" s="244"/>
      <c r="GA398" s="244"/>
      <c r="GB398" s="244"/>
      <c r="GC398" s="244"/>
      <c r="GD398" s="244"/>
      <c r="GE398" s="244"/>
      <c r="GF398" s="244"/>
      <c r="GG398" s="244"/>
      <c r="GH398" s="244"/>
      <c r="GI398" s="244"/>
      <c r="GJ398" s="244"/>
      <c r="GK398" s="244"/>
      <c r="GL398" s="244"/>
      <c r="GM398" s="244"/>
      <c r="GN398" s="244"/>
      <c r="GO398" s="244"/>
      <c r="GP398" s="244"/>
      <c r="GQ398" s="244"/>
      <c r="GR398" s="244"/>
      <c r="GS398" s="244"/>
      <c r="GT398" s="244"/>
    </row>
    <row r="399" spans="1:202" s="83" customFormat="1" ht="12.75">
      <c r="A399" s="201"/>
      <c r="B399" s="206" t="s">
        <v>273</v>
      </c>
      <c r="C399" s="224" t="s">
        <v>257</v>
      </c>
      <c r="D399" s="141"/>
      <c r="E399" s="147"/>
      <c r="F399" s="144"/>
      <c r="G399" s="177"/>
      <c r="H399" s="147"/>
      <c r="I399" s="144"/>
      <c r="J399" s="210"/>
      <c r="K399" s="252"/>
      <c r="L399" s="252"/>
      <c r="M399" s="252"/>
      <c r="N399" s="287">
        <f t="shared" ref="N399:N404" si="939">K399+L399+M399</f>
        <v>0</v>
      </c>
      <c r="O399" s="273"/>
      <c r="P399" s="273"/>
      <c r="Q399" s="290"/>
      <c r="R399" s="287">
        <f>O399+P399+Q399</f>
        <v>0</v>
      </c>
      <c r="S399" s="290"/>
      <c r="T399" s="264"/>
      <c r="U399" s="273"/>
      <c r="V399" s="273"/>
      <c r="W399" s="290"/>
      <c r="X399" s="264"/>
      <c r="Y399" s="142">
        <f>SUM(S399:X399)</f>
        <v>0</v>
      </c>
      <c r="Z399" s="273"/>
      <c r="AA399" s="273"/>
      <c r="AB399" s="273"/>
      <c r="AC399" s="273"/>
      <c r="AD399" s="273"/>
      <c r="AE399" s="273"/>
      <c r="AF399" s="287">
        <f>SUM(Z399:AE399)</f>
        <v>0</v>
      </c>
      <c r="AG399" s="283">
        <f t="shared" si="909"/>
        <v>0</v>
      </c>
      <c r="AH399" s="228">
        <f t="shared" ref="AH399:AJ402" si="940">K399*$G399</f>
        <v>0</v>
      </c>
      <c r="AI399" s="228">
        <f t="shared" si="940"/>
        <v>0</v>
      </c>
      <c r="AJ399" s="228">
        <f t="shared" si="940"/>
        <v>0</v>
      </c>
      <c r="AK399" s="261">
        <f t="shared" ref="AK399:AK404" si="941">AH399+AI399+AJ399</f>
        <v>0</v>
      </c>
      <c r="AL399" s="228">
        <f t="shared" ref="AL399:AN402" si="942">O399*$G399</f>
        <v>0</v>
      </c>
      <c r="AM399" s="228">
        <f t="shared" si="942"/>
        <v>0</v>
      </c>
      <c r="AN399" s="228">
        <f t="shared" si="942"/>
        <v>0</v>
      </c>
      <c r="AO399" s="261">
        <f>SUM(AL399:AN399)</f>
        <v>0</v>
      </c>
      <c r="AP399" s="228">
        <f t="shared" ref="AP399:AU402" si="943">S399*$J399</f>
        <v>0</v>
      </c>
      <c r="AQ399" s="228">
        <f t="shared" si="943"/>
        <v>0</v>
      </c>
      <c r="AR399" s="228">
        <f t="shared" si="943"/>
        <v>0</v>
      </c>
      <c r="AS399" s="228">
        <f t="shared" si="943"/>
        <v>0</v>
      </c>
      <c r="AT399" s="228">
        <f t="shared" si="943"/>
        <v>0</v>
      </c>
      <c r="AU399" s="228">
        <f t="shared" si="943"/>
        <v>0</v>
      </c>
      <c r="AV399" s="261">
        <f>SUM(AP399:AU399)</f>
        <v>0</v>
      </c>
      <c r="AW399" s="228">
        <f t="shared" ref="AW399:BB402" si="944">Z399*$J399</f>
        <v>0</v>
      </c>
      <c r="AX399" s="228">
        <f t="shared" si="944"/>
        <v>0</v>
      </c>
      <c r="AY399" s="228">
        <f t="shared" si="944"/>
        <v>0</v>
      </c>
      <c r="AZ399" s="228">
        <f t="shared" si="944"/>
        <v>0</v>
      </c>
      <c r="BA399" s="228">
        <f t="shared" si="944"/>
        <v>0</v>
      </c>
      <c r="BB399" s="228">
        <f t="shared" si="944"/>
        <v>0</v>
      </c>
      <c r="BC399" s="261">
        <f t="shared" si="904"/>
        <v>0</v>
      </c>
      <c r="BD399" s="239">
        <f t="shared" si="841"/>
        <v>0</v>
      </c>
      <c r="BE399" s="243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44"/>
      <c r="CC399" s="244"/>
      <c r="CD399" s="244"/>
      <c r="CE399" s="244"/>
      <c r="CF399" s="244"/>
      <c r="CG399" s="244"/>
      <c r="CH399" s="244"/>
      <c r="CI399" s="244"/>
      <c r="CJ399" s="244"/>
      <c r="CK399" s="244"/>
      <c r="CL399" s="244"/>
      <c r="CM399" s="244"/>
      <c r="CN399" s="244"/>
      <c r="CO399" s="244"/>
      <c r="CP399" s="244"/>
      <c r="CQ399" s="244"/>
      <c r="CR399" s="244"/>
      <c r="CS399" s="244"/>
      <c r="CT399" s="244"/>
      <c r="CU399" s="244"/>
      <c r="CV399" s="244"/>
      <c r="CW399" s="244"/>
      <c r="CX399" s="244"/>
      <c r="CY399" s="244"/>
      <c r="CZ399" s="244"/>
      <c r="DA399" s="244"/>
      <c r="DB399" s="244"/>
      <c r="DC399" s="244"/>
      <c r="DD399" s="244"/>
      <c r="DE399" s="244"/>
      <c r="DF399" s="244"/>
      <c r="DG399" s="244"/>
      <c r="DH399" s="244"/>
      <c r="DI399" s="244"/>
      <c r="DJ399" s="244"/>
      <c r="DK399" s="244"/>
      <c r="DL399" s="244"/>
      <c r="DM399" s="244"/>
      <c r="DN399" s="244"/>
      <c r="DO399" s="244"/>
      <c r="DP399" s="244"/>
      <c r="DQ399" s="244"/>
      <c r="DR399" s="244"/>
      <c r="DS399" s="244"/>
      <c r="DT399" s="244"/>
      <c r="DU399" s="244"/>
      <c r="DV399" s="244"/>
      <c r="DW399" s="244"/>
      <c r="DX399" s="244"/>
      <c r="DY399" s="244"/>
      <c r="DZ399" s="244"/>
      <c r="EA399" s="244"/>
      <c r="EB399" s="244"/>
      <c r="EC399" s="244"/>
      <c r="ED399" s="244"/>
      <c r="EE399" s="244"/>
      <c r="EF399" s="244"/>
      <c r="EG399" s="244"/>
      <c r="EH399" s="244"/>
      <c r="EI399" s="244"/>
      <c r="EJ399" s="244"/>
      <c r="EK399" s="244"/>
      <c r="EL399" s="244"/>
      <c r="EM399" s="244"/>
      <c r="EN399" s="244"/>
      <c r="EO399" s="244"/>
      <c r="EP399" s="244"/>
      <c r="EQ399" s="244"/>
      <c r="ER399" s="244"/>
      <c r="ES399" s="244"/>
      <c r="ET399" s="244"/>
      <c r="EU399" s="244"/>
      <c r="EV399" s="244"/>
      <c r="EW399" s="244"/>
      <c r="EX399" s="244"/>
      <c r="EY399" s="244"/>
      <c r="EZ399" s="244"/>
      <c r="FA399" s="244"/>
      <c r="FB399" s="244"/>
      <c r="FC399" s="244"/>
      <c r="FD399" s="244"/>
      <c r="FE399" s="244"/>
      <c r="FF399" s="244"/>
      <c r="FG399" s="244"/>
      <c r="FH399" s="244"/>
      <c r="FI399" s="244"/>
      <c r="FJ399" s="244"/>
      <c r="FK399" s="244"/>
      <c r="FL399" s="244"/>
      <c r="FM399" s="244"/>
      <c r="FN399" s="244"/>
      <c r="FO399" s="244"/>
      <c r="FP399" s="244"/>
      <c r="FQ399" s="244"/>
      <c r="FR399" s="244"/>
      <c r="FS399" s="244"/>
      <c r="FT399" s="244"/>
      <c r="FU399" s="244"/>
      <c r="FV399" s="244"/>
      <c r="FW399" s="244"/>
      <c r="FX399" s="244"/>
      <c r="FY399" s="244"/>
      <c r="FZ399" s="244"/>
      <c r="GA399" s="244"/>
      <c r="GB399" s="244"/>
      <c r="GC399" s="244"/>
      <c r="GD399" s="244"/>
      <c r="GE399" s="244"/>
      <c r="GF399" s="244"/>
      <c r="GG399" s="244"/>
      <c r="GH399" s="244"/>
      <c r="GI399" s="244"/>
      <c r="GJ399" s="244"/>
      <c r="GK399" s="244"/>
      <c r="GL399" s="244"/>
      <c r="GM399" s="244"/>
      <c r="GN399" s="244"/>
      <c r="GO399" s="244"/>
      <c r="GP399" s="244"/>
      <c r="GQ399" s="244"/>
      <c r="GR399" s="244"/>
      <c r="GS399" s="244"/>
      <c r="GT399" s="244"/>
    </row>
    <row r="400" spans="1:202" s="83" customFormat="1" ht="12.75">
      <c r="A400" s="201"/>
      <c r="B400" s="206" t="s">
        <v>339</v>
      </c>
      <c r="C400" s="224"/>
      <c r="D400" s="141"/>
      <c r="E400" s="147"/>
      <c r="F400" s="144"/>
      <c r="G400" s="177"/>
      <c r="H400" s="147"/>
      <c r="I400" s="147"/>
      <c r="J400" s="210"/>
      <c r="K400" s="252"/>
      <c r="L400" s="252"/>
      <c r="M400" s="252"/>
      <c r="N400" s="287">
        <f t="shared" si="939"/>
        <v>0</v>
      </c>
      <c r="O400" s="273"/>
      <c r="P400" s="273"/>
      <c r="Q400" s="290"/>
      <c r="R400" s="287">
        <f>O400+P400+Q400</f>
        <v>0</v>
      </c>
      <c r="S400" s="290"/>
      <c r="T400" s="264"/>
      <c r="U400" s="273"/>
      <c r="V400" s="273"/>
      <c r="W400" s="290"/>
      <c r="X400" s="264"/>
      <c r="Y400" s="142">
        <f>SUM(S400:X400)</f>
        <v>0</v>
      </c>
      <c r="Z400" s="273"/>
      <c r="AA400" s="273"/>
      <c r="AB400" s="273"/>
      <c r="AC400" s="273"/>
      <c r="AD400" s="273"/>
      <c r="AE400" s="273"/>
      <c r="AF400" s="287">
        <f>SUM(Z400:AE400)</f>
        <v>0</v>
      </c>
      <c r="AG400" s="283">
        <f t="shared" si="909"/>
        <v>0</v>
      </c>
      <c r="AH400" s="228">
        <f t="shared" si="940"/>
        <v>0</v>
      </c>
      <c r="AI400" s="228">
        <f t="shared" si="940"/>
        <v>0</v>
      </c>
      <c r="AJ400" s="228">
        <f t="shared" si="940"/>
        <v>0</v>
      </c>
      <c r="AK400" s="261">
        <f t="shared" si="941"/>
        <v>0</v>
      </c>
      <c r="AL400" s="228">
        <f t="shared" si="942"/>
        <v>0</v>
      </c>
      <c r="AM400" s="228">
        <f t="shared" si="942"/>
        <v>0</v>
      </c>
      <c r="AN400" s="228">
        <f t="shared" si="942"/>
        <v>0</v>
      </c>
      <c r="AO400" s="261"/>
      <c r="AP400" s="228">
        <f t="shared" si="943"/>
        <v>0</v>
      </c>
      <c r="AQ400" s="228">
        <f t="shared" si="943"/>
        <v>0</v>
      </c>
      <c r="AR400" s="228">
        <f t="shared" si="943"/>
        <v>0</v>
      </c>
      <c r="AS400" s="228">
        <f t="shared" si="943"/>
        <v>0</v>
      </c>
      <c r="AT400" s="228">
        <f t="shared" si="943"/>
        <v>0</v>
      </c>
      <c r="AU400" s="228">
        <f t="shared" si="943"/>
        <v>0</v>
      </c>
      <c r="AV400" s="261"/>
      <c r="AW400" s="228">
        <f t="shared" si="944"/>
        <v>0</v>
      </c>
      <c r="AX400" s="228">
        <f t="shared" si="944"/>
        <v>0</v>
      </c>
      <c r="AY400" s="228">
        <f t="shared" si="944"/>
        <v>0</v>
      </c>
      <c r="AZ400" s="228">
        <f t="shared" si="944"/>
        <v>0</v>
      </c>
      <c r="BA400" s="228">
        <f t="shared" si="944"/>
        <v>0</v>
      </c>
      <c r="BB400" s="228">
        <f t="shared" si="944"/>
        <v>0</v>
      </c>
      <c r="BC400" s="261"/>
      <c r="BD400" s="239">
        <f t="shared" si="841"/>
        <v>0</v>
      </c>
      <c r="BE400" s="243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44"/>
      <c r="CC400" s="244"/>
      <c r="CD400" s="244"/>
      <c r="CE400" s="244"/>
      <c r="CF400" s="244"/>
      <c r="CG400" s="244"/>
      <c r="CH400" s="244"/>
      <c r="CI400" s="244"/>
      <c r="CJ400" s="244"/>
      <c r="CK400" s="244"/>
      <c r="CL400" s="244"/>
      <c r="CM400" s="244"/>
      <c r="CN400" s="244"/>
      <c r="CO400" s="244"/>
      <c r="CP400" s="244"/>
      <c r="CQ400" s="244"/>
      <c r="CR400" s="244"/>
      <c r="CS400" s="244"/>
      <c r="CT400" s="244"/>
      <c r="CU400" s="244"/>
      <c r="CV400" s="244"/>
      <c r="CW400" s="244"/>
      <c r="CX400" s="244"/>
      <c r="CY400" s="244"/>
      <c r="CZ400" s="244"/>
      <c r="DA400" s="244"/>
      <c r="DB400" s="244"/>
      <c r="DC400" s="244"/>
      <c r="DD400" s="244"/>
      <c r="DE400" s="244"/>
      <c r="DF400" s="244"/>
      <c r="DG400" s="244"/>
      <c r="DH400" s="244"/>
      <c r="DI400" s="244"/>
      <c r="DJ400" s="244"/>
      <c r="DK400" s="244"/>
      <c r="DL400" s="244"/>
      <c r="DM400" s="244"/>
      <c r="DN400" s="244"/>
      <c r="DO400" s="244"/>
      <c r="DP400" s="244"/>
      <c r="DQ400" s="244"/>
      <c r="DR400" s="244"/>
      <c r="DS400" s="244"/>
      <c r="DT400" s="244"/>
      <c r="DU400" s="244"/>
      <c r="DV400" s="244"/>
      <c r="DW400" s="244"/>
      <c r="DX400" s="244"/>
      <c r="DY400" s="244"/>
      <c r="DZ400" s="244"/>
      <c r="EA400" s="244"/>
      <c r="EB400" s="244"/>
      <c r="EC400" s="244"/>
      <c r="ED400" s="244"/>
      <c r="EE400" s="244"/>
      <c r="EF400" s="244"/>
      <c r="EG400" s="244"/>
      <c r="EH400" s="244"/>
      <c r="EI400" s="244"/>
      <c r="EJ400" s="244"/>
      <c r="EK400" s="244"/>
      <c r="EL400" s="244"/>
      <c r="EM400" s="244"/>
      <c r="EN400" s="244"/>
      <c r="EO400" s="244"/>
      <c r="EP400" s="244"/>
      <c r="EQ400" s="244"/>
      <c r="ER400" s="244"/>
      <c r="ES400" s="244"/>
      <c r="ET400" s="244"/>
      <c r="EU400" s="244"/>
      <c r="EV400" s="244"/>
      <c r="EW400" s="244"/>
      <c r="EX400" s="244"/>
      <c r="EY400" s="244"/>
      <c r="EZ400" s="244"/>
      <c r="FA400" s="244"/>
      <c r="FB400" s="244"/>
      <c r="FC400" s="244"/>
      <c r="FD400" s="244"/>
      <c r="FE400" s="244"/>
      <c r="FF400" s="244"/>
      <c r="FG400" s="244"/>
      <c r="FH400" s="244"/>
      <c r="FI400" s="244"/>
      <c r="FJ400" s="244"/>
      <c r="FK400" s="244"/>
      <c r="FL400" s="244"/>
      <c r="FM400" s="244"/>
      <c r="FN400" s="244"/>
      <c r="FO400" s="244"/>
      <c r="FP400" s="244"/>
      <c r="FQ400" s="244"/>
      <c r="FR400" s="244"/>
      <c r="FS400" s="244"/>
      <c r="FT400" s="244"/>
      <c r="FU400" s="244"/>
      <c r="FV400" s="244"/>
      <c r="FW400" s="244"/>
      <c r="FX400" s="244"/>
      <c r="FY400" s="244"/>
      <c r="FZ400" s="244"/>
      <c r="GA400" s="244"/>
      <c r="GB400" s="244"/>
      <c r="GC400" s="244"/>
      <c r="GD400" s="244"/>
      <c r="GE400" s="244"/>
      <c r="GF400" s="244"/>
      <c r="GG400" s="244"/>
      <c r="GH400" s="244"/>
      <c r="GI400" s="244"/>
      <c r="GJ400" s="244"/>
      <c r="GK400" s="244"/>
      <c r="GL400" s="244"/>
      <c r="GM400" s="244"/>
      <c r="GN400" s="244"/>
      <c r="GO400" s="244"/>
      <c r="GP400" s="244"/>
      <c r="GQ400" s="244"/>
      <c r="GR400" s="244"/>
      <c r="GS400" s="244"/>
      <c r="GT400" s="244"/>
    </row>
    <row r="401" spans="1:202" s="83" customFormat="1" ht="12.75">
      <c r="A401" s="201"/>
      <c r="B401" s="206" t="s">
        <v>274</v>
      </c>
      <c r="C401" s="224" t="s">
        <v>162</v>
      </c>
      <c r="D401" s="141"/>
      <c r="E401" s="147"/>
      <c r="F401" s="144"/>
      <c r="G401" s="177"/>
      <c r="H401" s="147"/>
      <c r="I401" s="147"/>
      <c r="J401" s="210"/>
      <c r="K401" s="252"/>
      <c r="L401" s="252"/>
      <c r="M401" s="252"/>
      <c r="N401" s="287">
        <f t="shared" si="939"/>
        <v>0</v>
      </c>
      <c r="O401" s="273"/>
      <c r="P401" s="273"/>
      <c r="Q401" s="290"/>
      <c r="R401" s="287">
        <f>O401+P401+Q401</f>
        <v>0</v>
      </c>
      <c r="S401" s="290"/>
      <c r="T401" s="264"/>
      <c r="U401" s="273"/>
      <c r="V401" s="273"/>
      <c r="W401" s="290"/>
      <c r="X401" s="264"/>
      <c r="Y401" s="142">
        <f>SUM(S401:X401)</f>
        <v>0</v>
      </c>
      <c r="Z401" s="273"/>
      <c r="AA401" s="273"/>
      <c r="AB401" s="273"/>
      <c r="AC401" s="273"/>
      <c r="AD401" s="273"/>
      <c r="AE401" s="273"/>
      <c r="AF401" s="287">
        <f>SUM(Z401:AE401)</f>
        <v>0</v>
      </c>
      <c r="AG401" s="283">
        <f t="shared" si="909"/>
        <v>0</v>
      </c>
      <c r="AH401" s="228">
        <f t="shared" si="940"/>
        <v>0</v>
      </c>
      <c r="AI401" s="228">
        <f t="shared" si="940"/>
        <v>0</v>
      </c>
      <c r="AJ401" s="228">
        <f t="shared" si="940"/>
        <v>0</v>
      </c>
      <c r="AK401" s="261">
        <f t="shared" si="941"/>
        <v>0</v>
      </c>
      <c r="AL401" s="228">
        <f t="shared" si="942"/>
        <v>0</v>
      </c>
      <c r="AM401" s="228">
        <f t="shared" si="942"/>
        <v>0</v>
      </c>
      <c r="AN401" s="228">
        <f t="shared" si="942"/>
        <v>0</v>
      </c>
      <c r="AO401" s="261">
        <f>SUM(AL401:AN401)</f>
        <v>0</v>
      </c>
      <c r="AP401" s="228">
        <f t="shared" si="943"/>
        <v>0</v>
      </c>
      <c r="AQ401" s="228">
        <f t="shared" si="943"/>
        <v>0</v>
      </c>
      <c r="AR401" s="228">
        <f t="shared" si="943"/>
        <v>0</v>
      </c>
      <c r="AS401" s="228">
        <f t="shared" si="943"/>
        <v>0</v>
      </c>
      <c r="AT401" s="228">
        <f t="shared" si="943"/>
        <v>0</v>
      </c>
      <c r="AU401" s="228">
        <f t="shared" si="943"/>
        <v>0</v>
      </c>
      <c r="AV401" s="261">
        <f>SUM(AP401:AU401)</f>
        <v>0</v>
      </c>
      <c r="AW401" s="228">
        <f t="shared" si="944"/>
        <v>0</v>
      </c>
      <c r="AX401" s="228">
        <f t="shared" si="944"/>
        <v>0</v>
      </c>
      <c r="AY401" s="228">
        <f t="shared" si="944"/>
        <v>0</v>
      </c>
      <c r="AZ401" s="228">
        <f t="shared" si="944"/>
        <v>0</v>
      </c>
      <c r="BA401" s="228">
        <f t="shared" si="944"/>
        <v>0</v>
      </c>
      <c r="BB401" s="228">
        <f t="shared" si="944"/>
        <v>0</v>
      </c>
      <c r="BC401" s="261">
        <f t="shared" ref="BC401:BC423" si="945">SUM(AW401:BB401)</f>
        <v>0</v>
      </c>
      <c r="BD401" s="239">
        <f t="shared" si="841"/>
        <v>0</v>
      </c>
      <c r="BE401" s="243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  <c r="CJ401" s="244"/>
      <c r="CK401" s="244"/>
      <c r="CL401" s="244"/>
      <c r="CM401" s="244"/>
      <c r="CN401" s="244"/>
      <c r="CO401" s="244"/>
      <c r="CP401" s="244"/>
      <c r="CQ401" s="244"/>
      <c r="CR401" s="244"/>
      <c r="CS401" s="244"/>
      <c r="CT401" s="244"/>
      <c r="CU401" s="244"/>
      <c r="CV401" s="244"/>
      <c r="CW401" s="244"/>
      <c r="CX401" s="244"/>
      <c r="CY401" s="244"/>
      <c r="CZ401" s="244"/>
      <c r="DA401" s="244"/>
      <c r="DB401" s="244"/>
      <c r="DC401" s="244"/>
      <c r="DD401" s="244"/>
      <c r="DE401" s="244"/>
      <c r="DF401" s="244"/>
      <c r="DG401" s="244"/>
      <c r="DH401" s="244"/>
      <c r="DI401" s="244"/>
      <c r="DJ401" s="244"/>
      <c r="DK401" s="244"/>
      <c r="DL401" s="244"/>
      <c r="DM401" s="244"/>
      <c r="DN401" s="244"/>
      <c r="DO401" s="244"/>
      <c r="DP401" s="244"/>
      <c r="DQ401" s="244"/>
      <c r="DR401" s="244"/>
      <c r="DS401" s="244"/>
      <c r="DT401" s="244"/>
      <c r="DU401" s="244"/>
      <c r="DV401" s="244"/>
      <c r="DW401" s="244"/>
      <c r="DX401" s="244"/>
      <c r="DY401" s="244"/>
      <c r="DZ401" s="244"/>
      <c r="EA401" s="244"/>
      <c r="EB401" s="244"/>
      <c r="EC401" s="244"/>
      <c r="ED401" s="244"/>
      <c r="EE401" s="244"/>
      <c r="EF401" s="244"/>
      <c r="EG401" s="244"/>
      <c r="EH401" s="244"/>
      <c r="EI401" s="244"/>
      <c r="EJ401" s="244"/>
      <c r="EK401" s="244"/>
      <c r="EL401" s="244"/>
      <c r="EM401" s="244"/>
      <c r="EN401" s="244"/>
      <c r="EO401" s="244"/>
      <c r="EP401" s="244"/>
      <c r="EQ401" s="244"/>
      <c r="ER401" s="244"/>
      <c r="ES401" s="244"/>
      <c r="ET401" s="244"/>
      <c r="EU401" s="244"/>
      <c r="EV401" s="244"/>
      <c r="EW401" s="244"/>
      <c r="EX401" s="244"/>
      <c r="EY401" s="244"/>
      <c r="EZ401" s="244"/>
      <c r="FA401" s="244"/>
      <c r="FB401" s="244"/>
      <c r="FC401" s="244"/>
      <c r="FD401" s="244"/>
      <c r="FE401" s="244"/>
      <c r="FF401" s="244"/>
      <c r="FG401" s="244"/>
      <c r="FH401" s="244"/>
      <c r="FI401" s="244"/>
      <c r="FJ401" s="244"/>
      <c r="FK401" s="244"/>
      <c r="FL401" s="244"/>
      <c r="FM401" s="244"/>
      <c r="FN401" s="244"/>
      <c r="FO401" s="244"/>
      <c r="FP401" s="244"/>
      <c r="FQ401" s="244"/>
      <c r="FR401" s="244"/>
      <c r="FS401" s="244"/>
      <c r="FT401" s="244"/>
      <c r="FU401" s="244"/>
      <c r="FV401" s="244"/>
      <c r="FW401" s="244"/>
      <c r="FX401" s="244"/>
      <c r="FY401" s="244"/>
      <c r="FZ401" s="244"/>
      <c r="GA401" s="244"/>
      <c r="GB401" s="244"/>
      <c r="GC401" s="244"/>
      <c r="GD401" s="244"/>
      <c r="GE401" s="244"/>
      <c r="GF401" s="244"/>
      <c r="GG401" s="244"/>
      <c r="GH401" s="244"/>
      <c r="GI401" s="244"/>
      <c r="GJ401" s="244"/>
      <c r="GK401" s="244"/>
      <c r="GL401" s="244"/>
      <c r="GM401" s="244"/>
      <c r="GN401" s="244"/>
      <c r="GO401" s="244"/>
      <c r="GP401" s="244"/>
      <c r="GQ401" s="244"/>
      <c r="GR401" s="244"/>
      <c r="GS401" s="244"/>
      <c r="GT401" s="244"/>
    </row>
    <row r="402" spans="1:202" s="79" customFormat="1" ht="12" customHeight="1">
      <c r="A402" s="193" t="s">
        <v>26</v>
      </c>
      <c r="B402" s="182" t="s">
        <v>168</v>
      </c>
      <c r="C402" s="221" t="s">
        <v>240</v>
      </c>
      <c r="D402" s="73">
        <v>2922009194</v>
      </c>
      <c r="E402" s="82"/>
      <c r="F402" s="82"/>
      <c r="G402" s="177"/>
      <c r="H402" s="82"/>
      <c r="I402" s="82"/>
      <c r="J402" s="210"/>
      <c r="K402" s="254"/>
      <c r="L402" s="254"/>
      <c r="M402" s="254"/>
      <c r="N402" s="284">
        <f t="shared" si="939"/>
        <v>0</v>
      </c>
      <c r="O402" s="275"/>
      <c r="P402" s="275"/>
      <c r="Q402" s="293"/>
      <c r="R402" s="284">
        <f>O402+P402+Q402</f>
        <v>0</v>
      </c>
      <c r="S402" s="293"/>
      <c r="T402" s="266"/>
      <c r="U402" s="275"/>
      <c r="V402" s="275"/>
      <c r="W402" s="293"/>
      <c r="X402" s="263"/>
      <c r="Y402" s="262">
        <f>SUM(S402:X402)</f>
        <v>0</v>
      </c>
      <c r="Z402" s="275"/>
      <c r="AA402" s="275"/>
      <c r="AB402" s="275"/>
      <c r="AC402" s="275"/>
      <c r="AD402" s="275"/>
      <c r="AE402" s="275"/>
      <c r="AF402" s="284">
        <f>SUM(Z402:AE402)</f>
        <v>0</v>
      </c>
      <c r="AG402" s="282">
        <f t="shared" si="909"/>
        <v>0</v>
      </c>
      <c r="AH402" s="232">
        <f t="shared" si="940"/>
        <v>0</v>
      </c>
      <c r="AI402" s="232">
        <f t="shared" si="940"/>
        <v>0</v>
      </c>
      <c r="AJ402" s="232">
        <f t="shared" si="940"/>
        <v>0</v>
      </c>
      <c r="AK402" s="260">
        <f t="shared" si="941"/>
        <v>0</v>
      </c>
      <c r="AL402" s="232">
        <f t="shared" si="942"/>
        <v>0</v>
      </c>
      <c r="AM402" s="232">
        <f t="shared" si="942"/>
        <v>0</v>
      </c>
      <c r="AN402" s="232">
        <f t="shared" si="942"/>
        <v>0</v>
      </c>
      <c r="AO402" s="260">
        <f t="shared" ref="AO402:AO416" si="946">SUM(AL402:AN402)</f>
        <v>0</v>
      </c>
      <c r="AP402" s="232">
        <f t="shared" si="943"/>
        <v>0</v>
      </c>
      <c r="AQ402" s="232">
        <f t="shared" si="943"/>
        <v>0</v>
      </c>
      <c r="AR402" s="232">
        <f t="shared" si="943"/>
        <v>0</v>
      </c>
      <c r="AS402" s="232">
        <f t="shared" si="943"/>
        <v>0</v>
      </c>
      <c r="AT402" s="232">
        <f t="shared" si="943"/>
        <v>0</v>
      </c>
      <c r="AU402" s="232">
        <f t="shared" si="943"/>
        <v>0</v>
      </c>
      <c r="AV402" s="260">
        <f>SUM(AP402:AU402)</f>
        <v>0</v>
      </c>
      <c r="AW402" s="232">
        <f t="shared" si="944"/>
        <v>0</v>
      </c>
      <c r="AX402" s="232">
        <f t="shared" si="944"/>
        <v>0</v>
      </c>
      <c r="AY402" s="232">
        <f t="shared" si="944"/>
        <v>0</v>
      </c>
      <c r="AZ402" s="232">
        <f t="shared" si="944"/>
        <v>0</v>
      </c>
      <c r="BA402" s="232">
        <f t="shared" si="944"/>
        <v>0</v>
      </c>
      <c r="BB402" s="232">
        <f t="shared" si="944"/>
        <v>0</v>
      </c>
      <c r="BC402" s="260">
        <f t="shared" si="945"/>
        <v>0</v>
      </c>
      <c r="BD402" s="238">
        <f t="shared" si="841"/>
        <v>0</v>
      </c>
      <c r="BE402" s="13"/>
      <c r="BF402" s="243"/>
      <c r="BG402" s="243"/>
      <c r="BH402" s="243"/>
      <c r="BI402" s="243"/>
      <c r="BJ402" s="243"/>
      <c r="BK402" s="243"/>
      <c r="BL402" s="243"/>
      <c r="BM402" s="243"/>
      <c r="BN402" s="243"/>
      <c r="BO402" s="243"/>
      <c r="BP402" s="243"/>
      <c r="BQ402" s="243"/>
      <c r="BR402" s="243"/>
      <c r="BS402" s="243"/>
      <c r="BT402" s="243"/>
      <c r="BU402" s="243"/>
      <c r="BV402" s="243"/>
      <c r="BW402" s="243"/>
      <c r="BX402" s="243"/>
      <c r="BY402" s="243"/>
      <c r="BZ402" s="243"/>
      <c r="CA402" s="243"/>
      <c r="CB402" s="243"/>
      <c r="CC402" s="243"/>
      <c r="CD402" s="243"/>
      <c r="CE402" s="243"/>
      <c r="CF402" s="243"/>
      <c r="CG402" s="243"/>
      <c r="CH402" s="243"/>
      <c r="CI402" s="243"/>
      <c r="CJ402" s="243"/>
      <c r="CK402" s="243"/>
      <c r="CL402" s="243"/>
      <c r="CM402" s="243"/>
      <c r="CN402" s="243"/>
      <c r="CO402" s="243"/>
      <c r="CP402" s="243"/>
      <c r="CQ402" s="243"/>
      <c r="CR402" s="243"/>
      <c r="CS402" s="243"/>
      <c r="CT402" s="243"/>
      <c r="CU402" s="243"/>
      <c r="CV402" s="243"/>
      <c r="CW402" s="243"/>
      <c r="CX402" s="243"/>
      <c r="CY402" s="243"/>
      <c r="CZ402" s="243"/>
      <c r="DA402" s="243"/>
      <c r="DB402" s="243"/>
      <c r="DC402" s="243"/>
      <c r="DD402" s="243"/>
      <c r="DE402" s="243"/>
      <c r="DF402" s="243"/>
      <c r="DG402" s="243"/>
      <c r="DH402" s="243"/>
      <c r="DI402" s="243"/>
      <c r="DJ402" s="243"/>
      <c r="DK402" s="243"/>
      <c r="DL402" s="243"/>
      <c r="DM402" s="243"/>
      <c r="DN402" s="243"/>
      <c r="DO402" s="243"/>
      <c r="DP402" s="243"/>
      <c r="DQ402" s="243"/>
      <c r="DR402" s="243"/>
      <c r="DS402" s="243"/>
      <c r="DT402" s="243"/>
      <c r="DU402" s="243"/>
      <c r="DV402" s="243"/>
      <c r="DW402" s="243"/>
      <c r="DX402" s="243"/>
      <c r="DY402" s="243"/>
      <c r="DZ402" s="243"/>
      <c r="EA402" s="243"/>
      <c r="EB402" s="243"/>
      <c r="EC402" s="243"/>
      <c r="ED402" s="243"/>
      <c r="EE402" s="243"/>
      <c r="EF402" s="243"/>
      <c r="EG402" s="243"/>
      <c r="EH402" s="243"/>
      <c r="EI402" s="243"/>
      <c r="EJ402" s="243"/>
      <c r="EK402" s="243"/>
      <c r="EL402" s="243"/>
      <c r="EM402" s="243"/>
      <c r="EN402" s="243"/>
      <c r="EO402" s="243"/>
      <c r="EP402" s="243"/>
      <c r="EQ402" s="243"/>
      <c r="ER402" s="243"/>
      <c r="ES402" s="243"/>
      <c r="ET402" s="243"/>
      <c r="EU402" s="243"/>
      <c r="EV402" s="243"/>
      <c r="EW402" s="243"/>
      <c r="EX402" s="243"/>
      <c r="EY402" s="243"/>
      <c r="EZ402" s="243"/>
      <c r="FA402" s="243"/>
      <c r="FB402" s="243"/>
      <c r="FC402" s="243"/>
      <c r="FD402" s="243"/>
      <c r="FE402" s="243"/>
      <c r="FF402" s="243"/>
      <c r="FG402" s="243"/>
      <c r="FH402" s="243"/>
      <c r="FI402" s="243"/>
      <c r="FJ402" s="243"/>
      <c r="FK402" s="243"/>
      <c r="FL402" s="243"/>
      <c r="FM402" s="243"/>
      <c r="FN402" s="243"/>
      <c r="FO402" s="243"/>
      <c r="FP402" s="243"/>
      <c r="FQ402" s="243"/>
      <c r="FR402" s="243"/>
      <c r="FS402" s="243"/>
      <c r="FT402" s="243"/>
      <c r="FU402" s="243"/>
      <c r="FV402" s="243"/>
      <c r="FW402" s="243"/>
      <c r="FX402" s="243"/>
      <c r="FY402" s="243"/>
      <c r="FZ402" s="243"/>
      <c r="GA402" s="243"/>
      <c r="GB402" s="243"/>
      <c r="GC402" s="243"/>
      <c r="GD402" s="243"/>
      <c r="GE402" s="243"/>
      <c r="GF402" s="243"/>
      <c r="GG402" s="243"/>
      <c r="GH402" s="243"/>
      <c r="GI402" s="243"/>
      <c r="GJ402" s="243"/>
      <c r="GK402" s="243"/>
      <c r="GL402" s="243"/>
      <c r="GM402" s="243"/>
      <c r="GN402" s="243"/>
      <c r="GO402" s="243"/>
      <c r="GP402" s="243"/>
      <c r="GQ402" s="243"/>
      <c r="GR402" s="243"/>
      <c r="GS402" s="243"/>
      <c r="GT402" s="243"/>
    </row>
    <row r="403" spans="1:202" ht="25.5">
      <c r="A403" s="193" t="s">
        <v>247</v>
      </c>
      <c r="B403" s="182" t="s">
        <v>501</v>
      </c>
      <c r="C403" s="221"/>
      <c r="D403" s="73" t="s">
        <v>60</v>
      </c>
      <c r="E403" s="214"/>
      <c r="F403" s="214"/>
      <c r="G403" s="177"/>
      <c r="H403" s="214"/>
      <c r="I403" s="214"/>
      <c r="J403" s="210"/>
      <c r="K403" s="254">
        <f>K404</f>
        <v>14.711</v>
      </c>
      <c r="L403" s="254">
        <f>L404</f>
        <v>14.711</v>
      </c>
      <c r="M403" s="254">
        <f>M404</f>
        <v>0</v>
      </c>
      <c r="N403" s="284">
        <f t="shared" si="939"/>
        <v>29.422000000000001</v>
      </c>
      <c r="O403" s="275">
        <f>O404</f>
        <v>0</v>
      </c>
      <c r="P403" s="275">
        <f>P404</f>
        <v>0</v>
      </c>
      <c r="Q403" s="275">
        <f>Q404</f>
        <v>0</v>
      </c>
      <c r="R403" s="284">
        <f>O403+P403+Q403</f>
        <v>0</v>
      </c>
      <c r="S403" s="293">
        <f t="shared" ref="S403:X403" si="947">S404</f>
        <v>0</v>
      </c>
      <c r="T403" s="293">
        <f t="shared" si="947"/>
        <v>0</v>
      </c>
      <c r="U403" s="293">
        <f t="shared" si="947"/>
        <v>0</v>
      </c>
      <c r="V403" s="293">
        <f t="shared" si="947"/>
        <v>0</v>
      </c>
      <c r="W403" s="293">
        <f t="shared" si="947"/>
        <v>0</v>
      </c>
      <c r="X403" s="293">
        <f t="shared" si="947"/>
        <v>0</v>
      </c>
      <c r="Y403" s="262">
        <f>SUM(S403:X403)</f>
        <v>0</v>
      </c>
      <c r="Z403" s="275">
        <f t="shared" ref="Z403:AE403" si="948">Z404</f>
        <v>0</v>
      </c>
      <c r="AA403" s="275">
        <f t="shared" si="948"/>
        <v>0</v>
      </c>
      <c r="AB403" s="275">
        <f t="shared" si="948"/>
        <v>0</v>
      </c>
      <c r="AC403" s="275">
        <f t="shared" si="948"/>
        <v>0</v>
      </c>
      <c r="AD403" s="275">
        <f t="shared" si="948"/>
        <v>0</v>
      </c>
      <c r="AE403" s="275">
        <f t="shared" si="948"/>
        <v>0</v>
      </c>
      <c r="AF403" s="284">
        <f>SUM(AF404:AF404)</f>
        <v>0</v>
      </c>
      <c r="AG403" s="282">
        <f t="shared" si="909"/>
        <v>29.422000000000001</v>
      </c>
      <c r="AH403" s="232">
        <f>AH404</f>
        <v>46848.209269999999</v>
      </c>
      <c r="AI403" s="232">
        <f>AI404</f>
        <v>46848.209269999999</v>
      </c>
      <c r="AJ403" s="232">
        <f>AJ404</f>
        <v>0</v>
      </c>
      <c r="AK403" s="260">
        <f t="shared" si="941"/>
        <v>93696.418539999999</v>
      </c>
      <c r="AL403" s="232">
        <f>AL404</f>
        <v>0</v>
      </c>
      <c r="AM403" s="232">
        <f>AM404</f>
        <v>0</v>
      </c>
      <c r="AN403" s="232">
        <f>AN404</f>
        <v>0</v>
      </c>
      <c r="AO403" s="260">
        <f t="shared" si="946"/>
        <v>0</v>
      </c>
      <c r="AP403" s="232">
        <f t="shared" ref="AP403:AU403" si="949">AP404</f>
        <v>0</v>
      </c>
      <c r="AQ403" s="232">
        <f t="shared" si="949"/>
        <v>0</v>
      </c>
      <c r="AR403" s="232">
        <f t="shared" si="949"/>
        <v>0</v>
      </c>
      <c r="AS403" s="232">
        <f t="shared" si="949"/>
        <v>0</v>
      </c>
      <c r="AT403" s="232">
        <f t="shared" si="949"/>
        <v>0</v>
      </c>
      <c r="AU403" s="232">
        <f t="shared" si="949"/>
        <v>0</v>
      </c>
      <c r="AV403" s="260">
        <f>SUM(AP403:AU403)</f>
        <v>0</v>
      </c>
      <c r="AW403" s="232">
        <f t="shared" ref="AW403:BB403" si="950">AW404</f>
        <v>0</v>
      </c>
      <c r="AX403" s="232">
        <f t="shared" si="950"/>
        <v>0</v>
      </c>
      <c r="AY403" s="232">
        <f t="shared" si="950"/>
        <v>0</v>
      </c>
      <c r="AZ403" s="232">
        <f t="shared" si="950"/>
        <v>0</v>
      </c>
      <c r="BA403" s="232">
        <f t="shared" si="950"/>
        <v>0</v>
      </c>
      <c r="BB403" s="232">
        <f t="shared" si="950"/>
        <v>0</v>
      </c>
      <c r="BC403" s="260">
        <f t="shared" si="945"/>
        <v>0</v>
      </c>
      <c r="BD403" s="238">
        <f t="shared" si="841"/>
        <v>93696.418539999999</v>
      </c>
    </row>
    <row r="404" spans="1:202" ht="12.75">
      <c r="A404" s="196"/>
      <c r="B404" s="84" t="s">
        <v>61</v>
      </c>
      <c r="C404" s="223"/>
      <c r="D404" s="241"/>
      <c r="E404" s="211">
        <v>4906.24</v>
      </c>
      <c r="F404" s="211">
        <v>1721.67</v>
      </c>
      <c r="G404" s="177">
        <f>E404-F404</f>
        <v>3184.5699999999997</v>
      </c>
      <c r="H404" s="211">
        <v>4906.24</v>
      </c>
      <c r="I404" s="211">
        <v>1721.67</v>
      </c>
      <c r="J404" s="210">
        <f>H404-I404</f>
        <v>3184.5699999999997</v>
      </c>
      <c r="K404" s="252">
        <v>14.711</v>
      </c>
      <c r="L404" s="252">
        <v>14.711</v>
      </c>
      <c r="M404" s="252"/>
      <c r="N404" s="287">
        <f t="shared" si="939"/>
        <v>29.422000000000001</v>
      </c>
      <c r="O404" s="273"/>
      <c r="P404" s="273"/>
      <c r="Q404" s="290"/>
      <c r="R404" s="287"/>
      <c r="S404" s="290"/>
      <c r="T404" s="264"/>
      <c r="U404" s="273"/>
      <c r="V404" s="273"/>
      <c r="W404" s="290"/>
      <c r="X404" s="264"/>
      <c r="Y404" s="142"/>
      <c r="Z404" s="273"/>
      <c r="AA404" s="273"/>
      <c r="AB404" s="273"/>
      <c r="AC404" s="273"/>
      <c r="AD404" s="273"/>
      <c r="AE404" s="273"/>
      <c r="AF404" s="287">
        <f>SUM(Z404:AE404)</f>
        <v>0</v>
      </c>
      <c r="AG404" s="283">
        <f t="shared" si="909"/>
        <v>29.422000000000001</v>
      </c>
      <c r="AH404" s="228">
        <f>K404*$G404</f>
        <v>46848.209269999999</v>
      </c>
      <c r="AI404" s="228">
        <f>L404*$G404</f>
        <v>46848.209269999999</v>
      </c>
      <c r="AJ404" s="228">
        <f>M404*$G404</f>
        <v>0</v>
      </c>
      <c r="AK404" s="261">
        <f t="shared" si="941"/>
        <v>93696.418539999999</v>
      </c>
      <c r="AL404" s="228">
        <f>O404*$G404</f>
        <v>0</v>
      </c>
      <c r="AM404" s="228">
        <f>P404*$G404</f>
        <v>0</v>
      </c>
      <c r="AN404" s="228">
        <f>Q404*$G404</f>
        <v>0</v>
      </c>
      <c r="AO404" s="261"/>
      <c r="AP404" s="228">
        <f t="shared" ref="AP404:AU404" si="951">S404*$J404</f>
        <v>0</v>
      </c>
      <c r="AQ404" s="228">
        <f t="shared" si="951"/>
        <v>0</v>
      </c>
      <c r="AR404" s="228">
        <f t="shared" si="951"/>
        <v>0</v>
      </c>
      <c r="AS404" s="228">
        <f t="shared" si="951"/>
        <v>0</v>
      </c>
      <c r="AT404" s="228">
        <f t="shared" si="951"/>
        <v>0</v>
      </c>
      <c r="AU404" s="228">
        <f t="shared" si="951"/>
        <v>0</v>
      </c>
      <c r="AV404" s="261"/>
      <c r="AW404" s="228">
        <f t="shared" ref="AW404:BB404" si="952">Z404*$J404</f>
        <v>0</v>
      </c>
      <c r="AX404" s="228">
        <f t="shared" si="952"/>
        <v>0</v>
      </c>
      <c r="AY404" s="228">
        <f t="shared" si="952"/>
        <v>0</v>
      </c>
      <c r="AZ404" s="228">
        <f t="shared" si="952"/>
        <v>0</v>
      </c>
      <c r="BA404" s="228">
        <f t="shared" si="952"/>
        <v>0</v>
      </c>
      <c r="BB404" s="228">
        <f t="shared" si="952"/>
        <v>0</v>
      </c>
      <c r="BC404" s="261">
        <f t="shared" si="945"/>
        <v>0</v>
      </c>
      <c r="BD404" s="239">
        <f t="shared" si="841"/>
        <v>93696.418539999999</v>
      </c>
      <c r="BE404" s="243"/>
    </row>
    <row r="405" spans="1:202" s="83" customFormat="1" ht="12.75">
      <c r="A405" s="187" t="s">
        <v>247</v>
      </c>
      <c r="B405" s="170" t="s">
        <v>249</v>
      </c>
      <c r="C405" s="216"/>
      <c r="D405" s="138">
        <v>7606053324</v>
      </c>
      <c r="E405" s="147"/>
      <c r="F405" s="147"/>
      <c r="G405" s="177"/>
      <c r="H405" s="147"/>
      <c r="I405" s="147"/>
      <c r="J405" s="210"/>
      <c r="K405" s="251">
        <f t="shared" ref="K405:AF405" si="953">SUM(K406:K416)</f>
        <v>423132.81699999998</v>
      </c>
      <c r="L405" s="251">
        <f t="shared" si="953"/>
        <v>361274.174</v>
      </c>
      <c r="M405" s="251">
        <f t="shared" si="953"/>
        <v>0</v>
      </c>
      <c r="N405" s="284">
        <f t="shared" si="953"/>
        <v>784406.99099999992</v>
      </c>
      <c r="O405" s="251">
        <f t="shared" si="953"/>
        <v>0</v>
      </c>
      <c r="P405" s="251">
        <f t="shared" si="953"/>
        <v>0</v>
      </c>
      <c r="Q405" s="251">
        <f t="shared" si="953"/>
        <v>0</v>
      </c>
      <c r="R405" s="284">
        <f t="shared" si="953"/>
        <v>0</v>
      </c>
      <c r="S405" s="289">
        <f t="shared" si="953"/>
        <v>0</v>
      </c>
      <c r="T405" s="289">
        <f t="shared" si="953"/>
        <v>0</v>
      </c>
      <c r="U405" s="289">
        <f t="shared" si="953"/>
        <v>0</v>
      </c>
      <c r="V405" s="289">
        <f t="shared" si="953"/>
        <v>0</v>
      </c>
      <c r="W405" s="289">
        <f t="shared" si="953"/>
        <v>0</v>
      </c>
      <c r="X405" s="289">
        <f t="shared" si="953"/>
        <v>0</v>
      </c>
      <c r="Y405" s="284">
        <f t="shared" si="953"/>
        <v>0</v>
      </c>
      <c r="Z405" s="272">
        <f t="shared" si="953"/>
        <v>0</v>
      </c>
      <c r="AA405" s="272">
        <f t="shared" si="953"/>
        <v>0</v>
      </c>
      <c r="AB405" s="272">
        <f t="shared" si="953"/>
        <v>0</v>
      </c>
      <c r="AC405" s="272">
        <f t="shared" si="953"/>
        <v>0</v>
      </c>
      <c r="AD405" s="272">
        <f t="shared" si="953"/>
        <v>0</v>
      </c>
      <c r="AE405" s="272">
        <f t="shared" si="953"/>
        <v>0</v>
      </c>
      <c r="AF405" s="284">
        <f t="shared" si="953"/>
        <v>0</v>
      </c>
      <c r="AG405" s="282">
        <f t="shared" si="909"/>
        <v>784406.99099999992</v>
      </c>
      <c r="AH405" s="227">
        <f>SUM(AH406:AH416)</f>
        <v>136419499.62394002</v>
      </c>
      <c r="AI405" s="227">
        <f>SUM(AI406:AI416)</f>
        <v>114023558.00288001</v>
      </c>
      <c r="AJ405" s="227">
        <f>SUM(AJ406:AJ416)</f>
        <v>0</v>
      </c>
      <c r="AK405" s="260">
        <f>AH405+AI405+AJ405</f>
        <v>250443057.62682003</v>
      </c>
      <c r="AL405" s="227">
        <f>SUM(AL406:AL416)</f>
        <v>0</v>
      </c>
      <c r="AM405" s="227">
        <f>SUM(AM406:AM416)</f>
        <v>0</v>
      </c>
      <c r="AN405" s="227">
        <f>SUM(AN406:AN416)</f>
        <v>0</v>
      </c>
      <c r="AO405" s="260">
        <f t="shared" si="946"/>
        <v>0</v>
      </c>
      <c r="AP405" s="227">
        <f t="shared" ref="AP405:AU405" si="954">SUM(AP406:AP416)</f>
        <v>0</v>
      </c>
      <c r="AQ405" s="227">
        <f t="shared" si="954"/>
        <v>0</v>
      </c>
      <c r="AR405" s="227">
        <f t="shared" si="954"/>
        <v>0</v>
      </c>
      <c r="AS405" s="227">
        <f t="shared" si="954"/>
        <v>0</v>
      </c>
      <c r="AT405" s="227">
        <f t="shared" si="954"/>
        <v>0</v>
      </c>
      <c r="AU405" s="227">
        <f t="shared" si="954"/>
        <v>0</v>
      </c>
      <c r="AV405" s="260">
        <f>SUM(AP405:AU405)</f>
        <v>0</v>
      </c>
      <c r="AW405" s="227">
        <f t="shared" ref="AW405:BB405" si="955">SUM(AW406:AW416)</f>
        <v>0</v>
      </c>
      <c r="AX405" s="227">
        <f t="shared" si="955"/>
        <v>0</v>
      </c>
      <c r="AY405" s="227">
        <f t="shared" si="955"/>
        <v>0</v>
      </c>
      <c r="AZ405" s="227">
        <f t="shared" si="955"/>
        <v>0</v>
      </c>
      <c r="BA405" s="227">
        <f t="shared" si="955"/>
        <v>0</v>
      </c>
      <c r="BB405" s="227">
        <f t="shared" si="955"/>
        <v>0</v>
      </c>
      <c r="BC405" s="260">
        <f t="shared" si="945"/>
        <v>0</v>
      </c>
      <c r="BD405" s="238">
        <f t="shared" si="841"/>
        <v>250443057.62682003</v>
      </c>
      <c r="BE405" s="13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44"/>
      <c r="CC405" s="244"/>
      <c r="CD405" s="244"/>
      <c r="CE405" s="244"/>
      <c r="CF405" s="244"/>
      <c r="CG405" s="244"/>
      <c r="CH405" s="244"/>
      <c r="CI405" s="244"/>
      <c r="CJ405" s="244"/>
      <c r="CK405" s="244"/>
      <c r="CL405" s="244"/>
      <c r="CM405" s="244"/>
      <c r="CN405" s="244"/>
      <c r="CO405" s="244"/>
      <c r="CP405" s="244"/>
      <c r="CQ405" s="244"/>
      <c r="CR405" s="244"/>
      <c r="CS405" s="244"/>
      <c r="CT405" s="244"/>
      <c r="CU405" s="244"/>
      <c r="CV405" s="244"/>
      <c r="CW405" s="244"/>
      <c r="CX405" s="244"/>
      <c r="CY405" s="244"/>
      <c r="CZ405" s="244"/>
      <c r="DA405" s="244"/>
      <c r="DB405" s="244"/>
      <c r="DC405" s="244"/>
      <c r="DD405" s="244"/>
      <c r="DE405" s="244"/>
      <c r="DF405" s="244"/>
      <c r="DG405" s="244"/>
      <c r="DH405" s="244"/>
      <c r="DI405" s="244"/>
      <c r="DJ405" s="244"/>
      <c r="DK405" s="244"/>
      <c r="DL405" s="244"/>
      <c r="DM405" s="244"/>
      <c r="DN405" s="244"/>
      <c r="DO405" s="244"/>
      <c r="DP405" s="244"/>
      <c r="DQ405" s="244"/>
      <c r="DR405" s="244"/>
      <c r="DS405" s="244"/>
      <c r="DT405" s="244"/>
      <c r="DU405" s="244"/>
      <c r="DV405" s="244"/>
      <c r="DW405" s="244"/>
      <c r="DX405" s="244"/>
      <c r="DY405" s="244"/>
      <c r="DZ405" s="244"/>
      <c r="EA405" s="244"/>
      <c r="EB405" s="244"/>
      <c r="EC405" s="244"/>
      <c r="ED405" s="244"/>
      <c r="EE405" s="244"/>
      <c r="EF405" s="244"/>
      <c r="EG405" s="244"/>
      <c r="EH405" s="244"/>
      <c r="EI405" s="244"/>
      <c r="EJ405" s="244"/>
      <c r="EK405" s="244"/>
      <c r="EL405" s="244"/>
      <c r="EM405" s="244"/>
      <c r="EN405" s="244"/>
      <c r="EO405" s="244"/>
      <c r="EP405" s="244"/>
      <c r="EQ405" s="244"/>
      <c r="ER405" s="244"/>
      <c r="ES405" s="244"/>
      <c r="ET405" s="244"/>
      <c r="EU405" s="244"/>
      <c r="EV405" s="244"/>
      <c r="EW405" s="244"/>
      <c r="EX405" s="244"/>
      <c r="EY405" s="244"/>
      <c r="EZ405" s="244"/>
      <c r="FA405" s="244"/>
      <c r="FB405" s="244"/>
      <c r="FC405" s="244"/>
      <c r="FD405" s="244"/>
      <c r="FE405" s="244"/>
      <c r="FF405" s="244"/>
      <c r="FG405" s="244"/>
      <c r="FH405" s="244"/>
      <c r="FI405" s="244"/>
      <c r="FJ405" s="244"/>
      <c r="FK405" s="244"/>
      <c r="FL405" s="244"/>
      <c r="FM405" s="244"/>
      <c r="FN405" s="244"/>
      <c r="FO405" s="244"/>
      <c r="FP405" s="244"/>
      <c r="FQ405" s="244"/>
      <c r="FR405" s="244"/>
      <c r="FS405" s="244"/>
      <c r="FT405" s="244"/>
      <c r="FU405" s="244"/>
      <c r="FV405" s="244"/>
      <c r="FW405" s="244"/>
      <c r="FX405" s="244"/>
      <c r="FY405" s="244"/>
      <c r="FZ405" s="244"/>
      <c r="GA405" s="244"/>
      <c r="GB405" s="244"/>
      <c r="GC405" s="244"/>
      <c r="GD405" s="244"/>
      <c r="GE405" s="244"/>
      <c r="GF405" s="244"/>
      <c r="GG405" s="244"/>
      <c r="GH405" s="244"/>
      <c r="GI405" s="244"/>
      <c r="GJ405" s="244"/>
      <c r="GK405" s="244"/>
      <c r="GL405" s="244"/>
      <c r="GM405" s="244"/>
      <c r="GN405" s="244"/>
      <c r="GO405" s="244"/>
      <c r="GP405" s="244"/>
      <c r="GQ405" s="244"/>
      <c r="GR405" s="244"/>
      <c r="GS405" s="244"/>
      <c r="GT405" s="244"/>
    </row>
    <row r="406" spans="1:202" s="83" customFormat="1" ht="12.75">
      <c r="A406" s="191"/>
      <c r="B406" s="240" t="s">
        <v>250</v>
      </c>
      <c r="C406" s="216"/>
      <c r="D406" s="138"/>
      <c r="E406" s="147">
        <v>2178.13</v>
      </c>
      <c r="F406" s="147">
        <v>1789.17</v>
      </c>
      <c r="G406" s="177">
        <f t="shared" ref="G406:G411" si="956">E406-F406</f>
        <v>388.96000000000004</v>
      </c>
      <c r="H406" s="147">
        <v>2178.13</v>
      </c>
      <c r="I406" s="147">
        <v>1789.17</v>
      </c>
      <c r="J406" s="177">
        <f t="shared" ref="J406:J411" si="957">H406-I406</f>
        <v>388.96000000000004</v>
      </c>
      <c r="K406" s="252">
        <v>232424.09400000001</v>
      </c>
      <c r="L406" s="252">
        <f>179800.192-4.038</f>
        <v>179796.15400000001</v>
      </c>
      <c r="M406" s="252"/>
      <c r="N406" s="287">
        <f t="shared" ref="N406:N416" si="958">K406+L406+M406</f>
        <v>412220.24800000002</v>
      </c>
      <c r="O406" s="273"/>
      <c r="P406" s="273"/>
      <c r="Q406" s="290"/>
      <c r="R406" s="287"/>
      <c r="S406" s="290"/>
      <c r="T406" s="273"/>
      <c r="U406" s="273"/>
      <c r="V406" s="273"/>
      <c r="W406" s="290"/>
      <c r="X406" s="273"/>
      <c r="Y406" s="142"/>
      <c r="Z406" s="273"/>
      <c r="AA406" s="273"/>
      <c r="AB406" s="273"/>
      <c r="AC406" s="273"/>
      <c r="AD406" s="273"/>
      <c r="AE406" s="273"/>
      <c r="AF406" s="287">
        <f t="shared" ref="AF406:AF416" si="959">SUM(Z406:AE406)</f>
        <v>0</v>
      </c>
      <c r="AG406" s="283">
        <f t="shared" si="909"/>
        <v>412220.24800000002</v>
      </c>
      <c r="AH406" s="228">
        <f t="shared" ref="AH406:AH416" si="960">K406*$G406</f>
        <v>90403675.602240011</v>
      </c>
      <c r="AI406" s="228">
        <f t="shared" ref="AI406:AI416" si="961">L406*$G406</f>
        <v>69933512.059840009</v>
      </c>
      <c r="AJ406" s="228">
        <f t="shared" ref="AJ406:AJ416" si="962">M406*$G406</f>
        <v>0</v>
      </c>
      <c r="AK406" s="261">
        <f t="shared" ref="AK406:AK411" si="963">AH406+AI406+AJ406</f>
        <v>160337187.66208002</v>
      </c>
      <c r="AL406" s="228">
        <f t="shared" ref="AL406:AL416" si="964">O406*$G406</f>
        <v>0</v>
      </c>
      <c r="AM406" s="228">
        <f t="shared" ref="AM406:AM416" si="965">P406*$G406</f>
        <v>0</v>
      </c>
      <c r="AN406" s="228">
        <f t="shared" ref="AN406:AN416" si="966">Q406*$G406</f>
        <v>0</v>
      </c>
      <c r="AO406" s="261"/>
      <c r="AP406" s="228">
        <f t="shared" ref="AP406:AP416" si="967">S406*$J406</f>
        <v>0</v>
      </c>
      <c r="AQ406" s="228">
        <f t="shared" ref="AQ406:AQ416" si="968">T406*$J406</f>
        <v>0</v>
      </c>
      <c r="AR406" s="228">
        <f t="shared" ref="AR406:AR416" si="969">U406*$J406</f>
        <v>0</v>
      </c>
      <c r="AS406" s="228">
        <f t="shared" ref="AS406:AS416" si="970">V406*$J406</f>
        <v>0</v>
      </c>
      <c r="AT406" s="228">
        <f t="shared" ref="AT406:AT416" si="971">W406*$J406</f>
        <v>0</v>
      </c>
      <c r="AU406" s="228">
        <f t="shared" ref="AU406:AU416" si="972">X406*$J406</f>
        <v>0</v>
      </c>
      <c r="AV406" s="261"/>
      <c r="AW406" s="228">
        <f t="shared" ref="AW406:AW416" si="973">Z406*$J406</f>
        <v>0</v>
      </c>
      <c r="AX406" s="228">
        <f t="shared" ref="AX406:AX416" si="974">AA406*$J406</f>
        <v>0</v>
      </c>
      <c r="AY406" s="228">
        <f t="shared" ref="AY406:AY416" si="975">AB406*$J406</f>
        <v>0</v>
      </c>
      <c r="AZ406" s="228">
        <f t="shared" ref="AZ406:AZ416" si="976">AC406*$J406</f>
        <v>0</v>
      </c>
      <c r="BA406" s="228">
        <f t="shared" ref="BA406:BA416" si="977">AD406*$J406</f>
        <v>0</v>
      </c>
      <c r="BB406" s="228">
        <f t="shared" ref="BB406:BB416" si="978">AE406*$J406</f>
        <v>0</v>
      </c>
      <c r="BC406" s="261">
        <f t="shared" si="945"/>
        <v>0</v>
      </c>
      <c r="BD406" s="239">
        <f t="shared" si="841"/>
        <v>160337187.66208002</v>
      </c>
      <c r="BE406" s="13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44"/>
      <c r="CC406" s="244"/>
      <c r="CD406" s="244"/>
      <c r="CE406" s="244"/>
      <c r="CF406" s="244"/>
      <c r="CG406" s="244"/>
      <c r="CH406" s="244"/>
      <c r="CI406" s="244"/>
      <c r="CJ406" s="244"/>
      <c r="CK406" s="244"/>
      <c r="CL406" s="244"/>
      <c r="CM406" s="244"/>
      <c r="CN406" s="244"/>
      <c r="CO406" s="244"/>
      <c r="CP406" s="244"/>
      <c r="CQ406" s="244"/>
      <c r="CR406" s="244"/>
      <c r="CS406" s="244"/>
      <c r="CT406" s="244"/>
      <c r="CU406" s="244"/>
      <c r="CV406" s="244"/>
      <c r="CW406" s="244"/>
      <c r="CX406" s="244"/>
      <c r="CY406" s="244"/>
      <c r="CZ406" s="244"/>
      <c r="DA406" s="244"/>
      <c r="DB406" s="244"/>
      <c r="DC406" s="244"/>
      <c r="DD406" s="244"/>
      <c r="DE406" s="244"/>
      <c r="DF406" s="244"/>
      <c r="DG406" s="244"/>
      <c r="DH406" s="244"/>
      <c r="DI406" s="244"/>
      <c r="DJ406" s="244"/>
      <c r="DK406" s="244"/>
      <c r="DL406" s="244"/>
      <c r="DM406" s="244"/>
      <c r="DN406" s="244"/>
      <c r="DO406" s="244"/>
      <c r="DP406" s="244"/>
      <c r="DQ406" s="244"/>
      <c r="DR406" s="244"/>
      <c r="DS406" s="244"/>
      <c r="DT406" s="244"/>
      <c r="DU406" s="244"/>
      <c r="DV406" s="244"/>
      <c r="DW406" s="244"/>
      <c r="DX406" s="244"/>
      <c r="DY406" s="244"/>
      <c r="DZ406" s="244"/>
      <c r="EA406" s="244"/>
      <c r="EB406" s="244"/>
      <c r="EC406" s="244"/>
      <c r="ED406" s="244"/>
      <c r="EE406" s="244"/>
      <c r="EF406" s="244"/>
      <c r="EG406" s="244"/>
      <c r="EH406" s="244"/>
      <c r="EI406" s="244"/>
      <c r="EJ406" s="244"/>
      <c r="EK406" s="244"/>
      <c r="EL406" s="244"/>
      <c r="EM406" s="244"/>
      <c r="EN406" s="244"/>
      <c r="EO406" s="244"/>
      <c r="EP406" s="244"/>
      <c r="EQ406" s="244"/>
      <c r="ER406" s="244"/>
      <c r="ES406" s="244"/>
      <c r="ET406" s="244"/>
      <c r="EU406" s="244"/>
      <c r="EV406" s="244"/>
      <c r="EW406" s="244"/>
      <c r="EX406" s="244"/>
      <c r="EY406" s="244"/>
      <c r="EZ406" s="244"/>
      <c r="FA406" s="244"/>
      <c r="FB406" s="244"/>
      <c r="FC406" s="244"/>
      <c r="FD406" s="244"/>
      <c r="FE406" s="244"/>
      <c r="FF406" s="244"/>
      <c r="FG406" s="244"/>
      <c r="FH406" s="244"/>
      <c r="FI406" s="244"/>
      <c r="FJ406" s="244"/>
      <c r="FK406" s="244"/>
      <c r="FL406" s="244"/>
      <c r="FM406" s="244"/>
      <c r="FN406" s="244"/>
      <c r="FO406" s="244"/>
      <c r="FP406" s="244"/>
      <c r="FQ406" s="244"/>
      <c r="FR406" s="244"/>
      <c r="FS406" s="244"/>
      <c r="FT406" s="244"/>
      <c r="FU406" s="244"/>
      <c r="FV406" s="244"/>
      <c r="FW406" s="244"/>
      <c r="FX406" s="244"/>
      <c r="FY406" s="244"/>
      <c r="FZ406" s="244"/>
      <c r="GA406" s="244"/>
      <c r="GB406" s="244"/>
      <c r="GC406" s="244"/>
      <c r="GD406" s="244"/>
      <c r="GE406" s="244"/>
      <c r="GF406" s="244"/>
      <c r="GG406" s="244"/>
      <c r="GH406" s="244"/>
      <c r="GI406" s="244"/>
      <c r="GJ406" s="244"/>
      <c r="GK406" s="244"/>
      <c r="GL406" s="244"/>
      <c r="GM406" s="244"/>
      <c r="GN406" s="244"/>
      <c r="GO406" s="244"/>
      <c r="GP406" s="244"/>
      <c r="GQ406" s="244"/>
      <c r="GR406" s="244"/>
      <c r="GS406" s="244"/>
      <c r="GT406" s="244"/>
    </row>
    <row r="407" spans="1:202" s="83" customFormat="1" ht="12.75">
      <c r="A407" s="191"/>
      <c r="B407" s="240" t="s">
        <v>251</v>
      </c>
      <c r="C407" s="216"/>
      <c r="D407" s="138"/>
      <c r="E407" s="147">
        <v>2178.13</v>
      </c>
      <c r="F407" s="147">
        <v>1743.33</v>
      </c>
      <c r="G407" s="177">
        <f t="shared" si="956"/>
        <v>434.80000000000018</v>
      </c>
      <c r="H407" s="147">
        <v>2178.13</v>
      </c>
      <c r="I407" s="147">
        <v>1743.33</v>
      </c>
      <c r="J407" s="177">
        <f t="shared" si="957"/>
        <v>434.80000000000018</v>
      </c>
      <c r="K407" s="252">
        <v>1388.0889999999999</v>
      </c>
      <c r="L407" s="252">
        <v>1181.7170000000001</v>
      </c>
      <c r="M407" s="252"/>
      <c r="N407" s="287">
        <f t="shared" si="958"/>
        <v>2569.806</v>
      </c>
      <c r="O407" s="273"/>
      <c r="P407" s="273"/>
      <c r="Q407" s="290"/>
      <c r="R407" s="287"/>
      <c r="S407" s="290"/>
      <c r="T407" s="273"/>
      <c r="U407" s="273"/>
      <c r="V407" s="273"/>
      <c r="W407" s="290"/>
      <c r="X407" s="273"/>
      <c r="Y407" s="142"/>
      <c r="Z407" s="273"/>
      <c r="AA407" s="273"/>
      <c r="AB407" s="273"/>
      <c r="AC407" s="273"/>
      <c r="AD407" s="273"/>
      <c r="AE407" s="273"/>
      <c r="AF407" s="287">
        <f t="shared" si="959"/>
        <v>0</v>
      </c>
      <c r="AG407" s="283">
        <f t="shared" si="909"/>
        <v>2569.806</v>
      </c>
      <c r="AH407" s="228">
        <f t="shared" si="960"/>
        <v>603541.09720000019</v>
      </c>
      <c r="AI407" s="228">
        <f t="shared" si="961"/>
        <v>513810.55160000024</v>
      </c>
      <c r="AJ407" s="228">
        <f t="shared" si="962"/>
        <v>0</v>
      </c>
      <c r="AK407" s="261">
        <f t="shared" si="963"/>
        <v>1117351.6488000005</v>
      </c>
      <c r="AL407" s="228">
        <f t="shared" si="964"/>
        <v>0</v>
      </c>
      <c r="AM407" s="228">
        <f t="shared" si="965"/>
        <v>0</v>
      </c>
      <c r="AN407" s="228">
        <f t="shared" si="966"/>
        <v>0</v>
      </c>
      <c r="AO407" s="261"/>
      <c r="AP407" s="228">
        <f t="shared" si="967"/>
        <v>0</v>
      </c>
      <c r="AQ407" s="228">
        <f t="shared" si="968"/>
        <v>0</v>
      </c>
      <c r="AR407" s="228">
        <f t="shared" si="969"/>
        <v>0</v>
      </c>
      <c r="AS407" s="228">
        <f t="shared" si="970"/>
        <v>0</v>
      </c>
      <c r="AT407" s="228">
        <f t="shared" si="971"/>
        <v>0</v>
      </c>
      <c r="AU407" s="228">
        <f t="shared" si="972"/>
        <v>0</v>
      </c>
      <c r="AV407" s="261"/>
      <c r="AW407" s="228">
        <f t="shared" si="973"/>
        <v>0</v>
      </c>
      <c r="AX407" s="228">
        <f t="shared" si="974"/>
        <v>0</v>
      </c>
      <c r="AY407" s="228">
        <f t="shared" si="975"/>
        <v>0</v>
      </c>
      <c r="AZ407" s="228">
        <f t="shared" si="976"/>
        <v>0</v>
      </c>
      <c r="BA407" s="228">
        <f t="shared" si="977"/>
        <v>0</v>
      </c>
      <c r="BB407" s="228">
        <f t="shared" si="978"/>
        <v>0</v>
      </c>
      <c r="BC407" s="261">
        <f t="shared" si="945"/>
        <v>0</v>
      </c>
      <c r="BD407" s="239">
        <f t="shared" si="841"/>
        <v>1117351.6488000005</v>
      </c>
      <c r="BE407" s="13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44"/>
      <c r="CC407" s="244"/>
      <c r="CD407" s="244"/>
      <c r="CE407" s="244"/>
      <c r="CF407" s="244"/>
      <c r="CG407" s="244"/>
      <c r="CH407" s="244"/>
      <c r="CI407" s="244"/>
      <c r="CJ407" s="244"/>
      <c r="CK407" s="244"/>
      <c r="CL407" s="244"/>
      <c r="CM407" s="244"/>
      <c r="CN407" s="244"/>
      <c r="CO407" s="244"/>
      <c r="CP407" s="244"/>
      <c r="CQ407" s="244"/>
      <c r="CR407" s="244"/>
      <c r="CS407" s="244"/>
      <c r="CT407" s="244"/>
      <c r="CU407" s="244"/>
      <c r="CV407" s="244"/>
      <c r="CW407" s="244"/>
      <c r="CX407" s="244"/>
      <c r="CY407" s="244"/>
      <c r="CZ407" s="244"/>
      <c r="DA407" s="244"/>
      <c r="DB407" s="244"/>
      <c r="DC407" s="244"/>
      <c r="DD407" s="244"/>
      <c r="DE407" s="244"/>
      <c r="DF407" s="244"/>
      <c r="DG407" s="244"/>
      <c r="DH407" s="244"/>
      <c r="DI407" s="244"/>
      <c r="DJ407" s="244"/>
      <c r="DK407" s="244"/>
      <c r="DL407" s="244"/>
      <c r="DM407" s="244"/>
      <c r="DN407" s="244"/>
      <c r="DO407" s="244"/>
      <c r="DP407" s="244"/>
      <c r="DQ407" s="244"/>
      <c r="DR407" s="244"/>
      <c r="DS407" s="244"/>
      <c r="DT407" s="244"/>
      <c r="DU407" s="244"/>
      <c r="DV407" s="244"/>
      <c r="DW407" s="244"/>
      <c r="DX407" s="244"/>
      <c r="DY407" s="244"/>
      <c r="DZ407" s="244"/>
      <c r="EA407" s="244"/>
      <c r="EB407" s="244"/>
      <c r="EC407" s="244"/>
      <c r="ED407" s="244"/>
      <c r="EE407" s="244"/>
      <c r="EF407" s="244"/>
      <c r="EG407" s="244"/>
      <c r="EH407" s="244"/>
      <c r="EI407" s="244"/>
      <c r="EJ407" s="244"/>
      <c r="EK407" s="244"/>
      <c r="EL407" s="244"/>
      <c r="EM407" s="244"/>
      <c r="EN407" s="244"/>
      <c r="EO407" s="244"/>
      <c r="EP407" s="244"/>
      <c r="EQ407" s="244"/>
      <c r="ER407" s="244"/>
      <c r="ES407" s="244"/>
      <c r="ET407" s="244"/>
      <c r="EU407" s="244"/>
      <c r="EV407" s="244"/>
      <c r="EW407" s="244"/>
      <c r="EX407" s="244"/>
      <c r="EY407" s="244"/>
      <c r="EZ407" s="244"/>
      <c r="FA407" s="244"/>
      <c r="FB407" s="244"/>
      <c r="FC407" s="244"/>
      <c r="FD407" s="244"/>
      <c r="FE407" s="244"/>
      <c r="FF407" s="244"/>
      <c r="FG407" s="244"/>
      <c r="FH407" s="244"/>
      <c r="FI407" s="244"/>
      <c r="FJ407" s="244"/>
      <c r="FK407" s="244"/>
      <c r="FL407" s="244"/>
      <c r="FM407" s="244"/>
      <c r="FN407" s="244"/>
      <c r="FO407" s="244"/>
      <c r="FP407" s="244"/>
      <c r="FQ407" s="244"/>
      <c r="FR407" s="244"/>
      <c r="FS407" s="244"/>
      <c r="FT407" s="244"/>
      <c r="FU407" s="244"/>
      <c r="FV407" s="244"/>
      <c r="FW407" s="244"/>
      <c r="FX407" s="244"/>
      <c r="FY407" s="244"/>
      <c r="FZ407" s="244"/>
      <c r="GA407" s="244"/>
      <c r="GB407" s="244"/>
      <c r="GC407" s="244"/>
      <c r="GD407" s="244"/>
      <c r="GE407" s="244"/>
      <c r="GF407" s="244"/>
      <c r="GG407" s="244"/>
      <c r="GH407" s="244"/>
      <c r="GI407" s="244"/>
      <c r="GJ407" s="244"/>
      <c r="GK407" s="244"/>
      <c r="GL407" s="244"/>
      <c r="GM407" s="244"/>
      <c r="GN407" s="244"/>
      <c r="GO407" s="244"/>
      <c r="GP407" s="244"/>
      <c r="GQ407" s="244"/>
      <c r="GR407" s="244"/>
      <c r="GS407" s="244"/>
      <c r="GT407" s="244"/>
    </row>
    <row r="408" spans="1:202" s="83" customFormat="1" ht="12.75">
      <c r="A408" s="191"/>
      <c r="B408" s="240" t="s">
        <v>220</v>
      </c>
      <c r="C408" s="216"/>
      <c r="D408" s="138"/>
      <c r="E408" s="147">
        <v>1545.2</v>
      </c>
      <c r="F408" s="147">
        <v>1337.5</v>
      </c>
      <c r="G408" s="177">
        <f t="shared" si="956"/>
        <v>207.70000000000005</v>
      </c>
      <c r="H408" s="147">
        <v>1545.2</v>
      </c>
      <c r="I408" s="147">
        <v>1337.5</v>
      </c>
      <c r="J408" s="177">
        <f t="shared" si="957"/>
        <v>207.70000000000005</v>
      </c>
      <c r="K408" s="252">
        <v>131509.114</v>
      </c>
      <c r="L408" s="252">
        <v>122056.31600000001</v>
      </c>
      <c r="M408" s="252"/>
      <c r="N408" s="287">
        <f t="shared" si="958"/>
        <v>253565.43</v>
      </c>
      <c r="O408" s="273"/>
      <c r="P408" s="273"/>
      <c r="Q408" s="290"/>
      <c r="R408" s="287"/>
      <c r="S408" s="290"/>
      <c r="T408" s="273"/>
      <c r="U408" s="273"/>
      <c r="V408" s="273"/>
      <c r="W408" s="290"/>
      <c r="X408" s="273"/>
      <c r="Y408" s="142"/>
      <c r="Z408" s="273"/>
      <c r="AA408" s="273"/>
      <c r="AB408" s="273"/>
      <c r="AC408" s="273"/>
      <c r="AD408" s="273"/>
      <c r="AE408" s="273"/>
      <c r="AF408" s="287">
        <f t="shared" si="959"/>
        <v>0</v>
      </c>
      <c r="AG408" s="283">
        <f t="shared" si="909"/>
        <v>253565.43</v>
      </c>
      <c r="AH408" s="228">
        <f t="shared" si="960"/>
        <v>27314442.977800008</v>
      </c>
      <c r="AI408" s="228">
        <f t="shared" si="961"/>
        <v>25351096.833200008</v>
      </c>
      <c r="AJ408" s="228">
        <f t="shared" si="962"/>
        <v>0</v>
      </c>
      <c r="AK408" s="261">
        <f t="shared" si="963"/>
        <v>52665539.811000019</v>
      </c>
      <c r="AL408" s="228">
        <f t="shared" si="964"/>
        <v>0</v>
      </c>
      <c r="AM408" s="228">
        <f t="shared" si="965"/>
        <v>0</v>
      </c>
      <c r="AN408" s="228">
        <f t="shared" si="966"/>
        <v>0</v>
      </c>
      <c r="AO408" s="261"/>
      <c r="AP408" s="228">
        <f t="shared" si="967"/>
        <v>0</v>
      </c>
      <c r="AQ408" s="228">
        <f t="shared" si="968"/>
        <v>0</v>
      </c>
      <c r="AR408" s="228">
        <f t="shared" si="969"/>
        <v>0</v>
      </c>
      <c r="AS408" s="228">
        <f t="shared" si="970"/>
        <v>0</v>
      </c>
      <c r="AT408" s="228">
        <f t="shared" si="971"/>
        <v>0</v>
      </c>
      <c r="AU408" s="228">
        <f t="shared" si="972"/>
        <v>0</v>
      </c>
      <c r="AV408" s="261"/>
      <c r="AW408" s="228">
        <f t="shared" si="973"/>
        <v>0</v>
      </c>
      <c r="AX408" s="228">
        <f t="shared" si="974"/>
        <v>0</v>
      </c>
      <c r="AY408" s="228">
        <f t="shared" si="975"/>
        <v>0</v>
      </c>
      <c r="AZ408" s="228">
        <f t="shared" si="976"/>
        <v>0</v>
      </c>
      <c r="BA408" s="228">
        <f t="shared" si="977"/>
        <v>0</v>
      </c>
      <c r="BB408" s="228">
        <f t="shared" si="978"/>
        <v>0</v>
      </c>
      <c r="BC408" s="261">
        <f t="shared" si="945"/>
        <v>0</v>
      </c>
      <c r="BD408" s="239">
        <f t="shared" si="841"/>
        <v>52665539.811000019</v>
      </c>
      <c r="BE408" s="13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44"/>
      <c r="CC408" s="244"/>
      <c r="CD408" s="244"/>
      <c r="CE408" s="244"/>
      <c r="CF408" s="244"/>
      <c r="CG408" s="244"/>
      <c r="CH408" s="244"/>
      <c r="CI408" s="244"/>
      <c r="CJ408" s="244"/>
      <c r="CK408" s="244"/>
      <c r="CL408" s="244"/>
      <c r="CM408" s="244"/>
      <c r="CN408" s="244"/>
      <c r="CO408" s="244"/>
      <c r="CP408" s="244"/>
      <c r="CQ408" s="244"/>
      <c r="CR408" s="244"/>
      <c r="CS408" s="244"/>
      <c r="CT408" s="244"/>
      <c r="CU408" s="244"/>
      <c r="CV408" s="244"/>
      <c r="CW408" s="244"/>
      <c r="CX408" s="244"/>
      <c r="CY408" s="244"/>
      <c r="CZ408" s="244"/>
      <c r="DA408" s="244"/>
      <c r="DB408" s="244"/>
      <c r="DC408" s="244"/>
      <c r="DD408" s="244"/>
      <c r="DE408" s="244"/>
      <c r="DF408" s="244"/>
      <c r="DG408" s="244"/>
      <c r="DH408" s="244"/>
      <c r="DI408" s="244"/>
      <c r="DJ408" s="244"/>
      <c r="DK408" s="244"/>
      <c r="DL408" s="244"/>
      <c r="DM408" s="244"/>
      <c r="DN408" s="244"/>
      <c r="DO408" s="244"/>
      <c r="DP408" s="244"/>
      <c r="DQ408" s="244"/>
      <c r="DR408" s="244"/>
      <c r="DS408" s="244"/>
      <c r="DT408" s="244"/>
      <c r="DU408" s="244"/>
      <c r="DV408" s="244"/>
      <c r="DW408" s="244"/>
      <c r="DX408" s="244"/>
      <c r="DY408" s="244"/>
      <c r="DZ408" s="244"/>
      <c r="EA408" s="244"/>
      <c r="EB408" s="244"/>
      <c r="EC408" s="244"/>
      <c r="ED408" s="244"/>
      <c r="EE408" s="244"/>
      <c r="EF408" s="244"/>
      <c r="EG408" s="244"/>
      <c r="EH408" s="244"/>
      <c r="EI408" s="244"/>
      <c r="EJ408" s="244"/>
      <c r="EK408" s="244"/>
      <c r="EL408" s="244"/>
      <c r="EM408" s="244"/>
      <c r="EN408" s="244"/>
      <c r="EO408" s="244"/>
      <c r="EP408" s="244"/>
      <c r="EQ408" s="244"/>
      <c r="ER408" s="244"/>
      <c r="ES408" s="244"/>
      <c r="ET408" s="244"/>
      <c r="EU408" s="244"/>
      <c r="EV408" s="244"/>
      <c r="EW408" s="244"/>
      <c r="EX408" s="244"/>
      <c r="EY408" s="244"/>
      <c r="EZ408" s="244"/>
      <c r="FA408" s="244"/>
      <c r="FB408" s="244"/>
      <c r="FC408" s="244"/>
      <c r="FD408" s="244"/>
      <c r="FE408" s="244"/>
      <c r="FF408" s="244"/>
      <c r="FG408" s="244"/>
      <c r="FH408" s="244"/>
      <c r="FI408" s="244"/>
      <c r="FJ408" s="244"/>
      <c r="FK408" s="244"/>
      <c r="FL408" s="244"/>
      <c r="FM408" s="244"/>
      <c r="FN408" s="244"/>
      <c r="FO408" s="244"/>
      <c r="FP408" s="244"/>
      <c r="FQ408" s="244"/>
      <c r="FR408" s="244"/>
      <c r="FS408" s="244"/>
      <c r="FT408" s="244"/>
      <c r="FU408" s="244"/>
      <c r="FV408" s="244"/>
      <c r="FW408" s="244"/>
      <c r="FX408" s="244"/>
      <c r="FY408" s="244"/>
      <c r="FZ408" s="244"/>
      <c r="GA408" s="244"/>
      <c r="GB408" s="244"/>
      <c r="GC408" s="244"/>
      <c r="GD408" s="244"/>
      <c r="GE408" s="244"/>
      <c r="GF408" s="244"/>
      <c r="GG408" s="244"/>
      <c r="GH408" s="244"/>
      <c r="GI408" s="244"/>
      <c r="GJ408" s="244"/>
      <c r="GK408" s="244"/>
      <c r="GL408" s="244"/>
      <c r="GM408" s="244"/>
      <c r="GN408" s="244"/>
      <c r="GO408" s="244"/>
      <c r="GP408" s="244"/>
      <c r="GQ408" s="244"/>
      <c r="GR408" s="244"/>
      <c r="GS408" s="244"/>
      <c r="GT408" s="244"/>
    </row>
    <row r="409" spans="1:202" s="83" customFormat="1" ht="12.75">
      <c r="A409" s="191"/>
      <c r="B409" s="240" t="s">
        <v>250</v>
      </c>
      <c r="C409" s="216" t="s">
        <v>708</v>
      </c>
      <c r="D409" s="138"/>
      <c r="E409" s="147">
        <v>2178.13</v>
      </c>
      <c r="F409" s="147">
        <v>1789.17</v>
      </c>
      <c r="G409" s="177">
        <f t="shared" si="956"/>
        <v>388.96000000000004</v>
      </c>
      <c r="H409" s="147">
        <v>2178.13</v>
      </c>
      <c r="I409" s="147">
        <v>1789.17</v>
      </c>
      <c r="J409" s="177">
        <f t="shared" si="957"/>
        <v>388.96000000000004</v>
      </c>
      <c r="K409" s="252">
        <v>33414.730000000003</v>
      </c>
      <c r="L409" s="252">
        <f>33623.829+1.53</f>
        <v>33625.358999999997</v>
      </c>
      <c r="M409" s="252"/>
      <c r="N409" s="287">
        <f t="shared" si="958"/>
        <v>67040.089000000007</v>
      </c>
      <c r="O409" s="273"/>
      <c r="P409" s="273"/>
      <c r="Q409" s="290"/>
      <c r="R409" s="287"/>
      <c r="S409" s="290"/>
      <c r="T409" s="273"/>
      <c r="U409" s="273"/>
      <c r="V409" s="273"/>
      <c r="W409" s="290"/>
      <c r="X409" s="273"/>
      <c r="Y409" s="142"/>
      <c r="Z409" s="273"/>
      <c r="AA409" s="273"/>
      <c r="AB409" s="273"/>
      <c r="AC409" s="273"/>
      <c r="AD409" s="273"/>
      <c r="AE409" s="273"/>
      <c r="AF409" s="287">
        <f t="shared" si="959"/>
        <v>0</v>
      </c>
      <c r="AG409" s="283">
        <f t="shared" si="909"/>
        <v>67040.089000000007</v>
      </c>
      <c r="AH409" s="228">
        <f t="shared" si="960"/>
        <v>12996993.380800003</v>
      </c>
      <c r="AI409" s="228">
        <f t="shared" si="961"/>
        <v>13078919.636639999</v>
      </c>
      <c r="AJ409" s="228">
        <f t="shared" si="962"/>
        <v>0</v>
      </c>
      <c r="AK409" s="261">
        <f t="shared" si="963"/>
        <v>26075913.017440002</v>
      </c>
      <c r="AL409" s="228">
        <f t="shared" si="964"/>
        <v>0</v>
      </c>
      <c r="AM409" s="228">
        <f t="shared" si="965"/>
        <v>0</v>
      </c>
      <c r="AN409" s="228">
        <f t="shared" si="966"/>
        <v>0</v>
      </c>
      <c r="AO409" s="261"/>
      <c r="AP409" s="228">
        <f t="shared" si="967"/>
        <v>0</v>
      </c>
      <c r="AQ409" s="228">
        <f t="shared" si="968"/>
        <v>0</v>
      </c>
      <c r="AR409" s="228">
        <f t="shared" si="969"/>
        <v>0</v>
      </c>
      <c r="AS409" s="228">
        <f t="shared" si="970"/>
        <v>0</v>
      </c>
      <c r="AT409" s="228">
        <f t="shared" si="971"/>
        <v>0</v>
      </c>
      <c r="AU409" s="228">
        <f t="shared" si="972"/>
        <v>0</v>
      </c>
      <c r="AV409" s="261"/>
      <c r="AW409" s="228">
        <f t="shared" si="973"/>
        <v>0</v>
      </c>
      <c r="AX409" s="228">
        <f t="shared" si="974"/>
        <v>0</v>
      </c>
      <c r="AY409" s="228">
        <f t="shared" si="975"/>
        <v>0</v>
      </c>
      <c r="AZ409" s="228">
        <f t="shared" si="976"/>
        <v>0</v>
      </c>
      <c r="BA409" s="228">
        <f t="shared" si="977"/>
        <v>0</v>
      </c>
      <c r="BB409" s="228">
        <f t="shared" si="978"/>
        <v>0</v>
      </c>
      <c r="BC409" s="261">
        <f t="shared" si="945"/>
        <v>0</v>
      </c>
      <c r="BD409" s="239">
        <f t="shared" si="841"/>
        <v>26075913.017440002</v>
      </c>
      <c r="BE409" s="13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44"/>
      <c r="CC409" s="244"/>
      <c r="CD409" s="244"/>
      <c r="CE409" s="244"/>
      <c r="CF409" s="244"/>
      <c r="CG409" s="244"/>
      <c r="CH409" s="244"/>
      <c r="CI409" s="244"/>
      <c r="CJ409" s="244"/>
      <c r="CK409" s="244"/>
      <c r="CL409" s="244"/>
      <c r="CM409" s="244"/>
      <c r="CN409" s="244"/>
      <c r="CO409" s="244"/>
      <c r="CP409" s="244"/>
      <c r="CQ409" s="244"/>
      <c r="CR409" s="244"/>
      <c r="CS409" s="244"/>
      <c r="CT409" s="244"/>
      <c r="CU409" s="244"/>
      <c r="CV409" s="244"/>
      <c r="CW409" s="244"/>
      <c r="CX409" s="244"/>
      <c r="CY409" s="244"/>
      <c r="CZ409" s="244"/>
      <c r="DA409" s="244"/>
      <c r="DB409" s="244"/>
      <c r="DC409" s="244"/>
      <c r="DD409" s="244"/>
      <c r="DE409" s="244"/>
      <c r="DF409" s="244"/>
      <c r="DG409" s="244"/>
      <c r="DH409" s="244"/>
      <c r="DI409" s="244"/>
      <c r="DJ409" s="244"/>
      <c r="DK409" s="244"/>
      <c r="DL409" s="244"/>
      <c r="DM409" s="244"/>
      <c r="DN409" s="244"/>
      <c r="DO409" s="244"/>
      <c r="DP409" s="244"/>
      <c r="DQ409" s="244"/>
      <c r="DR409" s="244"/>
      <c r="DS409" s="244"/>
      <c r="DT409" s="244"/>
      <c r="DU409" s="244"/>
      <c r="DV409" s="244"/>
      <c r="DW409" s="244"/>
      <c r="DX409" s="244"/>
      <c r="DY409" s="244"/>
      <c r="DZ409" s="244"/>
      <c r="EA409" s="244"/>
      <c r="EB409" s="244"/>
      <c r="EC409" s="244"/>
      <c r="ED409" s="244"/>
      <c r="EE409" s="244"/>
      <c r="EF409" s="244"/>
      <c r="EG409" s="244"/>
      <c r="EH409" s="244"/>
      <c r="EI409" s="244"/>
      <c r="EJ409" s="244"/>
      <c r="EK409" s="244"/>
      <c r="EL409" s="244"/>
      <c r="EM409" s="244"/>
      <c r="EN409" s="244"/>
      <c r="EO409" s="244"/>
      <c r="EP409" s="244"/>
      <c r="EQ409" s="244"/>
      <c r="ER409" s="244"/>
      <c r="ES409" s="244"/>
      <c r="ET409" s="244"/>
      <c r="EU409" s="244"/>
      <c r="EV409" s="244"/>
      <c r="EW409" s="244"/>
      <c r="EX409" s="244"/>
      <c r="EY409" s="244"/>
      <c r="EZ409" s="244"/>
      <c r="FA409" s="244"/>
      <c r="FB409" s="244"/>
      <c r="FC409" s="244"/>
      <c r="FD409" s="244"/>
      <c r="FE409" s="244"/>
      <c r="FF409" s="244"/>
      <c r="FG409" s="244"/>
      <c r="FH409" s="244"/>
      <c r="FI409" s="244"/>
      <c r="FJ409" s="244"/>
      <c r="FK409" s="244"/>
      <c r="FL409" s="244"/>
      <c r="FM409" s="244"/>
      <c r="FN409" s="244"/>
      <c r="FO409" s="244"/>
      <c r="FP409" s="244"/>
      <c r="FQ409" s="244"/>
      <c r="FR409" s="244"/>
      <c r="FS409" s="244"/>
      <c r="FT409" s="244"/>
      <c r="FU409" s="244"/>
      <c r="FV409" s="244"/>
      <c r="FW409" s="244"/>
      <c r="FX409" s="244"/>
      <c r="FY409" s="244"/>
      <c r="FZ409" s="244"/>
      <c r="GA409" s="244"/>
      <c r="GB409" s="244"/>
      <c r="GC409" s="244"/>
      <c r="GD409" s="244"/>
      <c r="GE409" s="244"/>
      <c r="GF409" s="244"/>
      <c r="GG409" s="244"/>
      <c r="GH409" s="244"/>
      <c r="GI409" s="244"/>
      <c r="GJ409" s="244"/>
      <c r="GK409" s="244"/>
      <c r="GL409" s="244"/>
      <c r="GM409" s="244"/>
      <c r="GN409" s="244"/>
      <c r="GO409" s="244"/>
      <c r="GP409" s="244"/>
      <c r="GQ409" s="244"/>
      <c r="GR409" s="244"/>
      <c r="GS409" s="244"/>
      <c r="GT409" s="244"/>
    </row>
    <row r="410" spans="1:202" s="83" customFormat="1" ht="12.75">
      <c r="A410" s="191"/>
      <c r="B410" s="240" t="s">
        <v>251</v>
      </c>
      <c r="C410" s="216" t="s">
        <v>708</v>
      </c>
      <c r="D410" s="138"/>
      <c r="E410" s="147">
        <v>2178.13</v>
      </c>
      <c r="F410" s="147">
        <v>1743.33</v>
      </c>
      <c r="G410" s="177">
        <f t="shared" si="956"/>
        <v>434.80000000000018</v>
      </c>
      <c r="H410" s="147">
        <v>2178.13</v>
      </c>
      <c r="I410" s="147">
        <v>1743.33</v>
      </c>
      <c r="J410" s="177">
        <f t="shared" si="957"/>
        <v>434.80000000000018</v>
      </c>
      <c r="K410" s="252">
        <v>148.09899999999999</v>
      </c>
      <c r="L410" s="252">
        <v>148.66</v>
      </c>
      <c r="M410" s="252"/>
      <c r="N410" s="287">
        <f t="shared" si="958"/>
        <v>296.75900000000001</v>
      </c>
      <c r="O410" s="273"/>
      <c r="P410" s="273"/>
      <c r="Q410" s="290"/>
      <c r="R410" s="287"/>
      <c r="S410" s="290"/>
      <c r="T410" s="273"/>
      <c r="U410" s="273"/>
      <c r="V410" s="273"/>
      <c r="W410" s="290"/>
      <c r="X410" s="273"/>
      <c r="Y410" s="142"/>
      <c r="Z410" s="273"/>
      <c r="AA410" s="273"/>
      <c r="AB410" s="273"/>
      <c r="AC410" s="273"/>
      <c r="AD410" s="273"/>
      <c r="AE410" s="273"/>
      <c r="AF410" s="287">
        <f t="shared" si="959"/>
        <v>0</v>
      </c>
      <c r="AG410" s="283">
        <f t="shared" si="909"/>
        <v>296.75900000000001</v>
      </c>
      <c r="AH410" s="228">
        <f t="shared" si="960"/>
        <v>64393.445200000024</v>
      </c>
      <c r="AI410" s="228">
        <f t="shared" si="961"/>
        <v>64637.368000000024</v>
      </c>
      <c r="AJ410" s="228">
        <f t="shared" si="962"/>
        <v>0</v>
      </c>
      <c r="AK410" s="261">
        <f t="shared" si="963"/>
        <v>129030.81320000005</v>
      </c>
      <c r="AL410" s="228">
        <f t="shared" si="964"/>
        <v>0</v>
      </c>
      <c r="AM410" s="228">
        <f t="shared" si="965"/>
        <v>0</v>
      </c>
      <c r="AN410" s="228">
        <f t="shared" si="966"/>
        <v>0</v>
      </c>
      <c r="AO410" s="261"/>
      <c r="AP410" s="228">
        <f t="shared" si="967"/>
        <v>0</v>
      </c>
      <c r="AQ410" s="228">
        <f t="shared" si="968"/>
        <v>0</v>
      </c>
      <c r="AR410" s="228">
        <f t="shared" si="969"/>
        <v>0</v>
      </c>
      <c r="AS410" s="228">
        <f t="shared" si="970"/>
        <v>0</v>
      </c>
      <c r="AT410" s="228">
        <f t="shared" si="971"/>
        <v>0</v>
      </c>
      <c r="AU410" s="228">
        <f t="shared" si="972"/>
        <v>0</v>
      </c>
      <c r="AV410" s="261"/>
      <c r="AW410" s="228">
        <f t="shared" si="973"/>
        <v>0</v>
      </c>
      <c r="AX410" s="228">
        <f t="shared" si="974"/>
        <v>0</v>
      </c>
      <c r="AY410" s="228">
        <f t="shared" si="975"/>
        <v>0</v>
      </c>
      <c r="AZ410" s="228">
        <f t="shared" si="976"/>
        <v>0</v>
      </c>
      <c r="BA410" s="228">
        <f t="shared" si="977"/>
        <v>0</v>
      </c>
      <c r="BB410" s="228">
        <f t="shared" si="978"/>
        <v>0</v>
      </c>
      <c r="BC410" s="261">
        <f t="shared" si="945"/>
        <v>0</v>
      </c>
      <c r="BD410" s="239">
        <f t="shared" si="841"/>
        <v>129030.81320000005</v>
      </c>
      <c r="BE410" s="13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44"/>
      <c r="CC410" s="244"/>
      <c r="CD410" s="244"/>
      <c r="CE410" s="244"/>
      <c r="CF410" s="244"/>
      <c r="CG410" s="244"/>
      <c r="CH410" s="244"/>
      <c r="CI410" s="244"/>
      <c r="CJ410" s="244"/>
      <c r="CK410" s="244"/>
      <c r="CL410" s="244"/>
      <c r="CM410" s="244"/>
      <c r="CN410" s="244"/>
      <c r="CO410" s="244"/>
      <c r="CP410" s="244"/>
      <c r="CQ410" s="244"/>
      <c r="CR410" s="244"/>
      <c r="CS410" s="244"/>
      <c r="CT410" s="244"/>
      <c r="CU410" s="244"/>
      <c r="CV410" s="244"/>
      <c r="CW410" s="244"/>
      <c r="CX410" s="244"/>
      <c r="CY410" s="244"/>
      <c r="CZ410" s="244"/>
      <c r="DA410" s="244"/>
      <c r="DB410" s="244"/>
      <c r="DC410" s="244"/>
      <c r="DD410" s="244"/>
      <c r="DE410" s="244"/>
      <c r="DF410" s="244"/>
      <c r="DG410" s="244"/>
      <c r="DH410" s="244"/>
      <c r="DI410" s="244"/>
      <c r="DJ410" s="244"/>
      <c r="DK410" s="244"/>
      <c r="DL410" s="244"/>
      <c r="DM410" s="244"/>
      <c r="DN410" s="244"/>
      <c r="DO410" s="244"/>
      <c r="DP410" s="244"/>
      <c r="DQ410" s="244"/>
      <c r="DR410" s="244"/>
      <c r="DS410" s="244"/>
      <c r="DT410" s="244"/>
      <c r="DU410" s="244"/>
      <c r="DV410" s="244"/>
      <c r="DW410" s="244"/>
      <c r="DX410" s="244"/>
      <c r="DY410" s="244"/>
      <c r="DZ410" s="244"/>
      <c r="EA410" s="244"/>
      <c r="EB410" s="244"/>
      <c r="EC410" s="244"/>
      <c r="ED410" s="244"/>
      <c r="EE410" s="244"/>
      <c r="EF410" s="244"/>
      <c r="EG410" s="244"/>
      <c r="EH410" s="244"/>
      <c r="EI410" s="244"/>
      <c r="EJ410" s="244"/>
      <c r="EK410" s="244"/>
      <c r="EL410" s="244"/>
      <c r="EM410" s="244"/>
      <c r="EN410" s="244"/>
      <c r="EO410" s="244"/>
      <c r="EP410" s="244"/>
      <c r="EQ410" s="244"/>
      <c r="ER410" s="244"/>
      <c r="ES410" s="244"/>
      <c r="ET410" s="244"/>
      <c r="EU410" s="244"/>
      <c r="EV410" s="244"/>
      <c r="EW410" s="244"/>
      <c r="EX410" s="244"/>
      <c r="EY410" s="244"/>
      <c r="EZ410" s="244"/>
      <c r="FA410" s="244"/>
      <c r="FB410" s="244"/>
      <c r="FC410" s="244"/>
      <c r="FD410" s="244"/>
      <c r="FE410" s="244"/>
      <c r="FF410" s="244"/>
      <c r="FG410" s="244"/>
      <c r="FH410" s="244"/>
      <c r="FI410" s="244"/>
      <c r="FJ410" s="244"/>
      <c r="FK410" s="244"/>
      <c r="FL410" s="244"/>
      <c r="FM410" s="244"/>
      <c r="FN410" s="244"/>
      <c r="FO410" s="244"/>
      <c r="FP410" s="244"/>
      <c r="FQ410" s="244"/>
      <c r="FR410" s="244"/>
      <c r="FS410" s="244"/>
      <c r="FT410" s="244"/>
      <c r="FU410" s="244"/>
      <c r="FV410" s="244"/>
      <c r="FW410" s="244"/>
      <c r="FX410" s="244"/>
      <c r="FY410" s="244"/>
      <c r="FZ410" s="244"/>
      <c r="GA410" s="244"/>
      <c r="GB410" s="244"/>
      <c r="GC410" s="244"/>
      <c r="GD410" s="244"/>
      <c r="GE410" s="244"/>
      <c r="GF410" s="244"/>
      <c r="GG410" s="244"/>
      <c r="GH410" s="244"/>
      <c r="GI410" s="244"/>
      <c r="GJ410" s="244"/>
      <c r="GK410" s="244"/>
      <c r="GL410" s="244"/>
      <c r="GM410" s="244"/>
      <c r="GN410" s="244"/>
      <c r="GO410" s="244"/>
      <c r="GP410" s="244"/>
      <c r="GQ410" s="244"/>
      <c r="GR410" s="244"/>
      <c r="GS410" s="244"/>
      <c r="GT410" s="244"/>
    </row>
    <row r="411" spans="1:202" s="83" customFormat="1" ht="12.75">
      <c r="A411" s="191"/>
      <c r="B411" s="240" t="s">
        <v>220</v>
      </c>
      <c r="C411" s="216" t="s">
        <v>708</v>
      </c>
      <c r="D411" s="138"/>
      <c r="E411" s="147">
        <v>1545.2</v>
      </c>
      <c r="F411" s="147">
        <v>1337.5</v>
      </c>
      <c r="G411" s="177">
        <f t="shared" si="956"/>
        <v>207.70000000000005</v>
      </c>
      <c r="H411" s="147">
        <v>1545.2</v>
      </c>
      <c r="I411" s="147">
        <v>1337.5</v>
      </c>
      <c r="J411" s="177">
        <f t="shared" si="957"/>
        <v>207.70000000000005</v>
      </c>
      <c r="K411" s="252">
        <v>24248.690999999999</v>
      </c>
      <c r="L411" s="252">
        <v>24465.968000000001</v>
      </c>
      <c r="M411" s="252"/>
      <c r="N411" s="287">
        <f t="shared" si="958"/>
        <v>48714.659</v>
      </c>
      <c r="O411" s="273"/>
      <c r="P411" s="273"/>
      <c r="Q411" s="290"/>
      <c r="R411" s="287"/>
      <c r="S411" s="290"/>
      <c r="T411" s="273"/>
      <c r="U411" s="273"/>
      <c r="V411" s="273"/>
      <c r="W411" s="290"/>
      <c r="X411" s="273"/>
      <c r="Y411" s="142"/>
      <c r="Z411" s="273"/>
      <c r="AA411" s="273"/>
      <c r="AB411" s="273"/>
      <c r="AC411" s="273"/>
      <c r="AD411" s="273"/>
      <c r="AE411" s="273"/>
      <c r="AF411" s="287">
        <f t="shared" si="959"/>
        <v>0</v>
      </c>
      <c r="AG411" s="283">
        <f t="shared" si="909"/>
        <v>48714.659</v>
      </c>
      <c r="AH411" s="228">
        <f t="shared" si="960"/>
        <v>5036453.1207000008</v>
      </c>
      <c r="AI411" s="228">
        <f t="shared" si="961"/>
        <v>5081581.5536000011</v>
      </c>
      <c r="AJ411" s="228">
        <f t="shared" si="962"/>
        <v>0</v>
      </c>
      <c r="AK411" s="261">
        <f t="shared" si="963"/>
        <v>10118034.674300002</v>
      </c>
      <c r="AL411" s="228">
        <f t="shared" si="964"/>
        <v>0</v>
      </c>
      <c r="AM411" s="228">
        <f t="shared" si="965"/>
        <v>0</v>
      </c>
      <c r="AN411" s="228">
        <f t="shared" si="966"/>
        <v>0</v>
      </c>
      <c r="AO411" s="261"/>
      <c r="AP411" s="228">
        <f t="shared" si="967"/>
        <v>0</v>
      </c>
      <c r="AQ411" s="228">
        <f t="shared" si="968"/>
        <v>0</v>
      </c>
      <c r="AR411" s="228">
        <f t="shared" si="969"/>
        <v>0</v>
      </c>
      <c r="AS411" s="228">
        <f t="shared" si="970"/>
        <v>0</v>
      </c>
      <c r="AT411" s="228">
        <f t="shared" si="971"/>
        <v>0</v>
      </c>
      <c r="AU411" s="228">
        <f t="shared" si="972"/>
        <v>0</v>
      </c>
      <c r="AV411" s="261"/>
      <c r="AW411" s="228">
        <f t="shared" si="973"/>
        <v>0</v>
      </c>
      <c r="AX411" s="228">
        <f t="shared" si="974"/>
        <v>0</v>
      </c>
      <c r="AY411" s="228">
        <f t="shared" si="975"/>
        <v>0</v>
      </c>
      <c r="AZ411" s="228">
        <f t="shared" si="976"/>
        <v>0</v>
      </c>
      <c r="BA411" s="228">
        <f t="shared" si="977"/>
        <v>0</v>
      </c>
      <c r="BB411" s="228">
        <f t="shared" si="978"/>
        <v>0</v>
      </c>
      <c r="BC411" s="261">
        <f t="shared" si="945"/>
        <v>0</v>
      </c>
      <c r="BD411" s="239">
        <f t="shared" si="841"/>
        <v>10118034.674300002</v>
      </c>
      <c r="BE411" s="13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44"/>
      <c r="CC411" s="244"/>
      <c r="CD411" s="244"/>
      <c r="CE411" s="244"/>
      <c r="CF411" s="244"/>
      <c r="CG411" s="244"/>
      <c r="CH411" s="244"/>
      <c r="CI411" s="244"/>
      <c r="CJ411" s="244"/>
      <c r="CK411" s="244"/>
      <c r="CL411" s="244"/>
      <c r="CM411" s="244"/>
      <c r="CN411" s="244"/>
      <c r="CO411" s="244"/>
      <c r="CP411" s="244"/>
      <c r="CQ411" s="244"/>
      <c r="CR411" s="244"/>
      <c r="CS411" s="244"/>
      <c r="CT411" s="244"/>
      <c r="CU411" s="244"/>
      <c r="CV411" s="244"/>
      <c r="CW411" s="244"/>
      <c r="CX411" s="244"/>
      <c r="CY411" s="244"/>
      <c r="CZ411" s="244"/>
      <c r="DA411" s="244"/>
      <c r="DB411" s="244"/>
      <c r="DC411" s="244"/>
      <c r="DD411" s="244"/>
      <c r="DE411" s="244"/>
      <c r="DF411" s="244"/>
      <c r="DG411" s="244"/>
      <c r="DH411" s="244"/>
      <c r="DI411" s="244"/>
      <c r="DJ411" s="244"/>
      <c r="DK411" s="244"/>
      <c r="DL411" s="244"/>
      <c r="DM411" s="244"/>
      <c r="DN411" s="244"/>
      <c r="DO411" s="244"/>
      <c r="DP411" s="244"/>
      <c r="DQ411" s="244"/>
      <c r="DR411" s="244"/>
      <c r="DS411" s="244"/>
      <c r="DT411" s="244"/>
      <c r="DU411" s="244"/>
      <c r="DV411" s="244"/>
      <c r="DW411" s="244"/>
      <c r="DX411" s="244"/>
      <c r="DY411" s="244"/>
      <c r="DZ411" s="244"/>
      <c r="EA411" s="244"/>
      <c r="EB411" s="244"/>
      <c r="EC411" s="244"/>
      <c r="ED411" s="244"/>
      <c r="EE411" s="244"/>
      <c r="EF411" s="244"/>
      <c r="EG411" s="244"/>
      <c r="EH411" s="244"/>
      <c r="EI411" s="244"/>
      <c r="EJ411" s="244"/>
      <c r="EK411" s="244"/>
      <c r="EL411" s="244"/>
      <c r="EM411" s="244"/>
      <c r="EN411" s="244"/>
      <c r="EO411" s="244"/>
      <c r="EP411" s="244"/>
      <c r="EQ411" s="244"/>
      <c r="ER411" s="244"/>
      <c r="ES411" s="244"/>
      <c r="ET411" s="244"/>
      <c r="EU411" s="244"/>
      <c r="EV411" s="244"/>
      <c r="EW411" s="244"/>
      <c r="EX411" s="244"/>
      <c r="EY411" s="244"/>
      <c r="EZ411" s="244"/>
      <c r="FA411" s="244"/>
      <c r="FB411" s="244"/>
      <c r="FC411" s="244"/>
      <c r="FD411" s="244"/>
      <c r="FE411" s="244"/>
      <c r="FF411" s="244"/>
      <c r="FG411" s="244"/>
      <c r="FH411" s="244"/>
      <c r="FI411" s="244"/>
      <c r="FJ411" s="244"/>
      <c r="FK411" s="244"/>
      <c r="FL411" s="244"/>
      <c r="FM411" s="244"/>
      <c r="FN411" s="244"/>
      <c r="FO411" s="244"/>
      <c r="FP411" s="244"/>
      <c r="FQ411" s="244"/>
      <c r="FR411" s="244"/>
      <c r="FS411" s="244"/>
      <c r="FT411" s="244"/>
      <c r="FU411" s="244"/>
      <c r="FV411" s="244"/>
      <c r="FW411" s="244"/>
      <c r="FX411" s="244"/>
      <c r="FY411" s="244"/>
      <c r="FZ411" s="244"/>
      <c r="GA411" s="244"/>
      <c r="GB411" s="244"/>
      <c r="GC411" s="244"/>
      <c r="GD411" s="244"/>
      <c r="GE411" s="244"/>
      <c r="GF411" s="244"/>
      <c r="GG411" s="244"/>
      <c r="GH411" s="244"/>
      <c r="GI411" s="244"/>
      <c r="GJ411" s="244"/>
      <c r="GK411" s="244"/>
      <c r="GL411" s="244"/>
      <c r="GM411" s="244"/>
      <c r="GN411" s="244"/>
      <c r="GO411" s="244"/>
      <c r="GP411" s="244"/>
      <c r="GQ411" s="244"/>
      <c r="GR411" s="244"/>
      <c r="GS411" s="244"/>
      <c r="GT411" s="244"/>
    </row>
    <row r="412" spans="1:202" s="83" customFormat="1" ht="12.75">
      <c r="A412" s="191"/>
      <c r="B412" s="240" t="s">
        <v>389</v>
      </c>
      <c r="C412" s="216"/>
      <c r="D412" s="138"/>
      <c r="E412" s="147"/>
      <c r="F412" s="147"/>
      <c r="G412" s="177"/>
      <c r="H412" s="147"/>
      <c r="I412" s="147"/>
      <c r="J412" s="177"/>
      <c r="K412" s="252"/>
      <c r="L412" s="252"/>
      <c r="M412" s="252"/>
      <c r="N412" s="287">
        <f t="shared" si="958"/>
        <v>0</v>
      </c>
      <c r="O412" s="273"/>
      <c r="P412" s="273"/>
      <c r="Q412" s="290"/>
      <c r="R412" s="287">
        <f t="shared" ref="R412:R417" si="979">O412+P412+Q412</f>
        <v>0</v>
      </c>
      <c r="S412" s="290"/>
      <c r="T412" s="273"/>
      <c r="U412" s="273"/>
      <c r="V412" s="273"/>
      <c r="W412" s="290"/>
      <c r="X412" s="264"/>
      <c r="Y412" s="142">
        <f t="shared" ref="Y412:Y417" si="980">SUM(S412:X412)</f>
        <v>0</v>
      </c>
      <c r="Z412" s="273"/>
      <c r="AA412" s="273"/>
      <c r="AB412" s="273"/>
      <c r="AC412" s="273"/>
      <c r="AD412" s="273"/>
      <c r="AE412" s="273"/>
      <c r="AF412" s="287">
        <f t="shared" si="959"/>
        <v>0</v>
      </c>
      <c r="AG412" s="283">
        <f t="shared" si="909"/>
        <v>0</v>
      </c>
      <c r="AH412" s="228">
        <f t="shared" si="960"/>
        <v>0</v>
      </c>
      <c r="AI412" s="228">
        <f t="shared" si="961"/>
        <v>0</v>
      </c>
      <c r="AJ412" s="228">
        <f t="shared" si="962"/>
        <v>0</v>
      </c>
      <c r="AK412" s="261">
        <f t="shared" ref="AK412:AK417" si="981">AH412+AI412+AJ412</f>
        <v>0</v>
      </c>
      <c r="AL412" s="228">
        <f t="shared" si="964"/>
        <v>0</v>
      </c>
      <c r="AM412" s="228">
        <f t="shared" si="965"/>
        <v>0</v>
      </c>
      <c r="AN412" s="228">
        <f t="shared" si="966"/>
        <v>0</v>
      </c>
      <c r="AO412" s="261">
        <f t="shared" si="946"/>
        <v>0</v>
      </c>
      <c r="AP412" s="228">
        <f t="shared" si="967"/>
        <v>0</v>
      </c>
      <c r="AQ412" s="228">
        <f t="shared" si="968"/>
        <v>0</v>
      </c>
      <c r="AR412" s="228">
        <f t="shared" si="969"/>
        <v>0</v>
      </c>
      <c r="AS412" s="228">
        <f t="shared" si="970"/>
        <v>0</v>
      </c>
      <c r="AT412" s="228">
        <f t="shared" si="971"/>
        <v>0</v>
      </c>
      <c r="AU412" s="228">
        <f t="shared" si="972"/>
        <v>0</v>
      </c>
      <c r="AV412" s="261">
        <f t="shared" ref="AV412:AV417" si="982">SUM(AP412:AU412)</f>
        <v>0</v>
      </c>
      <c r="AW412" s="228">
        <f t="shared" si="973"/>
        <v>0</v>
      </c>
      <c r="AX412" s="228">
        <f t="shared" si="974"/>
        <v>0</v>
      </c>
      <c r="AY412" s="228">
        <f t="shared" si="975"/>
        <v>0</v>
      </c>
      <c r="AZ412" s="228">
        <f t="shared" si="976"/>
        <v>0</v>
      </c>
      <c r="BA412" s="228">
        <f t="shared" si="977"/>
        <v>0</v>
      </c>
      <c r="BB412" s="228">
        <f t="shared" si="978"/>
        <v>0</v>
      </c>
      <c r="BC412" s="261">
        <f t="shared" si="945"/>
        <v>0</v>
      </c>
      <c r="BD412" s="239">
        <f t="shared" si="841"/>
        <v>0</v>
      </c>
      <c r="BE412" s="13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44"/>
      <c r="CC412" s="244"/>
      <c r="CD412" s="244"/>
      <c r="CE412" s="244"/>
      <c r="CF412" s="244"/>
      <c r="CG412" s="244"/>
      <c r="CH412" s="244"/>
      <c r="CI412" s="244"/>
      <c r="CJ412" s="244"/>
      <c r="CK412" s="244"/>
      <c r="CL412" s="244"/>
      <c r="CM412" s="244"/>
      <c r="CN412" s="244"/>
      <c r="CO412" s="244"/>
      <c r="CP412" s="244"/>
      <c r="CQ412" s="244"/>
      <c r="CR412" s="244"/>
      <c r="CS412" s="244"/>
      <c r="CT412" s="244"/>
      <c r="CU412" s="244"/>
      <c r="CV412" s="244"/>
      <c r="CW412" s="244"/>
      <c r="CX412" s="244"/>
      <c r="CY412" s="244"/>
      <c r="CZ412" s="244"/>
      <c r="DA412" s="244"/>
      <c r="DB412" s="244"/>
      <c r="DC412" s="244"/>
      <c r="DD412" s="244"/>
      <c r="DE412" s="244"/>
      <c r="DF412" s="244"/>
      <c r="DG412" s="244"/>
      <c r="DH412" s="244"/>
      <c r="DI412" s="244"/>
      <c r="DJ412" s="244"/>
      <c r="DK412" s="244"/>
      <c r="DL412" s="244"/>
      <c r="DM412" s="244"/>
      <c r="DN412" s="244"/>
      <c r="DO412" s="244"/>
      <c r="DP412" s="244"/>
      <c r="DQ412" s="244"/>
      <c r="DR412" s="244"/>
      <c r="DS412" s="244"/>
      <c r="DT412" s="244"/>
      <c r="DU412" s="244"/>
      <c r="DV412" s="244"/>
      <c r="DW412" s="244"/>
      <c r="DX412" s="244"/>
      <c r="DY412" s="244"/>
      <c r="DZ412" s="244"/>
      <c r="EA412" s="244"/>
      <c r="EB412" s="244"/>
      <c r="EC412" s="244"/>
      <c r="ED412" s="244"/>
      <c r="EE412" s="244"/>
      <c r="EF412" s="244"/>
      <c r="EG412" s="244"/>
      <c r="EH412" s="244"/>
      <c r="EI412" s="244"/>
      <c r="EJ412" s="244"/>
      <c r="EK412" s="244"/>
      <c r="EL412" s="244"/>
      <c r="EM412" s="244"/>
      <c r="EN412" s="244"/>
      <c r="EO412" s="244"/>
      <c r="EP412" s="244"/>
      <c r="EQ412" s="244"/>
      <c r="ER412" s="244"/>
      <c r="ES412" s="244"/>
      <c r="ET412" s="244"/>
      <c r="EU412" s="244"/>
      <c r="EV412" s="244"/>
      <c r="EW412" s="244"/>
      <c r="EX412" s="244"/>
      <c r="EY412" s="244"/>
      <c r="EZ412" s="244"/>
      <c r="FA412" s="244"/>
      <c r="FB412" s="244"/>
      <c r="FC412" s="244"/>
      <c r="FD412" s="244"/>
      <c r="FE412" s="244"/>
      <c r="FF412" s="244"/>
      <c r="FG412" s="244"/>
      <c r="FH412" s="244"/>
      <c r="FI412" s="244"/>
      <c r="FJ412" s="244"/>
      <c r="FK412" s="244"/>
      <c r="FL412" s="244"/>
      <c r="FM412" s="244"/>
      <c r="FN412" s="244"/>
      <c r="FO412" s="244"/>
      <c r="FP412" s="244"/>
      <c r="FQ412" s="244"/>
      <c r="FR412" s="244"/>
      <c r="FS412" s="244"/>
      <c r="FT412" s="244"/>
      <c r="FU412" s="244"/>
      <c r="FV412" s="244"/>
      <c r="FW412" s="244"/>
      <c r="FX412" s="244"/>
      <c r="FY412" s="244"/>
      <c r="FZ412" s="244"/>
      <c r="GA412" s="244"/>
      <c r="GB412" s="244"/>
      <c r="GC412" s="244"/>
      <c r="GD412" s="244"/>
      <c r="GE412" s="244"/>
      <c r="GF412" s="244"/>
      <c r="GG412" s="244"/>
      <c r="GH412" s="244"/>
      <c r="GI412" s="244"/>
      <c r="GJ412" s="244"/>
      <c r="GK412" s="244"/>
      <c r="GL412" s="244"/>
      <c r="GM412" s="244"/>
      <c r="GN412" s="244"/>
      <c r="GO412" s="244"/>
      <c r="GP412" s="244"/>
      <c r="GQ412" s="244"/>
      <c r="GR412" s="244"/>
      <c r="GS412" s="244"/>
      <c r="GT412" s="244"/>
    </row>
    <row r="413" spans="1:202" s="83" customFormat="1" ht="12.75">
      <c r="A413" s="191"/>
      <c r="B413" s="240" t="s">
        <v>390</v>
      </c>
      <c r="C413" s="216"/>
      <c r="D413" s="138"/>
      <c r="E413" s="147"/>
      <c r="F413" s="147"/>
      <c r="G413" s="177"/>
      <c r="H413" s="147"/>
      <c r="I413" s="147"/>
      <c r="J413" s="177"/>
      <c r="K413" s="252"/>
      <c r="L413" s="252"/>
      <c r="M413" s="252"/>
      <c r="N413" s="287">
        <f t="shared" si="958"/>
        <v>0</v>
      </c>
      <c r="O413" s="273"/>
      <c r="P413" s="273"/>
      <c r="Q413" s="290"/>
      <c r="R413" s="287">
        <f t="shared" si="979"/>
        <v>0</v>
      </c>
      <c r="S413" s="290"/>
      <c r="T413" s="273"/>
      <c r="U413" s="273"/>
      <c r="V413" s="273"/>
      <c r="W413" s="290"/>
      <c r="X413" s="264"/>
      <c r="Y413" s="142">
        <f t="shared" si="980"/>
        <v>0</v>
      </c>
      <c r="Z413" s="273"/>
      <c r="AA413" s="273"/>
      <c r="AB413" s="273"/>
      <c r="AC413" s="273"/>
      <c r="AD413" s="273"/>
      <c r="AE413" s="273"/>
      <c r="AF413" s="287">
        <f t="shared" si="959"/>
        <v>0</v>
      </c>
      <c r="AG413" s="283">
        <f t="shared" si="909"/>
        <v>0</v>
      </c>
      <c r="AH413" s="228">
        <f t="shared" si="960"/>
        <v>0</v>
      </c>
      <c r="AI413" s="228">
        <f t="shared" si="961"/>
        <v>0</v>
      </c>
      <c r="AJ413" s="228">
        <f t="shared" si="962"/>
        <v>0</v>
      </c>
      <c r="AK413" s="261">
        <f t="shared" si="981"/>
        <v>0</v>
      </c>
      <c r="AL413" s="228">
        <f t="shared" si="964"/>
        <v>0</v>
      </c>
      <c r="AM413" s="228">
        <f t="shared" si="965"/>
        <v>0</v>
      </c>
      <c r="AN413" s="228">
        <f t="shared" si="966"/>
        <v>0</v>
      </c>
      <c r="AO413" s="261">
        <f t="shared" si="946"/>
        <v>0</v>
      </c>
      <c r="AP413" s="228">
        <f t="shared" si="967"/>
        <v>0</v>
      </c>
      <c r="AQ413" s="228">
        <f t="shared" si="968"/>
        <v>0</v>
      </c>
      <c r="AR413" s="228">
        <f t="shared" si="969"/>
        <v>0</v>
      </c>
      <c r="AS413" s="228">
        <f t="shared" si="970"/>
        <v>0</v>
      </c>
      <c r="AT413" s="228">
        <f t="shared" si="971"/>
        <v>0</v>
      </c>
      <c r="AU413" s="228">
        <f t="shared" si="972"/>
        <v>0</v>
      </c>
      <c r="AV413" s="261">
        <f t="shared" si="982"/>
        <v>0</v>
      </c>
      <c r="AW413" s="228">
        <f t="shared" si="973"/>
        <v>0</v>
      </c>
      <c r="AX413" s="228">
        <f t="shared" si="974"/>
        <v>0</v>
      </c>
      <c r="AY413" s="228">
        <f t="shared" si="975"/>
        <v>0</v>
      </c>
      <c r="AZ413" s="228">
        <f t="shared" si="976"/>
        <v>0</v>
      </c>
      <c r="BA413" s="228">
        <f t="shared" si="977"/>
        <v>0</v>
      </c>
      <c r="BB413" s="228">
        <f t="shared" si="978"/>
        <v>0</v>
      </c>
      <c r="BC413" s="261">
        <f t="shared" si="945"/>
        <v>0</v>
      </c>
      <c r="BD413" s="239">
        <f t="shared" ref="BD413:BD423" si="983">BC413+AV413+AO413+AK413</f>
        <v>0</v>
      </c>
      <c r="BE413" s="13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44"/>
      <c r="CC413" s="244"/>
      <c r="CD413" s="244"/>
      <c r="CE413" s="244"/>
      <c r="CF413" s="244"/>
      <c r="CG413" s="244"/>
      <c r="CH413" s="244"/>
      <c r="CI413" s="244"/>
      <c r="CJ413" s="244"/>
      <c r="CK413" s="244"/>
      <c r="CL413" s="244"/>
      <c r="CM413" s="244"/>
      <c r="CN413" s="244"/>
      <c r="CO413" s="244"/>
      <c r="CP413" s="244"/>
      <c r="CQ413" s="244"/>
      <c r="CR413" s="244"/>
      <c r="CS413" s="244"/>
      <c r="CT413" s="244"/>
      <c r="CU413" s="244"/>
      <c r="CV413" s="244"/>
      <c r="CW413" s="244"/>
      <c r="CX413" s="244"/>
      <c r="CY413" s="244"/>
      <c r="CZ413" s="244"/>
      <c r="DA413" s="244"/>
      <c r="DB413" s="244"/>
      <c r="DC413" s="244"/>
      <c r="DD413" s="244"/>
      <c r="DE413" s="244"/>
      <c r="DF413" s="244"/>
      <c r="DG413" s="244"/>
      <c r="DH413" s="244"/>
      <c r="DI413" s="244"/>
      <c r="DJ413" s="244"/>
      <c r="DK413" s="244"/>
      <c r="DL413" s="244"/>
      <c r="DM413" s="244"/>
      <c r="DN413" s="244"/>
      <c r="DO413" s="244"/>
      <c r="DP413" s="244"/>
      <c r="DQ413" s="244"/>
      <c r="DR413" s="244"/>
      <c r="DS413" s="244"/>
      <c r="DT413" s="244"/>
      <c r="DU413" s="244"/>
      <c r="DV413" s="244"/>
      <c r="DW413" s="244"/>
      <c r="DX413" s="244"/>
      <c r="DY413" s="244"/>
      <c r="DZ413" s="244"/>
      <c r="EA413" s="244"/>
      <c r="EB413" s="244"/>
      <c r="EC413" s="244"/>
      <c r="ED413" s="244"/>
      <c r="EE413" s="244"/>
      <c r="EF413" s="244"/>
      <c r="EG413" s="244"/>
      <c r="EH413" s="244"/>
      <c r="EI413" s="244"/>
      <c r="EJ413" s="244"/>
      <c r="EK413" s="244"/>
      <c r="EL413" s="244"/>
      <c r="EM413" s="244"/>
      <c r="EN413" s="244"/>
      <c r="EO413" s="244"/>
      <c r="EP413" s="244"/>
      <c r="EQ413" s="244"/>
      <c r="ER413" s="244"/>
      <c r="ES413" s="244"/>
      <c r="ET413" s="244"/>
      <c r="EU413" s="244"/>
      <c r="EV413" s="244"/>
      <c r="EW413" s="244"/>
      <c r="EX413" s="244"/>
      <c r="EY413" s="244"/>
      <c r="EZ413" s="244"/>
      <c r="FA413" s="244"/>
      <c r="FB413" s="244"/>
      <c r="FC413" s="244"/>
      <c r="FD413" s="244"/>
      <c r="FE413" s="244"/>
      <c r="FF413" s="244"/>
      <c r="FG413" s="244"/>
      <c r="FH413" s="244"/>
      <c r="FI413" s="244"/>
      <c r="FJ413" s="244"/>
      <c r="FK413" s="244"/>
      <c r="FL413" s="244"/>
      <c r="FM413" s="244"/>
      <c r="FN413" s="244"/>
      <c r="FO413" s="244"/>
      <c r="FP413" s="244"/>
      <c r="FQ413" s="244"/>
      <c r="FR413" s="244"/>
      <c r="FS413" s="244"/>
      <c r="FT413" s="244"/>
      <c r="FU413" s="244"/>
      <c r="FV413" s="244"/>
      <c r="FW413" s="244"/>
      <c r="FX413" s="244"/>
      <c r="FY413" s="244"/>
      <c r="FZ413" s="244"/>
      <c r="GA413" s="244"/>
      <c r="GB413" s="244"/>
      <c r="GC413" s="244"/>
      <c r="GD413" s="244"/>
      <c r="GE413" s="244"/>
      <c r="GF413" s="244"/>
      <c r="GG413" s="244"/>
      <c r="GH413" s="244"/>
      <c r="GI413" s="244"/>
      <c r="GJ413" s="244"/>
      <c r="GK413" s="244"/>
      <c r="GL413" s="244"/>
      <c r="GM413" s="244"/>
      <c r="GN413" s="244"/>
      <c r="GO413" s="244"/>
      <c r="GP413" s="244"/>
      <c r="GQ413" s="244"/>
      <c r="GR413" s="244"/>
      <c r="GS413" s="244"/>
      <c r="GT413" s="244"/>
    </row>
    <row r="414" spans="1:202" s="83" customFormat="1" ht="12.75">
      <c r="A414" s="191"/>
      <c r="B414" s="240" t="s">
        <v>391</v>
      </c>
      <c r="C414" s="216"/>
      <c r="D414" s="138"/>
      <c r="E414" s="147"/>
      <c r="F414" s="147"/>
      <c r="G414" s="177"/>
      <c r="H414" s="147"/>
      <c r="I414" s="147"/>
      <c r="J414" s="177"/>
      <c r="K414" s="252"/>
      <c r="L414" s="252"/>
      <c r="M414" s="252"/>
      <c r="N414" s="287">
        <f t="shared" si="958"/>
        <v>0</v>
      </c>
      <c r="O414" s="273"/>
      <c r="P414" s="273"/>
      <c r="Q414" s="290"/>
      <c r="R414" s="287">
        <f t="shared" si="979"/>
        <v>0</v>
      </c>
      <c r="S414" s="290"/>
      <c r="T414" s="273"/>
      <c r="U414" s="273"/>
      <c r="V414" s="273"/>
      <c r="W414" s="290"/>
      <c r="X414" s="264"/>
      <c r="Y414" s="142">
        <f t="shared" si="980"/>
        <v>0</v>
      </c>
      <c r="Z414" s="273"/>
      <c r="AA414" s="273"/>
      <c r="AB414" s="273"/>
      <c r="AC414" s="273"/>
      <c r="AD414" s="273"/>
      <c r="AE414" s="273"/>
      <c r="AF414" s="287">
        <f t="shared" si="959"/>
        <v>0</v>
      </c>
      <c r="AG414" s="283">
        <f t="shared" si="909"/>
        <v>0</v>
      </c>
      <c r="AH414" s="228">
        <f t="shared" si="960"/>
        <v>0</v>
      </c>
      <c r="AI414" s="228">
        <f t="shared" si="961"/>
        <v>0</v>
      </c>
      <c r="AJ414" s="228">
        <f t="shared" si="962"/>
        <v>0</v>
      </c>
      <c r="AK414" s="261">
        <f t="shared" si="981"/>
        <v>0</v>
      </c>
      <c r="AL414" s="228">
        <f t="shared" si="964"/>
        <v>0</v>
      </c>
      <c r="AM414" s="228">
        <f t="shared" si="965"/>
        <v>0</v>
      </c>
      <c r="AN414" s="228">
        <f t="shared" si="966"/>
        <v>0</v>
      </c>
      <c r="AO414" s="261">
        <f t="shared" si="946"/>
        <v>0</v>
      </c>
      <c r="AP414" s="228">
        <f t="shared" si="967"/>
        <v>0</v>
      </c>
      <c r="AQ414" s="228">
        <f t="shared" si="968"/>
        <v>0</v>
      </c>
      <c r="AR414" s="228">
        <f t="shared" si="969"/>
        <v>0</v>
      </c>
      <c r="AS414" s="228">
        <f t="shared" si="970"/>
        <v>0</v>
      </c>
      <c r="AT414" s="228">
        <f t="shared" si="971"/>
        <v>0</v>
      </c>
      <c r="AU414" s="228">
        <f t="shared" si="972"/>
        <v>0</v>
      </c>
      <c r="AV414" s="261">
        <f t="shared" si="982"/>
        <v>0</v>
      </c>
      <c r="AW414" s="228">
        <f t="shared" si="973"/>
        <v>0</v>
      </c>
      <c r="AX414" s="228">
        <f t="shared" si="974"/>
        <v>0</v>
      </c>
      <c r="AY414" s="228">
        <f t="shared" si="975"/>
        <v>0</v>
      </c>
      <c r="AZ414" s="228">
        <f t="shared" si="976"/>
        <v>0</v>
      </c>
      <c r="BA414" s="228">
        <f t="shared" si="977"/>
        <v>0</v>
      </c>
      <c r="BB414" s="228">
        <f t="shared" si="978"/>
        <v>0</v>
      </c>
      <c r="BC414" s="261">
        <f t="shared" si="945"/>
        <v>0</v>
      </c>
      <c r="BD414" s="239">
        <f t="shared" si="983"/>
        <v>0</v>
      </c>
      <c r="BE414" s="13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44"/>
      <c r="CC414" s="244"/>
      <c r="CD414" s="244"/>
      <c r="CE414" s="244"/>
      <c r="CF414" s="244"/>
      <c r="CG414" s="244"/>
      <c r="CH414" s="244"/>
      <c r="CI414" s="244"/>
      <c r="CJ414" s="244"/>
      <c r="CK414" s="244"/>
      <c r="CL414" s="244"/>
      <c r="CM414" s="244"/>
      <c r="CN414" s="244"/>
      <c r="CO414" s="244"/>
      <c r="CP414" s="244"/>
      <c r="CQ414" s="244"/>
      <c r="CR414" s="244"/>
      <c r="CS414" s="244"/>
      <c r="CT414" s="244"/>
      <c r="CU414" s="244"/>
      <c r="CV414" s="244"/>
      <c r="CW414" s="244"/>
      <c r="CX414" s="244"/>
      <c r="CY414" s="244"/>
      <c r="CZ414" s="244"/>
      <c r="DA414" s="244"/>
      <c r="DB414" s="244"/>
      <c r="DC414" s="244"/>
      <c r="DD414" s="244"/>
      <c r="DE414" s="244"/>
      <c r="DF414" s="244"/>
      <c r="DG414" s="244"/>
      <c r="DH414" s="244"/>
      <c r="DI414" s="244"/>
      <c r="DJ414" s="244"/>
      <c r="DK414" s="244"/>
      <c r="DL414" s="244"/>
      <c r="DM414" s="244"/>
      <c r="DN414" s="244"/>
      <c r="DO414" s="244"/>
      <c r="DP414" s="244"/>
      <c r="DQ414" s="244"/>
      <c r="DR414" s="244"/>
      <c r="DS414" s="244"/>
      <c r="DT414" s="244"/>
      <c r="DU414" s="244"/>
      <c r="DV414" s="244"/>
      <c r="DW414" s="244"/>
      <c r="DX414" s="244"/>
      <c r="DY414" s="244"/>
      <c r="DZ414" s="244"/>
      <c r="EA414" s="244"/>
      <c r="EB414" s="244"/>
      <c r="EC414" s="244"/>
      <c r="ED414" s="244"/>
      <c r="EE414" s="244"/>
      <c r="EF414" s="244"/>
      <c r="EG414" s="244"/>
      <c r="EH414" s="244"/>
      <c r="EI414" s="244"/>
      <c r="EJ414" s="244"/>
      <c r="EK414" s="244"/>
      <c r="EL414" s="244"/>
      <c r="EM414" s="244"/>
      <c r="EN414" s="244"/>
      <c r="EO414" s="244"/>
      <c r="EP414" s="244"/>
      <c r="EQ414" s="244"/>
      <c r="ER414" s="244"/>
      <c r="ES414" s="244"/>
      <c r="ET414" s="244"/>
      <c r="EU414" s="244"/>
      <c r="EV414" s="244"/>
      <c r="EW414" s="244"/>
      <c r="EX414" s="244"/>
      <c r="EY414" s="244"/>
      <c r="EZ414" s="244"/>
      <c r="FA414" s="244"/>
      <c r="FB414" s="244"/>
      <c r="FC414" s="244"/>
      <c r="FD414" s="244"/>
      <c r="FE414" s="244"/>
      <c r="FF414" s="244"/>
      <c r="FG414" s="244"/>
      <c r="FH414" s="244"/>
      <c r="FI414" s="244"/>
      <c r="FJ414" s="244"/>
      <c r="FK414" s="244"/>
      <c r="FL414" s="244"/>
      <c r="FM414" s="244"/>
      <c r="FN414" s="244"/>
      <c r="FO414" s="244"/>
      <c r="FP414" s="244"/>
      <c r="FQ414" s="244"/>
      <c r="FR414" s="244"/>
      <c r="FS414" s="244"/>
      <c r="FT414" s="244"/>
      <c r="FU414" s="244"/>
      <c r="FV414" s="244"/>
      <c r="FW414" s="244"/>
      <c r="FX414" s="244"/>
      <c r="FY414" s="244"/>
      <c r="FZ414" s="244"/>
      <c r="GA414" s="244"/>
      <c r="GB414" s="244"/>
      <c r="GC414" s="244"/>
      <c r="GD414" s="244"/>
      <c r="GE414" s="244"/>
      <c r="GF414" s="244"/>
      <c r="GG414" s="244"/>
      <c r="GH414" s="244"/>
      <c r="GI414" s="244"/>
      <c r="GJ414" s="244"/>
      <c r="GK414" s="244"/>
      <c r="GL414" s="244"/>
      <c r="GM414" s="244"/>
      <c r="GN414" s="244"/>
      <c r="GO414" s="244"/>
      <c r="GP414" s="244"/>
      <c r="GQ414" s="244"/>
      <c r="GR414" s="244"/>
      <c r="GS414" s="244"/>
      <c r="GT414" s="244"/>
    </row>
    <row r="415" spans="1:202" s="83" customFormat="1" ht="22.5">
      <c r="A415" s="191"/>
      <c r="B415" s="240" t="s">
        <v>492</v>
      </c>
      <c r="C415" s="216"/>
      <c r="D415" s="138"/>
      <c r="E415" s="147"/>
      <c r="F415" s="147"/>
      <c r="G415" s="177"/>
      <c r="H415" s="147"/>
      <c r="I415" s="147"/>
      <c r="J415" s="177"/>
      <c r="K415" s="252"/>
      <c r="L415" s="252"/>
      <c r="M415" s="252"/>
      <c r="N415" s="287">
        <f t="shared" si="958"/>
        <v>0</v>
      </c>
      <c r="O415" s="273"/>
      <c r="P415" s="273"/>
      <c r="Q415" s="290"/>
      <c r="R415" s="287">
        <f t="shared" si="979"/>
        <v>0</v>
      </c>
      <c r="S415" s="290"/>
      <c r="T415" s="264"/>
      <c r="U415" s="273"/>
      <c r="V415" s="273"/>
      <c r="W415" s="290"/>
      <c r="X415" s="264"/>
      <c r="Y415" s="142">
        <f t="shared" si="980"/>
        <v>0</v>
      </c>
      <c r="Z415" s="273"/>
      <c r="AA415" s="273"/>
      <c r="AB415" s="273"/>
      <c r="AC415" s="273"/>
      <c r="AD415" s="273"/>
      <c r="AE415" s="273"/>
      <c r="AF415" s="287">
        <f t="shared" si="959"/>
        <v>0</v>
      </c>
      <c r="AG415" s="283">
        <f t="shared" si="909"/>
        <v>0</v>
      </c>
      <c r="AH415" s="228">
        <f t="shared" si="960"/>
        <v>0</v>
      </c>
      <c r="AI415" s="228">
        <f t="shared" si="961"/>
        <v>0</v>
      </c>
      <c r="AJ415" s="228">
        <f t="shared" si="962"/>
        <v>0</v>
      </c>
      <c r="AK415" s="261">
        <f t="shared" si="981"/>
        <v>0</v>
      </c>
      <c r="AL415" s="228">
        <f t="shared" si="964"/>
        <v>0</v>
      </c>
      <c r="AM415" s="228">
        <f t="shared" si="965"/>
        <v>0</v>
      </c>
      <c r="AN415" s="228">
        <f t="shared" si="966"/>
        <v>0</v>
      </c>
      <c r="AO415" s="261">
        <f>SUM(AL415:AN415)</f>
        <v>0</v>
      </c>
      <c r="AP415" s="228">
        <f t="shared" si="967"/>
        <v>0</v>
      </c>
      <c r="AQ415" s="228">
        <f t="shared" si="968"/>
        <v>0</v>
      </c>
      <c r="AR415" s="228">
        <f t="shared" si="969"/>
        <v>0</v>
      </c>
      <c r="AS415" s="228">
        <f t="shared" si="970"/>
        <v>0</v>
      </c>
      <c r="AT415" s="228">
        <f t="shared" si="971"/>
        <v>0</v>
      </c>
      <c r="AU415" s="228">
        <f t="shared" si="972"/>
        <v>0</v>
      </c>
      <c r="AV415" s="261">
        <f t="shared" si="982"/>
        <v>0</v>
      </c>
      <c r="AW415" s="228">
        <f t="shared" si="973"/>
        <v>0</v>
      </c>
      <c r="AX415" s="228">
        <f t="shared" si="974"/>
        <v>0</v>
      </c>
      <c r="AY415" s="228">
        <f t="shared" si="975"/>
        <v>0</v>
      </c>
      <c r="AZ415" s="228">
        <f t="shared" si="976"/>
        <v>0</v>
      </c>
      <c r="BA415" s="228">
        <f t="shared" si="977"/>
        <v>0</v>
      </c>
      <c r="BB415" s="228">
        <f t="shared" si="978"/>
        <v>0</v>
      </c>
      <c r="BC415" s="261">
        <f t="shared" si="945"/>
        <v>0</v>
      </c>
      <c r="BD415" s="239">
        <f t="shared" si="983"/>
        <v>0</v>
      </c>
      <c r="BE415" s="13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44"/>
      <c r="CC415" s="244"/>
      <c r="CD415" s="244"/>
      <c r="CE415" s="244"/>
      <c r="CF415" s="244"/>
      <c r="CG415" s="244"/>
      <c r="CH415" s="244"/>
      <c r="CI415" s="244"/>
      <c r="CJ415" s="244"/>
      <c r="CK415" s="244"/>
      <c r="CL415" s="244"/>
      <c r="CM415" s="244"/>
      <c r="CN415" s="244"/>
      <c r="CO415" s="244"/>
      <c r="CP415" s="244"/>
      <c r="CQ415" s="244"/>
      <c r="CR415" s="244"/>
      <c r="CS415" s="244"/>
      <c r="CT415" s="244"/>
      <c r="CU415" s="244"/>
      <c r="CV415" s="244"/>
      <c r="CW415" s="244"/>
      <c r="CX415" s="244"/>
      <c r="CY415" s="244"/>
      <c r="CZ415" s="244"/>
      <c r="DA415" s="244"/>
      <c r="DB415" s="244"/>
      <c r="DC415" s="244"/>
      <c r="DD415" s="244"/>
      <c r="DE415" s="244"/>
      <c r="DF415" s="244"/>
      <c r="DG415" s="244"/>
      <c r="DH415" s="244"/>
      <c r="DI415" s="244"/>
      <c r="DJ415" s="244"/>
      <c r="DK415" s="244"/>
      <c r="DL415" s="244"/>
      <c r="DM415" s="244"/>
      <c r="DN415" s="244"/>
      <c r="DO415" s="244"/>
      <c r="DP415" s="244"/>
      <c r="DQ415" s="244"/>
      <c r="DR415" s="244"/>
      <c r="DS415" s="244"/>
      <c r="DT415" s="244"/>
      <c r="DU415" s="244"/>
      <c r="DV415" s="244"/>
      <c r="DW415" s="244"/>
      <c r="DX415" s="244"/>
      <c r="DY415" s="244"/>
      <c r="DZ415" s="244"/>
      <c r="EA415" s="244"/>
      <c r="EB415" s="244"/>
      <c r="EC415" s="244"/>
      <c r="ED415" s="244"/>
      <c r="EE415" s="244"/>
      <c r="EF415" s="244"/>
      <c r="EG415" s="244"/>
      <c r="EH415" s="244"/>
      <c r="EI415" s="244"/>
      <c r="EJ415" s="244"/>
      <c r="EK415" s="244"/>
      <c r="EL415" s="244"/>
      <c r="EM415" s="244"/>
      <c r="EN415" s="244"/>
      <c r="EO415" s="244"/>
      <c r="EP415" s="244"/>
      <c r="EQ415" s="244"/>
      <c r="ER415" s="244"/>
      <c r="ES415" s="244"/>
      <c r="ET415" s="244"/>
      <c r="EU415" s="244"/>
      <c r="EV415" s="244"/>
      <c r="EW415" s="244"/>
      <c r="EX415" s="244"/>
      <c r="EY415" s="244"/>
      <c r="EZ415" s="244"/>
      <c r="FA415" s="244"/>
      <c r="FB415" s="244"/>
      <c r="FC415" s="244"/>
      <c r="FD415" s="244"/>
      <c r="FE415" s="244"/>
      <c r="FF415" s="244"/>
      <c r="FG415" s="244"/>
      <c r="FH415" s="244"/>
      <c r="FI415" s="244"/>
      <c r="FJ415" s="244"/>
      <c r="FK415" s="244"/>
      <c r="FL415" s="244"/>
      <c r="FM415" s="244"/>
      <c r="FN415" s="244"/>
      <c r="FO415" s="244"/>
      <c r="FP415" s="244"/>
      <c r="FQ415" s="244"/>
      <c r="FR415" s="244"/>
      <c r="FS415" s="244"/>
      <c r="FT415" s="244"/>
      <c r="FU415" s="244"/>
      <c r="FV415" s="244"/>
      <c r="FW415" s="244"/>
      <c r="FX415" s="244"/>
      <c r="FY415" s="244"/>
      <c r="FZ415" s="244"/>
      <c r="GA415" s="244"/>
      <c r="GB415" s="244"/>
      <c r="GC415" s="244"/>
      <c r="GD415" s="244"/>
      <c r="GE415" s="244"/>
      <c r="GF415" s="244"/>
      <c r="GG415" s="244"/>
      <c r="GH415" s="244"/>
      <c r="GI415" s="244"/>
      <c r="GJ415" s="244"/>
      <c r="GK415" s="244"/>
      <c r="GL415" s="244"/>
      <c r="GM415" s="244"/>
      <c r="GN415" s="244"/>
      <c r="GO415" s="244"/>
      <c r="GP415" s="244"/>
      <c r="GQ415" s="244"/>
      <c r="GR415" s="244"/>
      <c r="GS415" s="244"/>
      <c r="GT415" s="244"/>
    </row>
    <row r="416" spans="1:202" s="83" customFormat="1" ht="12.75">
      <c r="A416" s="191"/>
      <c r="B416" s="240" t="s">
        <v>433</v>
      </c>
      <c r="C416" s="216"/>
      <c r="D416" s="138"/>
      <c r="E416" s="147"/>
      <c r="F416" s="147"/>
      <c r="G416" s="177"/>
      <c r="H416" s="147"/>
      <c r="I416" s="147"/>
      <c r="J416" s="177"/>
      <c r="K416" s="252"/>
      <c r="L416" s="252"/>
      <c r="M416" s="252"/>
      <c r="N416" s="287">
        <f t="shared" si="958"/>
        <v>0</v>
      </c>
      <c r="O416" s="273"/>
      <c r="P416" s="273"/>
      <c r="Q416" s="290"/>
      <c r="R416" s="287">
        <f t="shared" si="979"/>
        <v>0</v>
      </c>
      <c r="S416" s="290"/>
      <c r="T416" s="273"/>
      <c r="U416" s="273"/>
      <c r="V416" s="273"/>
      <c r="W416" s="290"/>
      <c r="X416" s="264"/>
      <c r="Y416" s="142">
        <f t="shared" si="980"/>
        <v>0</v>
      </c>
      <c r="Z416" s="273"/>
      <c r="AA416" s="273"/>
      <c r="AB416" s="273"/>
      <c r="AC416" s="273"/>
      <c r="AD416" s="273"/>
      <c r="AE416" s="273"/>
      <c r="AF416" s="287">
        <f t="shared" si="959"/>
        <v>0</v>
      </c>
      <c r="AG416" s="283">
        <f t="shared" ref="AG416:AG423" si="984">AF416+Y416+R416+N416</f>
        <v>0</v>
      </c>
      <c r="AH416" s="228">
        <f t="shared" si="960"/>
        <v>0</v>
      </c>
      <c r="AI416" s="228">
        <f t="shared" si="961"/>
        <v>0</v>
      </c>
      <c r="AJ416" s="228">
        <f t="shared" si="962"/>
        <v>0</v>
      </c>
      <c r="AK416" s="261">
        <f t="shared" si="981"/>
        <v>0</v>
      </c>
      <c r="AL416" s="228">
        <f t="shared" si="964"/>
        <v>0</v>
      </c>
      <c r="AM416" s="228">
        <f t="shared" si="965"/>
        <v>0</v>
      </c>
      <c r="AN416" s="228">
        <f t="shared" si="966"/>
        <v>0</v>
      </c>
      <c r="AO416" s="261">
        <f t="shared" si="946"/>
        <v>0</v>
      </c>
      <c r="AP416" s="228">
        <f t="shared" si="967"/>
        <v>0</v>
      </c>
      <c r="AQ416" s="228">
        <f t="shared" si="968"/>
        <v>0</v>
      </c>
      <c r="AR416" s="228">
        <f t="shared" si="969"/>
        <v>0</v>
      </c>
      <c r="AS416" s="228">
        <f t="shared" si="970"/>
        <v>0</v>
      </c>
      <c r="AT416" s="228">
        <f t="shared" si="971"/>
        <v>0</v>
      </c>
      <c r="AU416" s="228">
        <f t="shared" si="972"/>
        <v>0</v>
      </c>
      <c r="AV416" s="261">
        <f t="shared" si="982"/>
        <v>0</v>
      </c>
      <c r="AW416" s="228">
        <f t="shared" si="973"/>
        <v>0</v>
      </c>
      <c r="AX416" s="228">
        <f t="shared" si="974"/>
        <v>0</v>
      </c>
      <c r="AY416" s="228">
        <f t="shared" si="975"/>
        <v>0</v>
      </c>
      <c r="AZ416" s="228">
        <f t="shared" si="976"/>
        <v>0</v>
      </c>
      <c r="BA416" s="228">
        <f t="shared" si="977"/>
        <v>0</v>
      </c>
      <c r="BB416" s="228">
        <f t="shared" si="978"/>
        <v>0</v>
      </c>
      <c r="BC416" s="261">
        <f t="shared" si="945"/>
        <v>0</v>
      </c>
      <c r="BD416" s="239">
        <f t="shared" si="983"/>
        <v>0</v>
      </c>
      <c r="BE416" s="13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44"/>
      <c r="CC416" s="244"/>
      <c r="CD416" s="244"/>
      <c r="CE416" s="244"/>
      <c r="CF416" s="244"/>
      <c r="CG416" s="244"/>
      <c r="CH416" s="244"/>
      <c r="CI416" s="244"/>
      <c r="CJ416" s="244"/>
      <c r="CK416" s="244"/>
      <c r="CL416" s="244"/>
      <c r="CM416" s="244"/>
      <c r="CN416" s="244"/>
      <c r="CO416" s="244"/>
      <c r="CP416" s="244"/>
      <c r="CQ416" s="244"/>
      <c r="CR416" s="244"/>
      <c r="CS416" s="244"/>
      <c r="CT416" s="244"/>
      <c r="CU416" s="244"/>
      <c r="CV416" s="244"/>
      <c r="CW416" s="244"/>
      <c r="CX416" s="244"/>
      <c r="CY416" s="244"/>
      <c r="CZ416" s="244"/>
      <c r="DA416" s="244"/>
      <c r="DB416" s="244"/>
      <c r="DC416" s="244"/>
      <c r="DD416" s="244"/>
      <c r="DE416" s="244"/>
      <c r="DF416" s="244"/>
      <c r="DG416" s="244"/>
      <c r="DH416" s="244"/>
      <c r="DI416" s="244"/>
      <c r="DJ416" s="244"/>
      <c r="DK416" s="244"/>
      <c r="DL416" s="244"/>
      <c r="DM416" s="244"/>
      <c r="DN416" s="244"/>
      <c r="DO416" s="244"/>
      <c r="DP416" s="244"/>
      <c r="DQ416" s="244"/>
      <c r="DR416" s="244"/>
      <c r="DS416" s="244"/>
      <c r="DT416" s="244"/>
      <c r="DU416" s="244"/>
      <c r="DV416" s="244"/>
      <c r="DW416" s="244"/>
      <c r="DX416" s="244"/>
      <c r="DY416" s="244"/>
      <c r="DZ416" s="244"/>
      <c r="EA416" s="244"/>
      <c r="EB416" s="244"/>
      <c r="EC416" s="244"/>
      <c r="ED416" s="244"/>
      <c r="EE416" s="244"/>
      <c r="EF416" s="244"/>
      <c r="EG416" s="244"/>
      <c r="EH416" s="244"/>
      <c r="EI416" s="244"/>
      <c r="EJ416" s="244"/>
      <c r="EK416" s="244"/>
      <c r="EL416" s="244"/>
      <c r="EM416" s="244"/>
      <c r="EN416" s="244"/>
      <c r="EO416" s="244"/>
      <c r="EP416" s="244"/>
      <c r="EQ416" s="244"/>
      <c r="ER416" s="244"/>
      <c r="ES416" s="244"/>
      <c r="ET416" s="244"/>
      <c r="EU416" s="244"/>
      <c r="EV416" s="244"/>
      <c r="EW416" s="244"/>
      <c r="EX416" s="244"/>
      <c r="EY416" s="244"/>
      <c r="EZ416" s="244"/>
      <c r="FA416" s="244"/>
      <c r="FB416" s="244"/>
      <c r="FC416" s="244"/>
      <c r="FD416" s="244"/>
      <c r="FE416" s="244"/>
      <c r="FF416" s="244"/>
      <c r="FG416" s="244"/>
      <c r="FH416" s="244"/>
      <c r="FI416" s="244"/>
      <c r="FJ416" s="244"/>
      <c r="FK416" s="244"/>
      <c r="FL416" s="244"/>
      <c r="FM416" s="244"/>
      <c r="FN416" s="244"/>
      <c r="FO416" s="244"/>
      <c r="FP416" s="244"/>
      <c r="FQ416" s="244"/>
      <c r="FR416" s="244"/>
      <c r="FS416" s="244"/>
      <c r="FT416" s="244"/>
      <c r="FU416" s="244"/>
      <c r="FV416" s="244"/>
      <c r="FW416" s="244"/>
      <c r="FX416" s="244"/>
      <c r="FY416" s="244"/>
      <c r="FZ416" s="244"/>
      <c r="GA416" s="244"/>
      <c r="GB416" s="244"/>
      <c r="GC416" s="244"/>
      <c r="GD416" s="244"/>
      <c r="GE416" s="244"/>
      <c r="GF416" s="244"/>
      <c r="GG416" s="244"/>
      <c r="GH416" s="244"/>
      <c r="GI416" s="244"/>
      <c r="GJ416" s="244"/>
      <c r="GK416" s="244"/>
      <c r="GL416" s="244"/>
      <c r="GM416" s="244"/>
      <c r="GN416" s="244"/>
      <c r="GO416" s="244"/>
      <c r="GP416" s="244"/>
      <c r="GQ416" s="244"/>
      <c r="GR416" s="244"/>
      <c r="GS416" s="244"/>
      <c r="GT416" s="244"/>
    </row>
    <row r="417" spans="1:202" s="79" customFormat="1" ht="12" customHeight="1">
      <c r="A417" s="187" t="s">
        <v>117</v>
      </c>
      <c r="B417" s="170" t="s">
        <v>118</v>
      </c>
      <c r="C417" s="216"/>
      <c r="D417" s="138">
        <v>2919000794</v>
      </c>
      <c r="E417" s="147"/>
      <c r="F417" s="147"/>
      <c r="G417" s="177"/>
      <c r="H417" s="147"/>
      <c r="I417" s="147"/>
      <c r="J417" s="210"/>
      <c r="K417" s="251">
        <f t="shared" ref="K417:Q417" si="985">SUM(K418:K420)</f>
        <v>1452.828</v>
      </c>
      <c r="L417" s="251">
        <f t="shared" si="985"/>
        <v>1359.895</v>
      </c>
      <c r="M417" s="251">
        <f t="shared" si="985"/>
        <v>0</v>
      </c>
      <c r="N417" s="284">
        <f t="shared" si="985"/>
        <v>2812.723</v>
      </c>
      <c r="O417" s="272">
        <f t="shared" si="985"/>
        <v>0</v>
      </c>
      <c r="P417" s="272">
        <f t="shared" si="985"/>
        <v>0</v>
      </c>
      <c r="Q417" s="272">
        <f t="shared" si="985"/>
        <v>0</v>
      </c>
      <c r="R417" s="284">
        <f t="shared" si="979"/>
        <v>0</v>
      </c>
      <c r="S417" s="289">
        <f t="shared" ref="S417:X417" si="986">SUM(S418:S420)</f>
        <v>0</v>
      </c>
      <c r="T417" s="289">
        <f t="shared" si="986"/>
        <v>0</v>
      </c>
      <c r="U417" s="289">
        <f t="shared" si="986"/>
        <v>0</v>
      </c>
      <c r="V417" s="289">
        <f t="shared" si="986"/>
        <v>0</v>
      </c>
      <c r="W417" s="289">
        <f t="shared" si="986"/>
        <v>0</v>
      </c>
      <c r="X417" s="289">
        <f t="shared" si="986"/>
        <v>0</v>
      </c>
      <c r="Y417" s="262">
        <f t="shared" si="980"/>
        <v>0</v>
      </c>
      <c r="Z417" s="272">
        <f t="shared" ref="Z417:AF417" si="987">SUM(Z418:Z420)</f>
        <v>0</v>
      </c>
      <c r="AA417" s="272">
        <f t="shared" si="987"/>
        <v>0</v>
      </c>
      <c r="AB417" s="272">
        <f t="shared" si="987"/>
        <v>0</v>
      </c>
      <c r="AC417" s="272">
        <f t="shared" si="987"/>
        <v>0</v>
      </c>
      <c r="AD417" s="272">
        <f t="shared" si="987"/>
        <v>0</v>
      </c>
      <c r="AE417" s="272">
        <f t="shared" si="987"/>
        <v>0</v>
      </c>
      <c r="AF417" s="284">
        <f t="shared" si="987"/>
        <v>0</v>
      </c>
      <c r="AG417" s="282">
        <f t="shared" si="984"/>
        <v>2812.723</v>
      </c>
      <c r="AH417" s="227">
        <f>AH418+AH419+AH420</f>
        <v>7194412.7746200003</v>
      </c>
      <c r="AI417" s="227">
        <f>AI418+AI419+AI420</f>
        <v>6758037.4170399997</v>
      </c>
      <c r="AJ417" s="227">
        <f>AJ418+AJ419+AJ420</f>
        <v>0</v>
      </c>
      <c r="AK417" s="260">
        <f t="shared" si="981"/>
        <v>13952450.19166</v>
      </c>
      <c r="AL417" s="227">
        <f>AL418+AL419+AL420</f>
        <v>0</v>
      </c>
      <c r="AM417" s="227">
        <f>AM418+AM419+AM420</f>
        <v>0</v>
      </c>
      <c r="AN417" s="227">
        <f>AN418+AN419+AN420</f>
        <v>0</v>
      </c>
      <c r="AO417" s="260">
        <f>SUM(AL417:AN417)</f>
        <v>0</v>
      </c>
      <c r="AP417" s="227">
        <f t="shared" ref="AP417:AU417" si="988">AP418+AP419+AP420</f>
        <v>0</v>
      </c>
      <c r="AQ417" s="227">
        <f t="shared" si="988"/>
        <v>0</v>
      </c>
      <c r="AR417" s="227">
        <f t="shared" si="988"/>
        <v>0</v>
      </c>
      <c r="AS417" s="227">
        <f t="shared" si="988"/>
        <v>0</v>
      </c>
      <c r="AT417" s="227">
        <f t="shared" si="988"/>
        <v>0</v>
      </c>
      <c r="AU417" s="227">
        <f t="shared" si="988"/>
        <v>0</v>
      </c>
      <c r="AV417" s="260">
        <f t="shared" si="982"/>
        <v>0</v>
      </c>
      <c r="AW417" s="227">
        <f t="shared" ref="AW417:BB417" si="989">AW418+AW419+AW420</f>
        <v>0</v>
      </c>
      <c r="AX417" s="227">
        <f t="shared" si="989"/>
        <v>0</v>
      </c>
      <c r="AY417" s="227">
        <f t="shared" si="989"/>
        <v>0</v>
      </c>
      <c r="AZ417" s="227">
        <f t="shared" si="989"/>
        <v>0</v>
      </c>
      <c r="BA417" s="227">
        <f t="shared" si="989"/>
        <v>0</v>
      </c>
      <c r="BB417" s="227">
        <f t="shared" si="989"/>
        <v>0</v>
      </c>
      <c r="BC417" s="260">
        <f t="shared" si="945"/>
        <v>0</v>
      </c>
      <c r="BD417" s="238">
        <f t="shared" si="983"/>
        <v>13952450.19166</v>
      </c>
      <c r="BE417" s="13"/>
      <c r="BF417" s="243"/>
      <c r="BG417" s="243"/>
      <c r="BH417" s="243"/>
      <c r="BI417" s="243"/>
      <c r="BJ417" s="243"/>
      <c r="BK417" s="243"/>
      <c r="BL417" s="243"/>
      <c r="BM417" s="243"/>
      <c r="BN417" s="243"/>
      <c r="BO417" s="243"/>
      <c r="BP417" s="243"/>
      <c r="BQ417" s="243"/>
      <c r="BR417" s="243"/>
      <c r="BS417" s="243"/>
      <c r="BT417" s="243"/>
      <c r="BU417" s="243"/>
      <c r="BV417" s="243"/>
      <c r="BW417" s="243"/>
      <c r="BX417" s="243"/>
      <c r="BY417" s="243"/>
      <c r="BZ417" s="243"/>
      <c r="CA417" s="243"/>
      <c r="CB417" s="243"/>
      <c r="CC417" s="243"/>
      <c r="CD417" s="243"/>
      <c r="CE417" s="243"/>
      <c r="CF417" s="243"/>
      <c r="CG417" s="243"/>
      <c r="CH417" s="243"/>
      <c r="CI417" s="243"/>
      <c r="CJ417" s="243"/>
      <c r="CK417" s="243"/>
      <c r="CL417" s="243"/>
      <c r="CM417" s="243"/>
      <c r="CN417" s="243"/>
      <c r="CO417" s="243"/>
      <c r="CP417" s="243"/>
      <c r="CQ417" s="243"/>
      <c r="CR417" s="243"/>
      <c r="CS417" s="243"/>
      <c r="CT417" s="243"/>
      <c r="CU417" s="243"/>
      <c r="CV417" s="243"/>
      <c r="CW417" s="243"/>
      <c r="CX417" s="243"/>
      <c r="CY417" s="243"/>
      <c r="CZ417" s="243"/>
      <c r="DA417" s="243"/>
      <c r="DB417" s="243"/>
      <c r="DC417" s="243"/>
      <c r="DD417" s="243"/>
      <c r="DE417" s="243"/>
      <c r="DF417" s="243"/>
      <c r="DG417" s="243"/>
      <c r="DH417" s="243"/>
      <c r="DI417" s="243"/>
      <c r="DJ417" s="243"/>
      <c r="DK417" s="243"/>
      <c r="DL417" s="243"/>
      <c r="DM417" s="243"/>
      <c r="DN417" s="243"/>
      <c r="DO417" s="243"/>
      <c r="DP417" s="243"/>
      <c r="DQ417" s="243"/>
      <c r="DR417" s="243"/>
      <c r="DS417" s="243"/>
      <c r="DT417" s="243"/>
      <c r="DU417" s="243"/>
      <c r="DV417" s="243"/>
      <c r="DW417" s="243"/>
      <c r="DX417" s="243"/>
      <c r="DY417" s="243"/>
      <c r="DZ417" s="243"/>
      <c r="EA417" s="243"/>
      <c r="EB417" s="243"/>
      <c r="EC417" s="243"/>
      <c r="ED417" s="243"/>
      <c r="EE417" s="243"/>
      <c r="EF417" s="243"/>
      <c r="EG417" s="243"/>
      <c r="EH417" s="243"/>
      <c r="EI417" s="243"/>
      <c r="EJ417" s="243"/>
      <c r="EK417" s="243"/>
      <c r="EL417" s="243"/>
      <c r="EM417" s="243"/>
      <c r="EN417" s="243"/>
      <c r="EO417" s="243"/>
      <c r="EP417" s="243"/>
      <c r="EQ417" s="243"/>
      <c r="ER417" s="243"/>
      <c r="ES417" s="243"/>
      <c r="ET417" s="243"/>
      <c r="EU417" s="243"/>
      <c r="EV417" s="243"/>
      <c r="EW417" s="243"/>
      <c r="EX417" s="243"/>
      <c r="EY417" s="243"/>
      <c r="EZ417" s="243"/>
      <c r="FA417" s="243"/>
      <c r="FB417" s="243"/>
      <c r="FC417" s="243"/>
      <c r="FD417" s="243"/>
      <c r="FE417" s="243"/>
      <c r="FF417" s="243"/>
      <c r="FG417" s="243"/>
      <c r="FH417" s="243"/>
      <c r="FI417" s="243"/>
      <c r="FJ417" s="243"/>
      <c r="FK417" s="243"/>
      <c r="FL417" s="243"/>
      <c r="FM417" s="243"/>
      <c r="FN417" s="243"/>
      <c r="FO417" s="243"/>
      <c r="FP417" s="243"/>
      <c r="FQ417" s="243"/>
      <c r="FR417" s="243"/>
      <c r="FS417" s="243"/>
      <c r="FT417" s="243"/>
      <c r="FU417" s="243"/>
      <c r="FV417" s="243"/>
      <c r="FW417" s="243"/>
      <c r="FX417" s="243"/>
      <c r="FY417" s="243"/>
      <c r="FZ417" s="243"/>
      <c r="GA417" s="243"/>
      <c r="GB417" s="243"/>
      <c r="GC417" s="243"/>
      <c r="GD417" s="243"/>
      <c r="GE417" s="243"/>
      <c r="GF417" s="243"/>
      <c r="GG417" s="243"/>
      <c r="GH417" s="243"/>
      <c r="GI417" s="243"/>
      <c r="GJ417" s="243"/>
      <c r="GK417" s="243"/>
      <c r="GL417" s="243"/>
      <c r="GM417" s="243"/>
      <c r="GN417" s="243"/>
      <c r="GO417" s="243"/>
      <c r="GP417" s="243"/>
      <c r="GQ417" s="243"/>
      <c r="GR417" s="243"/>
      <c r="GS417" s="243"/>
      <c r="GT417" s="243"/>
    </row>
    <row r="418" spans="1:202" s="83" customFormat="1" ht="12.75">
      <c r="A418" s="191"/>
      <c r="B418" s="84" t="s">
        <v>29</v>
      </c>
      <c r="C418" s="217"/>
      <c r="D418" s="149"/>
      <c r="E418" s="147">
        <v>6124.47</v>
      </c>
      <c r="F418" s="147">
        <v>1916</v>
      </c>
      <c r="G418" s="177">
        <f>E418-F418</f>
        <v>4208.47</v>
      </c>
      <c r="H418" s="147">
        <v>6124.47</v>
      </c>
      <c r="I418" s="147">
        <v>1916</v>
      </c>
      <c r="J418" s="177">
        <f t="shared" ref="J418:J423" si="990">H418-I418</f>
        <v>4208.47</v>
      </c>
      <c r="K418" s="252">
        <v>566.53</v>
      </c>
      <c r="L418" s="252">
        <v>519.59299999999996</v>
      </c>
      <c r="M418" s="252"/>
      <c r="N418" s="287">
        <f t="shared" ref="N418:N423" si="991">K418+L418+M418</f>
        <v>1086.123</v>
      </c>
      <c r="O418" s="273"/>
      <c r="P418" s="273"/>
      <c r="Q418" s="290"/>
      <c r="R418" s="287"/>
      <c r="S418" s="290"/>
      <c r="T418" s="264"/>
      <c r="U418" s="273"/>
      <c r="V418" s="273"/>
      <c r="W418" s="290"/>
      <c r="X418" s="264"/>
      <c r="Y418" s="142"/>
      <c r="Z418" s="273"/>
      <c r="AA418" s="273"/>
      <c r="AB418" s="273"/>
      <c r="AC418" s="273"/>
      <c r="AD418" s="273"/>
      <c r="AE418" s="273"/>
      <c r="AF418" s="287">
        <f t="shared" ref="AF418:AF423" si="992">SUM(Z418:AE418)</f>
        <v>0</v>
      </c>
      <c r="AG418" s="283">
        <f t="shared" si="984"/>
        <v>1086.123</v>
      </c>
      <c r="AH418" s="228">
        <f t="shared" ref="AH418:AJ420" si="993">K418*$G418</f>
        <v>2384224.5090999999</v>
      </c>
      <c r="AI418" s="228">
        <f t="shared" si="993"/>
        <v>2186691.55271</v>
      </c>
      <c r="AJ418" s="228">
        <f t="shared" si="993"/>
        <v>0</v>
      </c>
      <c r="AK418" s="261">
        <f t="shared" ref="AK418:AK423" si="994">AH418+AI418+AJ418</f>
        <v>4570916.0618099999</v>
      </c>
      <c r="AL418" s="228">
        <f t="shared" ref="AL418:AN420" si="995">O418*$G418</f>
        <v>0</v>
      </c>
      <c r="AM418" s="228">
        <f t="shared" si="995"/>
        <v>0</v>
      </c>
      <c r="AN418" s="228">
        <f t="shared" si="995"/>
        <v>0</v>
      </c>
      <c r="AO418" s="261"/>
      <c r="AP418" s="228">
        <f t="shared" ref="AP418:AU420" si="996">S418*$J418</f>
        <v>0</v>
      </c>
      <c r="AQ418" s="228">
        <f t="shared" si="996"/>
        <v>0</v>
      </c>
      <c r="AR418" s="228">
        <f t="shared" si="996"/>
        <v>0</v>
      </c>
      <c r="AS418" s="228">
        <f t="shared" si="996"/>
        <v>0</v>
      </c>
      <c r="AT418" s="228">
        <f t="shared" si="996"/>
        <v>0</v>
      </c>
      <c r="AU418" s="228">
        <f t="shared" si="996"/>
        <v>0</v>
      </c>
      <c r="AV418" s="261"/>
      <c r="AW418" s="228">
        <f t="shared" ref="AW418:BB420" si="997">Z418*$J418</f>
        <v>0</v>
      </c>
      <c r="AX418" s="228">
        <f t="shared" si="997"/>
        <v>0</v>
      </c>
      <c r="AY418" s="228">
        <f t="shared" si="997"/>
        <v>0</v>
      </c>
      <c r="AZ418" s="228">
        <f t="shared" si="997"/>
        <v>0</v>
      </c>
      <c r="BA418" s="228">
        <f t="shared" si="997"/>
        <v>0</v>
      </c>
      <c r="BB418" s="228">
        <f t="shared" si="997"/>
        <v>0</v>
      </c>
      <c r="BC418" s="261">
        <f t="shared" si="945"/>
        <v>0</v>
      </c>
      <c r="BD418" s="239">
        <f t="shared" si="983"/>
        <v>4570916.0618099999</v>
      </c>
      <c r="BE418" s="13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44"/>
      <c r="CC418" s="244"/>
      <c r="CD418" s="244"/>
      <c r="CE418" s="244"/>
      <c r="CF418" s="244"/>
      <c r="CG418" s="244"/>
      <c r="CH418" s="244"/>
      <c r="CI418" s="244"/>
      <c r="CJ418" s="244"/>
      <c r="CK418" s="244"/>
      <c r="CL418" s="244"/>
      <c r="CM418" s="244"/>
      <c r="CN418" s="244"/>
      <c r="CO418" s="244"/>
      <c r="CP418" s="244"/>
      <c r="CQ418" s="244"/>
      <c r="CR418" s="244"/>
      <c r="CS418" s="244"/>
      <c r="CT418" s="244"/>
      <c r="CU418" s="244"/>
      <c r="CV418" s="244"/>
      <c r="CW418" s="244"/>
      <c r="CX418" s="244"/>
      <c r="CY418" s="244"/>
      <c r="CZ418" s="244"/>
      <c r="DA418" s="244"/>
      <c r="DB418" s="244"/>
      <c r="DC418" s="244"/>
      <c r="DD418" s="244"/>
      <c r="DE418" s="244"/>
      <c r="DF418" s="244"/>
      <c r="DG418" s="244"/>
      <c r="DH418" s="244"/>
      <c r="DI418" s="244"/>
      <c r="DJ418" s="244"/>
      <c r="DK418" s="244"/>
      <c r="DL418" s="244"/>
      <c r="DM418" s="244"/>
      <c r="DN418" s="244"/>
      <c r="DO418" s="244"/>
      <c r="DP418" s="244"/>
      <c r="DQ418" s="244"/>
      <c r="DR418" s="244"/>
      <c r="DS418" s="244"/>
      <c r="DT418" s="244"/>
      <c r="DU418" s="244"/>
      <c r="DV418" s="244"/>
      <c r="DW418" s="244"/>
      <c r="DX418" s="244"/>
      <c r="DY418" s="244"/>
      <c r="DZ418" s="244"/>
      <c r="EA418" s="244"/>
      <c r="EB418" s="244"/>
      <c r="EC418" s="244"/>
      <c r="ED418" s="244"/>
      <c r="EE418" s="244"/>
      <c r="EF418" s="244"/>
      <c r="EG418" s="244"/>
      <c r="EH418" s="244"/>
      <c r="EI418" s="244"/>
      <c r="EJ418" s="244"/>
      <c r="EK418" s="244"/>
      <c r="EL418" s="244"/>
      <c r="EM418" s="244"/>
      <c r="EN418" s="244"/>
      <c r="EO418" s="244"/>
      <c r="EP418" s="244"/>
      <c r="EQ418" s="244"/>
      <c r="ER418" s="244"/>
      <c r="ES418" s="244"/>
      <c r="ET418" s="244"/>
      <c r="EU418" s="244"/>
      <c r="EV418" s="244"/>
      <c r="EW418" s="244"/>
      <c r="EX418" s="244"/>
      <c r="EY418" s="244"/>
      <c r="EZ418" s="244"/>
      <c r="FA418" s="244"/>
      <c r="FB418" s="244"/>
      <c r="FC418" s="244"/>
      <c r="FD418" s="244"/>
      <c r="FE418" s="244"/>
      <c r="FF418" s="244"/>
      <c r="FG418" s="244"/>
      <c r="FH418" s="244"/>
      <c r="FI418" s="244"/>
      <c r="FJ418" s="244"/>
      <c r="FK418" s="244"/>
      <c r="FL418" s="244"/>
      <c r="FM418" s="244"/>
      <c r="FN418" s="244"/>
      <c r="FO418" s="244"/>
      <c r="FP418" s="244"/>
      <c r="FQ418" s="244"/>
      <c r="FR418" s="244"/>
      <c r="FS418" s="244"/>
      <c r="FT418" s="244"/>
      <c r="FU418" s="244"/>
      <c r="FV418" s="244"/>
      <c r="FW418" s="244"/>
      <c r="FX418" s="244"/>
      <c r="FY418" s="244"/>
      <c r="FZ418" s="244"/>
      <c r="GA418" s="244"/>
      <c r="GB418" s="244"/>
      <c r="GC418" s="244"/>
      <c r="GD418" s="244"/>
      <c r="GE418" s="244"/>
      <c r="GF418" s="244"/>
      <c r="GG418" s="244"/>
      <c r="GH418" s="244"/>
      <c r="GI418" s="244"/>
      <c r="GJ418" s="244"/>
      <c r="GK418" s="244"/>
      <c r="GL418" s="244"/>
      <c r="GM418" s="244"/>
      <c r="GN418" s="244"/>
      <c r="GO418" s="244"/>
      <c r="GP418" s="244"/>
      <c r="GQ418" s="244"/>
      <c r="GR418" s="244"/>
      <c r="GS418" s="244"/>
      <c r="GT418" s="244"/>
    </row>
    <row r="419" spans="1:202" s="83" customFormat="1" ht="12.75">
      <c r="A419" s="191"/>
      <c r="B419" s="84" t="s">
        <v>170</v>
      </c>
      <c r="C419" s="217"/>
      <c r="D419" s="149"/>
      <c r="E419" s="147">
        <v>9062.19</v>
      </c>
      <c r="F419" s="147">
        <v>1916</v>
      </c>
      <c r="G419" s="177">
        <f>E419-F419</f>
        <v>7146.1900000000005</v>
      </c>
      <c r="H419" s="147">
        <v>9062.19</v>
      </c>
      <c r="I419" s="147">
        <v>1916</v>
      </c>
      <c r="J419" s="177">
        <f t="shared" si="990"/>
        <v>7146.1900000000005</v>
      </c>
      <c r="K419" s="252">
        <v>116.696</v>
      </c>
      <c r="L419" s="252">
        <v>116.09099999999999</v>
      </c>
      <c r="M419" s="252"/>
      <c r="N419" s="287">
        <f t="shared" si="991"/>
        <v>232.78699999999998</v>
      </c>
      <c r="O419" s="273"/>
      <c r="P419" s="273"/>
      <c r="Q419" s="290"/>
      <c r="R419" s="287"/>
      <c r="S419" s="290"/>
      <c r="T419" s="264"/>
      <c r="U419" s="273"/>
      <c r="V419" s="273"/>
      <c r="W419" s="290"/>
      <c r="X419" s="264"/>
      <c r="Y419" s="142"/>
      <c r="Z419" s="273"/>
      <c r="AA419" s="273"/>
      <c r="AB419" s="273"/>
      <c r="AC419" s="273"/>
      <c r="AD419" s="273"/>
      <c r="AE419" s="273"/>
      <c r="AF419" s="287">
        <f t="shared" si="992"/>
        <v>0</v>
      </c>
      <c r="AG419" s="283">
        <f t="shared" si="984"/>
        <v>232.78699999999998</v>
      </c>
      <c r="AH419" s="228">
        <f t="shared" si="993"/>
        <v>833931.78824000002</v>
      </c>
      <c r="AI419" s="228">
        <f t="shared" si="993"/>
        <v>829608.34328999999</v>
      </c>
      <c r="AJ419" s="228">
        <f t="shared" si="993"/>
        <v>0</v>
      </c>
      <c r="AK419" s="261">
        <f t="shared" si="994"/>
        <v>1663540.1315299999</v>
      </c>
      <c r="AL419" s="228">
        <f t="shared" si="995"/>
        <v>0</v>
      </c>
      <c r="AM419" s="228">
        <f t="shared" si="995"/>
        <v>0</v>
      </c>
      <c r="AN419" s="228">
        <f t="shared" si="995"/>
        <v>0</v>
      </c>
      <c r="AO419" s="261"/>
      <c r="AP419" s="228">
        <f t="shared" si="996"/>
        <v>0</v>
      </c>
      <c r="AQ419" s="228">
        <f t="shared" si="996"/>
        <v>0</v>
      </c>
      <c r="AR419" s="228">
        <f t="shared" si="996"/>
        <v>0</v>
      </c>
      <c r="AS419" s="228">
        <f t="shared" si="996"/>
        <v>0</v>
      </c>
      <c r="AT419" s="228">
        <f t="shared" si="996"/>
        <v>0</v>
      </c>
      <c r="AU419" s="228">
        <f t="shared" si="996"/>
        <v>0</v>
      </c>
      <c r="AV419" s="261"/>
      <c r="AW419" s="228">
        <f t="shared" si="997"/>
        <v>0</v>
      </c>
      <c r="AX419" s="228">
        <f t="shared" si="997"/>
        <v>0</v>
      </c>
      <c r="AY419" s="228">
        <f t="shared" si="997"/>
        <v>0</v>
      </c>
      <c r="AZ419" s="228">
        <f t="shared" si="997"/>
        <v>0</v>
      </c>
      <c r="BA419" s="228">
        <f t="shared" si="997"/>
        <v>0</v>
      </c>
      <c r="BB419" s="228">
        <f t="shared" si="997"/>
        <v>0</v>
      </c>
      <c r="BC419" s="261">
        <f t="shared" si="945"/>
        <v>0</v>
      </c>
      <c r="BD419" s="239">
        <f t="shared" si="983"/>
        <v>1663540.1315299999</v>
      </c>
      <c r="BE419" s="13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44"/>
      <c r="CC419" s="244"/>
      <c r="CD419" s="244"/>
      <c r="CE419" s="244"/>
      <c r="CF419" s="244"/>
      <c r="CG419" s="244"/>
      <c r="CH419" s="244"/>
      <c r="CI419" s="244"/>
      <c r="CJ419" s="244"/>
      <c r="CK419" s="244"/>
      <c r="CL419" s="244"/>
      <c r="CM419" s="244"/>
      <c r="CN419" s="244"/>
      <c r="CO419" s="244"/>
      <c r="CP419" s="244"/>
      <c r="CQ419" s="244"/>
      <c r="CR419" s="244"/>
      <c r="CS419" s="244"/>
      <c r="CT419" s="244"/>
      <c r="CU419" s="244"/>
      <c r="CV419" s="244"/>
      <c r="CW419" s="244"/>
      <c r="CX419" s="244"/>
      <c r="CY419" s="244"/>
      <c r="CZ419" s="244"/>
      <c r="DA419" s="244"/>
      <c r="DB419" s="244"/>
      <c r="DC419" s="244"/>
      <c r="DD419" s="244"/>
      <c r="DE419" s="244"/>
      <c r="DF419" s="244"/>
      <c r="DG419" s="244"/>
      <c r="DH419" s="244"/>
      <c r="DI419" s="244"/>
      <c r="DJ419" s="244"/>
      <c r="DK419" s="244"/>
      <c r="DL419" s="244"/>
      <c r="DM419" s="244"/>
      <c r="DN419" s="244"/>
      <c r="DO419" s="244"/>
      <c r="DP419" s="244"/>
      <c r="DQ419" s="244"/>
      <c r="DR419" s="244"/>
      <c r="DS419" s="244"/>
      <c r="DT419" s="244"/>
      <c r="DU419" s="244"/>
      <c r="DV419" s="244"/>
      <c r="DW419" s="244"/>
      <c r="DX419" s="244"/>
      <c r="DY419" s="244"/>
      <c r="DZ419" s="244"/>
      <c r="EA419" s="244"/>
      <c r="EB419" s="244"/>
      <c r="EC419" s="244"/>
      <c r="ED419" s="244"/>
      <c r="EE419" s="244"/>
      <c r="EF419" s="244"/>
      <c r="EG419" s="244"/>
      <c r="EH419" s="244"/>
      <c r="EI419" s="244"/>
      <c r="EJ419" s="244"/>
      <c r="EK419" s="244"/>
      <c r="EL419" s="244"/>
      <c r="EM419" s="244"/>
      <c r="EN419" s="244"/>
      <c r="EO419" s="244"/>
      <c r="EP419" s="244"/>
      <c r="EQ419" s="244"/>
      <c r="ER419" s="244"/>
      <c r="ES419" s="244"/>
      <c r="ET419" s="244"/>
      <c r="EU419" s="244"/>
      <c r="EV419" s="244"/>
      <c r="EW419" s="244"/>
      <c r="EX419" s="244"/>
      <c r="EY419" s="244"/>
      <c r="EZ419" s="244"/>
      <c r="FA419" s="244"/>
      <c r="FB419" s="244"/>
      <c r="FC419" s="244"/>
      <c r="FD419" s="244"/>
      <c r="FE419" s="244"/>
      <c r="FF419" s="244"/>
      <c r="FG419" s="244"/>
      <c r="FH419" s="244"/>
      <c r="FI419" s="244"/>
      <c r="FJ419" s="244"/>
      <c r="FK419" s="244"/>
      <c r="FL419" s="244"/>
      <c r="FM419" s="244"/>
      <c r="FN419" s="244"/>
      <c r="FO419" s="244"/>
      <c r="FP419" s="244"/>
      <c r="FQ419" s="244"/>
      <c r="FR419" s="244"/>
      <c r="FS419" s="244"/>
      <c r="FT419" s="244"/>
      <c r="FU419" s="244"/>
      <c r="FV419" s="244"/>
      <c r="FW419" s="244"/>
      <c r="FX419" s="244"/>
      <c r="FY419" s="244"/>
      <c r="FZ419" s="244"/>
      <c r="GA419" s="244"/>
      <c r="GB419" s="244"/>
      <c r="GC419" s="244"/>
      <c r="GD419" s="244"/>
      <c r="GE419" s="244"/>
      <c r="GF419" s="244"/>
      <c r="GG419" s="244"/>
      <c r="GH419" s="244"/>
      <c r="GI419" s="244"/>
      <c r="GJ419" s="244"/>
      <c r="GK419" s="244"/>
      <c r="GL419" s="244"/>
      <c r="GM419" s="244"/>
      <c r="GN419" s="244"/>
      <c r="GO419" s="244"/>
      <c r="GP419" s="244"/>
      <c r="GQ419" s="244"/>
      <c r="GR419" s="244"/>
      <c r="GS419" s="244"/>
      <c r="GT419" s="244"/>
    </row>
    <row r="420" spans="1:202" s="83" customFormat="1" ht="12.75">
      <c r="A420" s="191"/>
      <c r="B420" s="84" t="s">
        <v>601</v>
      </c>
      <c r="C420" s="217"/>
      <c r="D420" s="149"/>
      <c r="E420" s="147">
        <v>7082.64</v>
      </c>
      <c r="F420" s="147">
        <v>1916</v>
      </c>
      <c r="G420" s="177">
        <f>E420-F420</f>
        <v>5166.6400000000003</v>
      </c>
      <c r="H420" s="147">
        <v>7082.64</v>
      </c>
      <c r="I420" s="147">
        <v>1916</v>
      </c>
      <c r="J420" s="177">
        <f t="shared" si="990"/>
        <v>5166.6400000000003</v>
      </c>
      <c r="K420" s="252">
        <v>769.60199999999998</v>
      </c>
      <c r="L420" s="252">
        <v>724.21100000000001</v>
      </c>
      <c r="M420" s="252"/>
      <c r="N420" s="287">
        <f t="shared" si="991"/>
        <v>1493.8130000000001</v>
      </c>
      <c r="O420" s="273"/>
      <c r="P420" s="273"/>
      <c r="Q420" s="290"/>
      <c r="R420" s="287"/>
      <c r="S420" s="290"/>
      <c r="T420" s="264"/>
      <c r="U420" s="273"/>
      <c r="V420" s="273"/>
      <c r="W420" s="290"/>
      <c r="X420" s="264"/>
      <c r="Y420" s="142"/>
      <c r="Z420" s="273"/>
      <c r="AA420" s="273"/>
      <c r="AB420" s="273"/>
      <c r="AC420" s="273"/>
      <c r="AD420" s="273"/>
      <c r="AE420" s="273"/>
      <c r="AF420" s="287">
        <f t="shared" si="992"/>
        <v>0</v>
      </c>
      <c r="AG420" s="283">
        <f t="shared" si="984"/>
        <v>1493.8130000000001</v>
      </c>
      <c r="AH420" s="228">
        <f t="shared" si="993"/>
        <v>3976256.4772800002</v>
      </c>
      <c r="AI420" s="228">
        <f t="shared" si="993"/>
        <v>3741737.5210400005</v>
      </c>
      <c r="AJ420" s="228">
        <f t="shared" si="993"/>
        <v>0</v>
      </c>
      <c r="AK420" s="261">
        <f t="shared" si="994"/>
        <v>7717993.9983200002</v>
      </c>
      <c r="AL420" s="228">
        <f t="shared" si="995"/>
        <v>0</v>
      </c>
      <c r="AM420" s="228">
        <f t="shared" si="995"/>
        <v>0</v>
      </c>
      <c r="AN420" s="228">
        <f t="shared" si="995"/>
        <v>0</v>
      </c>
      <c r="AO420" s="261"/>
      <c r="AP420" s="228">
        <f t="shared" si="996"/>
        <v>0</v>
      </c>
      <c r="AQ420" s="228">
        <f t="shared" si="996"/>
        <v>0</v>
      </c>
      <c r="AR420" s="228">
        <f t="shared" si="996"/>
        <v>0</v>
      </c>
      <c r="AS420" s="228">
        <f t="shared" si="996"/>
        <v>0</v>
      </c>
      <c r="AT420" s="228">
        <f t="shared" si="996"/>
        <v>0</v>
      </c>
      <c r="AU420" s="228">
        <f t="shared" si="996"/>
        <v>0</v>
      </c>
      <c r="AV420" s="261"/>
      <c r="AW420" s="228">
        <f t="shared" si="997"/>
        <v>0</v>
      </c>
      <c r="AX420" s="228">
        <f t="shared" si="997"/>
        <v>0</v>
      </c>
      <c r="AY420" s="228">
        <f t="shared" si="997"/>
        <v>0</v>
      </c>
      <c r="AZ420" s="228">
        <f t="shared" si="997"/>
        <v>0</v>
      </c>
      <c r="BA420" s="228">
        <f t="shared" si="997"/>
        <v>0</v>
      </c>
      <c r="BB420" s="228">
        <f t="shared" si="997"/>
        <v>0</v>
      </c>
      <c r="BC420" s="261">
        <f t="shared" si="945"/>
        <v>0</v>
      </c>
      <c r="BD420" s="239">
        <f t="shared" si="983"/>
        <v>7717993.9983200002</v>
      </c>
      <c r="BE420" s="13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44"/>
      <c r="CC420" s="244"/>
      <c r="CD420" s="244"/>
      <c r="CE420" s="244"/>
      <c r="CF420" s="244"/>
      <c r="CG420" s="244"/>
      <c r="CH420" s="244"/>
      <c r="CI420" s="244"/>
      <c r="CJ420" s="244"/>
      <c r="CK420" s="244"/>
      <c r="CL420" s="244"/>
      <c r="CM420" s="244"/>
      <c r="CN420" s="244"/>
      <c r="CO420" s="244"/>
      <c r="CP420" s="244"/>
      <c r="CQ420" s="244"/>
      <c r="CR420" s="244"/>
      <c r="CS420" s="244"/>
      <c r="CT420" s="244"/>
      <c r="CU420" s="244"/>
      <c r="CV420" s="244"/>
      <c r="CW420" s="244"/>
      <c r="CX420" s="244"/>
      <c r="CY420" s="244"/>
      <c r="CZ420" s="244"/>
      <c r="DA420" s="244"/>
      <c r="DB420" s="244"/>
      <c r="DC420" s="244"/>
      <c r="DD420" s="244"/>
      <c r="DE420" s="244"/>
      <c r="DF420" s="244"/>
      <c r="DG420" s="244"/>
      <c r="DH420" s="244"/>
      <c r="DI420" s="244"/>
      <c r="DJ420" s="244"/>
      <c r="DK420" s="244"/>
      <c r="DL420" s="244"/>
      <c r="DM420" s="244"/>
      <c r="DN420" s="244"/>
      <c r="DO420" s="244"/>
      <c r="DP420" s="244"/>
      <c r="DQ420" s="244"/>
      <c r="DR420" s="244"/>
      <c r="DS420" s="244"/>
      <c r="DT420" s="244"/>
      <c r="DU420" s="244"/>
      <c r="DV420" s="244"/>
      <c r="DW420" s="244"/>
      <c r="DX420" s="244"/>
      <c r="DY420" s="244"/>
      <c r="DZ420" s="244"/>
      <c r="EA420" s="244"/>
      <c r="EB420" s="244"/>
      <c r="EC420" s="244"/>
      <c r="ED420" s="244"/>
      <c r="EE420" s="244"/>
      <c r="EF420" s="244"/>
      <c r="EG420" s="244"/>
      <c r="EH420" s="244"/>
      <c r="EI420" s="244"/>
      <c r="EJ420" s="244"/>
      <c r="EK420" s="244"/>
      <c r="EL420" s="244"/>
      <c r="EM420" s="244"/>
      <c r="EN420" s="244"/>
      <c r="EO420" s="244"/>
      <c r="EP420" s="244"/>
      <c r="EQ420" s="244"/>
      <c r="ER420" s="244"/>
      <c r="ES420" s="244"/>
      <c r="ET420" s="244"/>
      <c r="EU420" s="244"/>
      <c r="EV420" s="244"/>
      <c r="EW420" s="244"/>
      <c r="EX420" s="244"/>
      <c r="EY420" s="244"/>
      <c r="EZ420" s="244"/>
      <c r="FA420" s="244"/>
      <c r="FB420" s="244"/>
      <c r="FC420" s="244"/>
      <c r="FD420" s="244"/>
      <c r="FE420" s="244"/>
      <c r="FF420" s="244"/>
      <c r="FG420" s="244"/>
      <c r="FH420" s="244"/>
      <c r="FI420" s="244"/>
      <c r="FJ420" s="244"/>
      <c r="FK420" s="244"/>
      <c r="FL420" s="244"/>
      <c r="FM420" s="244"/>
      <c r="FN420" s="244"/>
      <c r="FO420" s="244"/>
      <c r="FP420" s="244"/>
      <c r="FQ420" s="244"/>
      <c r="FR420" s="244"/>
      <c r="FS420" s="244"/>
      <c r="FT420" s="244"/>
      <c r="FU420" s="244"/>
      <c r="FV420" s="244"/>
      <c r="FW420" s="244"/>
      <c r="FX420" s="244"/>
      <c r="FY420" s="244"/>
      <c r="FZ420" s="244"/>
      <c r="GA420" s="244"/>
      <c r="GB420" s="244"/>
      <c r="GC420" s="244"/>
      <c r="GD420" s="244"/>
      <c r="GE420" s="244"/>
      <c r="GF420" s="244"/>
      <c r="GG420" s="244"/>
      <c r="GH420" s="244"/>
      <c r="GI420" s="244"/>
      <c r="GJ420" s="244"/>
      <c r="GK420" s="244"/>
      <c r="GL420" s="244"/>
      <c r="GM420" s="244"/>
      <c r="GN420" s="244"/>
      <c r="GO420" s="244"/>
      <c r="GP420" s="244"/>
      <c r="GQ420" s="244"/>
      <c r="GR420" s="244"/>
      <c r="GS420" s="244"/>
      <c r="GT420" s="244"/>
    </row>
    <row r="421" spans="1:202" s="79" customFormat="1" ht="13.5" customHeight="1">
      <c r="A421" s="193" t="s">
        <v>98</v>
      </c>
      <c r="B421" s="182" t="s">
        <v>99</v>
      </c>
      <c r="C421" s="225" t="s">
        <v>241</v>
      </c>
      <c r="D421" s="135" t="s">
        <v>100</v>
      </c>
      <c r="E421" s="215"/>
      <c r="F421" s="82"/>
      <c r="G421" s="177"/>
      <c r="H421" s="215"/>
      <c r="I421" s="82"/>
      <c r="J421" s="210"/>
      <c r="K421" s="254">
        <f>K422</f>
        <v>39.792000000000002</v>
      </c>
      <c r="L421" s="254">
        <f>L422</f>
        <v>39.792000000000002</v>
      </c>
      <c r="M421" s="254">
        <f>M422</f>
        <v>0</v>
      </c>
      <c r="N421" s="284">
        <f t="shared" si="991"/>
        <v>79.584000000000003</v>
      </c>
      <c r="O421" s="275">
        <f>O422</f>
        <v>0</v>
      </c>
      <c r="P421" s="275">
        <f>P422</f>
        <v>0</v>
      </c>
      <c r="Q421" s="275">
        <f>Q422</f>
        <v>0</v>
      </c>
      <c r="R421" s="284">
        <f>O421+P421+Q421</f>
        <v>0</v>
      </c>
      <c r="S421" s="293">
        <f t="shared" ref="S421:X421" si="998">S422</f>
        <v>0</v>
      </c>
      <c r="T421" s="293">
        <f t="shared" si="998"/>
        <v>0</v>
      </c>
      <c r="U421" s="293">
        <f t="shared" si="998"/>
        <v>0</v>
      </c>
      <c r="V421" s="293">
        <f t="shared" si="998"/>
        <v>0</v>
      </c>
      <c r="W421" s="293">
        <f t="shared" si="998"/>
        <v>0</v>
      </c>
      <c r="X421" s="293">
        <f t="shared" si="998"/>
        <v>0</v>
      </c>
      <c r="Y421" s="262">
        <f>SUM(S421:X421)</f>
        <v>0</v>
      </c>
      <c r="Z421" s="275">
        <f t="shared" ref="Z421:AE421" si="999">Z422</f>
        <v>0</v>
      </c>
      <c r="AA421" s="275">
        <f t="shared" si="999"/>
        <v>0</v>
      </c>
      <c r="AB421" s="275">
        <f t="shared" si="999"/>
        <v>0</v>
      </c>
      <c r="AC421" s="275">
        <f t="shared" si="999"/>
        <v>0</v>
      </c>
      <c r="AD421" s="275">
        <f t="shared" si="999"/>
        <v>0</v>
      </c>
      <c r="AE421" s="275">
        <f t="shared" si="999"/>
        <v>0</v>
      </c>
      <c r="AF421" s="284">
        <f t="shared" si="992"/>
        <v>0</v>
      </c>
      <c r="AG421" s="282">
        <f t="shared" si="984"/>
        <v>79.584000000000003</v>
      </c>
      <c r="AH421" s="232">
        <f>AH422</f>
        <v>221133.69407999999</v>
      </c>
      <c r="AI421" s="232">
        <f>AI422</f>
        <v>221133.69407999999</v>
      </c>
      <c r="AJ421" s="232">
        <f>AJ422</f>
        <v>0</v>
      </c>
      <c r="AK421" s="260">
        <f t="shared" si="994"/>
        <v>442267.38815999997</v>
      </c>
      <c r="AL421" s="232">
        <f>AL422</f>
        <v>0</v>
      </c>
      <c r="AM421" s="232">
        <f>AM422</f>
        <v>0</v>
      </c>
      <c r="AN421" s="232">
        <f>AN422</f>
        <v>0</v>
      </c>
      <c r="AO421" s="260">
        <f>SUM(AL421:AN421)</f>
        <v>0</v>
      </c>
      <c r="AP421" s="232">
        <f t="shared" ref="AP421:AU421" si="1000">AP422</f>
        <v>0</v>
      </c>
      <c r="AQ421" s="232">
        <f t="shared" si="1000"/>
        <v>0</v>
      </c>
      <c r="AR421" s="232">
        <f t="shared" si="1000"/>
        <v>0</v>
      </c>
      <c r="AS421" s="232">
        <f t="shared" si="1000"/>
        <v>0</v>
      </c>
      <c r="AT421" s="232">
        <f t="shared" si="1000"/>
        <v>0</v>
      </c>
      <c r="AU421" s="232">
        <f t="shared" si="1000"/>
        <v>0</v>
      </c>
      <c r="AV421" s="260">
        <f>SUM(AP421:AU421)</f>
        <v>0</v>
      </c>
      <c r="AW421" s="232">
        <f t="shared" ref="AW421:BB421" si="1001">AW422</f>
        <v>0</v>
      </c>
      <c r="AX421" s="232">
        <f t="shared" si="1001"/>
        <v>0</v>
      </c>
      <c r="AY421" s="232">
        <f t="shared" si="1001"/>
        <v>0</v>
      </c>
      <c r="AZ421" s="232">
        <f t="shared" si="1001"/>
        <v>0</v>
      </c>
      <c r="BA421" s="232">
        <f t="shared" si="1001"/>
        <v>0</v>
      </c>
      <c r="BB421" s="232">
        <f t="shared" si="1001"/>
        <v>0</v>
      </c>
      <c r="BC421" s="260">
        <f t="shared" si="945"/>
        <v>0</v>
      </c>
      <c r="BD421" s="238">
        <f t="shared" si="983"/>
        <v>442267.38815999997</v>
      </c>
      <c r="BE421" s="13"/>
      <c r="BF421" s="243"/>
      <c r="BG421" s="243"/>
      <c r="BH421" s="243"/>
      <c r="BI421" s="243"/>
      <c r="BJ421" s="243"/>
      <c r="BK421" s="243"/>
      <c r="BL421" s="243"/>
      <c r="BM421" s="243"/>
      <c r="BN421" s="243"/>
      <c r="BO421" s="243"/>
      <c r="BP421" s="243"/>
      <c r="BQ421" s="243"/>
      <c r="BR421" s="243"/>
      <c r="BS421" s="243"/>
      <c r="BT421" s="243"/>
      <c r="BU421" s="243"/>
      <c r="BV421" s="243"/>
      <c r="BW421" s="243"/>
      <c r="BX421" s="243"/>
      <c r="BY421" s="243"/>
      <c r="BZ421" s="243"/>
      <c r="CA421" s="243"/>
      <c r="CB421" s="243"/>
      <c r="CC421" s="243"/>
      <c r="CD421" s="243"/>
      <c r="CE421" s="243"/>
      <c r="CF421" s="243"/>
      <c r="CG421" s="243"/>
      <c r="CH421" s="243"/>
      <c r="CI421" s="243"/>
      <c r="CJ421" s="243"/>
      <c r="CK421" s="243"/>
      <c r="CL421" s="243"/>
      <c r="CM421" s="243"/>
      <c r="CN421" s="243"/>
      <c r="CO421" s="243"/>
      <c r="CP421" s="243"/>
      <c r="CQ421" s="243"/>
      <c r="CR421" s="243"/>
      <c r="CS421" s="243"/>
      <c r="CT421" s="243"/>
      <c r="CU421" s="243"/>
      <c r="CV421" s="243"/>
      <c r="CW421" s="243"/>
      <c r="CX421" s="243"/>
      <c r="CY421" s="243"/>
      <c r="CZ421" s="243"/>
      <c r="DA421" s="243"/>
      <c r="DB421" s="243"/>
      <c r="DC421" s="243"/>
      <c r="DD421" s="243"/>
      <c r="DE421" s="243"/>
      <c r="DF421" s="243"/>
      <c r="DG421" s="243"/>
      <c r="DH421" s="243"/>
      <c r="DI421" s="243"/>
      <c r="DJ421" s="243"/>
      <c r="DK421" s="243"/>
      <c r="DL421" s="243"/>
      <c r="DM421" s="243"/>
      <c r="DN421" s="243"/>
      <c r="DO421" s="243"/>
      <c r="DP421" s="243"/>
      <c r="DQ421" s="243"/>
      <c r="DR421" s="243"/>
      <c r="DS421" s="243"/>
      <c r="DT421" s="243"/>
      <c r="DU421" s="243"/>
      <c r="DV421" s="243"/>
      <c r="DW421" s="243"/>
      <c r="DX421" s="243"/>
      <c r="DY421" s="243"/>
      <c r="DZ421" s="243"/>
      <c r="EA421" s="243"/>
      <c r="EB421" s="243"/>
      <c r="EC421" s="243"/>
      <c r="ED421" s="243"/>
      <c r="EE421" s="243"/>
      <c r="EF421" s="243"/>
      <c r="EG421" s="243"/>
      <c r="EH421" s="243"/>
      <c r="EI421" s="243"/>
      <c r="EJ421" s="243"/>
      <c r="EK421" s="243"/>
      <c r="EL421" s="243"/>
      <c r="EM421" s="243"/>
      <c r="EN421" s="243"/>
      <c r="EO421" s="243"/>
      <c r="EP421" s="243"/>
      <c r="EQ421" s="243"/>
      <c r="ER421" s="243"/>
      <c r="ES421" s="243"/>
      <c r="ET421" s="243"/>
      <c r="EU421" s="243"/>
      <c r="EV421" s="243"/>
      <c r="EW421" s="243"/>
      <c r="EX421" s="243"/>
      <c r="EY421" s="243"/>
      <c r="EZ421" s="243"/>
      <c r="FA421" s="243"/>
      <c r="FB421" s="243"/>
      <c r="FC421" s="243"/>
      <c r="FD421" s="243"/>
      <c r="FE421" s="243"/>
      <c r="FF421" s="243"/>
      <c r="FG421" s="243"/>
      <c r="FH421" s="243"/>
      <c r="FI421" s="243"/>
      <c r="FJ421" s="243"/>
      <c r="FK421" s="243"/>
      <c r="FL421" s="243"/>
      <c r="FM421" s="243"/>
      <c r="FN421" s="243"/>
      <c r="FO421" s="243"/>
      <c r="FP421" s="243"/>
      <c r="FQ421" s="243"/>
      <c r="FR421" s="243"/>
      <c r="FS421" s="243"/>
      <c r="FT421" s="243"/>
      <c r="FU421" s="243"/>
      <c r="FV421" s="243"/>
      <c r="FW421" s="243"/>
      <c r="FX421" s="243"/>
      <c r="FY421" s="243"/>
      <c r="FZ421" s="243"/>
      <c r="GA421" s="243"/>
      <c r="GB421" s="243"/>
      <c r="GC421" s="243"/>
      <c r="GD421" s="243"/>
      <c r="GE421" s="243"/>
      <c r="GF421" s="243"/>
      <c r="GG421" s="243"/>
      <c r="GH421" s="243"/>
      <c r="GI421" s="243"/>
      <c r="GJ421" s="243"/>
      <c r="GK421" s="243"/>
      <c r="GL421" s="243"/>
      <c r="GM421" s="243"/>
      <c r="GN421" s="243"/>
      <c r="GO421" s="243"/>
      <c r="GP421" s="243"/>
      <c r="GQ421" s="243"/>
      <c r="GR421" s="243"/>
      <c r="GS421" s="243"/>
      <c r="GT421" s="243"/>
    </row>
    <row r="422" spans="1:202" s="83" customFormat="1" ht="12.75">
      <c r="A422" s="191"/>
      <c r="B422" s="84"/>
      <c r="C422" s="217"/>
      <c r="D422" s="149"/>
      <c r="E422" s="147">
        <v>6944.24</v>
      </c>
      <c r="F422" s="147">
        <v>1387</v>
      </c>
      <c r="G422" s="177">
        <f>E422-F422</f>
        <v>5557.24</v>
      </c>
      <c r="H422" s="147">
        <v>6944.24</v>
      </c>
      <c r="I422" s="147">
        <v>1387</v>
      </c>
      <c r="J422" s="177">
        <f>H422-I422</f>
        <v>5557.24</v>
      </c>
      <c r="K422" s="252">
        <v>39.792000000000002</v>
      </c>
      <c r="L422" s="252">
        <v>39.792000000000002</v>
      </c>
      <c r="M422" s="252"/>
      <c r="N422" s="287">
        <f t="shared" si="991"/>
        <v>79.584000000000003</v>
      </c>
      <c r="O422" s="273"/>
      <c r="P422" s="273"/>
      <c r="Q422" s="290"/>
      <c r="R422" s="287"/>
      <c r="S422" s="290"/>
      <c r="T422" s="264"/>
      <c r="U422" s="273"/>
      <c r="V422" s="273"/>
      <c r="W422" s="290"/>
      <c r="X422" s="264"/>
      <c r="Y422" s="142"/>
      <c r="Z422" s="273"/>
      <c r="AA422" s="273"/>
      <c r="AB422" s="273"/>
      <c r="AC422" s="273"/>
      <c r="AD422" s="273"/>
      <c r="AE422" s="273"/>
      <c r="AF422" s="287">
        <f t="shared" si="992"/>
        <v>0</v>
      </c>
      <c r="AG422" s="283">
        <f t="shared" si="984"/>
        <v>79.584000000000003</v>
      </c>
      <c r="AH422" s="228">
        <f t="shared" ref="AH422:AJ423" si="1002">K422*$G422</f>
        <v>221133.69407999999</v>
      </c>
      <c r="AI422" s="228">
        <f t="shared" si="1002"/>
        <v>221133.69407999999</v>
      </c>
      <c r="AJ422" s="228">
        <f t="shared" si="1002"/>
        <v>0</v>
      </c>
      <c r="AK422" s="261">
        <f t="shared" si="994"/>
        <v>442267.38815999997</v>
      </c>
      <c r="AL422" s="228">
        <f t="shared" ref="AL422:AN423" si="1003">O422*$G422</f>
        <v>0</v>
      </c>
      <c r="AM422" s="228">
        <f t="shared" si="1003"/>
        <v>0</v>
      </c>
      <c r="AN422" s="228">
        <f t="shared" si="1003"/>
        <v>0</v>
      </c>
      <c r="AO422" s="261"/>
      <c r="AP422" s="228">
        <f t="shared" ref="AP422:AU422" si="1004">S422*$J422</f>
        <v>0</v>
      </c>
      <c r="AQ422" s="228">
        <f t="shared" si="1004"/>
        <v>0</v>
      </c>
      <c r="AR422" s="228">
        <f t="shared" si="1004"/>
        <v>0</v>
      </c>
      <c r="AS422" s="228">
        <f t="shared" si="1004"/>
        <v>0</v>
      </c>
      <c r="AT422" s="228">
        <f t="shared" si="1004"/>
        <v>0</v>
      </c>
      <c r="AU422" s="228">
        <f t="shared" si="1004"/>
        <v>0</v>
      </c>
      <c r="AV422" s="261">
        <f>SUM(AP422:AU422)</f>
        <v>0</v>
      </c>
      <c r="AW422" s="228">
        <f t="shared" ref="AW422:BB422" si="1005">Z422*$J422</f>
        <v>0</v>
      </c>
      <c r="AX422" s="228">
        <f t="shared" si="1005"/>
        <v>0</v>
      </c>
      <c r="AY422" s="228">
        <f t="shared" si="1005"/>
        <v>0</v>
      </c>
      <c r="AZ422" s="228">
        <f t="shared" si="1005"/>
        <v>0</v>
      </c>
      <c r="BA422" s="228">
        <f t="shared" si="1005"/>
        <v>0</v>
      </c>
      <c r="BB422" s="228">
        <f t="shared" si="1005"/>
        <v>0</v>
      </c>
      <c r="BC422" s="261">
        <f t="shared" si="945"/>
        <v>0</v>
      </c>
      <c r="BD422" s="239">
        <f t="shared" si="983"/>
        <v>442267.38815999997</v>
      </c>
      <c r="BE422" s="13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44"/>
      <c r="CC422" s="244"/>
      <c r="CD422" s="244"/>
      <c r="CE422" s="244"/>
      <c r="CF422" s="244"/>
      <c r="CG422" s="244"/>
      <c r="CH422" s="244"/>
      <c r="CI422" s="244"/>
      <c r="CJ422" s="244"/>
      <c r="CK422" s="244"/>
      <c r="CL422" s="244"/>
      <c r="CM422" s="244"/>
      <c r="CN422" s="244"/>
      <c r="CO422" s="244"/>
      <c r="CP422" s="244"/>
      <c r="CQ422" s="244"/>
      <c r="CR422" s="244"/>
      <c r="CS422" s="244"/>
      <c r="CT422" s="244"/>
      <c r="CU422" s="244"/>
      <c r="CV422" s="244"/>
      <c r="CW422" s="244"/>
      <c r="CX422" s="244"/>
      <c r="CY422" s="244"/>
      <c r="CZ422" s="244"/>
      <c r="DA422" s="244"/>
      <c r="DB422" s="244"/>
      <c r="DC422" s="244"/>
      <c r="DD422" s="244"/>
      <c r="DE422" s="244"/>
      <c r="DF422" s="244"/>
      <c r="DG422" s="244"/>
      <c r="DH422" s="244"/>
      <c r="DI422" s="244"/>
      <c r="DJ422" s="244"/>
      <c r="DK422" s="244"/>
      <c r="DL422" s="244"/>
      <c r="DM422" s="244"/>
      <c r="DN422" s="244"/>
      <c r="DO422" s="244"/>
      <c r="DP422" s="244"/>
      <c r="DQ422" s="244"/>
      <c r="DR422" s="244"/>
      <c r="DS422" s="244"/>
      <c r="DT422" s="244"/>
      <c r="DU422" s="244"/>
      <c r="DV422" s="244"/>
      <c r="DW422" s="244"/>
      <c r="DX422" s="244"/>
      <c r="DY422" s="244"/>
      <c r="DZ422" s="244"/>
      <c r="EA422" s="244"/>
      <c r="EB422" s="244"/>
      <c r="EC422" s="244"/>
      <c r="ED422" s="244"/>
      <c r="EE422" s="244"/>
      <c r="EF422" s="244"/>
      <c r="EG422" s="244"/>
      <c r="EH422" s="244"/>
      <c r="EI422" s="244"/>
      <c r="EJ422" s="244"/>
      <c r="EK422" s="244"/>
      <c r="EL422" s="244"/>
      <c r="EM422" s="244"/>
      <c r="EN422" s="244"/>
      <c r="EO422" s="244"/>
      <c r="EP422" s="244"/>
      <c r="EQ422" s="244"/>
      <c r="ER422" s="244"/>
      <c r="ES422" s="244"/>
      <c r="ET422" s="244"/>
      <c r="EU422" s="244"/>
      <c r="EV422" s="244"/>
      <c r="EW422" s="244"/>
      <c r="EX422" s="244"/>
      <c r="EY422" s="244"/>
      <c r="EZ422" s="244"/>
      <c r="FA422" s="244"/>
      <c r="FB422" s="244"/>
      <c r="FC422" s="244"/>
      <c r="FD422" s="244"/>
      <c r="FE422" s="244"/>
      <c r="FF422" s="244"/>
      <c r="FG422" s="244"/>
      <c r="FH422" s="244"/>
      <c r="FI422" s="244"/>
      <c r="FJ422" s="244"/>
      <c r="FK422" s="244"/>
      <c r="FL422" s="244"/>
      <c r="FM422" s="244"/>
      <c r="FN422" s="244"/>
      <c r="FO422" s="244"/>
      <c r="FP422" s="244"/>
      <c r="FQ422" s="244"/>
      <c r="FR422" s="244"/>
      <c r="FS422" s="244"/>
      <c r="FT422" s="244"/>
      <c r="FU422" s="244"/>
      <c r="FV422" s="244"/>
      <c r="FW422" s="244"/>
      <c r="FX422" s="244"/>
      <c r="FY422" s="244"/>
      <c r="FZ422" s="244"/>
      <c r="GA422" s="244"/>
      <c r="GB422" s="244"/>
      <c r="GC422" s="244"/>
      <c r="GD422" s="244"/>
      <c r="GE422" s="244"/>
      <c r="GF422" s="244"/>
      <c r="GG422" s="244"/>
      <c r="GH422" s="244"/>
      <c r="GI422" s="244"/>
      <c r="GJ422" s="244"/>
      <c r="GK422" s="244"/>
      <c r="GL422" s="244"/>
      <c r="GM422" s="244"/>
      <c r="GN422" s="244"/>
      <c r="GO422" s="244"/>
      <c r="GP422" s="244"/>
      <c r="GQ422" s="244"/>
      <c r="GR422" s="244"/>
      <c r="GS422" s="244"/>
      <c r="GT422" s="244"/>
    </row>
    <row r="423" spans="1:202" s="79" customFormat="1" ht="12.75" customHeight="1">
      <c r="A423" s="187" t="s">
        <v>39</v>
      </c>
      <c r="B423" s="170" t="s">
        <v>40</v>
      </c>
      <c r="C423" s="216" t="s">
        <v>257</v>
      </c>
      <c r="D423" s="138">
        <v>2921000738</v>
      </c>
      <c r="E423" s="178"/>
      <c r="F423" s="147"/>
      <c r="G423" s="177">
        <f>E423-F423</f>
        <v>0</v>
      </c>
      <c r="H423" s="178"/>
      <c r="I423" s="147"/>
      <c r="J423" s="210">
        <f t="shared" si="990"/>
        <v>0</v>
      </c>
      <c r="K423" s="251"/>
      <c r="L423" s="251"/>
      <c r="M423" s="171"/>
      <c r="N423" s="284">
        <f t="shared" si="991"/>
        <v>0</v>
      </c>
      <c r="O423" s="272"/>
      <c r="P423" s="272"/>
      <c r="Q423" s="289"/>
      <c r="R423" s="284">
        <f>O423+P423+Q423</f>
        <v>0</v>
      </c>
      <c r="S423" s="272"/>
      <c r="T423" s="263"/>
      <c r="U423" s="272"/>
      <c r="V423" s="272"/>
      <c r="W423" s="289"/>
      <c r="X423" s="263"/>
      <c r="Y423" s="262">
        <f>SUM(S423:X423)</f>
        <v>0</v>
      </c>
      <c r="Z423" s="272"/>
      <c r="AA423" s="272"/>
      <c r="AB423" s="272"/>
      <c r="AC423" s="272"/>
      <c r="AD423" s="272"/>
      <c r="AE423" s="272"/>
      <c r="AF423" s="284">
        <f t="shared" si="992"/>
        <v>0</v>
      </c>
      <c r="AG423" s="282">
        <f t="shared" si="984"/>
        <v>0</v>
      </c>
      <c r="AH423" s="227">
        <f t="shared" si="1002"/>
        <v>0</v>
      </c>
      <c r="AI423" s="227">
        <f t="shared" si="1002"/>
        <v>0</v>
      </c>
      <c r="AJ423" s="227">
        <f t="shared" si="1002"/>
        <v>0</v>
      </c>
      <c r="AK423" s="260">
        <f t="shared" si="994"/>
        <v>0</v>
      </c>
      <c r="AL423" s="227">
        <f t="shared" si="1003"/>
        <v>0</v>
      </c>
      <c r="AM423" s="227">
        <f t="shared" si="1003"/>
        <v>0</v>
      </c>
      <c r="AN423" s="227">
        <f t="shared" si="1003"/>
        <v>0</v>
      </c>
      <c r="AO423" s="260">
        <f>SUM(AL423:AN423)</f>
        <v>0</v>
      </c>
      <c r="AP423" s="227">
        <f t="shared" ref="AP423:AU423" si="1006">S423*$G423</f>
        <v>0</v>
      </c>
      <c r="AQ423" s="227">
        <f t="shared" si="1006"/>
        <v>0</v>
      </c>
      <c r="AR423" s="227">
        <f t="shared" si="1006"/>
        <v>0</v>
      </c>
      <c r="AS423" s="227">
        <f t="shared" si="1006"/>
        <v>0</v>
      </c>
      <c r="AT423" s="227">
        <f t="shared" si="1006"/>
        <v>0</v>
      </c>
      <c r="AU423" s="227">
        <f t="shared" si="1006"/>
        <v>0</v>
      </c>
      <c r="AV423" s="260">
        <f>SUM(AP423:AU423)</f>
        <v>0</v>
      </c>
      <c r="AW423" s="227">
        <f t="shared" ref="AW423:BB423" si="1007">Z423*$G423</f>
        <v>0</v>
      </c>
      <c r="AX423" s="227">
        <f t="shared" si="1007"/>
        <v>0</v>
      </c>
      <c r="AY423" s="227">
        <f t="shared" si="1007"/>
        <v>0</v>
      </c>
      <c r="AZ423" s="227">
        <f t="shared" si="1007"/>
        <v>0</v>
      </c>
      <c r="BA423" s="227">
        <f t="shared" si="1007"/>
        <v>0</v>
      </c>
      <c r="BB423" s="227">
        <f t="shared" si="1007"/>
        <v>0</v>
      </c>
      <c r="BC423" s="260">
        <f t="shared" si="945"/>
        <v>0</v>
      </c>
      <c r="BD423" s="238">
        <f t="shared" si="983"/>
        <v>0</v>
      </c>
      <c r="BE423" s="13"/>
      <c r="BF423" s="243"/>
      <c r="BG423" s="243"/>
      <c r="BH423" s="243"/>
      <c r="BI423" s="243"/>
      <c r="BJ423" s="243"/>
      <c r="BK423" s="243"/>
      <c r="BL423" s="243"/>
      <c r="BM423" s="243"/>
      <c r="BN423" s="243"/>
      <c r="BO423" s="243"/>
      <c r="BP423" s="243"/>
      <c r="BQ423" s="243"/>
      <c r="BR423" s="243"/>
      <c r="BS423" s="243"/>
      <c r="BT423" s="243"/>
      <c r="BU423" s="243"/>
      <c r="BV423" s="243"/>
      <c r="BW423" s="243"/>
      <c r="BX423" s="243"/>
      <c r="BY423" s="243"/>
      <c r="BZ423" s="243"/>
      <c r="CA423" s="243"/>
      <c r="CB423" s="243"/>
      <c r="CC423" s="243"/>
      <c r="CD423" s="243"/>
      <c r="CE423" s="243"/>
      <c r="CF423" s="243"/>
      <c r="CG423" s="243"/>
      <c r="CH423" s="243"/>
      <c r="CI423" s="243"/>
      <c r="CJ423" s="243"/>
      <c r="CK423" s="243"/>
      <c r="CL423" s="243"/>
      <c r="CM423" s="243"/>
      <c r="CN423" s="243"/>
      <c r="CO423" s="243"/>
      <c r="CP423" s="243"/>
      <c r="CQ423" s="243"/>
      <c r="CR423" s="243"/>
      <c r="CS423" s="243"/>
      <c r="CT423" s="243"/>
      <c r="CU423" s="243"/>
      <c r="CV423" s="243"/>
      <c r="CW423" s="243"/>
      <c r="CX423" s="243"/>
      <c r="CY423" s="243"/>
      <c r="CZ423" s="243"/>
      <c r="DA423" s="243"/>
      <c r="DB423" s="243"/>
      <c r="DC423" s="243"/>
      <c r="DD423" s="243"/>
      <c r="DE423" s="243"/>
      <c r="DF423" s="243"/>
      <c r="DG423" s="243"/>
      <c r="DH423" s="243"/>
      <c r="DI423" s="243"/>
      <c r="DJ423" s="243"/>
      <c r="DK423" s="243"/>
      <c r="DL423" s="243"/>
      <c r="DM423" s="243"/>
      <c r="DN423" s="243"/>
      <c r="DO423" s="243"/>
      <c r="DP423" s="243"/>
      <c r="DQ423" s="243"/>
      <c r="DR423" s="243"/>
      <c r="DS423" s="243"/>
      <c r="DT423" s="243"/>
      <c r="DU423" s="243"/>
      <c r="DV423" s="243"/>
      <c r="DW423" s="243"/>
      <c r="DX423" s="243"/>
      <c r="DY423" s="243"/>
      <c r="DZ423" s="243"/>
      <c r="EA423" s="243"/>
      <c r="EB423" s="243"/>
      <c r="EC423" s="243"/>
      <c r="ED423" s="243"/>
      <c r="EE423" s="243"/>
      <c r="EF423" s="243"/>
      <c r="EG423" s="243"/>
      <c r="EH423" s="243"/>
      <c r="EI423" s="243"/>
      <c r="EJ423" s="243"/>
      <c r="EK423" s="243"/>
      <c r="EL423" s="243"/>
      <c r="EM423" s="243"/>
      <c r="EN423" s="243"/>
      <c r="EO423" s="243"/>
      <c r="EP423" s="243"/>
      <c r="EQ423" s="243"/>
      <c r="ER423" s="243"/>
      <c r="ES423" s="243"/>
      <c r="ET423" s="243"/>
      <c r="EU423" s="243"/>
      <c r="EV423" s="243"/>
      <c r="EW423" s="243"/>
      <c r="EX423" s="243"/>
      <c r="EY423" s="243"/>
      <c r="EZ423" s="243"/>
      <c r="FA423" s="243"/>
      <c r="FB423" s="243"/>
      <c r="FC423" s="243"/>
      <c r="FD423" s="243"/>
      <c r="FE423" s="243"/>
      <c r="FF423" s="243"/>
      <c r="FG423" s="243"/>
      <c r="FH423" s="243"/>
      <c r="FI423" s="243"/>
      <c r="FJ423" s="243"/>
      <c r="FK423" s="243"/>
      <c r="FL423" s="243"/>
      <c r="FM423" s="243"/>
      <c r="FN423" s="243"/>
      <c r="FO423" s="243"/>
      <c r="FP423" s="243"/>
      <c r="FQ423" s="243"/>
      <c r="FR423" s="243"/>
      <c r="FS423" s="243"/>
      <c r="FT423" s="243"/>
      <c r="FU423" s="243"/>
      <c r="FV423" s="243"/>
      <c r="FW423" s="243"/>
      <c r="FX423" s="243"/>
      <c r="FY423" s="243"/>
      <c r="FZ423" s="243"/>
      <c r="GA423" s="243"/>
      <c r="GB423" s="243"/>
      <c r="GC423" s="243"/>
      <c r="GD423" s="243"/>
      <c r="GE423" s="243"/>
      <c r="GF423" s="243"/>
      <c r="GG423" s="243"/>
      <c r="GH423" s="243"/>
      <c r="GI423" s="243"/>
      <c r="GJ423" s="243"/>
      <c r="GK423" s="243"/>
      <c r="GL423" s="243"/>
      <c r="GM423" s="243"/>
      <c r="GN423" s="243"/>
      <c r="GO423" s="243"/>
      <c r="GP423" s="243"/>
      <c r="GQ423" s="243"/>
      <c r="GR423" s="243"/>
      <c r="GS423" s="243"/>
      <c r="GT423" s="243"/>
    </row>
    <row r="424" spans="1:202" s="60" customFormat="1">
      <c r="A424" s="55"/>
      <c r="B424" s="56" t="s">
        <v>150</v>
      </c>
      <c r="C424" s="66"/>
      <c r="D424" s="57"/>
      <c r="E424" s="59"/>
      <c r="F424" s="58"/>
      <c r="G424" s="59"/>
      <c r="H424" s="59"/>
      <c r="I424" s="58"/>
      <c r="J424" s="59"/>
      <c r="K424" s="156">
        <f t="shared" ref="K424:BD424" si="1008">SUM(K6:K423)/2</f>
        <v>850977.9920000002</v>
      </c>
      <c r="L424" s="156">
        <f t="shared" si="1008"/>
        <v>762260.31600000011</v>
      </c>
      <c r="M424" s="156">
        <f t="shared" si="1008"/>
        <v>0</v>
      </c>
      <c r="N424" s="156">
        <f t="shared" si="1008"/>
        <v>1613238.3080000011</v>
      </c>
      <c r="O424" s="156">
        <f t="shared" si="1008"/>
        <v>0</v>
      </c>
      <c r="P424" s="156">
        <f t="shared" si="1008"/>
        <v>0</v>
      </c>
      <c r="Q424" s="156">
        <f t="shared" si="1008"/>
        <v>0</v>
      </c>
      <c r="R424" s="156">
        <f t="shared" si="1008"/>
        <v>0</v>
      </c>
      <c r="S424" s="156">
        <f t="shared" si="1008"/>
        <v>0</v>
      </c>
      <c r="T424" s="156">
        <f t="shared" si="1008"/>
        <v>0</v>
      </c>
      <c r="U424" s="156">
        <f t="shared" si="1008"/>
        <v>0</v>
      </c>
      <c r="V424" s="156">
        <f t="shared" si="1008"/>
        <v>0</v>
      </c>
      <c r="W424" s="156">
        <f t="shared" si="1008"/>
        <v>0</v>
      </c>
      <c r="X424" s="156">
        <f t="shared" si="1008"/>
        <v>0</v>
      </c>
      <c r="Y424" s="156">
        <f t="shared" si="1008"/>
        <v>0</v>
      </c>
      <c r="Z424" s="156">
        <f t="shared" si="1008"/>
        <v>0</v>
      </c>
      <c r="AA424" s="156">
        <f t="shared" si="1008"/>
        <v>0</v>
      </c>
      <c r="AB424" s="156">
        <f t="shared" si="1008"/>
        <v>0</v>
      </c>
      <c r="AC424" s="156">
        <f t="shared" si="1008"/>
        <v>0</v>
      </c>
      <c r="AD424" s="156">
        <f t="shared" si="1008"/>
        <v>0</v>
      </c>
      <c r="AE424" s="156">
        <f t="shared" si="1008"/>
        <v>0</v>
      </c>
      <c r="AF424" s="156">
        <f t="shared" si="1008"/>
        <v>0</v>
      </c>
      <c r="AG424" s="156">
        <f t="shared" si="1008"/>
        <v>1613238.3080000011</v>
      </c>
      <c r="AH424" s="156">
        <f t="shared" si="1008"/>
        <v>652914291.95378995</v>
      </c>
      <c r="AI424" s="156">
        <f t="shared" si="1008"/>
        <v>585749668.27054</v>
      </c>
      <c r="AJ424" s="156">
        <f t="shared" si="1008"/>
        <v>0</v>
      </c>
      <c r="AK424" s="156">
        <f t="shared" si="1008"/>
        <v>1238663960.2243302</v>
      </c>
      <c r="AL424" s="156">
        <f t="shared" si="1008"/>
        <v>0</v>
      </c>
      <c r="AM424" s="156">
        <f t="shared" si="1008"/>
        <v>0</v>
      </c>
      <c r="AN424" s="156">
        <f t="shared" si="1008"/>
        <v>0</v>
      </c>
      <c r="AO424" s="156">
        <f t="shared" si="1008"/>
        <v>0</v>
      </c>
      <c r="AP424" s="156">
        <f t="shared" si="1008"/>
        <v>0</v>
      </c>
      <c r="AQ424" s="156">
        <f t="shared" si="1008"/>
        <v>0</v>
      </c>
      <c r="AR424" s="156">
        <f t="shared" si="1008"/>
        <v>0</v>
      </c>
      <c r="AS424" s="156">
        <f t="shared" si="1008"/>
        <v>0</v>
      </c>
      <c r="AT424" s="156">
        <f t="shared" si="1008"/>
        <v>0</v>
      </c>
      <c r="AU424" s="156">
        <f t="shared" si="1008"/>
        <v>0</v>
      </c>
      <c r="AV424" s="156">
        <f t="shared" si="1008"/>
        <v>0</v>
      </c>
      <c r="AW424" s="156" t="e">
        <f t="shared" si="1008"/>
        <v>#REF!</v>
      </c>
      <c r="AX424" s="156" t="e">
        <f t="shared" si="1008"/>
        <v>#REF!</v>
      </c>
      <c r="AY424" s="156" t="e">
        <f t="shared" si="1008"/>
        <v>#REF!</v>
      </c>
      <c r="AZ424" s="156" t="e">
        <f t="shared" si="1008"/>
        <v>#REF!</v>
      </c>
      <c r="BA424" s="156" t="e">
        <f t="shared" si="1008"/>
        <v>#REF!</v>
      </c>
      <c r="BB424" s="156" t="e">
        <f t="shared" si="1008"/>
        <v>#REF!</v>
      </c>
      <c r="BC424" s="156">
        <f t="shared" si="1008"/>
        <v>0</v>
      </c>
      <c r="BD424" s="156">
        <f t="shared" si="1008"/>
        <v>1238663960.2243302</v>
      </c>
      <c r="BE424" s="242"/>
      <c r="BF424" s="242"/>
      <c r="BG424" s="242"/>
      <c r="BH424" s="242"/>
      <c r="BI424" s="242"/>
      <c r="BJ424" s="242"/>
      <c r="BK424" s="242"/>
      <c r="BL424" s="242"/>
      <c r="BM424" s="242"/>
      <c r="BN424" s="242"/>
      <c r="BO424" s="242"/>
      <c r="BP424" s="242"/>
      <c r="BQ424" s="242"/>
      <c r="BR424" s="242"/>
      <c r="BS424" s="242"/>
      <c r="BT424" s="242"/>
      <c r="BU424" s="242"/>
      <c r="BV424" s="242"/>
      <c r="BW424" s="242"/>
      <c r="BX424" s="242"/>
      <c r="BY424" s="242"/>
      <c r="BZ424" s="242"/>
      <c r="CA424" s="242"/>
      <c r="CB424" s="242"/>
      <c r="CC424" s="242"/>
      <c r="CD424" s="242"/>
      <c r="CE424" s="242"/>
      <c r="CF424" s="242"/>
      <c r="CG424" s="242"/>
      <c r="CH424" s="242"/>
      <c r="CI424" s="242"/>
      <c r="CJ424" s="242"/>
      <c r="CK424" s="242"/>
      <c r="CL424" s="242"/>
      <c r="CM424" s="242"/>
      <c r="CN424" s="242"/>
      <c r="CO424" s="242"/>
      <c r="CP424" s="242"/>
      <c r="CQ424" s="242"/>
      <c r="CR424" s="242"/>
      <c r="CS424" s="242"/>
      <c r="CT424" s="242"/>
      <c r="CU424" s="242"/>
      <c r="CV424" s="242"/>
      <c r="CW424" s="242"/>
      <c r="CX424" s="242"/>
      <c r="CY424" s="242"/>
      <c r="CZ424" s="242"/>
      <c r="DA424" s="242"/>
      <c r="DB424" s="242"/>
      <c r="DC424" s="242"/>
      <c r="DD424" s="242"/>
      <c r="DE424" s="242"/>
      <c r="DF424" s="242"/>
      <c r="DG424" s="242"/>
      <c r="DH424" s="242"/>
      <c r="DI424" s="242"/>
      <c r="DJ424" s="242"/>
      <c r="DK424" s="242"/>
      <c r="DL424" s="242"/>
      <c r="DM424" s="242"/>
      <c r="DN424" s="242"/>
      <c r="DO424" s="242"/>
      <c r="DP424" s="242"/>
      <c r="DQ424" s="242"/>
      <c r="DR424" s="242"/>
      <c r="DS424" s="242"/>
      <c r="DT424" s="242"/>
      <c r="DU424" s="242"/>
      <c r="DV424" s="242"/>
      <c r="DW424" s="242"/>
      <c r="DX424" s="242"/>
      <c r="DY424" s="242"/>
      <c r="DZ424" s="242"/>
      <c r="EA424" s="242"/>
      <c r="EB424" s="242"/>
      <c r="EC424" s="242"/>
      <c r="ED424" s="242"/>
      <c r="EE424" s="242"/>
      <c r="EF424" s="242"/>
      <c r="EG424" s="242"/>
      <c r="EH424" s="242"/>
      <c r="EI424" s="242"/>
      <c r="EJ424" s="242"/>
      <c r="EK424" s="242"/>
      <c r="EL424" s="242"/>
      <c r="EM424" s="242"/>
      <c r="EN424" s="242"/>
      <c r="EO424" s="242"/>
      <c r="EP424" s="242"/>
      <c r="EQ424" s="242"/>
      <c r="ER424" s="242"/>
      <c r="ES424" s="242"/>
      <c r="ET424" s="242"/>
      <c r="EU424" s="242"/>
      <c r="EV424" s="242"/>
      <c r="EW424" s="242"/>
      <c r="EX424" s="242"/>
      <c r="EY424" s="242"/>
      <c r="EZ424" s="242"/>
      <c r="FA424" s="242"/>
      <c r="FB424" s="242"/>
      <c r="FC424" s="242"/>
      <c r="FD424" s="242"/>
      <c r="FE424" s="242"/>
      <c r="FF424" s="242"/>
      <c r="FG424" s="242"/>
      <c r="FH424" s="242"/>
      <c r="FI424" s="242"/>
      <c r="FJ424" s="242"/>
      <c r="FK424" s="242"/>
      <c r="FL424" s="242"/>
      <c r="FM424" s="242"/>
      <c r="FN424" s="242"/>
      <c r="FO424" s="242"/>
      <c r="FP424" s="242"/>
      <c r="FQ424" s="242"/>
      <c r="FR424" s="242"/>
      <c r="FS424" s="242"/>
      <c r="FT424" s="242"/>
      <c r="FU424" s="242"/>
      <c r="FV424" s="242"/>
      <c r="FW424" s="242"/>
      <c r="FX424" s="242"/>
      <c r="FY424" s="242"/>
      <c r="FZ424" s="242"/>
      <c r="GA424" s="242"/>
      <c r="GB424" s="242"/>
      <c r="GC424" s="242"/>
      <c r="GD424" s="242"/>
      <c r="GE424" s="242"/>
      <c r="GF424" s="242"/>
      <c r="GG424" s="242"/>
      <c r="GH424" s="242"/>
      <c r="GI424" s="242"/>
      <c r="GJ424" s="242"/>
      <c r="GK424" s="242"/>
      <c r="GL424" s="242"/>
      <c r="GM424" s="242"/>
      <c r="GN424" s="242"/>
      <c r="GO424" s="242"/>
      <c r="GP424" s="242"/>
      <c r="GQ424" s="242"/>
      <c r="GR424" s="242"/>
      <c r="GS424" s="242"/>
      <c r="GT424" s="242"/>
    </row>
    <row r="425" spans="1:202" s="13" customFormat="1">
      <c r="B425" s="14"/>
      <c r="C425" s="67"/>
      <c r="D425" s="15"/>
      <c r="E425" s="16"/>
      <c r="F425" s="16"/>
      <c r="G425" s="16"/>
      <c r="H425" s="16"/>
      <c r="I425" s="16"/>
      <c r="J425" s="16"/>
      <c r="N425" s="17"/>
      <c r="R425" s="245"/>
      <c r="AF425" s="17"/>
      <c r="AG425" s="17"/>
      <c r="AH425" s="70"/>
      <c r="AI425" s="70"/>
      <c r="AJ425" s="70"/>
      <c r="AK425" s="167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168"/>
      <c r="AX425" s="168"/>
      <c r="AY425" s="168"/>
      <c r="AZ425" s="168"/>
      <c r="BA425" s="168"/>
      <c r="BB425" s="168"/>
      <c r="BC425" s="167"/>
      <c r="BD425" s="167"/>
    </row>
    <row r="426" spans="1:202">
      <c r="K426" s="72"/>
      <c r="L426" s="72"/>
      <c r="M426" s="72"/>
      <c r="N426" s="76"/>
      <c r="O426" s="328"/>
      <c r="P426" s="72"/>
      <c r="AD426" s="336"/>
      <c r="AE426" s="336"/>
      <c r="AF426" s="336"/>
      <c r="AG426" s="340"/>
      <c r="AY426" s="169"/>
      <c r="AZ426" s="169"/>
      <c r="BA426" s="169"/>
      <c r="BB426" s="169"/>
    </row>
    <row r="427" spans="1:202">
      <c r="K427" s="72"/>
      <c r="L427" s="72"/>
      <c r="M427" s="72"/>
      <c r="N427" s="76"/>
      <c r="O427" s="72"/>
      <c r="P427" s="72"/>
      <c r="V427" s="336"/>
      <c r="AF427" s="350"/>
      <c r="AY427" s="169"/>
      <c r="AZ427" s="169"/>
      <c r="BA427" s="169"/>
      <c r="BB427" s="169"/>
    </row>
    <row r="428" spans="1:202">
      <c r="K428" s="72"/>
      <c r="L428" s="72"/>
      <c r="M428" s="72"/>
      <c r="N428" s="76"/>
      <c r="O428" s="72"/>
      <c r="P428" s="72"/>
      <c r="R428" s="288"/>
      <c r="Y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</row>
    <row r="429" spans="1:202">
      <c r="AY429" s="169"/>
      <c r="AZ429" s="169"/>
      <c r="BA429" s="169"/>
      <c r="BB429" s="169"/>
    </row>
    <row r="430" spans="1:202">
      <c r="AY430" s="169"/>
      <c r="AZ430" s="169"/>
      <c r="BA430" s="169"/>
      <c r="BB430" s="169"/>
    </row>
    <row r="431" spans="1:202">
      <c r="AY431" s="169"/>
      <c r="AZ431" s="169"/>
      <c r="BA431" s="169"/>
      <c r="BB431" s="169"/>
    </row>
    <row r="432" spans="1:202">
      <c r="A432" s="312"/>
      <c r="B432" s="313"/>
      <c r="C432" s="314"/>
      <c r="D432" s="315"/>
      <c r="E432" s="316"/>
      <c r="F432" s="316"/>
      <c r="G432" s="316"/>
      <c r="H432" s="316"/>
      <c r="I432" s="316"/>
      <c r="J432" s="316"/>
      <c r="AY432" s="169"/>
      <c r="AZ432" s="169"/>
      <c r="BA432" s="169"/>
      <c r="BB432" s="169"/>
    </row>
    <row r="433" spans="1:202">
      <c r="A433" s="310" t="s">
        <v>447</v>
      </c>
      <c r="B433" s="321"/>
      <c r="C433" s="320"/>
      <c r="D433" s="319"/>
      <c r="E433" s="317"/>
      <c r="F433" s="317"/>
      <c r="G433" s="318"/>
      <c r="H433" s="311"/>
      <c r="I433" s="311"/>
      <c r="J433" s="317"/>
      <c r="K433" s="64">
        <f t="shared" ref="K433:BD433" si="1009">K434+K436+K437+K455+K457</f>
        <v>3392.462</v>
      </c>
      <c r="L433" s="64">
        <f t="shared" si="1009"/>
        <v>3391.5630000000001</v>
      </c>
      <c r="M433" s="64">
        <f t="shared" si="1009"/>
        <v>0</v>
      </c>
      <c r="N433" s="64">
        <f t="shared" si="1009"/>
        <v>6784.0249999999996</v>
      </c>
      <c r="O433" s="64">
        <f t="shared" si="1009"/>
        <v>0</v>
      </c>
      <c r="P433" s="64">
        <f t="shared" si="1009"/>
        <v>0</v>
      </c>
      <c r="Q433" s="64">
        <f t="shared" si="1009"/>
        <v>0</v>
      </c>
      <c r="R433" s="64">
        <f t="shared" si="1009"/>
        <v>0</v>
      </c>
      <c r="S433" s="64">
        <f t="shared" si="1009"/>
        <v>0</v>
      </c>
      <c r="T433" s="64">
        <f t="shared" si="1009"/>
        <v>0</v>
      </c>
      <c r="U433" s="64">
        <f t="shared" si="1009"/>
        <v>0</v>
      </c>
      <c r="V433" s="64">
        <f t="shared" si="1009"/>
        <v>0</v>
      </c>
      <c r="W433" s="64">
        <f t="shared" si="1009"/>
        <v>0</v>
      </c>
      <c r="X433" s="64">
        <f t="shared" si="1009"/>
        <v>0</v>
      </c>
      <c r="Y433" s="64">
        <f t="shared" si="1009"/>
        <v>0</v>
      </c>
      <c r="Z433" s="64">
        <f t="shared" si="1009"/>
        <v>0</v>
      </c>
      <c r="AA433" s="64">
        <f t="shared" si="1009"/>
        <v>0</v>
      </c>
      <c r="AB433" s="64">
        <f t="shared" si="1009"/>
        <v>0</v>
      </c>
      <c r="AC433" s="64">
        <f t="shared" si="1009"/>
        <v>0</v>
      </c>
      <c r="AD433" s="64">
        <f t="shared" si="1009"/>
        <v>0</v>
      </c>
      <c r="AE433" s="64">
        <f t="shared" si="1009"/>
        <v>0</v>
      </c>
      <c r="AF433" s="64">
        <f t="shared" si="1009"/>
        <v>0</v>
      </c>
      <c r="AG433" s="64">
        <f t="shared" si="1009"/>
        <v>6784.0250000000015</v>
      </c>
      <c r="AH433" s="64">
        <f t="shared" si="1009"/>
        <v>18516175.07767</v>
      </c>
      <c r="AI433" s="64">
        <f t="shared" si="1009"/>
        <v>18973709.516449999</v>
      </c>
      <c r="AJ433" s="64">
        <f t="shared" si="1009"/>
        <v>0</v>
      </c>
      <c r="AK433" s="64">
        <f t="shared" si="1009"/>
        <v>37489884.594119996</v>
      </c>
      <c r="AL433" s="7">
        <f t="shared" si="1009"/>
        <v>0</v>
      </c>
      <c r="AM433" s="64">
        <f t="shared" si="1009"/>
        <v>0</v>
      </c>
      <c r="AN433" s="7">
        <f t="shared" si="1009"/>
        <v>0</v>
      </c>
      <c r="AO433" s="7">
        <f t="shared" si="1009"/>
        <v>0</v>
      </c>
      <c r="AP433" s="64">
        <f t="shared" si="1009"/>
        <v>0</v>
      </c>
      <c r="AQ433" s="64">
        <f t="shared" si="1009"/>
        <v>0</v>
      </c>
      <c r="AR433" s="64">
        <f t="shared" si="1009"/>
        <v>0</v>
      </c>
      <c r="AS433" s="64">
        <f t="shared" si="1009"/>
        <v>0</v>
      </c>
      <c r="AT433" s="64">
        <f t="shared" si="1009"/>
        <v>0</v>
      </c>
      <c r="AU433" s="64">
        <f t="shared" si="1009"/>
        <v>0</v>
      </c>
      <c r="AV433" s="64">
        <f t="shared" si="1009"/>
        <v>0</v>
      </c>
      <c r="AW433" s="64">
        <f t="shared" si="1009"/>
        <v>0</v>
      </c>
      <c r="AX433" s="64">
        <f t="shared" si="1009"/>
        <v>0</v>
      </c>
      <c r="AY433" s="64">
        <f t="shared" si="1009"/>
        <v>0</v>
      </c>
      <c r="AZ433" s="64">
        <f t="shared" si="1009"/>
        <v>0</v>
      </c>
      <c r="BA433" s="64">
        <f t="shared" si="1009"/>
        <v>0</v>
      </c>
      <c r="BB433" s="64">
        <f t="shared" si="1009"/>
        <v>0</v>
      </c>
      <c r="BC433" s="64">
        <f t="shared" si="1009"/>
        <v>0</v>
      </c>
      <c r="BD433" s="64">
        <f t="shared" si="1009"/>
        <v>37489884.594119996</v>
      </c>
    </row>
    <row r="434" spans="1:202" s="79" customFormat="1" ht="30.75" customHeight="1">
      <c r="A434" s="193" t="s">
        <v>448</v>
      </c>
      <c r="B434" s="182" t="s">
        <v>449</v>
      </c>
      <c r="C434" s="225"/>
      <c r="D434" s="135">
        <v>2914001089</v>
      </c>
      <c r="E434" s="215"/>
      <c r="F434" s="82"/>
      <c r="G434" s="177"/>
      <c r="H434" s="215"/>
      <c r="I434" s="82"/>
      <c r="J434" s="210"/>
      <c r="K434" s="254">
        <f>K435</f>
        <v>0</v>
      </c>
      <c r="L434" s="254">
        <f>L435</f>
        <v>50.5</v>
      </c>
      <c r="M434" s="254">
        <f>M435</f>
        <v>0</v>
      </c>
      <c r="N434" s="284">
        <f>K434+L434+M434</f>
        <v>50.5</v>
      </c>
      <c r="O434" s="275">
        <f>O435</f>
        <v>0</v>
      </c>
      <c r="P434" s="275">
        <f>P435</f>
        <v>0</v>
      </c>
      <c r="Q434" s="275">
        <f>Q435</f>
        <v>0</v>
      </c>
      <c r="R434" s="284">
        <f>O434+P434+Q434</f>
        <v>0</v>
      </c>
      <c r="S434" s="293">
        <f t="shared" ref="S434:X434" si="1010">S435</f>
        <v>0</v>
      </c>
      <c r="T434" s="293">
        <f t="shared" si="1010"/>
        <v>0</v>
      </c>
      <c r="U434" s="293">
        <f t="shared" si="1010"/>
        <v>0</v>
      </c>
      <c r="V434" s="293">
        <f t="shared" si="1010"/>
        <v>0</v>
      </c>
      <c r="W434" s="293">
        <f t="shared" si="1010"/>
        <v>0</v>
      </c>
      <c r="X434" s="293">
        <f t="shared" si="1010"/>
        <v>0</v>
      </c>
      <c r="Y434" s="262">
        <f>SUM(S434:X434)</f>
        <v>0</v>
      </c>
      <c r="Z434" s="275">
        <f t="shared" ref="Z434:AE434" si="1011">Z435</f>
        <v>0</v>
      </c>
      <c r="AA434" s="275">
        <f t="shared" si="1011"/>
        <v>0</v>
      </c>
      <c r="AB434" s="275">
        <f t="shared" si="1011"/>
        <v>0</v>
      </c>
      <c r="AC434" s="275">
        <f t="shared" si="1011"/>
        <v>0</v>
      </c>
      <c r="AD434" s="275">
        <f t="shared" si="1011"/>
        <v>0</v>
      </c>
      <c r="AE434" s="275">
        <f t="shared" si="1011"/>
        <v>0</v>
      </c>
      <c r="AF434" s="284">
        <f>SUM(Z434:AE434)</f>
        <v>0</v>
      </c>
      <c r="AG434" s="282">
        <f>AF434+Y434+R434+N434</f>
        <v>50.5</v>
      </c>
      <c r="AH434" s="232">
        <f>AH435</f>
        <v>0</v>
      </c>
      <c r="AI434" s="232">
        <f>AI435</f>
        <v>472880.48499999999</v>
      </c>
      <c r="AJ434" s="232">
        <f>AJ435</f>
        <v>0</v>
      </c>
      <c r="AK434" s="260">
        <f>AH434+AI434+AJ434</f>
        <v>472880.48499999999</v>
      </c>
      <c r="AL434" s="232">
        <f>AL435</f>
        <v>0</v>
      </c>
      <c r="AM434" s="232">
        <f>AM435</f>
        <v>0</v>
      </c>
      <c r="AN434" s="232">
        <f>AN435</f>
        <v>0</v>
      </c>
      <c r="AO434" s="260">
        <f>SUM(AL434:AN434)</f>
        <v>0</v>
      </c>
      <c r="AP434" s="232">
        <f t="shared" ref="AP434:AU434" si="1012">AP435</f>
        <v>0</v>
      </c>
      <c r="AQ434" s="232">
        <f t="shared" si="1012"/>
        <v>0</v>
      </c>
      <c r="AR434" s="232">
        <f t="shared" si="1012"/>
        <v>0</v>
      </c>
      <c r="AS434" s="232">
        <f t="shared" si="1012"/>
        <v>0</v>
      </c>
      <c r="AT434" s="232">
        <f t="shared" si="1012"/>
        <v>0</v>
      </c>
      <c r="AU434" s="232">
        <f t="shared" si="1012"/>
        <v>0</v>
      </c>
      <c r="AV434" s="260">
        <f>SUM(AP434:AU434)</f>
        <v>0</v>
      </c>
      <c r="AW434" s="232">
        <f t="shared" ref="AW434:BB434" si="1013">AW435</f>
        <v>0</v>
      </c>
      <c r="AX434" s="232">
        <f t="shared" si="1013"/>
        <v>0</v>
      </c>
      <c r="AY434" s="232">
        <f t="shared" si="1013"/>
        <v>0</v>
      </c>
      <c r="AZ434" s="232">
        <f t="shared" si="1013"/>
        <v>0</v>
      </c>
      <c r="BA434" s="232">
        <f t="shared" si="1013"/>
        <v>0</v>
      </c>
      <c r="BB434" s="232">
        <f t="shared" si="1013"/>
        <v>0</v>
      </c>
      <c r="BC434" s="260">
        <f>SUM(AW434:BB434)</f>
        <v>0</v>
      </c>
      <c r="BD434" s="238">
        <f t="shared" ref="BD434:BD458" si="1014">BC434+AV434+AO434+AK434</f>
        <v>472880.48499999999</v>
      </c>
      <c r="BE434" s="13"/>
      <c r="BF434" s="243"/>
      <c r="BG434" s="243"/>
      <c r="BH434" s="243"/>
      <c r="BI434" s="243"/>
      <c r="BJ434" s="243"/>
      <c r="BK434" s="243"/>
      <c r="BL434" s="243"/>
      <c r="BM434" s="243"/>
      <c r="BN434" s="243"/>
      <c r="BO434" s="243"/>
      <c r="BP434" s="243"/>
      <c r="BQ434" s="243"/>
      <c r="BR434" s="243"/>
      <c r="BS434" s="243"/>
      <c r="BT434" s="243"/>
      <c r="BU434" s="243"/>
      <c r="BV434" s="243"/>
      <c r="BW434" s="243"/>
      <c r="BX434" s="243"/>
      <c r="BY434" s="243"/>
      <c r="BZ434" s="243"/>
      <c r="CA434" s="243"/>
      <c r="CB434" s="243"/>
      <c r="CC434" s="243"/>
      <c r="CD434" s="243"/>
      <c r="CE434" s="243"/>
      <c r="CF434" s="243"/>
      <c r="CG434" s="243"/>
      <c r="CH434" s="243"/>
      <c r="CI434" s="243"/>
      <c r="CJ434" s="243"/>
      <c r="CK434" s="243"/>
      <c r="CL434" s="243"/>
      <c r="CM434" s="243"/>
      <c r="CN434" s="243"/>
      <c r="CO434" s="243"/>
      <c r="CP434" s="243"/>
      <c r="CQ434" s="243"/>
      <c r="CR434" s="243"/>
      <c r="CS434" s="243"/>
      <c r="CT434" s="243"/>
      <c r="CU434" s="243"/>
      <c r="CV434" s="243"/>
      <c r="CW434" s="243"/>
      <c r="CX434" s="243"/>
      <c r="CY434" s="243"/>
      <c r="CZ434" s="243"/>
      <c r="DA434" s="243"/>
      <c r="DB434" s="243"/>
      <c r="DC434" s="243"/>
      <c r="DD434" s="243"/>
      <c r="DE434" s="243"/>
      <c r="DF434" s="243"/>
      <c r="DG434" s="243"/>
      <c r="DH434" s="243"/>
      <c r="DI434" s="243"/>
      <c r="DJ434" s="243"/>
      <c r="DK434" s="243"/>
      <c r="DL434" s="243"/>
      <c r="DM434" s="243"/>
      <c r="DN434" s="243"/>
      <c r="DO434" s="243"/>
      <c r="DP434" s="243"/>
      <c r="DQ434" s="243"/>
      <c r="DR434" s="243"/>
      <c r="DS434" s="243"/>
      <c r="DT434" s="243"/>
      <c r="DU434" s="243"/>
      <c r="DV434" s="243"/>
      <c r="DW434" s="243"/>
      <c r="DX434" s="243"/>
      <c r="DY434" s="243"/>
      <c r="DZ434" s="243"/>
      <c r="EA434" s="243"/>
      <c r="EB434" s="243"/>
      <c r="EC434" s="243"/>
      <c r="ED434" s="243"/>
      <c r="EE434" s="243"/>
      <c r="EF434" s="243"/>
      <c r="EG434" s="243"/>
      <c r="EH434" s="243"/>
      <c r="EI434" s="243"/>
      <c r="EJ434" s="243"/>
      <c r="EK434" s="243"/>
      <c r="EL434" s="243"/>
      <c r="EM434" s="243"/>
      <c r="EN434" s="243"/>
      <c r="EO434" s="243"/>
      <c r="EP434" s="243"/>
      <c r="EQ434" s="243"/>
      <c r="ER434" s="243"/>
      <c r="ES434" s="243"/>
      <c r="ET434" s="243"/>
      <c r="EU434" s="243"/>
      <c r="EV434" s="243"/>
      <c r="EW434" s="243"/>
      <c r="EX434" s="243"/>
      <c r="EY434" s="243"/>
      <c r="EZ434" s="243"/>
      <c r="FA434" s="243"/>
      <c r="FB434" s="243"/>
      <c r="FC434" s="243"/>
      <c r="FD434" s="243"/>
      <c r="FE434" s="243"/>
      <c r="FF434" s="243"/>
      <c r="FG434" s="243"/>
      <c r="FH434" s="243"/>
      <c r="FI434" s="243"/>
      <c r="FJ434" s="243"/>
      <c r="FK434" s="243"/>
      <c r="FL434" s="243"/>
      <c r="FM434" s="243"/>
      <c r="FN434" s="243"/>
      <c r="FO434" s="243"/>
      <c r="FP434" s="243"/>
      <c r="FQ434" s="243"/>
      <c r="FR434" s="243"/>
      <c r="FS434" s="243"/>
      <c r="FT434" s="243"/>
      <c r="FU434" s="243"/>
      <c r="FV434" s="243"/>
      <c r="FW434" s="243"/>
      <c r="FX434" s="243"/>
      <c r="FY434" s="243"/>
      <c r="FZ434" s="243"/>
      <c r="GA434" s="243"/>
      <c r="GB434" s="243"/>
      <c r="GC434" s="243"/>
      <c r="GD434" s="243"/>
      <c r="GE434" s="243"/>
      <c r="GF434" s="243"/>
      <c r="GG434" s="243"/>
      <c r="GH434" s="243"/>
      <c r="GI434" s="243"/>
      <c r="GJ434" s="243"/>
      <c r="GK434" s="243"/>
      <c r="GL434" s="243"/>
      <c r="GM434" s="243"/>
      <c r="GN434" s="243"/>
      <c r="GO434" s="243"/>
      <c r="GP434" s="243"/>
      <c r="GQ434" s="243"/>
      <c r="GR434" s="243"/>
      <c r="GS434" s="243"/>
      <c r="GT434" s="243"/>
    </row>
    <row r="435" spans="1:202" ht="12.75">
      <c r="A435" s="191"/>
      <c r="B435" s="84"/>
      <c r="C435" s="225"/>
      <c r="D435" s="149"/>
      <c r="E435" s="147">
        <v>11412.97</v>
      </c>
      <c r="F435" s="147">
        <v>2049</v>
      </c>
      <c r="G435" s="177">
        <f>E435-F435</f>
        <v>9363.9699999999993</v>
      </c>
      <c r="H435" s="147">
        <v>11412.97</v>
      </c>
      <c r="I435" s="147">
        <v>2049</v>
      </c>
      <c r="J435" s="177">
        <f>H435-I435</f>
        <v>9363.9699999999993</v>
      </c>
      <c r="K435" s="252"/>
      <c r="L435" s="252">
        <f>23.97+26.53</f>
        <v>50.5</v>
      </c>
      <c r="M435" s="154"/>
      <c r="N435" s="287">
        <f>K435+L435+M435</f>
        <v>50.5</v>
      </c>
      <c r="O435" s="273"/>
      <c r="P435" s="273"/>
      <c r="Q435" s="273"/>
      <c r="R435" s="287"/>
      <c r="S435" s="290"/>
      <c r="T435" s="273"/>
      <c r="U435" s="273"/>
      <c r="V435" s="273"/>
      <c r="W435" s="290"/>
      <c r="X435" s="273"/>
      <c r="Y435" s="142"/>
      <c r="Z435" s="273"/>
      <c r="AA435" s="273"/>
      <c r="AB435" s="273"/>
      <c r="AC435" s="273"/>
      <c r="AD435" s="273"/>
      <c r="AE435" s="273"/>
      <c r="AF435" s="287">
        <f>SUM(Z435:AE435)</f>
        <v>0</v>
      </c>
      <c r="AG435" s="283">
        <f>AF435+Y435+R435+N435</f>
        <v>50.5</v>
      </c>
      <c r="AH435" s="322">
        <f t="shared" ref="AH435:AJ436" si="1015">K435*$G435</f>
        <v>0</v>
      </c>
      <c r="AI435" s="322">
        <f t="shared" si="1015"/>
        <v>472880.48499999999</v>
      </c>
      <c r="AJ435" s="322">
        <f t="shared" si="1015"/>
        <v>0</v>
      </c>
      <c r="AK435" s="261">
        <f>AH435+AI435+AJ435</f>
        <v>472880.48499999999</v>
      </c>
      <c r="AL435" s="228">
        <f t="shared" ref="AL435:AN436" si="1016">O435*$G435</f>
        <v>0</v>
      </c>
      <c r="AM435" s="228">
        <f t="shared" si="1016"/>
        <v>0</v>
      </c>
      <c r="AN435" s="228">
        <f t="shared" si="1016"/>
        <v>0</v>
      </c>
      <c r="AO435" s="261"/>
      <c r="AP435" s="228">
        <f t="shared" ref="AP435:AU436" si="1017">S435*$J435</f>
        <v>0</v>
      </c>
      <c r="AQ435" s="228">
        <f t="shared" si="1017"/>
        <v>0</v>
      </c>
      <c r="AR435" s="228">
        <f t="shared" si="1017"/>
        <v>0</v>
      </c>
      <c r="AS435" s="228">
        <f t="shared" si="1017"/>
        <v>0</v>
      </c>
      <c r="AT435" s="228">
        <f t="shared" si="1017"/>
        <v>0</v>
      </c>
      <c r="AU435" s="228">
        <f t="shared" si="1017"/>
        <v>0</v>
      </c>
      <c r="AV435" s="261"/>
      <c r="AW435" s="228">
        <f t="shared" ref="AW435:BB436" si="1018">Z435*$J435</f>
        <v>0</v>
      </c>
      <c r="AX435" s="228">
        <f t="shared" si="1018"/>
        <v>0</v>
      </c>
      <c r="AY435" s="228">
        <f t="shared" si="1018"/>
        <v>0</v>
      </c>
      <c r="AZ435" s="228">
        <f t="shared" si="1018"/>
        <v>0</v>
      </c>
      <c r="BA435" s="228">
        <f t="shared" si="1018"/>
        <v>0</v>
      </c>
      <c r="BB435" s="228">
        <f t="shared" si="1018"/>
        <v>0</v>
      </c>
      <c r="BC435" s="261">
        <f>SUM(AW435:BB435)</f>
        <v>0</v>
      </c>
      <c r="BD435" s="239">
        <f t="shared" si="1014"/>
        <v>472880.48499999999</v>
      </c>
    </row>
    <row r="436" spans="1:202" ht="42" customHeight="1">
      <c r="A436" s="193" t="s">
        <v>454</v>
      </c>
      <c r="B436" s="182" t="s">
        <v>455</v>
      </c>
      <c r="C436" s="225" t="s">
        <v>456</v>
      </c>
      <c r="D436" s="135">
        <v>2908002905</v>
      </c>
      <c r="E436" s="215">
        <v>2227.2600000000002</v>
      </c>
      <c r="F436" s="82">
        <v>1960</v>
      </c>
      <c r="G436" s="177">
        <f>E436-F436</f>
        <v>267.26000000000022</v>
      </c>
      <c r="H436" s="215"/>
      <c r="I436" s="82"/>
      <c r="J436" s="210">
        <f>H436-I436</f>
        <v>0</v>
      </c>
      <c r="K436" s="254"/>
      <c r="L436" s="254"/>
      <c r="M436" s="155"/>
      <c r="N436" s="284">
        <f>K436+L436+M436</f>
        <v>0</v>
      </c>
      <c r="O436" s="275"/>
      <c r="P436" s="275"/>
      <c r="Q436" s="275"/>
      <c r="R436" s="284">
        <f>O436+P436+Q436</f>
        <v>0</v>
      </c>
      <c r="S436" s="293"/>
      <c r="T436" s="266"/>
      <c r="U436" s="275"/>
      <c r="V436" s="275"/>
      <c r="W436" s="275"/>
      <c r="X436" s="263"/>
      <c r="Y436" s="262">
        <f>SUM(S436:X436)</f>
        <v>0</v>
      </c>
      <c r="Z436" s="275"/>
      <c r="AA436" s="275"/>
      <c r="AB436" s="275"/>
      <c r="AC436" s="275"/>
      <c r="AD436" s="275"/>
      <c r="AE436" s="275"/>
      <c r="AF436" s="284">
        <f>SUM(Z436:AE436)</f>
        <v>0</v>
      </c>
      <c r="AG436" s="282">
        <f>AF436+Y436+R436+N436</f>
        <v>0</v>
      </c>
      <c r="AH436" s="232">
        <f t="shared" si="1015"/>
        <v>0</v>
      </c>
      <c r="AI436" s="232">
        <f t="shared" si="1015"/>
        <v>0</v>
      </c>
      <c r="AJ436" s="232">
        <f t="shared" si="1015"/>
        <v>0</v>
      </c>
      <c r="AK436" s="260">
        <f>AH436+AI436+AJ436</f>
        <v>0</v>
      </c>
      <c r="AL436" s="232">
        <f t="shared" si="1016"/>
        <v>0</v>
      </c>
      <c r="AM436" s="232">
        <f t="shared" si="1016"/>
        <v>0</v>
      </c>
      <c r="AN436" s="232">
        <f t="shared" si="1016"/>
        <v>0</v>
      </c>
      <c r="AO436" s="260">
        <f>SUM(AL436:AN436)</f>
        <v>0</v>
      </c>
      <c r="AP436" s="232">
        <f t="shared" si="1017"/>
        <v>0</v>
      </c>
      <c r="AQ436" s="232">
        <f t="shared" si="1017"/>
        <v>0</v>
      </c>
      <c r="AR436" s="232">
        <f t="shared" si="1017"/>
        <v>0</v>
      </c>
      <c r="AS436" s="232">
        <f t="shared" si="1017"/>
        <v>0</v>
      </c>
      <c r="AT436" s="232">
        <f t="shared" si="1017"/>
        <v>0</v>
      </c>
      <c r="AU436" s="232">
        <f t="shared" si="1017"/>
        <v>0</v>
      </c>
      <c r="AV436" s="260">
        <f>SUM(AP436:AU436)</f>
        <v>0</v>
      </c>
      <c r="AW436" s="232">
        <f t="shared" si="1018"/>
        <v>0</v>
      </c>
      <c r="AX436" s="232">
        <f t="shared" si="1018"/>
        <v>0</v>
      </c>
      <c r="AY436" s="232">
        <f t="shared" si="1018"/>
        <v>0</v>
      </c>
      <c r="AZ436" s="232">
        <f t="shared" si="1018"/>
        <v>0</v>
      </c>
      <c r="BA436" s="232">
        <f t="shared" si="1018"/>
        <v>0</v>
      </c>
      <c r="BB436" s="232">
        <f t="shared" si="1018"/>
        <v>0</v>
      </c>
      <c r="BC436" s="260">
        <f>SUM(AW436:BB436)</f>
        <v>0</v>
      </c>
      <c r="BD436" s="238">
        <f t="shared" si="1014"/>
        <v>0</v>
      </c>
    </row>
    <row r="437" spans="1:202" ht="12.75">
      <c r="A437" s="193"/>
      <c r="B437" s="182" t="s">
        <v>457</v>
      </c>
      <c r="C437" s="225"/>
      <c r="D437" s="135">
        <v>7729314745</v>
      </c>
      <c r="E437" s="215"/>
      <c r="F437" s="82"/>
      <c r="G437" s="177"/>
      <c r="H437" s="215"/>
      <c r="I437" s="82"/>
      <c r="J437" s="210"/>
      <c r="K437" s="254">
        <f>SUM(K438:K454)</f>
        <v>3392.462</v>
      </c>
      <c r="L437" s="254">
        <f>SUM(L438:L454)</f>
        <v>3341.0630000000001</v>
      </c>
      <c r="M437" s="254">
        <f>SUM(M438:M454)</f>
        <v>0</v>
      </c>
      <c r="N437" s="284">
        <f>SUM(K437:M437)</f>
        <v>6733.5249999999996</v>
      </c>
      <c r="O437" s="254">
        <f>SUM(O444:O454)</f>
        <v>0</v>
      </c>
      <c r="P437" s="254">
        <f>SUM(P444:P454)</f>
        <v>0</v>
      </c>
      <c r="Q437" s="254">
        <f>SUM(Q444:Q454)</f>
        <v>0</v>
      </c>
      <c r="R437" s="284">
        <f>O437+P437+Q437</f>
        <v>0</v>
      </c>
      <c r="S437" s="289">
        <f t="shared" ref="S437:X437" si="1019">SUM(S444:S454)</f>
        <v>0</v>
      </c>
      <c r="T437" s="289">
        <f t="shared" si="1019"/>
        <v>0</v>
      </c>
      <c r="U437" s="289">
        <f t="shared" si="1019"/>
        <v>0</v>
      </c>
      <c r="V437" s="289">
        <f t="shared" si="1019"/>
        <v>0</v>
      </c>
      <c r="W437" s="289">
        <f t="shared" si="1019"/>
        <v>0</v>
      </c>
      <c r="X437" s="289">
        <f t="shared" si="1019"/>
        <v>0</v>
      </c>
      <c r="Y437" s="262">
        <f>SUM(S437:X437)</f>
        <v>0</v>
      </c>
      <c r="Z437" s="275">
        <f t="shared" ref="Z437:AF437" si="1020">SUM(Z444:Z454)</f>
        <v>0</v>
      </c>
      <c r="AA437" s="275">
        <f t="shared" si="1020"/>
        <v>0</v>
      </c>
      <c r="AB437" s="275">
        <f t="shared" si="1020"/>
        <v>0</v>
      </c>
      <c r="AC437" s="275">
        <f t="shared" si="1020"/>
        <v>0</v>
      </c>
      <c r="AD437" s="275">
        <f t="shared" si="1020"/>
        <v>0</v>
      </c>
      <c r="AE437" s="275">
        <f t="shared" si="1020"/>
        <v>0</v>
      </c>
      <c r="AF437" s="284">
        <f t="shared" si="1020"/>
        <v>0</v>
      </c>
      <c r="AG437" s="282">
        <f>SUM(AG438:AG454)</f>
        <v>6733.5250000000015</v>
      </c>
      <c r="AH437" s="232">
        <f>SUM(AH438:AH454)</f>
        <v>18516175.07767</v>
      </c>
      <c r="AI437" s="232">
        <f>SUM(AI438:AI454)</f>
        <v>18500829.03145</v>
      </c>
      <c r="AJ437" s="232">
        <f>SUM(AJ438:AJ454)</f>
        <v>0</v>
      </c>
      <c r="AK437" s="260">
        <f>AH437+AI437+AJ437</f>
        <v>37017004.109119996</v>
      </c>
      <c r="AL437" s="232">
        <f>SUM(AL444:AL454)</f>
        <v>0</v>
      </c>
      <c r="AM437" s="232">
        <f>SUM(AM444:AM454)</f>
        <v>0</v>
      </c>
      <c r="AN437" s="232">
        <f>SUM(AN444:AN454)</f>
        <v>0</v>
      </c>
      <c r="AO437" s="260">
        <f>SUM(AL437:AN437)</f>
        <v>0</v>
      </c>
      <c r="AP437" s="332">
        <f t="shared" ref="AP437:AU437" si="1021">SUM(AP444:AP454)</f>
        <v>0</v>
      </c>
      <c r="AQ437" s="332">
        <f t="shared" si="1021"/>
        <v>0</v>
      </c>
      <c r="AR437" s="332">
        <f t="shared" si="1021"/>
        <v>0</v>
      </c>
      <c r="AS437" s="332">
        <f t="shared" si="1021"/>
        <v>0</v>
      </c>
      <c r="AT437" s="332">
        <f t="shared" si="1021"/>
        <v>0</v>
      </c>
      <c r="AU437" s="332">
        <f t="shared" si="1021"/>
        <v>0</v>
      </c>
      <c r="AV437" s="260">
        <f>SUM(AP437:AU437)</f>
        <v>0</v>
      </c>
      <c r="AW437" s="232">
        <f t="shared" ref="AW437:BC437" si="1022">SUM(AW444:AW454)</f>
        <v>0</v>
      </c>
      <c r="AX437" s="232">
        <f t="shared" si="1022"/>
        <v>0</v>
      </c>
      <c r="AY437" s="232">
        <f t="shared" si="1022"/>
        <v>0</v>
      </c>
      <c r="AZ437" s="232">
        <f t="shared" si="1022"/>
        <v>0</v>
      </c>
      <c r="BA437" s="232">
        <f t="shared" si="1022"/>
        <v>0</v>
      </c>
      <c r="BB437" s="232">
        <f t="shared" si="1022"/>
        <v>0</v>
      </c>
      <c r="BC437" s="260">
        <f t="shared" si="1022"/>
        <v>0</v>
      </c>
      <c r="BD437" s="238">
        <f t="shared" si="1014"/>
        <v>37017004.109119996</v>
      </c>
    </row>
    <row r="438" spans="1:202" ht="12.75">
      <c r="A438" s="191"/>
      <c r="B438" s="84" t="s">
        <v>460</v>
      </c>
      <c r="C438" s="217" t="s">
        <v>577</v>
      </c>
      <c r="D438" s="149"/>
      <c r="E438" s="147">
        <v>5841.48</v>
      </c>
      <c r="F438" s="147">
        <v>1789.17</v>
      </c>
      <c r="G438" s="177">
        <f t="shared" ref="G438:G443" si="1023">E438-F438</f>
        <v>4052.3099999999995</v>
      </c>
      <c r="H438" s="147">
        <v>5841.48</v>
      </c>
      <c r="I438" s="147">
        <v>1789.17</v>
      </c>
      <c r="J438" s="177">
        <f t="shared" ref="J438:J443" si="1024">H438-I438</f>
        <v>4052.3099999999995</v>
      </c>
      <c r="K438" s="252">
        <v>79.847999999999999</v>
      </c>
      <c r="L438" s="252">
        <v>79.847999999999999</v>
      </c>
      <c r="M438" s="154"/>
      <c r="N438" s="287">
        <f>SUM(K438:M438)</f>
        <v>159.696</v>
      </c>
      <c r="O438" s="273"/>
      <c r="P438" s="273"/>
      <c r="Q438" s="273"/>
      <c r="R438" s="287"/>
      <c r="S438" s="290"/>
      <c r="T438" s="273"/>
      <c r="U438" s="273"/>
      <c r="V438" s="273"/>
      <c r="W438" s="273"/>
      <c r="X438" s="273"/>
      <c r="Y438" s="142"/>
      <c r="Z438" s="273"/>
      <c r="AA438" s="273"/>
      <c r="AB438" s="273"/>
      <c r="AC438" s="273"/>
      <c r="AD438" s="273"/>
      <c r="AE438" s="273"/>
      <c r="AF438" s="287">
        <f t="shared" ref="AF438:AF443" si="1025">SUM(Z438:AE438)</f>
        <v>0</v>
      </c>
      <c r="AG438" s="283">
        <f t="shared" ref="AG438:AG443" si="1026">AF438+Y438+R438+N438</f>
        <v>159.696</v>
      </c>
      <c r="AH438" s="322">
        <f t="shared" ref="AH438:AJ443" si="1027">K438*$G438</f>
        <v>323568.84887999995</v>
      </c>
      <c r="AI438" s="322">
        <f t="shared" si="1027"/>
        <v>323568.84887999995</v>
      </c>
      <c r="AJ438" s="322">
        <f t="shared" si="1027"/>
        <v>0</v>
      </c>
      <c r="AK438" s="261">
        <f>AH438+AI438+AJ438</f>
        <v>647137.69775999989</v>
      </c>
      <c r="AL438" s="228">
        <f t="shared" ref="AL438:AN443" si="1028">O438*$G438</f>
        <v>0</v>
      </c>
      <c r="AM438" s="228">
        <f t="shared" si="1028"/>
        <v>0</v>
      </c>
      <c r="AN438" s="228">
        <f t="shared" si="1028"/>
        <v>0</v>
      </c>
      <c r="AO438" s="261"/>
      <c r="AP438" s="228"/>
      <c r="AQ438" s="228"/>
      <c r="AR438" s="228"/>
      <c r="AS438" s="228"/>
      <c r="AT438" s="228"/>
      <c r="AU438" s="228"/>
      <c r="AV438" s="261"/>
      <c r="AW438" s="228"/>
      <c r="AX438" s="228"/>
      <c r="AY438" s="228"/>
      <c r="AZ438" s="228"/>
      <c r="BA438" s="228"/>
      <c r="BB438" s="228"/>
      <c r="BC438" s="261">
        <f t="shared" ref="BC438:BC443" si="1029">SUM(AW438:BB438)</f>
        <v>0</v>
      </c>
      <c r="BD438" s="239">
        <f t="shared" ref="BD438:BD443" si="1030">BC438+AV438+AO438+AK438</f>
        <v>647137.69775999989</v>
      </c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</row>
    <row r="439" spans="1:202" ht="12.75">
      <c r="A439" s="191"/>
      <c r="B439" s="84" t="s">
        <v>463</v>
      </c>
      <c r="C439" s="217" t="s">
        <v>577</v>
      </c>
      <c r="D439" s="149"/>
      <c r="E439" s="147">
        <v>2162.58</v>
      </c>
      <c r="F439" s="147">
        <v>1670.83</v>
      </c>
      <c r="G439" s="177">
        <f t="shared" si="1023"/>
        <v>491.75</v>
      </c>
      <c r="H439" s="147">
        <v>2162.58</v>
      </c>
      <c r="I439" s="147">
        <v>1670.83</v>
      </c>
      <c r="J439" s="177">
        <f t="shared" si="1024"/>
        <v>491.75</v>
      </c>
      <c r="K439" s="252">
        <v>829.64200000000005</v>
      </c>
      <c r="L439" s="252">
        <f>809.235+6.883</f>
        <v>816.11800000000005</v>
      </c>
      <c r="M439" s="154"/>
      <c r="N439" s="287">
        <f t="shared" ref="N439:N454" si="1031">SUM(K439:M439)</f>
        <v>1645.7600000000002</v>
      </c>
      <c r="O439" s="273"/>
      <c r="P439" s="273"/>
      <c r="Q439" s="273"/>
      <c r="R439" s="287"/>
      <c r="S439" s="290"/>
      <c r="T439" s="273"/>
      <c r="U439" s="273"/>
      <c r="V439" s="273"/>
      <c r="W439" s="273"/>
      <c r="X439" s="273"/>
      <c r="Y439" s="142"/>
      <c r="Z439" s="273"/>
      <c r="AA439" s="273"/>
      <c r="AB439" s="273"/>
      <c r="AC439" s="273"/>
      <c r="AD439" s="273"/>
      <c r="AE439" s="273"/>
      <c r="AF439" s="287">
        <f t="shared" si="1025"/>
        <v>0</v>
      </c>
      <c r="AG439" s="283">
        <f t="shared" si="1026"/>
        <v>1645.7600000000002</v>
      </c>
      <c r="AH439" s="322">
        <f t="shared" si="1027"/>
        <v>407976.4535</v>
      </c>
      <c r="AI439" s="322">
        <f t="shared" si="1027"/>
        <v>401326.02650000004</v>
      </c>
      <c r="AJ439" s="322">
        <f t="shared" si="1027"/>
        <v>0</v>
      </c>
      <c r="AK439" s="261">
        <f t="shared" ref="AK439:AK454" si="1032">AH439+AI439+AJ439</f>
        <v>809302.48</v>
      </c>
      <c r="AL439" s="228">
        <f t="shared" si="1028"/>
        <v>0</v>
      </c>
      <c r="AM439" s="228">
        <f t="shared" si="1028"/>
        <v>0</v>
      </c>
      <c r="AN439" s="228">
        <f t="shared" si="1028"/>
        <v>0</v>
      </c>
      <c r="AO439" s="261"/>
      <c r="AP439" s="228"/>
      <c r="AQ439" s="228"/>
      <c r="AR439" s="228"/>
      <c r="AS439" s="228"/>
      <c r="AT439" s="228"/>
      <c r="AU439" s="228"/>
      <c r="AV439" s="261"/>
      <c r="AW439" s="228"/>
      <c r="AX439" s="228"/>
      <c r="AY439" s="228"/>
      <c r="AZ439" s="228"/>
      <c r="BA439" s="228"/>
      <c r="BB439" s="228"/>
      <c r="BC439" s="261">
        <f t="shared" si="1029"/>
        <v>0</v>
      </c>
      <c r="BD439" s="239">
        <f t="shared" si="1030"/>
        <v>809302.48</v>
      </c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</row>
    <row r="440" spans="1:202" ht="12.75">
      <c r="A440" s="191"/>
      <c r="B440" s="84" t="s">
        <v>464</v>
      </c>
      <c r="C440" s="217" t="s">
        <v>577</v>
      </c>
      <c r="D440" s="149"/>
      <c r="E440" s="147">
        <v>10185.540000000001</v>
      </c>
      <c r="F440" s="147">
        <v>2400</v>
      </c>
      <c r="G440" s="177">
        <f t="shared" si="1023"/>
        <v>7785.5400000000009</v>
      </c>
      <c r="H440" s="147">
        <v>10185.540000000001</v>
      </c>
      <c r="I440" s="147">
        <v>2400</v>
      </c>
      <c r="J440" s="177">
        <f t="shared" si="1024"/>
        <v>7785.5400000000009</v>
      </c>
      <c r="K440" s="252">
        <v>859.06700000000001</v>
      </c>
      <c r="L440" s="252">
        <f>847.874-0.694</f>
        <v>847.18000000000006</v>
      </c>
      <c r="M440" s="154"/>
      <c r="N440" s="287">
        <f t="shared" si="1031"/>
        <v>1706.2470000000001</v>
      </c>
      <c r="O440" s="273"/>
      <c r="P440" s="273"/>
      <c r="Q440" s="273"/>
      <c r="R440" s="287"/>
      <c r="S440" s="290"/>
      <c r="T440" s="273"/>
      <c r="U440" s="273"/>
      <c r="V440" s="273"/>
      <c r="W440" s="273"/>
      <c r="X440" s="273"/>
      <c r="Y440" s="142"/>
      <c r="Z440" s="273"/>
      <c r="AA440" s="273"/>
      <c r="AB440" s="273"/>
      <c r="AC440" s="273"/>
      <c r="AD440" s="273"/>
      <c r="AE440" s="273"/>
      <c r="AF440" s="287">
        <f t="shared" si="1025"/>
        <v>0</v>
      </c>
      <c r="AG440" s="283">
        <f t="shared" si="1026"/>
        <v>1706.2470000000001</v>
      </c>
      <c r="AH440" s="322">
        <f t="shared" si="1027"/>
        <v>6688300.4911800008</v>
      </c>
      <c r="AI440" s="322">
        <f t="shared" si="1027"/>
        <v>6595753.7772000013</v>
      </c>
      <c r="AJ440" s="322">
        <f t="shared" si="1027"/>
        <v>0</v>
      </c>
      <c r="AK440" s="261">
        <f t="shared" si="1032"/>
        <v>13284054.268380001</v>
      </c>
      <c r="AL440" s="228">
        <f t="shared" si="1028"/>
        <v>0</v>
      </c>
      <c r="AM440" s="228">
        <f t="shared" si="1028"/>
        <v>0</v>
      </c>
      <c r="AN440" s="228">
        <f t="shared" si="1028"/>
        <v>0</v>
      </c>
      <c r="AO440" s="261"/>
      <c r="AP440" s="228"/>
      <c r="AQ440" s="228"/>
      <c r="AR440" s="228"/>
      <c r="AS440" s="228"/>
      <c r="AT440" s="228"/>
      <c r="AU440" s="228"/>
      <c r="AV440" s="261"/>
      <c r="AW440" s="228"/>
      <c r="AX440" s="228"/>
      <c r="AY440" s="228"/>
      <c r="AZ440" s="228"/>
      <c r="BA440" s="228"/>
      <c r="BB440" s="228"/>
      <c r="BC440" s="261">
        <f t="shared" si="1029"/>
        <v>0</v>
      </c>
      <c r="BD440" s="239">
        <f t="shared" si="1030"/>
        <v>13284054.268380001</v>
      </c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</row>
    <row r="441" spans="1:202" ht="12.75">
      <c r="A441" s="191"/>
      <c r="B441" s="84" t="s">
        <v>465</v>
      </c>
      <c r="C441" s="217" t="s">
        <v>577</v>
      </c>
      <c r="D441" s="149"/>
      <c r="E441" s="147">
        <v>15355.28</v>
      </c>
      <c r="F441" s="147">
        <v>1492.5</v>
      </c>
      <c r="G441" s="177">
        <f t="shared" si="1023"/>
        <v>13862.78</v>
      </c>
      <c r="H441" s="147">
        <v>15355.28</v>
      </c>
      <c r="I441" s="147">
        <v>1492.5</v>
      </c>
      <c r="J441" s="177">
        <f t="shared" si="1024"/>
        <v>13862.78</v>
      </c>
      <c r="K441" s="252">
        <v>371.733</v>
      </c>
      <c r="L441" s="252">
        <v>371.733</v>
      </c>
      <c r="M441" s="154"/>
      <c r="N441" s="287">
        <f t="shared" si="1031"/>
        <v>743.46600000000001</v>
      </c>
      <c r="O441" s="273"/>
      <c r="P441" s="273"/>
      <c r="Q441" s="273"/>
      <c r="R441" s="287"/>
      <c r="S441" s="290"/>
      <c r="T441" s="273"/>
      <c r="U441" s="273"/>
      <c r="V441" s="273"/>
      <c r="W441" s="273"/>
      <c r="X441" s="273"/>
      <c r="Y441" s="142"/>
      <c r="Z441" s="273"/>
      <c r="AA441" s="273"/>
      <c r="AB441" s="273"/>
      <c r="AC441" s="273"/>
      <c r="AD441" s="273"/>
      <c r="AE441" s="273"/>
      <c r="AF441" s="287">
        <f t="shared" si="1025"/>
        <v>0</v>
      </c>
      <c r="AG441" s="283">
        <f t="shared" si="1026"/>
        <v>743.46600000000001</v>
      </c>
      <c r="AH441" s="322">
        <f t="shared" si="1027"/>
        <v>5153252.7977400003</v>
      </c>
      <c r="AI441" s="322">
        <f t="shared" si="1027"/>
        <v>5153252.7977400003</v>
      </c>
      <c r="AJ441" s="322">
        <f t="shared" si="1027"/>
        <v>0</v>
      </c>
      <c r="AK441" s="261">
        <f t="shared" si="1032"/>
        <v>10306505.595480001</v>
      </c>
      <c r="AL441" s="228">
        <f t="shared" si="1028"/>
        <v>0</v>
      </c>
      <c r="AM441" s="228">
        <f t="shared" si="1028"/>
        <v>0</v>
      </c>
      <c r="AN441" s="228">
        <f t="shared" si="1028"/>
        <v>0</v>
      </c>
      <c r="AO441" s="261"/>
      <c r="AP441" s="228"/>
      <c r="AQ441" s="228"/>
      <c r="AR441" s="228"/>
      <c r="AS441" s="228"/>
      <c r="AT441" s="228"/>
      <c r="AU441" s="228"/>
      <c r="AV441" s="261"/>
      <c r="AW441" s="228"/>
      <c r="AX441" s="228"/>
      <c r="AY441" s="228"/>
      <c r="AZ441" s="228"/>
      <c r="BA441" s="228"/>
      <c r="BB441" s="228"/>
      <c r="BC441" s="261">
        <f t="shared" si="1029"/>
        <v>0</v>
      </c>
      <c r="BD441" s="239">
        <f t="shared" si="1030"/>
        <v>10306505.595480001</v>
      </c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</row>
    <row r="442" spans="1:202" ht="12.75">
      <c r="A442" s="191"/>
      <c r="B442" s="84" t="s">
        <v>459</v>
      </c>
      <c r="C442" s="217" t="s">
        <v>577</v>
      </c>
      <c r="D442" s="149"/>
      <c r="E442" s="147">
        <v>4529.99</v>
      </c>
      <c r="F442" s="147">
        <v>1671.67</v>
      </c>
      <c r="G442" s="177">
        <f t="shared" si="1023"/>
        <v>2858.3199999999997</v>
      </c>
      <c r="H442" s="147">
        <v>4529.99</v>
      </c>
      <c r="I442" s="147">
        <v>1671.67</v>
      </c>
      <c r="J442" s="177">
        <f t="shared" si="1024"/>
        <v>2858.3199999999997</v>
      </c>
      <c r="K442" s="252">
        <v>93.168000000000006</v>
      </c>
      <c r="L442" s="252">
        <f>94.694+1.526</f>
        <v>96.22</v>
      </c>
      <c r="M442" s="154"/>
      <c r="N442" s="287">
        <f t="shared" si="1031"/>
        <v>189.38800000000001</v>
      </c>
      <c r="O442" s="273"/>
      <c r="P442" s="273"/>
      <c r="Q442" s="273"/>
      <c r="R442" s="287"/>
      <c r="S442" s="290"/>
      <c r="T442" s="273"/>
      <c r="U442" s="273"/>
      <c r="V442" s="273"/>
      <c r="W442" s="273"/>
      <c r="X442" s="273"/>
      <c r="Y442" s="142"/>
      <c r="Z442" s="273"/>
      <c r="AA442" s="273"/>
      <c r="AB442" s="273"/>
      <c r="AC442" s="273"/>
      <c r="AD442" s="273"/>
      <c r="AE442" s="273"/>
      <c r="AF442" s="287">
        <f t="shared" si="1025"/>
        <v>0</v>
      </c>
      <c r="AG442" s="283">
        <f t="shared" si="1026"/>
        <v>189.38800000000001</v>
      </c>
      <c r="AH442" s="322">
        <f t="shared" si="1027"/>
        <v>266303.95776000002</v>
      </c>
      <c r="AI442" s="322">
        <f t="shared" si="1027"/>
        <v>275027.55039999995</v>
      </c>
      <c r="AJ442" s="322">
        <f t="shared" si="1027"/>
        <v>0</v>
      </c>
      <c r="AK442" s="261">
        <f t="shared" si="1032"/>
        <v>541331.50815999997</v>
      </c>
      <c r="AL442" s="228">
        <f t="shared" si="1028"/>
        <v>0</v>
      </c>
      <c r="AM442" s="228">
        <f t="shared" si="1028"/>
        <v>0</v>
      </c>
      <c r="AN442" s="228">
        <f t="shared" si="1028"/>
        <v>0</v>
      </c>
      <c r="AO442" s="261"/>
      <c r="AP442" s="228"/>
      <c r="AQ442" s="228"/>
      <c r="AR442" s="228"/>
      <c r="AS442" s="228"/>
      <c r="AT442" s="228"/>
      <c r="AU442" s="228"/>
      <c r="AV442" s="261"/>
      <c r="AW442" s="228"/>
      <c r="AX442" s="228"/>
      <c r="AY442" s="228"/>
      <c r="AZ442" s="228"/>
      <c r="BA442" s="228"/>
      <c r="BB442" s="228"/>
      <c r="BC442" s="261">
        <f t="shared" si="1029"/>
        <v>0</v>
      </c>
      <c r="BD442" s="239">
        <f t="shared" si="1030"/>
        <v>541331.50815999997</v>
      </c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</row>
    <row r="443" spans="1:202" ht="12.75">
      <c r="A443" s="191"/>
      <c r="B443" s="84" t="s">
        <v>462</v>
      </c>
      <c r="C443" s="217" t="s">
        <v>577</v>
      </c>
      <c r="D443" s="149"/>
      <c r="E443" s="147">
        <v>9788.43</v>
      </c>
      <c r="F443" s="147">
        <v>1590.83</v>
      </c>
      <c r="G443" s="177">
        <f t="shared" si="1023"/>
        <v>8197.6</v>
      </c>
      <c r="H443" s="147">
        <v>9788.43</v>
      </c>
      <c r="I443" s="147">
        <v>1590.83</v>
      </c>
      <c r="J443" s="177">
        <f t="shared" si="1024"/>
        <v>8197.6</v>
      </c>
      <c r="K443" s="252">
        <v>6.4669999999999996</v>
      </c>
      <c r="L443" s="252">
        <v>6.4669999999999996</v>
      </c>
      <c r="M443" s="154"/>
      <c r="N443" s="287">
        <f t="shared" si="1031"/>
        <v>12.933999999999999</v>
      </c>
      <c r="O443" s="273"/>
      <c r="P443" s="273"/>
      <c r="Q443" s="273"/>
      <c r="R443" s="287"/>
      <c r="S443" s="290"/>
      <c r="T443" s="273"/>
      <c r="U443" s="273"/>
      <c r="V443" s="273"/>
      <c r="W443" s="273"/>
      <c r="X443" s="273"/>
      <c r="Y443" s="142"/>
      <c r="Z443" s="273"/>
      <c r="AA443" s="273"/>
      <c r="AB443" s="273"/>
      <c r="AC443" s="273"/>
      <c r="AD443" s="273"/>
      <c r="AE443" s="273"/>
      <c r="AF443" s="287">
        <f t="shared" si="1025"/>
        <v>0</v>
      </c>
      <c r="AG443" s="283">
        <f t="shared" si="1026"/>
        <v>12.933999999999999</v>
      </c>
      <c r="AH443" s="322">
        <f t="shared" si="1027"/>
        <v>53013.879199999996</v>
      </c>
      <c r="AI443" s="322">
        <f t="shared" si="1027"/>
        <v>53013.879199999996</v>
      </c>
      <c r="AJ443" s="322">
        <f t="shared" si="1027"/>
        <v>0</v>
      </c>
      <c r="AK443" s="261">
        <f t="shared" si="1032"/>
        <v>106027.75839999999</v>
      </c>
      <c r="AL443" s="228">
        <f t="shared" si="1028"/>
        <v>0</v>
      </c>
      <c r="AM443" s="228">
        <f t="shared" si="1028"/>
        <v>0</v>
      </c>
      <c r="AN443" s="228">
        <f t="shared" si="1028"/>
        <v>0</v>
      </c>
      <c r="AO443" s="261"/>
      <c r="AP443" s="228"/>
      <c r="AQ443" s="228"/>
      <c r="AR443" s="228"/>
      <c r="AS443" s="228"/>
      <c r="AT443" s="228"/>
      <c r="AU443" s="228"/>
      <c r="AV443" s="261"/>
      <c r="AW443" s="228"/>
      <c r="AX443" s="228"/>
      <c r="AY443" s="228"/>
      <c r="AZ443" s="228"/>
      <c r="BA443" s="228"/>
      <c r="BB443" s="228"/>
      <c r="BC443" s="261">
        <f t="shared" si="1029"/>
        <v>0</v>
      </c>
      <c r="BD443" s="239">
        <f t="shared" si="1030"/>
        <v>106027.75839999999</v>
      </c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</row>
    <row r="444" spans="1:202" ht="12.75">
      <c r="A444" s="191"/>
      <c r="B444" s="84" t="s">
        <v>467</v>
      </c>
      <c r="C444" s="217" t="s">
        <v>577</v>
      </c>
      <c r="D444" s="149"/>
      <c r="E444" s="147">
        <v>2855.52</v>
      </c>
      <c r="F444" s="147">
        <v>1570.83</v>
      </c>
      <c r="G444" s="177">
        <f t="shared" ref="G444:G458" si="1033">E444-F444</f>
        <v>1284.69</v>
      </c>
      <c r="H444" s="147">
        <v>2855.52</v>
      </c>
      <c r="I444" s="147">
        <v>1570.83</v>
      </c>
      <c r="J444" s="177">
        <f t="shared" ref="J444:J454" si="1034">H444-I444</f>
        <v>1284.69</v>
      </c>
      <c r="K444" s="252">
        <v>364.01</v>
      </c>
      <c r="L444" s="252">
        <v>309.10300000000001</v>
      </c>
      <c r="M444" s="154"/>
      <c r="N444" s="287">
        <f t="shared" si="1031"/>
        <v>673.11300000000006</v>
      </c>
      <c r="O444" s="273"/>
      <c r="P444" s="273"/>
      <c r="Q444" s="273"/>
      <c r="R444" s="287"/>
      <c r="S444" s="290"/>
      <c r="T444" s="273"/>
      <c r="U444" s="273"/>
      <c r="V444" s="273"/>
      <c r="W444" s="273"/>
      <c r="X444" s="273"/>
      <c r="Y444" s="142"/>
      <c r="Z444" s="273"/>
      <c r="AA444" s="273"/>
      <c r="AB444" s="273"/>
      <c r="AC444" s="273"/>
      <c r="AD444" s="273"/>
      <c r="AE444" s="273"/>
      <c r="AF444" s="287">
        <f t="shared" ref="AF444:AF454" si="1035">SUM(Z444:AE444)</f>
        <v>0</v>
      </c>
      <c r="AG444" s="283">
        <f t="shared" ref="AG444:AG458" si="1036">AF444+Y444+R444+N444</f>
        <v>673.11300000000006</v>
      </c>
      <c r="AH444" s="322">
        <f t="shared" ref="AH444:AH454" si="1037">K444*$G444</f>
        <v>467640.00690000004</v>
      </c>
      <c r="AI444" s="322">
        <f t="shared" ref="AI444:AI454" si="1038">L444*$G444</f>
        <v>397101.53307</v>
      </c>
      <c r="AJ444" s="322">
        <f t="shared" ref="AJ444:AJ454" si="1039">M444*$G444</f>
        <v>0</v>
      </c>
      <c r="AK444" s="261">
        <f t="shared" si="1032"/>
        <v>864741.53997000004</v>
      </c>
      <c r="AL444" s="228">
        <f t="shared" ref="AL444:AL454" si="1040">O444*$G444</f>
        <v>0</v>
      </c>
      <c r="AM444" s="228">
        <f t="shared" ref="AM444:AM454" si="1041">P444*$G444</f>
        <v>0</v>
      </c>
      <c r="AN444" s="228">
        <f t="shared" ref="AN444:AN454" si="1042">Q444*$G444</f>
        <v>0</v>
      </c>
      <c r="AO444" s="261"/>
      <c r="AP444" s="228"/>
      <c r="AQ444" s="228"/>
      <c r="AR444" s="228"/>
      <c r="AS444" s="228"/>
      <c r="AT444" s="228"/>
      <c r="AU444" s="228"/>
      <c r="AV444" s="261"/>
      <c r="AW444" s="228"/>
      <c r="AX444" s="228"/>
      <c r="AY444" s="228"/>
      <c r="AZ444" s="228"/>
      <c r="BA444" s="228"/>
      <c r="BB444" s="228"/>
      <c r="BC444" s="261">
        <f t="shared" ref="BC444:BC454" si="1043">SUM(AW444:BB444)</f>
        <v>0</v>
      </c>
      <c r="BD444" s="239">
        <f t="shared" si="1014"/>
        <v>864741.53997000004</v>
      </c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</row>
    <row r="445" spans="1:202" ht="12.75">
      <c r="A445" s="191"/>
      <c r="B445" s="84" t="s">
        <v>458</v>
      </c>
      <c r="C445" s="217" t="s">
        <v>577</v>
      </c>
      <c r="D445" s="149"/>
      <c r="E445" s="147">
        <v>3489.57</v>
      </c>
      <c r="F445" s="147">
        <v>1943.33</v>
      </c>
      <c r="G445" s="177">
        <f t="shared" si="1033"/>
        <v>1546.2400000000002</v>
      </c>
      <c r="H445" s="147">
        <v>3489.57</v>
      </c>
      <c r="I445" s="147">
        <v>1943.33</v>
      </c>
      <c r="J445" s="177">
        <f t="shared" si="1034"/>
        <v>1546.2400000000002</v>
      </c>
      <c r="K445" s="252">
        <v>26.75</v>
      </c>
      <c r="L445" s="252">
        <v>26.75</v>
      </c>
      <c r="M445" s="154"/>
      <c r="N445" s="287">
        <f t="shared" si="1031"/>
        <v>53.5</v>
      </c>
      <c r="O445" s="273"/>
      <c r="P445" s="273"/>
      <c r="Q445" s="273"/>
      <c r="R445" s="287"/>
      <c r="S445" s="290"/>
      <c r="T445" s="273"/>
      <c r="U445" s="273"/>
      <c r="V445" s="273"/>
      <c r="W445" s="273"/>
      <c r="X445" s="273"/>
      <c r="Y445" s="142"/>
      <c r="Z445" s="273"/>
      <c r="AA445" s="273"/>
      <c r="AB445" s="273"/>
      <c r="AC445" s="273"/>
      <c r="AD445" s="273"/>
      <c r="AE445" s="273"/>
      <c r="AF445" s="287">
        <f t="shared" si="1035"/>
        <v>0</v>
      </c>
      <c r="AG445" s="283">
        <f t="shared" si="1036"/>
        <v>53.5</v>
      </c>
      <c r="AH445" s="322">
        <f t="shared" si="1037"/>
        <v>41361.920000000006</v>
      </c>
      <c r="AI445" s="322">
        <f t="shared" si="1038"/>
        <v>41361.920000000006</v>
      </c>
      <c r="AJ445" s="322">
        <f t="shared" si="1039"/>
        <v>0</v>
      </c>
      <c r="AK445" s="261">
        <f t="shared" si="1032"/>
        <v>82723.840000000011</v>
      </c>
      <c r="AL445" s="228">
        <f t="shared" si="1040"/>
        <v>0</v>
      </c>
      <c r="AM445" s="228">
        <f t="shared" si="1041"/>
        <v>0</v>
      </c>
      <c r="AN445" s="228">
        <f t="shared" si="1042"/>
        <v>0</v>
      </c>
      <c r="AO445" s="261"/>
      <c r="AP445" s="228"/>
      <c r="AQ445" s="228"/>
      <c r="AR445" s="228"/>
      <c r="AS445" s="228"/>
      <c r="AT445" s="228"/>
      <c r="AU445" s="228"/>
      <c r="AV445" s="261"/>
      <c r="AW445" s="228"/>
      <c r="AX445" s="228"/>
      <c r="AY445" s="228"/>
      <c r="AZ445" s="228"/>
      <c r="BA445" s="228"/>
      <c r="BB445" s="228"/>
      <c r="BC445" s="261">
        <f t="shared" si="1043"/>
        <v>0</v>
      </c>
      <c r="BD445" s="239">
        <f t="shared" si="1014"/>
        <v>82723.840000000011</v>
      </c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</row>
    <row r="446" spans="1:202" ht="12.75">
      <c r="A446" s="191"/>
      <c r="B446" s="84" t="s">
        <v>466</v>
      </c>
      <c r="C446" s="217" t="s">
        <v>577</v>
      </c>
      <c r="D446" s="149"/>
      <c r="E446" s="147">
        <v>9381.2999999999993</v>
      </c>
      <c r="F446" s="147">
        <v>1980</v>
      </c>
      <c r="G446" s="177">
        <f t="shared" si="1033"/>
        <v>7401.2999999999993</v>
      </c>
      <c r="H446" s="147">
        <v>9381.2999999999993</v>
      </c>
      <c r="I446" s="147">
        <v>1980</v>
      </c>
      <c r="J446" s="177">
        <f t="shared" si="1034"/>
        <v>7401.2999999999993</v>
      </c>
      <c r="K446" s="252">
        <v>33.39</v>
      </c>
      <c r="L446" s="252">
        <v>33.39</v>
      </c>
      <c r="M446" s="154"/>
      <c r="N446" s="287">
        <f t="shared" si="1031"/>
        <v>66.78</v>
      </c>
      <c r="O446" s="273"/>
      <c r="P446" s="273"/>
      <c r="Q446" s="273"/>
      <c r="R446" s="287"/>
      <c r="S446" s="290"/>
      <c r="T446" s="273"/>
      <c r="U446" s="273"/>
      <c r="V446" s="273"/>
      <c r="W446" s="273"/>
      <c r="X446" s="273"/>
      <c r="Y446" s="142"/>
      <c r="Z446" s="273"/>
      <c r="AA446" s="273"/>
      <c r="AB446" s="273"/>
      <c r="AC446" s="273"/>
      <c r="AD446" s="273"/>
      <c r="AE446" s="273"/>
      <c r="AF446" s="287">
        <f t="shared" si="1035"/>
        <v>0</v>
      </c>
      <c r="AG446" s="283">
        <f t="shared" si="1036"/>
        <v>66.78</v>
      </c>
      <c r="AH446" s="322">
        <f t="shared" si="1037"/>
        <v>247129.40699999998</v>
      </c>
      <c r="AI446" s="322">
        <f t="shared" si="1038"/>
        <v>247129.40699999998</v>
      </c>
      <c r="AJ446" s="322">
        <f t="shared" si="1039"/>
        <v>0</v>
      </c>
      <c r="AK446" s="261">
        <f t="shared" si="1032"/>
        <v>494258.81399999995</v>
      </c>
      <c r="AL446" s="228">
        <f t="shared" si="1040"/>
        <v>0</v>
      </c>
      <c r="AM446" s="228">
        <f t="shared" si="1041"/>
        <v>0</v>
      </c>
      <c r="AN446" s="228">
        <f t="shared" si="1042"/>
        <v>0</v>
      </c>
      <c r="AO446" s="261"/>
      <c r="AP446" s="228"/>
      <c r="AQ446" s="228"/>
      <c r="AR446" s="228"/>
      <c r="AS446" s="228"/>
      <c r="AT446" s="228"/>
      <c r="AU446" s="228"/>
      <c r="AV446" s="261"/>
      <c r="AW446" s="228"/>
      <c r="AX446" s="228"/>
      <c r="AY446" s="228"/>
      <c r="AZ446" s="228"/>
      <c r="BA446" s="228"/>
      <c r="BB446" s="228"/>
      <c r="BC446" s="261">
        <f t="shared" si="1043"/>
        <v>0</v>
      </c>
      <c r="BD446" s="239">
        <f t="shared" si="1014"/>
        <v>494258.81399999995</v>
      </c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</row>
    <row r="447" spans="1:202" ht="12.75">
      <c r="A447" s="191"/>
      <c r="B447" s="84" t="s">
        <v>461</v>
      </c>
      <c r="C447" s="217" t="s">
        <v>577</v>
      </c>
      <c r="D447" s="149"/>
      <c r="E447" s="147">
        <v>13681.81</v>
      </c>
      <c r="F447" s="147">
        <v>2000</v>
      </c>
      <c r="G447" s="177">
        <f>E447-F447</f>
        <v>11681.81</v>
      </c>
      <c r="H447" s="147">
        <v>13681.81</v>
      </c>
      <c r="I447" s="147">
        <v>2000</v>
      </c>
      <c r="J447" s="177">
        <f>H447-I447</f>
        <v>11681.81</v>
      </c>
      <c r="K447" s="252">
        <v>116.227</v>
      </c>
      <c r="L447" s="252">
        <v>124.24299999999999</v>
      </c>
      <c r="M447" s="154"/>
      <c r="N447" s="287">
        <f t="shared" si="1031"/>
        <v>240.47</v>
      </c>
      <c r="O447" s="273"/>
      <c r="P447" s="273"/>
      <c r="Q447" s="273"/>
      <c r="R447" s="287"/>
      <c r="S447" s="290"/>
      <c r="T447" s="273"/>
      <c r="U447" s="273"/>
      <c r="V447" s="273"/>
      <c r="W447" s="273"/>
      <c r="X447" s="273"/>
      <c r="Y447" s="142"/>
      <c r="Z447" s="273"/>
      <c r="AA447" s="273"/>
      <c r="AB447" s="273"/>
      <c r="AC447" s="273"/>
      <c r="AD447" s="273"/>
      <c r="AE447" s="273"/>
      <c r="AF447" s="287">
        <f>SUM(Z447:AE447)</f>
        <v>0</v>
      </c>
      <c r="AG447" s="283">
        <f>AF447+Y447+R447+N447</f>
        <v>240.47</v>
      </c>
      <c r="AH447" s="322">
        <f>K447*$G447</f>
        <v>1357741.7308700001</v>
      </c>
      <c r="AI447" s="322">
        <f>L447*$G447</f>
        <v>1451383.11983</v>
      </c>
      <c r="AJ447" s="322">
        <f>M447*$G447</f>
        <v>0</v>
      </c>
      <c r="AK447" s="261">
        <f t="shared" si="1032"/>
        <v>2809124.8507000003</v>
      </c>
      <c r="AL447" s="228">
        <f>O447*$G447</f>
        <v>0</v>
      </c>
      <c r="AM447" s="228">
        <f>P447*$G447</f>
        <v>0</v>
      </c>
      <c r="AN447" s="228">
        <f>Q447*$G447</f>
        <v>0</v>
      </c>
      <c r="AO447" s="261"/>
      <c r="AP447" s="228">
        <f t="shared" ref="AP447:AU447" si="1044">S447*$J447</f>
        <v>0</v>
      </c>
      <c r="AQ447" s="228">
        <f t="shared" si="1044"/>
        <v>0</v>
      </c>
      <c r="AR447" s="228">
        <f t="shared" si="1044"/>
        <v>0</v>
      </c>
      <c r="AS447" s="228">
        <f t="shared" si="1044"/>
        <v>0</v>
      </c>
      <c r="AT447" s="228">
        <f t="shared" si="1044"/>
        <v>0</v>
      </c>
      <c r="AU447" s="228">
        <f t="shared" si="1044"/>
        <v>0</v>
      </c>
      <c r="AV447" s="261"/>
      <c r="AW447" s="228">
        <f t="shared" ref="AW447:BB447" si="1045">Z447*$J447</f>
        <v>0</v>
      </c>
      <c r="AX447" s="228">
        <f t="shared" si="1045"/>
        <v>0</v>
      </c>
      <c r="AY447" s="228">
        <f t="shared" si="1045"/>
        <v>0</v>
      </c>
      <c r="AZ447" s="228">
        <f t="shared" si="1045"/>
        <v>0</v>
      </c>
      <c r="BA447" s="228">
        <f t="shared" si="1045"/>
        <v>0</v>
      </c>
      <c r="BB447" s="228">
        <f t="shared" si="1045"/>
        <v>0</v>
      </c>
      <c r="BC447" s="261">
        <f>SUM(AW447:BB447)</f>
        <v>0</v>
      </c>
      <c r="BD447" s="239">
        <f>BC447+AV447+AO447+AK447</f>
        <v>2809124.8507000003</v>
      </c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</row>
    <row r="448" spans="1:202" ht="12.75">
      <c r="A448" s="191"/>
      <c r="B448" s="84" t="s">
        <v>460</v>
      </c>
      <c r="C448" s="217" t="s">
        <v>578</v>
      </c>
      <c r="D448" s="149"/>
      <c r="E448" s="147">
        <v>5841.48</v>
      </c>
      <c r="F448" s="147">
        <v>1789.17</v>
      </c>
      <c r="G448" s="177">
        <f t="shared" si="1033"/>
        <v>4052.3099999999995</v>
      </c>
      <c r="H448" s="147">
        <v>5841.48</v>
      </c>
      <c r="I448" s="147">
        <v>1789.17</v>
      </c>
      <c r="J448" s="177">
        <f t="shared" si="1034"/>
        <v>4052.3099999999995</v>
      </c>
      <c r="K448" s="252">
        <v>7.1669999999999998</v>
      </c>
      <c r="L448" s="252">
        <f>8.55-0.07</f>
        <v>8.48</v>
      </c>
      <c r="M448" s="154"/>
      <c r="N448" s="287">
        <f t="shared" si="1031"/>
        <v>15.647</v>
      </c>
      <c r="O448" s="273"/>
      <c r="P448" s="273"/>
      <c r="Q448" s="273"/>
      <c r="R448" s="287"/>
      <c r="S448" s="290"/>
      <c r="T448" s="273"/>
      <c r="U448" s="273"/>
      <c r="V448" s="273"/>
      <c r="W448" s="273"/>
      <c r="X448" s="273"/>
      <c r="Y448" s="142"/>
      <c r="Z448" s="273"/>
      <c r="AA448" s="273"/>
      <c r="AB448" s="273"/>
      <c r="AC448" s="273"/>
      <c r="AD448" s="273"/>
      <c r="AE448" s="273"/>
      <c r="AF448" s="287">
        <f t="shared" si="1035"/>
        <v>0</v>
      </c>
      <c r="AG448" s="283">
        <f t="shared" si="1036"/>
        <v>15.647</v>
      </c>
      <c r="AH448" s="322">
        <f t="shared" si="1037"/>
        <v>29042.905769999994</v>
      </c>
      <c r="AI448" s="322">
        <f t="shared" si="1038"/>
        <v>34363.588799999998</v>
      </c>
      <c r="AJ448" s="322">
        <f t="shared" si="1039"/>
        <v>0</v>
      </c>
      <c r="AK448" s="261">
        <f t="shared" si="1032"/>
        <v>63406.494569999995</v>
      </c>
      <c r="AL448" s="228">
        <f t="shared" si="1040"/>
        <v>0</v>
      </c>
      <c r="AM448" s="228">
        <f t="shared" si="1041"/>
        <v>0</v>
      </c>
      <c r="AN448" s="228">
        <f t="shared" si="1042"/>
        <v>0</v>
      </c>
      <c r="AO448" s="261"/>
      <c r="AP448" s="228"/>
      <c r="AQ448" s="228"/>
      <c r="AR448" s="228"/>
      <c r="AS448" s="228"/>
      <c r="AT448" s="228"/>
      <c r="AU448" s="228"/>
      <c r="AV448" s="261"/>
      <c r="AW448" s="228"/>
      <c r="AX448" s="228"/>
      <c r="AY448" s="228"/>
      <c r="AZ448" s="228"/>
      <c r="BA448" s="228"/>
      <c r="BB448" s="228"/>
      <c r="BC448" s="261">
        <f t="shared" si="1043"/>
        <v>0</v>
      </c>
      <c r="BD448" s="239">
        <f t="shared" si="1014"/>
        <v>63406.494569999995</v>
      </c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</row>
    <row r="449" spans="1:202" ht="12.75">
      <c r="A449" s="191"/>
      <c r="B449" s="84" t="s">
        <v>461</v>
      </c>
      <c r="C449" s="217" t="s">
        <v>578</v>
      </c>
      <c r="D449" s="149"/>
      <c r="E449" s="147">
        <v>13681.81</v>
      </c>
      <c r="F449" s="147">
        <v>2000</v>
      </c>
      <c r="G449" s="177">
        <f>E449-F449</f>
        <v>11681.81</v>
      </c>
      <c r="H449" s="147">
        <v>13681.81</v>
      </c>
      <c r="I449" s="147">
        <v>2000</v>
      </c>
      <c r="J449" s="177">
        <f>H449-I449</f>
        <v>11681.81</v>
      </c>
      <c r="K449" s="252">
        <v>11.208</v>
      </c>
      <c r="L449" s="252">
        <f>12.597+0.048</f>
        <v>12.645</v>
      </c>
      <c r="M449" s="154"/>
      <c r="N449" s="287">
        <f t="shared" si="1031"/>
        <v>23.853000000000002</v>
      </c>
      <c r="O449" s="273"/>
      <c r="P449" s="273"/>
      <c r="Q449" s="273"/>
      <c r="R449" s="287"/>
      <c r="S449" s="290"/>
      <c r="T449" s="273"/>
      <c r="U449" s="273"/>
      <c r="V449" s="273"/>
      <c r="W449" s="273"/>
      <c r="X449" s="273"/>
      <c r="Y449" s="142"/>
      <c r="Z449" s="273"/>
      <c r="AA449" s="273"/>
      <c r="AB449" s="273"/>
      <c r="AC449" s="273"/>
      <c r="AD449" s="273"/>
      <c r="AE449" s="273"/>
      <c r="AF449" s="287">
        <f>SUM(Z449:AE449)</f>
        <v>0</v>
      </c>
      <c r="AG449" s="283">
        <f>AF449+Y449+R449+N449</f>
        <v>23.853000000000002</v>
      </c>
      <c r="AH449" s="322">
        <f t="shared" ref="AH449:AJ451" si="1046">K449*$G449</f>
        <v>130929.72648</v>
      </c>
      <c r="AI449" s="322">
        <f t="shared" si="1046"/>
        <v>147716.48744999999</v>
      </c>
      <c r="AJ449" s="322">
        <f t="shared" si="1046"/>
        <v>0</v>
      </c>
      <c r="AK449" s="261">
        <f t="shared" si="1032"/>
        <v>278646.21392999997</v>
      </c>
      <c r="AL449" s="228">
        <f t="shared" ref="AL449:AN451" si="1047">O449*$G449</f>
        <v>0</v>
      </c>
      <c r="AM449" s="228">
        <f t="shared" si="1047"/>
        <v>0</v>
      </c>
      <c r="AN449" s="228">
        <f t="shared" si="1047"/>
        <v>0</v>
      </c>
      <c r="AO449" s="261"/>
      <c r="AP449" s="228"/>
      <c r="AQ449" s="228"/>
      <c r="AR449" s="228"/>
      <c r="AS449" s="228"/>
      <c r="AT449" s="228"/>
      <c r="AU449" s="228"/>
      <c r="AV449" s="261"/>
      <c r="AW449" s="228"/>
      <c r="AX449" s="228"/>
      <c r="AY449" s="228"/>
      <c r="AZ449" s="228"/>
      <c r="BA449" s="228"/>
      <c r="BB449" s="228"/>
      <c r="BC449" s="261">
        <f>SUM(AW449:BB449)</f>
        <v>0</v>
      </c>
      <c r="BD449" s="239">
        <f>BC449+AV449+AO449+AK449</f>
        <v>278646.21392999997</v>
      </c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</row>
    <row r="450" spans="1:202" ht="12.75">
      <c r="A450" s="191"/>
      <c r="B450" s="84" t="s">
        <v>467</v>
      </c>
      <c r="C450" s="217" t="s">
        <v>578</v>
      </c>
      <c r="D450" s="149"/>
      <c r="E450" s="147">
        <v>2855.52</v>
      </c>
      <c r="F450" s="147">
        <v>1570.83</v>
      </c>
      <c r="G450" s="177">
        <f>E450-F450</f>
        <v>1284.69</v>
      </c>
      <c r="H450" s="147">
        <v>2855.52</v>
      </c>
      <c r="I450" s="147">
        <v>1570.83</v>
      </c>
      <c r="J450" s="177">
        <f>H450-I450</f>
        <v>1284.69</v>
      </c>
      <c r="K450" s="252">
        <v>43.887</v>
      </c>
      <c r="L450" s="252">
        <f>40.608-0.419</f>
        <v>40.189</v>
      </c>
      <c r="M450" s="154"/>
      <c r="N450" s="287">
        <f t="shared" si="1031"/>
        <v>84.075999999999993</v>
      </c>
      <c r="O450" s="273"/>
      <c r="P450" s="273"/>
      <c r="Q450" s="273"/>
      <c r="R450" s="287"/>
      <c r="S450" s="290"/>
      <c r="T450" s="273"/>
      <c r="U450" s="273"/>
      <c r="V450" s="273"/>
      <c r="W450" s="273"/>
      <c r="X450" s="273"/>
      <c r="Y450" s="142"/>
      <c r="Z450" s="273"/>
      <c r="AA450" s="273"/>
      <c r="AB450" s="273"/>
      <c r="AC450" s="273"/>
      <c r="AD450" s="273"/>
      <c r="AE450" s="273"/>
      <c r="AF450" s="287">
        <f>SUM(Z450:AE450)</f>
        <v>0</v>
      </c>
      <c r="AG450" s="283">
        <f>AF450+Y450+R450+N450</f>
        <v>84.075999999999993</v>
      </c>
      <c r="AH450" s="322">
        <f t="shared" si="1046"/>
        <v>56381.190030000005</v>
      </c>
      <c r="AI450" s="322">
        <f t="shared" si="1046"/>
        <v>51630.406410000003</v>
      </c>
      <c r="AJ450" s="322">
        <f t="shared" si="1046"/>
        <v>0</v>
      </c>
      <c r="AK450" s="261">
        <f t="shared" si="1032"/>
        <v>108011.59644000001</v>
      </c>
      <c r="AL450" s="228">
        <f t="shared" si="1047"/>
        <v>0</v>
      </c>
      <c r="AM450" s="228">
        <f t="shared" si="1047"/>
        <v>0</v>
      </c>
      <c r="AN450" s="228">
        <f t="shared" si="1047"/>
        <v>0</v>
      </c>
      <c r="AO450" s="261"/>
      <c r="AP450" s="228"/>
      <c r="AQ450" s="228"/>
      <c r="AR450" s="228"/>
      <c r="AS450" s="228"/>
      <c r="AT450" s="228"/>
      <c r="AU450" s="228"/>
      <c r="AV450" s="261"/>
      <c r="AW450" s="228"/>
      <c r="AX450" s="228"/>
      <c r="AY450" s="228"/>
      <c r="AZ450" s="228"/>
      <c r="BA450" s="228"/>
      <c r="BB450" s="228"/>
      <c r="BC450" s="261">
        <f>SUM(AW450:BB450)</f>
        <v>0</v>
      </c>
      <c r="BD450" s="239">
        <f>BC450+AV450+AO450+AK450</f>
        <v>108011.59644000001</v>
      </c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</row>
    <row r="451" spans="1:202" ht="12.75">
      <c r="A451" s="191"/>
      <c r="B451" s="84" t="s">
        <v>459</v>
      </c>
      <c r="C451" s="217" t="s">
        <v>578</v>
      </c>
      <c r="D451" s="149"/>
      <c r="E451" s="147">
        <v>4529.99</v>
      </c>
      <c r="F451" s="147">
        <v>1671.67</v>
      </c>
      <c r="G451" s="177">
        <f>E451-F451</f>
        <v>2858.3199999999997</v>
      </c>
      <c r="H451" s="147">
        <v>4529.99</v>
      </c>
      <c r="I451" s="147">
        <v>1671.67</v>
      </c>
      <c r="J451" s="177">
        <f>H451-I451</f>
        <v>2858.3199999999997</v>
      </c>
      <c r="K451" s="252">
        <v>8.5909999999999993</v>
      </c>
      <c r="L451" s="252">
        <f>9.254-0.017</f>
        <v>9.2370000000000001</v>
      </c>
      <c r="M451" s="154"/>
      <c r="N451" s="287">
        <f t="shared" si="1031"/>
        <v>17.827999999999999</v>
      </c>
      <c r="O451" s="273"/>
      <c r="P451" s="273"/>
      <c r="Q451" s="273"/>
      <c r="R451" s="287"/>
      <c r="S451" s="290"/>
      <c r="T451" s="273"/>
      <c r="U451" s="273"/>
      <c r="V451" s="273"/>
      <c r="W451" s="273"/>
      <c r="X451" s="273"/>
      <c r="Y451" s="142"/>
      <c r="Z451" s="273"/>
      <c r="AA451" s="273"/>
      <c r="AB451" s="273"/>
      <c r="AC451" s="273"/>
      <c r="AD451" s="273"/>
      <c r="AE451" s="273"/>
      <c r="AF451" s="287">
        <f>SUM(Z451:AE451)</f>
        <v>0</v>
      </c>
      <c r="AG451" s="283">
        <f>AF451+Y451+R451+N451</f>
        <v>17.827999999999999</v>
      </c>
      <c r="AH451" s="322">
        <f t="shared" si="1046"/>
        <v>24555.827119999994</v>
      </c>
      <c r="AI451" s="322">
        <f t="shared" si="1046"/>
        <v>26402.301839999996</v>
      </c>
      <c r="AJ451" s="322">
        <f t="shared" si="1046"/>
        <v>0</v>
      </c>
      <c r="AK451" s="261">
        <f t="shared" si="1032"/>
        <v>50958.128959999987</v>
      </c>
      <c r="AL451" s="228">
        <f t="shared" si="1047"/>
        <v>0</v>
      </c>
      <c r="AM451" s="228">
        <f t="shared" si="1047"/>
        <v>0</v>
      </c>
      <c r="AN451" s="228">
        <f t="shared" si="1047"/>
        <v>0</v>
      </c>
      <c r="AO451" s="261"/>
      <c r="AP451" s="228"/>
      <c r="AQ451" s="228"/>
      <c r="AR451" s="228"/>
      <c r="AS451" s="228"/>
      <c r="AT451" s="228"/>
      <c r="AU451" s="228"/>
      <c r="AV451" s="261"/>
      <c r="AW451" s="228"/>
      <c r="AX451" s="228"/>
      <c r="AY451" s="228"/>
      <c r="AZ451" s="228"/>
      <c r="BA451" s="228"/>
      <c r="BB451" s="228"/>
      <c r="BC451" s="261">
        <f>SUM(AW451:BB451)</f>
        <v>0</v>
      </c>
      <c r="BD451" s="239">
        <f>BC451+AV451+AO451+AK451</f>
        <v>50958.128959999987</v>
      </c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</row>
    <row r="452" spans="1:202" ht="12.75">
      <c r="A452" s="191"/>
      <c r="B452" s="84" t="s">
        <v>463</v>
      </c>
      <c r="C452" s="217" t="s">
        <v>578</v>
      </c>
      <c r="D452" s="149"/>
      <c r="E452" s="147">
        <v>2162.58</v>
      </c>
      <c r="F452" s="147">
        <v>1670.83</v>
      </c>
      <c r="G452" s="177">
        <f t="shared" si="1033"/>
        <v>491.75</v>
      </c>
      <c r="H452" s="147">
        <v>2162.58</v>
      </c>
      <c r="I452" s="147">
        <v>1670.83</v>
      </c>
      <c r="J452" s="177">
        <f t="shared" si="1034"/>
        <v>491.75</v>
      </c>
      <c r="K452" s="252">
        <v>190.91</v>
      </c>
      <c r="L452" s="252">
        <f>214.937-13.796</f>
        <v>201.14100000000002</v>
      </c>
      <c r="M452" s="154"/>
      <c r="N452" s="287">
        <f t="shared" si="1031"/>
        <v>392.05100000000004</v>
      </c>
      <c r="O452" s="273"/>
      <c r="P452" s="273"/>
      <c r="Q452" s="273"/>
      <c r="R452" s="287"/>
      <c r="S452" s="290"/>
      <c r="T452" s="273"/>
      <c r="U452" s="273"/>
      <c r="V452" s="273"/>
      <c r="W452" s="273"/>
      <c r="X452" s="273"/>
      <c r="Y452" s="142"/>
      <c r="Z452" s="273"/>
      <c r="AA452" s="273"/>
      <c r="AB452" s="273"/>
      <c r="AC452" s="273"/>
      <c r="AD452" s="273"/>
      <c r="AE452" s="273"/>
      <c r="AF452" s="287">
        <f t="shared" si="1035"/>
        <v>0</v>
      </c>
      <c r="AG452" s="283">
        <f t="shared" si="1036"/>
        <v>392.05100000000004</v>
      </c>
      <c r="AH452" s="322">
        <f t="shared" si="1037"/>
        <v>93879.992499999993</v>
      </c>
      <c r="AI452" s="322">
        <f t="shared" si="1038"/>
        <v>98911.086750000017</v>
      </c>
      <c r="AJ452" s="322">
        <f t="shared" si="1039"/>
        <v>0</v>
      </c>
      <c r="AK452" s="261">
        <f t="shared" si="1032"/>
        <v>192791.07925000001</v>
      </c>
      <c r="AL452" s="228">
        <f t="shared" si="1040"/>
        <v>0</v>
      </c>
      <c r="AM452" s="228">
        <f t="shared" si="1041"/>
        <v>0</v>
      </c>
      <c r="AN452" s="228">
        <f t="shared" si="1042"/>
        <v>0</v>
      </c>
      <c r="AO452" s="261"/>
      <c r="AP452" s="228"/>
      <c r="AQ452" s="228"/>
      <c r="AR452" s="228"/>
      <c r="AS452" s="228"/>
      <c r="AT452" s="228"/>
      <c r="AU452" s="228"/>
      <c r="AV452" s="261"/>
      <c r="AW452" s="228"/>
      <c r="AX452" s="228"/>
      <c r="AY452" s="228"/>
      <c r="AZ452" s="228"/>
      <c r="BA452" s="228"/>
      <c r="BB452" s="228"/>
      <c r="BC452" s="261">
        <f t="shared" si="1043"/>
        <v>0</v>
      </c>
      <c r="BD452" s="239">
        <f t="shared" si="1014"/>
        <v>192791.07925000001</v>
      </c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</row>
    <row r="453" spans="1:202" ht="12.75">
      <c r="A453" s="191"/>
      <c r="B453" s="84" t="s">
        <v>465</v>
      </c>
      <c r="C453" s="217" t="s">
        <v>578</v>
      </c>
      <c r="D453" s="149"/>
      <c r="E453" s="147">
        <v>15355.28</v>
      </c>
      <c r="F453" s="147">
        <v>1492.5</v>
      </c>
      <c r="G453" s="177">
        <f>E453-F453</f>
        <v>13862.78</v>
      </c>
      <c r="H453" s="147">
        <v>15355.28</v>
      </c>
      <c r="I453" s="147">
        <v>1492.5</v>
      </c>
      <c r="J453" s="177">
        <f>H453-I453</f>
        <v>13862.78</v>
      </c>
      <c r="K453" s="252">
        <v>73.563999999999993</v>
      </c>
      <c r="L453" s="252">
        <f>68.028-0.04</f>
        <v>67.988</v>
      </c>
      <c r="M453" s="154"/>
      <c r="N453" s="287">
        <f t="shared" si="1031"/>
        <v>141.55199999999999</v>
      </c>
      <c r="O453" s="273"/>
      <c r="P453" s="273"/>
      <c r="Q453" s="273"/>
      <c r="R453" s="287"/>
      <c r="S453" s="290"/>
      <c r="T453" s="273"/>
      <c r="U453" s="273"/>
      <c r="V453" s="273"/>
      <c r="W453" s="273"/>
      <c r="X453" s="273"/>
      <c r="Y453" s="142"/>
      <c r="Z453" s="273"/>
      <c r="AA453" s="273"/>
      <c r="AB453" s="273"/>
      <c r="AC453" s="273"/>
      <c r="AD453" s="273"/>
      <c r="AE453" s="273"/>
      <c r="AF453" s="287">
        <f>SUM(Z453:AE453)</f>
        <v>0</v>
      </c>
      <c r="AG453" s="283">
        <f>AF453+Y453+R453+N453</f>
        <v>141.55199999999999</v>
      </c>
      <c r="AH453" s="322">
        <f>K453*$G453</f>
        <v>1019801.5479199999</v>
      </c>
      <c r="AI453" s="322">
        <f>L453*$G453</f>
        <v>942502.68664000009</v>
      </c>
      <c r="AJ453" s="322">
        <f>M453*$G453</f>
        <v>0</v>
      </c>
      <c r="AK453" s="261">
        <f t="shared" si="1032"/>
        <v>1962304.23456</v>
      </c>
      <c r="AL453" s="228">
        <f>O453*$G453</f>
        <v>0</v>
      </c>
      <c r="AM453" s="228">
        <f>P453*$G453</f>
        <v>0</v>
      </c>
      <c r="AN453" s="228">
        <f>Q453*$G453</f>
        <v>0</v>
      </c>
      <c r="AO453" s="261"/>
      <c r="AP453" s="228"/>
      <c r="AQ453" s="228"/>
      <c r="AR453" s="228"/>
      <c r="AS453" s="228"/>
      <c r="AT453" s="228"/>
      <c r="AU453" s="228"/>
      <c r="AV453" s="261"/>
      <c r="AW453" s="228"/>
      <c r="AX453" s="228"/>
      <c r="AY453" s="228"/>
      <c r="AZ453" s="228"/>
      <c r="BA453" s="228"/>
      <c r="BB453" s="228"/>
      <c r="BC453" s="261">
        <f>SUM(AW453:BB453)</f>
        <v>0</v>
      </c>
      <c r="BD453" s="239">
        <f>BC453+AV453+AO453+AK453</f>
        <v>1962304.23456</v>
      </c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</row>
    <row r="454" spans="1:202" ht="12.75">
      <c r="A454" s="191"/>
      <c r="B454" s="84" t="s">
        <v>464</v>
      </c>
      <c r="C454" s="217" t="s">
        <v>578</v>
      </c>
      <c r="D454" s="149"/>
      <c r="E454" s="147">
        <v>10185.540000000001</v>
      </c>
      <c r="F454" s="147">
        <v>2400</v>
      </c>
      <c r="G454" s="177">
        <f t="shared" si="1033"/>
        <v>7785.5400000000009</v>
      </c>
      <c r="H454" s="147">
        <v>10185.540000000001</v>
      </c>
      <c r="I454" s="147">
        <v>2400</v>
      </c>
      <c r="J454" s="177">
        <f t="shared" si="1034"/>
        <v>7785.5400000000009</v>
      </c>
      <c r="K454" s="252">
        <v>276.83300000000003</v>
      </c>
      <c r="L454" s="252">
        <f>279.418+10.913</f>
        <v>290.33100000000002</v>
      </c>
      <c r="M454" s="154"/>
      <c r="N454" s="287">
        <f t="shared" si="1031"/>
        <v>567.16399999999999</v>
      </c>
      <c r="O454" s="273"/>
      <c r="P454" s="273"/>
      <c r="Q454" s="273"/>
      <c r="R454" s="287"/>
      <c r="S454" s="290"/>
      <c r="T454" s="273"/>
      <c r="U454" s="273"/>
      <c r="V454" s="273"/>
      <c r="W454" s="273"/>
      <c r="X454" s="273"/>
      <c r="Y454" s="142"/>
      <c r="Z454" s="273"/>
      <c r="AA454" s="273"/>
      <c r="AB454" s="273"/>
      <c r="AC454" s="273"/>
      <c r="AD454" s="273"/>
      <c r="AE454" s="273"/>
      <c r="AF454" s="287">
        <f t="shared" si="1035"/>
        <v>0</v>
      </c>
      <c r="AG454" s="283">
        <f t="shared" si="1036"/>
        <v>567.16399999999999</v>
      </c>
      <c r="AH454" s="322">
        <f t="shared" si="1037"/>
        <v>2155294.3948200005</v>
      </c>
      <c r="AI454" s="322">
        <f t="shared" si="1038"/>
        <v>2260383.6137400004</v>
      </c>
      <c r="AJ454" s="322">
        <f t="shared" si="1039"/>
        <v>0</v>
      </c>
      <c r="AK454" s="261">
        <f t="shared" si="1032"/>
        <v>4415678.0085600009</v>
      </c>
      <c r="AL454" s="228">
        <f t="shared" si="1040"/>
        <v>0</v>
      </c>
      <c r="AM454" s="228">
        <f t="shared" si="1041"/>
        <v>0</v>
      </c>
      <c r="AN454" s="228">
        <f t="shared" si="1042"/>
        <v>0</v>
      </c>
      <c r="AO454" s="261"/>
      <c r="AP454" s="228"/>
      <c r="AQ454" s="228"/>
      <c r="AR454" s="228"/>
      <c r="AS454" s="228"/>
      <c r="AT454" s="228"/>
      <c r="AU454" s="228"/>
      <c r="AV454" s="261"/>
      <c r="AW454" s="228"/>
      <c r="AX454" s="228"/>
      <c r="AY454" s="228"/>
      <c r="AZ454" s="228"/>
      <c r="BA454" s="228"/>
      <c r="BB454" s="228"/>
      <c r="BC454" s="261">
        <f t="shared" si="1043"/>
        <v>0</v>
      </c>
      <c r="BD454" s="239">
        <f t="shared" si="1014"/>
        <v>4415678.0085600009</v>
      </c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</row>
    <row r="455" spans="1:202" ht="37.5" customHeight="1">
      <c r="A455" s="193" t="s">
        <v>454</v>
      </c>
      <c r="B455" s="182" t="s">
        <v>472</v>
      </c>
      <c r="C455" s="225" t="s">
        <v>474</v>
      </c>
      <c r="D455" s="135">
        <v>29198003788</v>
      </c>
      <c r="E455" s="215"/>
      <c r="F455" s="82"/>
      <c r="G455" s="177"/>
      <c r="H455" s="215"/>
      <c r="I455" s="82"/>
      <c r="J455" s="177"/>
      <c r="K455" s="254">
        <f>K456</f>
        <v>0</v>
      </c>
      <c r="L455" s="254">
        <f>L456</f>
        <v>0</v>
      </c>
      <c r="M455" s="254">
        <f>M456</f>
        <v>0</v>
      </c>
      <c r="N455" s="284">
        <f>K455+L455+M455</f>
        <v>0</v>
      </c>
      <c r="O455" s="275">
        <f>O456</f>
        <v>0</v>
      </c>
      <c r="P455" s="275">
        <f>P456</f>
        <v>0</v>
      </c>
      <c r="Q455" s="275">
        <f>Q456</f>
        <v>0</v>
      </c>
      <c r="R455" s="284">
        <f>O455+P455+Q455</f>
        <v>0</v>
      </c>
      <c r="S455" s="293">
        <f t="shared" ref="S455:X455" si="1048">S456</f>
        <v>0</v>
      </c>
      <c r="T455" s="293">
        <f t="shared" si="1048"/>
        <v>0</v>
      </c>
      <c r="U455" s="293">
        <f t="shared" si="1048"/>
        <v>0</v>
      </c>
      <c r="V455" s="293">
        <f t="shared" si="1048"/>
        <v>0</v>
      </c>
      <c r="W455" s="293">
        <f t="shared" si="1048"/>
        <v>0</v>
      </c>
      <c r="X455" s="293">
        <f t="shared" si="1048"/>
        <v>0</v>
      </c>
      <c r="Y455" s="262">
        <f>SUM(S455:X455)</f>
        <v>0</v>
      </c>
      <c r="Z455" s="275">
        <f t="shared" ref="Z455:AE455" si="1049">Z456</f>
        <v>0</v>
      </c>
      <c r="AA455" s="275">
        <f t="shared" si="1049"/>
        <v>0</v>
      </c>
      <c r="AB455" s="275">
        <f t="shared" si="1049"/>
        <v>0</v>
      </c>
      <c r="AC455" s="275">
        <f t="shared" si="1049"/>
        <v>0</v>
      </c>
      <c r="AD455" s="275">
        <f t="shared" si="1049"/>
        <v>0</v>
      </c>
      <c r="AE455" s="275">
        <f t="shared" si="1049"/>
        <v>0</v>
      </c>
      <c r="AF455" s="284">
        <f>SUM(Z455:AE455)</f>
        <v>0</v>
      </c>
      <c r="AG455" s="282">
        <f t="shared" si="1036"/>
        <v>0</v>
      </c>
      <c r="AH455" s="232">
        <f>AH456</f>
        <v>0</v>
      </c>
      <c r="AI455" s="232">
        <f>AI456</f>
        <v>0</v>
      </c>
      <c r="AJ455" s="232">
        <f>AJ456</f>
        <v>0</v>
      </c>
      <c r="AK455" s="260">
        <f>AH455+AI455+AJ455</f>
        <v>0</v>
      </c>
      <c r="AL455" s="232">
        <f>AL456</f>
        <v>0</v>
      </c>
      <c r="AM455" s="232">
        <f>AM456</f>
        <v>0</v>
      </c>
      <c r="AN455" s="232">
        <f>AN456</f>
        <v>0</v>
      </c>
      <c r="AO455" s="260">
        <f>SUM(AL455:AN455)</f>
        <v>0</v>
      </c>
      <c r="AP455" s="232">
        <f t="shared" ref="AP455:AU455" si="1050">AP456</f>
        <v>0</v>
      </c>
      <c r="AQ455" s="232">
        <f t="shared" si="1050"/>
        <v>0</v>
      </c>
      <c r="AR455" s="232">
        <f t="shared" si="1050"/>
        <v>0</v>
      </c>
      <c r="AS455" s="232">
        <f t="shared" si="1050"/>
        <v>0</v>
      </c>
      <c r="AT455" s="232">
        <f t="shared" si="1050"/>
        <v>0</v>
      </c>
      <c r="AU455" s="232">
        <f t="shared" si="1050"/>
        <v>0</v>
      </c>
      <c r="AV455" s="260">
        <f>SUM(AP455:AU455)</f>
        <v>0</v>
      </c>
      <c r="AW455" s="232">
        <f t="shared" ref="AW455:BB455" si="1051">AW456</f>
        <v>0</v>
      </c>
      <c r="AX455" s="232">
        <f t="shared" si="1051"/>
        <v>0</v>
      </c>
      <c r="AY455" s="232">
        <f t="shared" si="1051"/>
        <v>0</v>
      </c>
      <c r="AZ455" s="232">
        <f t="shared" si="1051"/>
        <v>0</v>
      </c>
      <c r="BA455" s="232">
        <f t="shared" si="1051"/>
        <v>0</v>
      </c>
      <c r="BB455" s="232">
        <f t="shared" si="1051"/>
        <v>0</v>
      </c>
      <c r="BC455" s="260">
        <f>SUM(AW455:BB455)</f>
        <v>0</v>
      </c>
      <c r="BD455" s="238">
        <f t="shared" si="1014"/>
        <v>0</v>
      </c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</row>
    <row r="456" spans="1:202" ht="12.75">
      <c r="A456" s="191"/>
      <c r="B456" s="84"/>
      <c r="C456" s="217"/>
      <c r="D456" s="149"/>
      <c r="E456" s="147">
        <v>5152</v>
      </c>
      <c r="F456" s="147">
        <v>1916</v>
      </c>
      <c r="G456" s="177">
        <f t="shared" si="1033"/>
        <v>3236</v>
      </c>
      <c r="H456" s="147">
        <v>5152</v>
      </c>
      <c r="I456" s="147">
        <v>1916</v>
      </c>
      <c r="J456" s="177">
        <f>H456-I456</f>
        <v>3236</v>
      </c>
      <c r="K456" s="252"/>
      <c r="L456" s="252"/>
      <c r="M456" s="154"/>
      <c r="N456" s="287"/>
      <c r="O456" s="273"/>
      <c r="P456" s="273"/>
      <c r="Q456" s="273"/>
      <c r="R456" s="287"/>
      <c r="S456" s="290"/>
      <c r="T456" s="273"/>
      <c r="U456" s="273"/>
      <c r="V456" s="273"/>
      <c r="W456" s="273"/>
      <c r="X456" s="273"/>
      <c r="Y456" s="142"/>
      <c r="Z456" s="273"/>
      <c r="AA456" s="273"/>
      <c r="AB456" s="273"/>
      <c r="AC456" s="273"/>
      <c r="AD456" s="273"/>
      <c r="AE456" s="273"/>
      <c r="AF456" s="287">
        <f>SUM(Z456:AE456)</f>
        <v>0</v>
      </c>
      <c r="AG456" s="283">
        <f t="shared" si="1036"/>
        <v>0</v>
      </c>
      <c r="AH456" s="322">
        <f>K456*$G456</f>
        <v>0</v>
      </c>
      <c r="AI456" s="322">
        <f>L456*$G456</f>
        <v>0</v>
      </c>
      <c r="AJ456" s="322">
        <f>M456*$G456</f>
        <v>0</v>
      </c>
      <c r="AK456" s="261"/>
      <c r="AL456" s="228">
        <f>O456*$G456</f>
        <v>0</v>
      </c>
      <c r="AM456" s="228">
        <f>P456*$G456</f>
        <v>0</v>
      </c>
      <c r="AN456" s="228">
        <f>Q456*$G456</f>
        <v>0</v>
      </c>
      <c r="AO456" s="261"/>
      <c r="AP456" s="228">
        <f t="shared" ref="AP456:AU456" si="1052">S456*$J456</f>
        <v>0</v>
      </c>
      <c r="AQ456" s="228">
        <f t="shared" si="1052"/>
        <v>0</v>
      </c>
      <c r="AR456" s="228">
        <f t="shared" si="1052"/>
        <v>0</v>
      </c>
      <c r="AS456" s="228">
        <f t="shared" si="1052"/>
        <v>0</v>
      </c>
      <c r="AT456" s="228">
        <f t="shared" si="1052"/>
        <v>0</v>
      </c>
      <c r="AU456" s="228">
        <f t="shared" si="1052"/>
        <v>0</v>
      </c>
      <c r="AV456" s="261"/>
      <c r="AW456" s="228">
        <f t="shared" ref="AW456:BB456" si="1053">Z456*$J456</f>
        <v>0</v>
      </c>
      <c r="AX456" s="228">
        <f t="shared" si="1053"/>
        <v>0</v>
      </c>
      <c r="AY456" s="228">
        <f t="shared" si="1053"/>
        <v>0</v>
      </c>
      <c r="AZ456" s="228">
        <f t="shared" si="1053"/>
        <v>0</v>
      </c>
      <c r="BA456" s="228">
        <f t="shared" si="1053"/>
        <v>0</v>
      </c>
      <c r="BB456" s="228">
        <f t="shared" si="1053"/>
        <v>0</v>
      </c>
      <c r="BC456" s="261">
        <f>SUM(AW456:BB456)</f>
        <v>0</v>
      </c>
      <c r="BD456" s="239">
        <f t="shared" si="1014"/>
        <v>0</v>
      </c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</row>
    <row r="457" spans="1:202" ht="26.25" customHeight="1">
      <c r="A457" s="193" t="s">
        <v>454</v>
      </c>
      <c r="B457" s="182" t="s">
        <v>473</v>
      </c>
      <c r="C457" s="225" t="s">
        <v>475</v>
      </c>
      <c r="D457" s="135">
        <v>2919003805</v>
      </c>
      <c r="E457" s="215"/>
      <c r="F457" s="82"/>
      <c r="G457" s="177"/>
      <c r="H457" s="215"/>
      <c r="I457" s="82"/>
      <c r="J457" s="177"/>
      <c r="K457" s="254">
        <f>K458</f>
        <v>0</v>
      </c>
      <c r="L457" s="254">
        <f>L458</f>
        <v>0</v>
      </c>
      <c r="M457" s="254">
        <f>M458</f>
        <v>0</v>
      </c>
      <c r="N457" s="284">
        <f>K457+L457+M457</f>
        <v>0</v>
      </c>
      <c r="O457" s="275">
        <f>O458</f>
        <v>0</v>
      </c>
      <c r="P457" s="275">
        <f>P458</f>
        <v>0</v>
      </c>
      <c r="Q457" s="275">
        <f>Q458</f>
        <v>0</v>
      </c>
      <c r="R457" s="284">
        <f>O457+P457+Q457</f>
        <v>0</v>
      </c>
      <c r="S457" s="293">
        <f t="shared" ref="S457:X457" si="1054">S458</f>
        <v>0</v>
      </c>
      <c r="T457" s="293">
        <f t="shared" si="1054"/>
        <v>0</v>
      </c>
      <c r="U457" s="293">
        <f t="shared" si="1054"/>
        <v>0</v>
      </c>
      <c r="V457" s="293">
        <f t="shared" si="1054"/>
        <v>0</v>
      </c>
      <c r="W457" s="293">
        <f t="shared" si="1054"/>
        <v>0</v>
      </c>
      <c r="X457" s="293">
        <f t="shared" si="1054"/>
        <v>0</v>
      </c>
      <c r="Y457" s="262">
        <f>SUM(S457:X457)</f>
        <v>0</v>
      </c>
      <c r="Z457" s="275">
        <f t="shared" ref="Z457:AE457" si="1055">Z458</f>
        <v>0</v>
      </c>
      <c r="AA457" s="275">
        <f t="shared" si="1055"/>
        <v>0</v>
      </c>
      <c r="AB457" s="275">
        <f t="shared" si="1055"/>
        <v>0</v>
      </c>
      <c r="AC457" s="275">
        <f t="shared" si="1055"/>
        <v>0</v>
      </c>
      <c r="AD457" s="275">
        <f t="shared" si="1055"/>
        <v>0</v>
      </c>
      <c r="AE457" s="275">
        <f t="shared" si="1055"/>
        <v>0</v>
      </c>
      <c r="AF457" s="284">
        <f>SUM(Z457:AE457)</f>
        <v>0</v>
      </c>
      <c r="AG457" s="282">
        <f t="shared" si="1036"/>
        <v>0</v>
      </c>
      <c r="AH457" s="232">
        <f>AH458</f>
        <v>0</v>
      </c>
      <c r="AI457" s="232">
        <f>AI458</f>
        <v>0</v>
      </c>
      <c r="AJ457" s="232">
        <f>AJ458</f>
        <v>0</v>
      </c>
      <c r="AK457" s="260">
        <f>AH457+AI457+AJ457</f>
        <v>0</v>
      </c>
      <c r="AL457" s="232">
        <f>AL458</f>
        <v>0</v>
      </c>
      <c r="AM457" s="232">
        <f>AM458</f>
        <v>0</v>
      </c>
      <c r="AN457" s="232">
        <f>AN458</f>
        <v>0</v>
      </c>
      <c r="AO457" s="260">
        <f>SUM(AL457:AN457)</f>
        <v>0</v>
      </c>
      <c r="AP457" s="232">
        <f t="shared" ref="AP457:AU457" si="1056">AP458</f>
        <v>0</v>
      </c>
      <c r="AQ457" s="232">
        <f t="shared" si="1056"/>
        <v>0</v>
      </c>
      <c r="AR457" s="232">
        <f t="shared" si="1056"/>
        <v>0</v>
      </c>
      <c r="AS457" s="232">
        <f t="shared" si="1056"/>
        <v>0</v>
      </c>
      <c r="AT457" s="232">
        <f t="shared" si="1056"/>
        <v>0</v>
      </c>
      <c r="AU457" s="232">
        <f t="shared" si="1056"/>
        <v>0</v>
      </c>
      <c r="AV457" s="260">
        <f>SUM(AP457:AU457)</f>
        <v>0</v>
      </c>
      <c r="AW457" s="232">
        <f t="shared" ref="AW457:BB457" si="1057">AW458</f>
        <v>0</v>
      </c>
      <c r="AX457" s="232">
        <f t="shared" si="1057"/>
        <v>0</v>
      </c>
      <c r="AY457" s="232">
        <f t="shared" si="1057"/>
        <v>0</v>
      </c>
      <c r="AZ457" s="232">
        <f t="shared" si="1057"/>
        <v>0</v>
      </c>
      <c r="BA457" s="232">
        <f t="shared" si="1057"/>
        <v>0</v>
      </c>
      <c r="BB457" s="232">
        <f t="shared" si="1057"/>
        <v>0</v>
      </c>
      <c r="BC457" s="260">
        <f>SUM(AW457:BB457)</f>
        <v>0</v>
      </c>
      <c r="BD457" s="238">
        <f t="shared" si="1014"/>
        <v>0</v>
      </c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</row>
    <row r="458" spans="1:202" ht="12.75">
      <c r="A458" s="191"/>
      <c r="B458" s="84"/>
      <c r="C458" s="217"/>
      <c r="D458" s="149"/>
      <c r="E458" s="147">
        <v>3491.67</v>
      </c>
      <c r="F458" s="147">
        <v>1916</v>
      </c>
      <c r="G458" s="177">
        <f t="shared" si="1033"/>
        <v>1575.67</v>
      </c>
      <c r="H458" s="147">
        <v>3491.67</v>
      </c>
      <c r="I458" s="147">
        <v>1916</v>
      </c>
      <c r="J458" s="177">
        <f>H458-I458</f>
        <v>1575.67</v>
      </c>
      <c r="K458" s="252"/>
      <c r="L458" s="252"/>
      <c r="M458" s="154"/>
      <c r="N458" s="287"/>
      <c r="O458" s="273"/>
      <c r="P458" s="273"/>
      <c r="Q458" s="273"/>
      <c r="R458" s="287"/>
      <c r="S458" s="290"/>
      <c r="T458" s="273"/>
      <c r="U458" s="273"/>
      <c r="V458" s="273"/>
      <c r="W458" s="273"/>
      <c r="X458" s="273"/>
      <c r="Y458" s="142"/>
      <c r="Z458" s="273"/>
      <c r="AA458" s="273"/>
      <c r="AB458" s="273"/>
      <c r="AC458" s="273"/>
      <c r="AD458" s="273"/>
      <c r="AE458" s="273"/>
      <c r="AF458" s="287">
        <f>SUM(Z458:AE458)</f>
        <v>0</v>
      </c>
      <c r="AG458" s="283">
        <f t="shared" si="1036"/>
        <v>0</v>
      </c>
      <c r="AH458" s="322">
        <f>K458*$G458</f>
        <v>0</v>
      </c>
      <c r="AI458" s="322">
        <f>L458*$G458</f>
        <v>0</v>
      </c>
      <c r="AJ458" s="322">
        <f>M458*$G458</f>
        <v>0</v>
      </c>
      <c r="AK458" s="261"/>
      <c r="AL458" s="228">
        <f>O458*$G458</f>
        <v>0</v>
      </c>
      <c r="AM458" s="228">
        <f>P458*$G458</f>
        <v>0</v>
      </c>
      <c r="AN458" s="228">
        <f>Q458*$G458</f>
        <v>0</v>
      </c>
      <c r="AO458" s="261"/>
      <c r="AP458" s="228">
        <f t="shared" ref="AP458:AU458" si="1058">S458*$J458</f>
        <v>0</v>
      </c>
      <c r="AQ458" s="228">
        <f t="shared" si="1058"/>
        <v>0</v>
      </c>
      <c r="AR458" s="228">
        <f t="shared" si="1058"/>
        <v>0</v>
      </c>
      <c r="AS458" s="228">
        <f t="shared" si="1058"/>
        <v>0</v>
      </c>
      <c r="AT458" s="228">
        <f t="shared" si="1058"/>
        <v>0</v>
      </c>
      <c r="AU458" s="228">
        <f t="shared" si="1058"/>
        <v>0</v>
      </c>
      <c r="AV458" s="261"/>
      <c r="AW458" s="228">
        <f t="shared" ref="AW458:BB458" si="1059">Z458*$J458</f>
        <v>0</v>
      </c>
      <c r="AX458" s="228">
        <f t="shared" si="1059"/>
        <v>0</v>
      </c>
      <c r="AY458" s="228">
        <f t="shared" si="1059"/>
        <v>0</v>
      </c>
      <c r="AZ458" s="228">
        <f t="shared" si="1059"/>
        <v>0</v>
      </c>
      <c r="BA458" s="228">
        <f t="shared" si="1059"/>
        <v>0</v>
      </c>
      <c r="BB458" s="228">
        <f t="shared" si="1059"/>
        <v>0</v>
      </c>
      <c r="BC458" s="261">
        <f>SUM(AW458:BB458)</f>
        <v>0</v>
      </c>
      <c r="BD458" s="239">
        <f t="shared" si="1014"/>
        <v>0</v>
      </c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</row>
  </sheetData>
  <mergeCells count="9">
    <mergeCell ref="AH1:BD1"/>
    <mergeCell ref="A1:A5"/>
    <mergeCell ref="B1:B5"/>
    <mergeCell ref="D1:D5"/>
    <mergeCell ref="J1:J5"/>
    <mergeCell ref="G1:G5"/>
    <mergeCell ref="C1:C5"/>
    <mergeCell ref="E1:F4"/>
    <mergeCell ref="H1:I4"/>
  </mergeCells>
  <pageMargins left="0.11811023622047245" right="0.11811023622047245" top="0.74803149606299213" bottom="0.74803149606299213" header="0.31496062992125984" footer="0.31496062992125984"/>
  <pageSetup paperSize="9" scale="2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финансирование</vt:lpstr>
      <vt:lpstr>1 Дельта Т - СВОД</vt:lpstr>
      <vt:lpstr>факт</vt:lpstr>
      <vt:lpstr>'1 Дельта Т - СВОД'!Заголовки_для_печати</vt:lpstr>
      <vt:lpstr>финансирование!Заголовки_для_печати</vt:lpstr>
      <vt:lpstr>'1 Дельта Т - СВОД'!Область_печати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2023-08-17T06:11:38Z</cp:lastPrinted>
  <dcterms:created xsi:type="dcterms:W3CDTF">2014-12-30T11:05:19Z</dcterms:created>
  <dcterms:modified xsi:type="dcterms:W3CDTF">2023-08-17T06:11:40Z</dcterms:modified>
</cp:coreProperties>
</file>