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 firstSheet="1" activeTab="1"/>
  </bookViews>
  <sheets>
    <sheet name="ЖД транспорт " sheetId="1" state="hidden" r:id="rId1"/>
    <sheet name="Авиа" sheetId="2" r:id="rId2"/>
    <sheet name="Лизинг" sheetId="3" state="hidden" r:id="rId3"/>
    <sheet name="авиа расчет" sheetId="4" state="hidden" r:id="rId4"/>
  </sheets>
  <definedNames>
    <definedName name="_xlnm.Print_Area" localSheetId="3">'авиа расчет'!$A$1:$P$30</definedName>
  </definedNames>
  <calcPr calcId="125725"/>
</workbook>
</file>

<file path=xl/calcChain.xml><?xml version="1.0" encoding="utf-8"?>
<calcChain xmlns="http://schemas.openxmlformats.org/spreadsheetml/2006/main">
  <c r="B22" i="1"/>
  <c r="O26" i="4"/>
  <c r="O27" s="1"/>
  <c r="N26"/>
  <c r="N27" s="1"/>
  <c r="M26"/>
  <c r="M27" s="1"/>
  <c r="L26"/>
  <c r="L27" s="1"/>
  <c r="C26"/>
  <c r="I25"/>
  <c r="E25"/>
  <c r="I23"/>
  <c r="E23"/>
  <c r="I22"/>
  <c r="I21"/>
  <c r="E21"/>
  <c r="I20"/>
  <c r="E20"/>
  <c r="I17"/>
  <c r="I16"/>
  <c r="I15"/>
  <c r="I14"/>
  <c r="E14"/>
  <c r="I12"/>
  <c r="E12"/>
  <c r="P10"/>
  <c r="I10"/>
  <c r="E10"/>
  <c r="P9"/>
  <c r="M9"/>
  <c r="L9"/>
  <c r="L7"/>
  <c r="I7"/>
  <c r="E7"/>
  <c r="I6"/>
  <c r="E6"/>
  <c r="I5"/>
  <c r="E5"/>
  <c r="O4"/>
  <c r="L4"/>
  <c r="Q16" i="3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H16"/>
  <c r="H17" s="1"/>
  <c r="G16"/>
  <c r="G17" s="1"/>
  <c r="F16"/>
  <c r="F17" s="1"/>
  <c r="E16"/>
  <c r="E17" s="1"/>
  <c r="D16"/>
  <c r="D17" s="1"/>
  <c r="C16"/>
  <c r="C17" s="1"/>
  <c r="B16"/>
  <c r="B17" s="1"/>
  <c r="B18" s="1"/>
  <c r="I15"/>
  <c r="I14"/>
  <c r="I13"/>
  <c r="I12"/>
  <c r="I11"/>
  <c r="I10"/>
  <c r="I9"/>
  <c r="I8"/>
  <c r="I7"/>
  <c r="E11" i="2"/>
  <c r="E13" s="1"/>
  <c r="E8"/>
  <c r="E7"/>
  <c r="E19" i="1"/>
  <c r="E21" s="1"/>
  <c r="D16"/>
  <c r="I10"/>
  <c r="F10"/>
  <c r="G10" s="1"/>
  <c r="G9"/>
  <c r="F9"/>
  <c r="E8"/>
  <c r="E11" s="1"/>
  <c r="D8"/>
  <c r="I9" s="1"/>
  <c r="G7"/>
  <c r="F7"/>
  <c r="I16" i="3" l="1"/>
  <c r="I17" s="1"/>
  <c r="F18" s="1"/>
  <c r="E8" i="4"/>
  <c r="I8"/>
  <c r="I18"/>
  <c r="J18" i="3"/>
  <c r="N18"/>
  <c r="P27" i="4"/>
  <c r="P28" s="1"/>
  <c r="D18" i="3"/>
  <c r="I26" i="4"/>
  <c r="P29"/>
  <c r="N4"/>
  <c r="E12" i="1"/>
  <c r="E13" s="1"/>
  <c r="E16" s="1"/>
  <c r="F8"/>
  <c r="N5" i="4" l="1"/>
  <c r="N10" s="1"/>
  <c r="P30"/>
  <c r="E24" s="1"/>
  <c r="E18" s="1"/>
  <c r="E26" s="1"/>
  <c r="M5" s="1"/>
  <c r="M10" s="1"/>
  <c r="L5"/>
  <c r="O5"/>
  <c r="F11" i="1"/>
  <c r="F13" s="1"/>
  <c r="F16" s="1"/>
  <c r="G8"/>
  <c r="F12"/>
  <c r="G11" l="1"/>
  <c r="G13" s="1"/>
  <c r="G16" s="1"/>
  <c r="G12"/>
  <c r="L10" i="4"/>
  <c r="P5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>на 10 % больше, чем в 2019 по предложению тернового</t>
        </r>
      </text>
    </comment>
  </commentList>
</comments>
</file>

<file path=xl/sharedStrings.xml><?xml version="1.0" encoding="utf-8"?>
<sst xmlns="http://schemas.openxmlformats.org/spreadsheetml/2006/main" count="180" uniqueCount="122">
  <si>
    <t>Потребность в субсидии на возмещение недополученных доходов, возникающих в результате государственного регулирования тарифов на перевозки пассажиров в пригородном железнодорожном сообщении</t>
  </si>
  <si>
    <t>№ п/п</t>
  </si>
  <si>
    <t>Наименование показателя</t>
  </si>
  <si>
    <t>Ед. изм.</t>
  </si>
  <si>
    <t>2022 год</t>
  </si>
  <si>
    <t>2023 год</t>
  </si>
  <si>
    <t>2024 год</t>
  </si>
  <si>
    <t>2025 год</t>
  </si>
  <si>
    <t>Экономически обоснованный уровень тарифа (ЭОУТ)</t>
  </si>
  <si>
    <t>руб. за 1 зону</t>
  </si>
  <si>
    <t>Средневзвешенный тариф</t>
  </si>
  <si>
    <t xml:space="preserve">Средняя дальность поездки в км </t>
  </si>
  <si>
    <t>км</t>
  </si>
  <si>
    <t xml:space="preserve">Средняя дальность поездки пассажира в зонах </t>
  </si>
  <si>
    <t>Пассажирооборот</t>
  </si>
  <si>
    <t>пасс. км</t>
  </si>
  <si>
    <t>Количество перевезенных пассажиров</t>
  </si>
  <si>
    <t>пасс.</t>
  </si>
  <si>
    <t>Расходы (стр. 1 * стр. 4 * стр. 6)</t>
  </si>
  <si>
    <t>руб.</t>
  </si>
  <si>
    <t>Доходы (стр. 2 * стр. 4 * стр. 6)</t>
  </si>
  <si>
    <t>Потребность в субсидии на возмещение недополученных доходов                   (стр. 7 - стр. 8)</t>
  </si>
  <si>
    <t>Выплата по Соглашению о реструктуризации задолженности</t>
  </si>
  <si>
    <t>Отклонение между фактическими доходами и НВВ, учтенной при установлении ЭОУТ на 2021 год</t>
  </si>
  <si>
    <t>Итого потребность средств субсидии на 2023 год, из них:</t>
  </si>
  <si>
    <t>-предусмотрено законом о бюджете в редакции от 20.12.2022 (январь, февраль, доплата за 2022 год 30,3 млн. руб.)</t>
  </si>
  <si>
    <t>-добавлено на мартовской сессии АОСД (март, апрель, май, июнь)</t>
  </si>
  <si>
    <t>Итого после мартовской сессии предусмотрено законом</t>
  </si>
  <si>
    <t>-добавлено на июньской сессии АОСД (июль и 56 млн. руб. за 2021 год)</t>
  </si>
  <si>
    <t>Итого после июньской сессии предусмотрено законом</t>
  </si>
  <si>
    <t xml:space="preserve">Потребность в субсидии на возмещение недополученных доходов, возникающих в результате государственного регулирования тарифов на перевозки пассажиров воздушным транспортом </t>
  </si>
  <si>
    <t xml:space="preserve">Расходы </t>
  </si>
  <si>
    <t xml:space="preserve">Доходы </t>
  </si>
  <si>
    <t>Потребность в субсидии на возмещение недополученных доходов (стр. 1 - стр. 2)</t>
  </si>
  <si>
    <t>-предусмотрено законом о бюджете в редакции от 20.12.2022 млн. руб.)</t>
  </si>
  <si>
    <t>-добавлено на мартовской сессии АОСД</t>
  </si>
  <si>
    <t xml:space="preserve">-добавлено на июньской сессии АОСД </t>
  </si>
  <si>
    <t>-</t>
  </si>
  <si>
    <t xml:space="preserve">-предложение на сентябрьскую сессию АОСД </t>
  </si>
  <si>
    <t>Расчет затрат по договорма лизинга</t>
  </si>
  <si>
    <t>2018 год</t>
  </si>
  <si>
    <t>2019 год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</si>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</sst>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#,##0.000"/>
  </numFmts>
  <fonts count="48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name val="Calibri"/>
      <scheme val="minor"/>
    </font>
    <font>
      <sz val="11"/>
      <name val="Times New Roman"/>
    </font>
    <font>
      <b/>
      <sz val="14"/>
      <name val="Times New Roman"/>
    </font>
    <font>
      <sz val="12"/>
      <name val="Calibri"/>
      <scheme val="minor"/>
    </font>
    <font>
      <b/>
      <sz val="11"/>
      <name val="Calibri"/>
      <scheme val="minor"/>
    </font>
    <font>
      <b/>
      <sz val="13"/>
      <name val="Times New Roman"/>
    </font>
    <font>
      <sz val="13"/>
      <name val="Times New Roman"/>
    </font>
    <font>
      <sz val="14"/>
      <name val="Times New Roman"/>
    </font>
    <font>
      <b/>
      <sz val="14"/>
      <name val="Calibri"/>
      <scheme val="minor"/>
    </font>
    <font>
      <sz val="14"/>
      <name val="Calibri"/>
      <scheme val="minor"/>
    </font>
    <font>
      <i/>
      <sz val="14"/>
      <name val="Calibri"/>
      <scheme val="minor"/>
    </font>
    <font>
      <i/>
      <sz val="14"/>
      <name val="Times New Roman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sz val="11"/>
      <color theme="1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 tint="-0.14999847407452621"/>
        <bgColor theme="0" tint="-0.14999847407452621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50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193">
    <xf numFmtId="0" fontId="0" fillId="0" borderId="0" xfId="0"/>
    <xf numFmtId="0" fontId="21" fillId="0" borderId="0" xfId="0" applyFont="1"/>
    <xf numFmtId="0" fontId="22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0" fontId="26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4" fontId="28" fillId="0" borderId="10" xfId="0" applyNumberFormat="1" applyFont="1" applyBorder="1" applyAlignment="1">
      <alignment horizontal="center"/>
    </xf>
    <xf numFmtId="4" fontId="28" fillId="24" borderId="10" xfId="0" applyNumberFormat="1" applyFont="1" applyFill="1" applyBorder="1" applyAlignment="1">
      <alignment horizontal="center"/>
    </xf>
    <xf numFmtId="3" fontId="28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wrapText="1"/>
    </xf>
    <xf numFmtId="3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4" fontId="28" fillId="0" borderId="10" xfId="0" applyNumberFormat="1" applyFont="1" applyBorder="1" applyAlignment="1">
      <alignment horizontal="center" vertical="center"/>
    </xf>
    <xf numFmtId="0" fontId="29" fillId="0" borderId="0" xfId="0" applyFont="1"/>
    <xf numFmtId="0" fontId="23" fillId="0" borderId="10" xfId="0" applyFont="1" applyBorder="1" applyAlignment="1">
      <alignment vertical="center"/>
    </xf>
    <xf numFmtId="3" fontId="23" fillId="0" borderId="10" xfId="0" applyNumberFormat="1" applyFont="1" applyBorder="1" applyAlignment="1">
      <alignment horizontal="center" vertical="center"/>
    </xf>
    <xf numFmtId="0" fontId="30" fillId="0" borderId="0" xfId="0" applyFont="1"/>
    <xf numFmtId="0" fontId="28" fillId="0" borderId="0" xfId="0" applyFont="1"/>
    <xf numFmtId="0" fontId="30" fillId="0" borderId="10" xfId="0" applyFont="1" applyBorder="1"/>
    <xf numFmtId="0" fontId="31" fillId="0" borderId="0" xfId="0" applyFont="1"/>
    <xf numFmtId="0" fontId="31" fillId="0" borderId="10" xfId="0" applyFont="1" applyBorder="1"/>
    <xf numFmtId="0" fontId="32" fillId="0" borderId="10" xfId="0" applyFont="1" applyBorder="1"/>
    <xf numFmtId="3" fontId="32" fillId="0" borderId="10" xfId="0" applyNumberFormat="1" applyFont="1" applyBorder="1" applyAlignment="1">
      <alignment horizontal="center" vertical="center"/>
    </xf>
    <xf numFmtId="0" fontId="32" fillId="0" borderId="0" xfId="0" applyFont="1"/>
    <xf numFmtId="0" fontId="21" fillId="0" borderId="11" xfId="0" applyFont="1" applyBorder="1"/>
    <xf numFmtId="0" fontId="22" fillId="0" borderId="11" xfId="0" applyFont="1" applyBorder="1"/>
    <xf numFmtId="0" fontId="26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vertic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34" fillId="0" borderId="21" xfId="0" applyFont="1" applyBorder="1" applyAlignment="1">
      <alignment wrapText="1"/>
    </xf>
    <xf numFmtId="4" fontId="0" fillId="0" borderId="22" xfId="0" applyNumberFormat="1" applyBorder="1" applyAlignment="1">
      <alignment wrapText="1"/>
    </xf>
    <xf numFmtId="0" fontId="34" fillId="0" borderId="23" xfId="0" applyFont="1" applyBorder="1" applyAlignment="1">
      <alignment wrapText="1"/>
    </xf>
    <xf numFmtId="4" fontId="0" fillId="0" borderId="24" xfId="0" applyNumberFormat="1" applyBorder="1" applyAlignment="1">
      <alignment wrapText="1"/>
    </xf>
    <xf numFmtId="4" fontId="0" fillId="0" borderId="25" xfId="0" applyNumberForma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4" fontId="0" fillId="0" borderId="28" xfId="0" applyNumberFormat="1" applyBorder="1" applyAlignment="1">
      <alignment wrapText="1"/>
    </xf>
    <xf numFmtId="4" fontId="0" fillId="0" borderId="29" xfId="0" applyNumberFormat="1" applyBorder="1" applyAlignment="1">
      <alignment wrapText="1"/>
    </xf>
    <xf numFmtId="4" fontId="0" fillId="0" borderId="30" xfId="0" applyNumberFormat="1" applyBorder="1" applyAlignment="1">
      <alignment wrapText="1"/>
    </xf>
    <xf numFmtId="0" fontId="34" fillId="0" borderId="26" xfId="0" applyFont="1" applyBorder="1" applyAlignment="1">
      <alignment wrapText="1"/>
    </xf>
    <xf numFmtId="0" fontId="0" fillId="0" borderId="31" xfId="0" applyBorder="1" applyAlignment="1">
      <alignment wrapText="1"/>
    </xf>
    <xf numFmtId="4" fontId="0" fillId="0" borderId="32" xfId="0" applyNumberFormat="1" applyBorder="1" applyAlignment="1">
      <alignment wrapText="1"/>
    </xf>
    <xf numFmtId="0" fontId="0" fillId="0" borderId="33" xfId="0" applyBorder="1" applyAlignment="1">
      <alignment wrapText="1"/>
    </xf>
    <xf numFmtId="4" fontId="0" fillId="0" borderId="34" xfId="0" applyNumberFormat="1" applyBorder="1" applyAlignment="1">
      <alignment wrapText="1"/>
    </xf>
    <xf numFmtId="0" fontId="35" fillId="0" borderId="35" xfId="0" applyFont="1" applyBorder="1" applyAlignment="1">
      <alignment wrapText="1"/>
    </xf>
    <xf numFmtId="4" fontId="35" fillId="0" borderId="13" xfId="0" applyNumberFormat="1" applyFont="1" applyBorder="1" applyAlignment="1">
      <alignment wrapText="1"/>
    </xf>
    <xf numFmtId="4" fontId="35" fillId="0" borderId="15" xfId="0" applyNumberFormat="1" applyFont="1" applyBorder="1" applyAlignment="1">
      <alignment wrapText="1"/>
    </xf>
    <xf numFmtId="4" fontId="35" fillId="0" borderId="16" xfId="0" applyNumberFormat="1" applyFont="1" applyBorder="1" applyAlignment="1">
      <alignment wrapText="1"/>
    </xf>
    <xf numFmtId="0" fontId="35" fillId="0" borderId="36" xfId="0" applyFont="1" applyBorder="1" applyAlignment="1">
      <alignment wrapText="1"/>
    </xf>
    <xf numFmtId="4" fontId="35" fillId="0" borderId="28" xfId="0" applyNumberFormat="1" applyFont="1" applyBorder="1" applyAlignment="1">
      <alignment wrapText="1"/>
    </xf>
    <xf numFmtId="4" fontId="35" fillId="0" borderId="29" xfId="0" applyNumberFormat="1" applyFont="1" applyBorder="1" applyAlignment="1">
      <alignment wrapText="1"/>
    </xf>
    <xf numFmtId="4" fontId="35" fillId="0" borderId="30" xfId="0" applyNumberFormat="1" applyFont="1" applyBorder="1" applyAlignment="1">
      <alignment wrapText="1"/>
    </xf>
    <xf numFmtId="0" fontId="35" fillId="0" borderId="37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5" fillId="0" borderId="48" xfId="0" applyFont="1" applyBorder="1" applyAlignment="1">
      <alignment horizontal="center" vertical="center"/>
    </xf>
    <xf numFmtId="0" fontId="36" fillId="0" borderId="50" xfId="0" applyFont="1" applyBorder="1" applyAlignment="1">
      <alignment vertical="center"/>
    </xf>
    <xf numFmtId="0" fontId="36" fillId="0" borderId="53" xfId="0" applyFont="1" applyBorder="1" applyAlignment="1">
      <alignment vertical="center"/>
    </xf>
    <xf numFmtId="0" fontId="35" fillId="0" borderId="20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wrapText="1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9" fillId="0" borderId="54" xfId="0" applyFont="1" applyBorder="1" applyAlignment="1">
      <alignment vertical="center" wrapText="1"/>
    </xf>
    <xf numFmtId="3" fontId="40" fillId="0" borderId="13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3" fontId="40" fillId="0" borderId="16" xfId="0" applyNumberFormat="1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0" fillId="0" borderId="28" xfId="0" applyBorder="1" applyAlignment="1">
      <alignment vertical="center"/>
    </xf>
    <xf numFmtId="4" fontId="0" fillId="0" borderId="29" xfId="0" applyNumberFormat="1" applyBorder="1" applyAlignment="1">
      <alignment horizontal="center" vertical="center"/>
    </xf>
    <xf numFmtId="4" fontId="35" fillId="0" borderId="30" xfId="0" applyNumberFormat="1" applyFont="1" applyBorder="1" applyAlignment="1">
      <alignment vertical="center"/>
    </xf>
    <xf numFmtId="0" fontId="39" fillId="0" borderId="26" xfId="0" applyFont="1" applyBorder="1" applyAlignment="1">
      <alignment vertical="center" wrapText="1"/>
    </xf>
    <xf numFmtId="3" fontId="40" fillId="0" borderId="28" xfId="0" applyNumberFormat="1" applyFont="1" applyBorder="1" applyAlignment="1">
      <alignment vertical="center"/>
    </xf>
    <xf numFmtId="0" fontId="40" fillId="0" borderId="27" xfId="0" applyFont="1" applyBorder="1" applyAlignment="1">
      <alignment vertical="center"/>
    </xf>
    <xf numFmtId="3" fontId="40" fillId="0" borderId="30" xfId="0" applyNumberFormat="1" applyFont="1" applyBorder="1" applyAlignment="1">
      <alignment vertical="center"/>
    </xf>
    <xf numFmtId="0" fontId="41" fillId="0" borderId="27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35" fillId="0" borderId="30" xfId="0" applyFont="1" applyBorder="1" applyAlignment="1">
      <alignment vertical="center"/>
    </xf>
    <xf numFmtId="0" fontId="0" fillId="0" borderId="28" xfId="0" applyBorder="1" applyAlignment="1">
      <alignment vertical="center" wrapText="1"/>
    </xf>
    <xf numFmtId="0" fontId="42" fillId="0" borderId="26" xfId="0" applyFont="1" applyBorder="1" applyAlignment="1">
      <alignment horizontal="center" vertical="center" wrapText="1"/>
    </xf>
    <xf numFmtId="0" fontId="43" fillId="0" borderId="26" xfId="0" applyFont="1" applyBorder="1" applyAlignment="1">
      <alignment vertical="center" wrapText="1"/>
    </xf>
    <xf numFmtId="3" fontId="0" fillId="0" borderId="28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3" fontId="34" fillId="0" borderId="28" xfId="0" applyNumberFormat="1" applyFont="1" applyBorder="1" applyAlignment="1">
      <alignment vertical="center"/>
    </xf>
    <xf numFmtId="3" fontId="34" fillId="0" borderId="30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4" fontId="0" fillId="0" borderId="20" xfId="0" applyNumberFormat="1" applyBorder="1" applyAlignment="1">
      <alignment horizontal="center" vertical="center"/>
    </xf>
    <xf numFmtId="4" fontId="35" fillId="0" borderId="40" xfId="0" applyNumberFormat="1" applyFont="1" applyBorder="1" applyAlignment="1">
      <alignment vertical="center"/>
    </xf>
    <xf numFmtId="0" fontId="0" fillId="0" borderId="45" xfId="0" applyBorder="1" applyAlignment="1">
      <alignment wrapText="1"/>
    </xf>
    <xf numFmtId="0" fontId="0" fillId="0" borderId="46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34" fillId="0" borderId="13" xfId="0" applyFont="1" applyBorder="1" applyAlignment="1">
      <alignment wrapText="1"/>
    </xf>
    <xf numFmtId="4" fontId="0" fillId="0" borderId="15" xfId="0" applyNumberFormat="1" applyBorder="1" applyAlignment="1">
      <alignment wrapText="1"/>
    </xf>
    <xf numFmtId="0" fontId="0" fillId="0" borderId="16" xfId="0" applyBorder="1" applyAlignment="1">
      <alignment wrapText="1"/>
    </xf>
    <xf numFmtId="49" fontId="43" fillId="0" borderId="26" xfId="0" applyNumberFormat="1" applyFont="1" applyBorder="1" applyAlignment="1">
      <alignment vertical="center" wrapText="1"/>
    </xf>
    <xf numFmtId="0" fontId="0" fillId="0" borderId="28" xfId="0" applyBorder="1" applyAlignment="1">
      <alignment wrapText="1"/>
    </xf>
    <xf numFmtId="0" fontId="0" fillId="0" borderId="30" xfId="0" applyBorder="1" applyAlignment="1">
      <alignment wrapText="1"/>
    </xf>
    <xf numFmtId="0" fontId="0" fillId="25" borderId="29" xfId="0" applyFill="1" applyBorder="1" applyAlignment="1">
      <alignment horizontal="center"/>
    </xf>
    <xf numFmtId="0" fontId="35" fillId="25" borderId="29" xfId="0" applyFont="1" applyFill="1" applyBorder="1" applyAlignment="1">
      <alignment horizontal="center"/>
    </xf>
    <xf numFmtId="0" fontId="34" fillId="0" borderId="28" xfId="0" applyFont="1" applyBorder="1" applyAlignment="1">
      <alignment wrapText="1"/>
    </xf>
    <xf numFmtId="0" fontId="44" fillId="25" borderId="29" xfId="0" applyFont="1" applyFill="1" applyBorder="1" applyAlignment="1">
      <alignment horizontal="center"/>
    </xf>
    <xf numFmtId="0" fontId="0" fillId="0" borderId="29" xfId="0" applyBorder="1" applyAlignment="1">
      <alignment wrapText="1"/>
    </xf>
    <xf numFmtId="164" fontId="44" fillId="25" borderId="29" xfId="0" applyNumberFormat="1" applyFont="1" applyFill="1" applyBorder="1" applyAlignment="1">
      <alignment horizontal="center"/>
    </xf>
    <xf numFmtId="165" fontId="44" fillId="25" borderId="29" xfId="0" applyNumberFormat="1" applyFont="1" applyFill="1" applyBorder="1" applyAlignment="1">
      <alignment horizontal="center"/>
    </xf>
    <xf numFmtId="2" fontId="44" fillId="25" borderId="29" xfId="0" applyNumberFormat="1" applyFont="1" applyFill="1" applyBorder="1" applyAlignment="1">
      <alignment horizontal="center"/>
    </xf>
    <xf numFmtId="0" fontId="39" fillId="0" borderId="26" xfId="0" applyFont="1" applyBorder="1" applyAlignment="1">
      <alignment horizontal="left" vertical="center" wrapText="1"/>
    </xf>
    <xf numFmtId="166" fontId="44" fillId="25" borderId="29" xfId="0" applyNumberFormat="1" applyFont="1" applyFill="1" applyBorder="1" applyAlignment="1">
      <alignment horizontal="center"/>
    </xf>
    <xf numFmtId="0" fontId="34" fillId="0" borderId="27" xfId="0" applyFont="1" applyBorder="1" applyAlignment="1">
      <alignment vertical="center"/>
    </xf>
    <xf numFmtId="3" fontId="34" fillId="26" borderId="28" xfId="0" applyNumberFormat="1" applyFont="1" applyFill="1" applyBorder="1" applyAlignment="1">
      <alignment vertical="center"/>
    </xf>
    <xf numFmtId="3" fontId="34" fillId="26" borderId="30" xfId="0" applyNumberFormat="1" applyFont="1" applyFill="1" applyBorder="1" applyAlignment="1">
      <alignment vertical="center"/>
    </xf>
    <xf numFmtId="3" fontId="34" fillId="24" borderId="28" xfId="0" applyNumberFormat="1" applyFont="1" applyFill="1" applyBorder="1" applyAlignment="1">
      <alignment vertical="center"/>
    </xf>
    <xf numFmtId="3" fontId="34" fillId="24" borderId="30" xfId="0" applyNumberFormat="1" applyFont="1" applyFill="1" applyBorder="1" applyAlignment="1">
      <alignment vertical="center"/>
    </xf>
    <xf numFmtId="0" fontId="43" fillId="0" borderId="31" xfId="0" applyFont="1" applyBorder="1" applyAlignment="1">
      <alignment vertical="center" wrapText="1"/>
    </xf>
    <xf numFmtId="0" fontId="39" fillId="0" borderId="51" xfId="0" applyFont="1" applyBorder="1" applyAlignment="1">
      <alignment vertical="center" wrapText="1"/>
    </xf>
    <xf numFmtId="3" fontId="40" fillId="0" borderId="18" xfId="0" applyNumberFormat="1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4" fontId="40" fillId="27" borderId="18" xfId="0" applyNumberFormat="1" applyFont="1" applyFill="1" applyBorder="1" applyAlignment="1">
      <alignment vertical="center"/>
    </xf>
    <xf numFmtId="4" fontId="40" fillId="27" borderId="40" xfId="0" applyNumberFormat="1" applyFont="1" applyFill="1" applyBorder="1" applyAlignment="1">
      <alignment vertical="center"/>
    </xf>
    <xf numFmtId="4" fontId="40" fillId="0" borderId="19" xfId="0" applyNumberFormat="1" applyFont="1" applyBorder="1" applyAlignment="1">
      <alignment vertical="center"/>
    </xf>
    <xf numFmtId="167" fontId="40" fillId="27" borderId="18" xfId="0" applyNumberFormat="1" applyFont="1" applyFill="1" applyBorder="1" applyAlignment="1">
      <alignment vertical="center"/>
    </xf>
    <xf numFmtId="0" fontId="35" fillId="0" borderId="28" xfId="0" applyFont="1" applyBorder="1" applyAlignment="1">
      <alignment wrapText="1"/>
    </xf>
    <xf numFmtId="0" fontId="35" fillId="0" borderId="32" xfId="0" applyFont="1" applyBorder="1" applyAlignment="1">
      <alignment wrapText="1"/>
    </xf>
    <xf numFmtId="4" fontId="35" fillId="0" borderId="34" xfId="0" applyNumberFormat="1" applyFont="1" applyBorder="1" applyAlignment="1">
      <alignment wrapText="1"/>
    </xf>
    <xf numFmtId="4" fontId="35" fillId="0" borderId="64" xfId="0" applyNumberFormat="1" applyFont="1" applyBorder="1" applyAlignment="1">
      <alignment wrapText="1"/>
    </xf>
    <xf numFmtId="0" fontId="33" fillId="0" borderId="0" xfId="0" applyFont="1"/>
    <xf numFmtId="4" fontId="0" fillId="0" borderId="16" xfId="0" applyNumberFormat="1" applyBorder="1" applyAlignment="1">
      <alignment wrapText="1"/>
    </xf>
    <xf numFmtId="0" fontId="0" fillId="0" borderId="30" xfId="0" applyBorder="1" applyAlignment="1">
      <alignment horizontal="center" wrapText="1"/>
    </xf>
    <xf numFmtId="4" fontId="35" fillId="0" borderId="4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5" xfId="0" applyBorder="1" applyAlignment="1">
      <alignment wrapText="1"/>
    </xf>
    <xf numFmtId="0" fontId="0" fillId="0" borderId="41" xfId="0" applyBorder="1"/>
    <xf numFmtId="0" fontId="0" fillId="0" borderId="66" xfId="0" applyBorder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4" fontId="35" fillId="25" borderId="38" xfId="0" applyNumberFormat="1" applyFont="1" applyFill="1" applyBorder="1" applyAlignment="1">
      <alignment horizontal="center"/>
    </xf>
    <xf numFmtId="0" fontId="35" fillId="25" borderId="39" xfId="0" applyFont="1" applyFill="1" applyBorder="1" applyAlignment="1">
      <alignment horizontal="center"/>
    </xf>
    <xf numFmtId="4" fontId="35" fillId="25" borderId="18" xfId="0" applyNumberFormat="1" applyFont="1" applyFill="1" applyBorder="1" applyAlignment="1">
      <alignment horizontal="center" wrapText="1"/>
    </xf>
    <xf numFmtId="4" fontId="35" fillId="25" borderId="20" xfId="0" applyNumberFormat="1" applyFont="1" applyFill="1" applyBorder="1" applyAlignment="1">
      <alignment horizontal="center" wrapText="1"/>
    </xf>
    <xf numFmtId="4" fontId="35" fillId="25" borderId="40" xfId="0" applyNumberFormat="1" applyFont="1" applyFill="1" applyBorder="1" applyAlignment="1">
      <alignment horizontal="center" wrapText="1"/>
    </xf>
    <xf numFmtId="0" fontId="36" fillId="0" borderId="41" xfId="0" applyFont="1" applyBorder="1" applyAlignment="1">
      <alignment horizontal="center" wrapText="1"/>
    </xf>
    <xf numFmtId="0" fontId="37" fillId="0" borderId="0" xfId="0" applyFont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4" fontId="0" fillId="0" borderId="27" xfId="0" applyNumberFormat="1" applyBorder="1" applyAlignment="1">
      <alignment horizontal="center" vertical="center"/>
    </xf>
    <xf numFmtId="4" fontId="0" fillId="0" borderId="62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0" borderId="63" xfId="0" applyNumberFormat="1" applyBorder="1" applyAlignment="1">
      <alignment horizontal="center" vertical="center"/>
    </xf>
    <xf numFmtId="0" fontId="0" fillId="0" borderId="13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</cellXfs>
  <cellStyles count="950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 2" xfId="886"/>
    <cellStyle name="Процентный 2 2" xfId="887"/>
    <cellStyle name="Процентный 3" xfId="888"/>
    <cellStyle name="Процентный 4" xfId="889"/>
    <cellStyle name="Связанная ячейка 2" xfId="890"/>
    <cellStyle name="Связанная ячейка 2 10" xfId="891"/>
    <cellStyle name="Связанная ячейка 2 2" xfId="892"/>
    <cellStyle name="Связанная ячейка 2 3" xfId="893"/>
    <cellStyle name="Связанная ячейка 2 4" xfId="894"/>
    <cellStyle name="Связанная ячейка 2 5" xfId="895"/>
    <cellStyle name="Связанная ячейка 2 6" xfId="896"/>
    <cellStyle name="Связанная ячейка 2 7" xfId="897"/>
    <cellStyle name="Связанная ячейка 2 8" xfId="898"/>
    <cellStyle name="Связанная ячейка 2 9" xfId="899"/>
    <cellStyle name="Связанная ячейка 3" xfId="900"/>
    <cellStyle name="Связанная ячейка 3 10" xfId="901"/>
    <cellStyle name="Связанная ячейка 3 2" xfId="902"/>
    <cellStyle name="Связанная ячейка 3 3" xfId="903"/>
    <cellStyle name="Связанная ячейка 3 4" xfId="904"/>
    <cellStyle name="Связанная ячейка 3 5" xfId="905"/>
    <cellStyle name="Связанная ячейка 3 6" xfId="906"/>
    <cellStyle name="Связанная ячейка 3 7" xfId="907"/>
    <cellStyle name="Связанная ячейка 3 8" xfId="908"/>
    <cellStyle name="Связанная ячейка 3 9" xfId="909"/>
    <cellStyle name="Текст предупреждения 2" xfId="910"/>
    <cellStyle name="Текст предупреждения 2 10" xfId="911"/>
    <cellStyle name="Текст предупреждения 2 2" xfId="912"/>
    <cellStyle name="Текст предупреждения 2 3" xfId="913"/>
    <cellStyle name="Текст предупреждения 2 4" xfId="914"/>
    <cellStyle name="Текст предупреждения 2 5" xfId="915"/>
    <cellStyle name="Текст предупреждения 2 6" xfId="916"/>
    <cellStyle name="Текст предупреждения 2 7" xfId="917"/>
    <cellStyle name="Текст предупреждения 2 8" xfId="918"/>
    <cellStyle name="Текст предупреждения 2 9" xfId="919"/>
    <cellStyle name="Текст предупреждения 3" xfId="920"/>
    <cellStyle name="Текст предупреждения 3 10" xfId="921"/>
    <cellStyle name="Текст предупреждения 3 2" xfId="922"/>
    <cellStyle name="Текст предупреждения 3 3" xfId="923"/>
    <cellStyle name="Текст предупреждения 3 4" xfId="924"/>
    <cellStyle name="Текст предупреждения 3 5" xfId="925"/>
    <cellStyle name="Текст предупреждения 3 6" xfId="926"/>
    <cellStyle name="Текст предупреждения 3 7" xfId="927"/>
    <cellStyle name="Текст предупреждения 3 8" xfId="928"/>
    <cellStyle name="Текст предупреждения 3 9" xfId="929"/>
    <cellStyle name="Хороший 2" xfId="930"/>
    <cellStyle name="Хороший 2 10" xfId="931"/>
    <cellStyle name="Хороший 2 2" xfId="932"/>
    <cellStyle name="Хороший 2 3" xfId="933"/>
    <cellStyle name="Хороший 2 4" xfId="934"/>
    <cellStyle name="Хороший 2 5" xfId="935"/>
    <cellStyle name="Хороший 2 6" xfId="936"/>
    <cellStyle name="Хороший 2 7" xfId="937"/>
    <cellStyle name="Хороший 2 8" xfId="938"/>
    <cellStyle name="Хороший 2 9" xfId="939"/>
    <cellStyle name="Хороший 3" xfId="940"/>
    <cellStyle name="Хороший 3 10" xfId="941"/>
    <cellStyle name="Хороший 3 2" xfId="942"/>
    <cellStyle name="Хороший 3 3" xfId="943"/>
    <cellStyle name="Хороший 3 4" xfId="944"/>
    <cellStyle name="Хороший 3 5" xfId="945"/>
    <cellStyle name="Хороший 3 6" xfId="946"/>
    <cellStyle name="Хороший 3 7" xfId="947"/>
    <cellStyle name="Хороший 3 8" xfId="948"/>
    <cellStyle name="Хороший 3 9" xfId="949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Кузнецова Татьяна Юрьевна" id="{4B3416C9-A1C3-80B8-3C43-E194A269A3DA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4" personId="{4B3416C9-A1C3-80B8-3C43-E194A269A3DA}" id="{00290096-009C-42B8-A9F5-003D004800D7}" done="0">
    <text xml:space="preserve">на 10 % больше, чем в 2019 по предложению тернового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opLeftCell="A7" workbookViewId="0">
      <selection activeCell="B26" sqref="B26"/>
    </sheetView>
  </sheetViews>
  <sheetFormatPr defaultColWidth="9.140625" defaultRowHeight="15"/>
  <cols>
    <col min="1" max="1" width="8.42578125" style="1" customWidth="1"/>
    <col min="2" max="2" width="83" style="1" customWidth="1"/>
    <col min="3" max="3" width="19.85546875" style="1" bestFit="1" customWidth="1"/>
    <col min="4" max="4" width="20" style="1" hidden="1" customWidth="1"/>
    <col min="5" max="5" width="19.5703125" style="1" bestFit="1" customWidth="1"/>
    <col min="6" max="6" width="21.7109375" style="1" hidden="1" customWidth="1"/>
    <col min="7" max="7" width="18" style="1" hidden="1" customWidth="1"/>
    <col min="8" max="8" width="9.140625" style="1"/>
    <col min="9" max="9" width="0" style="1" hidden="1" bestFit="1" customWidth="1"/>
    <col min="10" max="10" width="23" style="1" customWidth="1"/>
    <col min="11" max="16384" width="9.140625" style="1"/>
  </cols>
  <sheetData>
    <row r="1" spans="1:13">
      <c r="B1" s="2"/>
      <c r="C1" s="2"/>
      <c r="D1" s="2"/>
      <c r="E1" s="2"/>
      <c r="F1" s="2"/>
      <c r="G1" s="2"/>
    </row>
    <row r="2" spans="1:13" ht="54" customHeight="1">
      <c r="A2" s="151" t="s">
        <v>0</v>
      </c>
      <c r="B2" s="151"/>
      <c r="C2" s="151"/>
      <c r="D2" s="151"/>
      <c r="E2" s="151"/>
      <c r="F2" s="151"/>
      <c r="G2" s="151"/>
      <c r="H2" s="3"/>
      <c r="I2" s="3"/>
      <c r="J2" s="3"/>
      <c r="K2" s="3"/>
      <c r="L2" s="3"/>
      <c r="M2" s="4"/>
    </row>
    <row r="3" spans="1:13">
      <c r="B3" s="2"/>
      <c r="C3" s="2"/>
      <c r="D3" s="2"/>
      <c r="E3" s="2"/>
      <c r="F3" s="2"/>
      <c r="G3" s="2"/>
    </row>
    <row r="4" spans="1:13" s="5" customFormat="1" ht="39.75" customHeight="1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13" ht="18.75">
      <c r="A5" s="8">
        <v>1</v>
      </c>
      <c r="B5" s="9" t="s">
        <v>8</v>
      </c>
      <c r="C5" s="10" t="s">
        <v>9</v>
      </c>
      <c r="D5" s="11">
        <v>95.4</v>
      </c>
      <c r="E5" s="11">
        <v>109.23</v>
      </c>
      <c r="F5" s="11">
        <v>113.6</v>
      </c>
      <c r="G5" s="11">
        <v>118.14</v>
      </c>
    </row>
    <row r="6" spans="1:13" ht="18.75">
      <c r="A6" s="8">
        <v>2</v>
      </c>
      <c r="B6" s="9" t="s">
        <v>10</v>
      </c>
      <c r="C6" s="10" t="s">
        <v>9</v>
      </c>
      <c r="D6" s="11">
        <v>30.63</v>
      </c>
      <c r="E6" s="11">
        <v>31.92</v>
      </c>
      <c r="F6" s="11">
        <v>33.200000000000003</v>
      </c>
      <c r="G6" s="11">
        <v>34.520000000000003</v>
      </c>
    </row>
    <row r="7" spans="1:13" ht="18.75">
      <c r="A7" s="8">
        <v>3</v>
      </c>
      <c r="B7" s="9" t="s">
        <v>11</v>
      </c>
      <c r="C7" s="10" t="s">
        <v>12</v>
      </c>
      <c r="D7" s="11">
        <v>46.12</v>
      </c>
      <c r="E7" s="11">
        <v>49.17</v>
      </c>
      <c r="F7" s="11">
        <f t="shared" ref="F7:F10" si="0">E7</f>
        <v>49.17</v>
      </c>
      <c r="G7" s="11">
        <f t="shared" ref="G7:G10" si="1">F7</f>
        <v>49.17</v>
      </c>
    </row>
    <row r="8" spans="1:13" ht="18.75">
      <c r="A8" s="8">
        <v>4</v>
      </c>
      <c r="B8" s="9" t="s">
        <v>13</v>
      </c>
      <c r="C8" s="10" t="s">
        <v>12</v>
      </c>
      <c r="D8" s="12">
        <f>D7/9.45</f>
        <v>4.8804232804232806</v>
      </c>
      <c r="E8" s="12">
        <f>E7/9.85</f>
        <v>4.9918781725888328</v>
      </c>
      <c r="F8" s="12">
        <f t="shared" si="0"/>
        <v>4.9918781725888328</v>
      </c>
      <c r="G8" s="12">
        <f t="shared" si="1"/>
        <v>4.9918781725888328</v>
      </c>
    </row>
    <row r="9" spans="1:13" ht="18.75">
      <c r="A9" s="8">
        <v>5</v>
      </c>
      <c r="B9" s="9" t="s">
        <v>14</v>
      </c>
      <c r="C9" s="10" t="s">
        <v>15</v>
      </c>
      <c r="D9" s="13">
        <v>76516697</v>
      </c>
      <c r="E9" s="13">
        <v>78624115</v>
      </c>
      <c r="F9" s="13">
        <f t="shared" si="0"/>
        <v>78624115</v>
      </c>
      <c r="G9" s="13">
        <f t="shared" si="1"/>
        <v>78624115</v>
      </c>
      <c r="I9" s="1">
        <f>D7/D8</f>
        <v>9.4499999999999993</v>
      </c>
    </row>
    <row r="10" spans="1:13" ht="18.75">
      <c r="A10" s="8">
        <v>6</v>
      </c>
      <c r="B10" s="9" t="s">
        <v>16</v>
      </c>
      <c r="C10" s="10" t="s">
        <v>17</v>
      </c>
      <c r="D10" s="13">
        <v>1659078</v>
      </c>
      <c r="E10" s="13">
        <v>1610276</v>
      </c>
      <c r="F10" s="13">
        <f t="shared" si="0"/>
        <v>1610276</v>
      </c>
      <c r="G10" s="13">
        <f t="shared" si="1"/>
        <v>1610276</v>
      </c>
      <c r="I10" s="1">
        <f>D10*D7</f>
        <v>76516677.359999999</v>
      </c>
    </row>
    <row r="11" spans="1:13" ht="18.75">
      <c r="A11" s="8">
        <v>7</v>
      </c>
      <c r="B11" s="9" t="s">
        <v>18</v>
      </c>
      <c r="C11" s="14" t="s">
        <v>19</v>
      </c>
      <c r="D11" s="13">
        <v>772454274</v>
      </c>
      <c r="E11" s="13">
        <f>E5*E8*E10</f>
        <v>878023685.5422945</v>
      </c>
      <c r="F11" s="13">
        <f>F5*F8*F10</f>
        <v>913151063.60527933</v>
      </c>
      <c r="G11" s="13">
        <f>G5*G8*G10</f>
        <v>949644952.94302535</v>
      </c>
    </row>
    <row r="12" spans="1:13" ht="18.75">
      <c r="A12" s="8">
        <v>8</v>
      </c>
      <c r="B12" s="9" t="s">
        <v>20</v>
      </c>
      <c r="C12" s="14" t="s">
        <v>19</v>
      </c>
      <c r="D12" s="13">
        <v>247995065</v>
      </c>
      <c r="E12" s="13">
        <f>E6*E8*E10</f>
        <v>256582587.59049752</v>
      </c>
      <c r="F12" s="13">
        <f>F6*F8*F10</f>
        <v>266871613.65928939</v>
      </c>
      <c r="G12" s="13">
        <f>G6*G8*G10</f>
        <v>277482171.79273105</v>
      </c>
    </row>
    <row r="13" spans="1:13" ht="37.5">
      <c r="A13" s="15">
        <v>9</v>
      </c>
      <c r="B13" s="16" t="s">
        <v>21</v>
      </c>
      <c r="C13" s="14" t="s">
        <v>19</v>
      </c>
      <c r="D13" s="17">
        <v>524459210</v>
      </c>
      <c r="E13" s="17">
        <f>E11-E12</f>
        <v>621441097.95179701</v>
      </c>
      <c r="F13" s="17">
        <f>F11-F12</f>
        <v>646279449.94598997</v>
      </c>
      <c r="G13" s="17">
        <f>G11-G12</f>
        <v>672162781.1502943</v>
      </c>
    </row>
    <row r="14" spans="1:13" ht="27" hidden="1" customHeight="1">
      <c r="A14" s="15">
        <v>10</v>
      </c>
      <c r="B14" s="16" t="s">
        <v>22</v>
      </c>
      <c r="C14" s="14"/>
      <c r="D14" s="17">
        <v>28952040</v>
      </c>
      <c r="E14" s="17"/>
      <c r="F14" s="17"/>
      <c r="G14" s="17"/>
    </row>
    <row r="15" spans="1:13" ht="37.5">
      <c r="A15" s="15">
        <v>11</v>
      </c>
      <c r="B15" s="18" t="s">
        <v>23</v>
      </c>
      <c r="C15" s="14" t="s">
        <v>19</v>
      </c>
      <c r="D15" s="17"/>
      <c r="E15" s="17">
        <v>56003204.020000003</v>
      </c>
      <c r="F15" s="19"/>
      <c r="G15" s="19"/>
    </row>
    <row r="16" spans="1:13" s="20" customFormat="1" ht="29.25" customHeight="1">
      <c r="A16" s="7">
        <v>12</v>
      </c>
      <c r="B16" s="21" t="s">
        <v>24</v>
      </c>
      <c r="C16" s="14" t="s">
        <v>19</v>
      </c>
      <c r="D16" s="22">
        <f>D13+D14</f>
        <v>553411250</v>
      </c>
      <c r="E16" s="22">
        <f>E13+E14+E15</f>
        <v>677444301.97179699</v>
      </c>
      <c r="F16" s="22">
        <f>F13+F14</f>
        <v>646279449.94598997</v>
      </c>
      <c r="G16" s="22">
        <f>G13+G14</f>
        <v>672162781.1502943</v>
      </c>
    </row>
    <row r="17" spans="1:7" s="23" customFormat="1" ht="37.5">
      <c r="A17" s="7"/>
      <c r="B17" s="16" t="s">
        <v>25</v>
      </c>
      <c r="C17" s="14" t="s">
        <v>19</v>
      </c>
      <c r="D17" s="9"/>
      <c r="E17" s="17">
        <v>112442809.29000001</v>
      </c>
      <c r="F17" s="24"/>
      <c r="G17" s="24"/>
    </row>
    <row r="18" spans="1:7" s="23" customFormat="1" ht="18.75">
      <c r="A18" s="25"/>
      <c r="B18" s="9" t="s">
        <v>26</v>
      </c>
      <c r="C18" s="14" t="s">
        <v>19</v>
      </c>
      <c r="D18" s="9"/>
      <c r="E18" s="17">
        <v>198277739.71000001</v>
      </c>
      <c r="F18" s="24"/>
      <c r="G18" s="24"/>
    </row>
    <row r="19" spans="1:7" s="26" customFormat="1" ht="18.75">
      <c r="A19" s="27"/>
      <c r="B19" s="28" t="s">
        <v>27</v>
      </c>
      <c r="C19" s="14" t="s">
        <v>19</v>
      </c>
      <c r="D19" s="28"/>
      <c r="E19" s="29">
        <f>E18+E17</f>
        <v>310720549</v>
      </c>
      <c r="F19" s="30"/>
      <c r="G19" s="30"/>
    </row>
    <row r="20" spans="1:7" s="23" customFormat="1" ht="18.75">
      <c r="A20" s="25"/>
      <c r="B20" s="9" t="s">
        <v>28</v>
      </c>
      <c r="C20" s="14" t="s">
        <v>19</v>
      </c>
      <c r="D20" s="9"/>
      <c r="E20" s="17">
        <v>107800000</v>
      </c>
      <c r="F20" s="24"/>
      <c r="G20" s="24"/>
    </row>
    <row r="21" spans="1:7" s="23" customFormat="1" ht="18.75">
      <c r="A21" s="25"/>
      <c r="B21" s="28" t="s">
        <v>29</v>
      </c>
      <c r="C21" s="14" t="s">
        <v>19</v>
      </c>
      <c r="D21" s="9"/>
      <c r="E21" s="29">
        <f>E19+E20</f>
        <v>418520549</v>
      </c>
      <c r="F21" s="24"/>
      <c r="G21" s="24"/>
    </row>
    <row r="22" spans="1:7" s="23" customFormat="1" ht="18.75">
      <c r="A22" s="25"/>
      <c r="B22" s="9" t="e">
        <f>-предложение на сентябрьскую сессию АОСД</f>
        <v>#NAME?</v>
      </c>
      <c r="C22" s="14" t="s">
        <v>19</v>
      </c>
      <c r="D22" s="9"/>
      <c r="E22" s="17">
        <v>140000000</v>
      </c>
      <c r="F22" s="24"/>
      <c r="G22" s="24"/>
    </row>
    <row r="23" spans="1:7" s="23" customFormat="1" ht="18.75">
      <c r="B23" s="24"/>
      <c r="C23" s="24"/>
      <c r="D23" s="24"/>
      <c r="E23" s="24"/>
      <c r="F23" s="24"/>
      <c r="G23" s="24"/>
    </row>
    <row r="24" spans="1:7" s="23" customFormat="1" ht="18.75">
      <c r="B24" s="24"/>
      <c r="C24" s="24"/>
      <c r="D24" s="24"/>
      <c r="E24" s="24"/>
      <c r="F24" s="24"/>
      <c r="G24" s="24"/>
    </row>
    <row r="25" spans="1:7" s="23" customFormat="1" ht="18.75"/>
    <row r="26" spans="1:7" s="23" customFormat="1" ht="18.75"/>
    <row r="27" spans="1:7" s="23" customFormat="1" ht="18.75"/>
  </sheetData>
  <mergeCells count="1">
    <mergeCell ref="A2:G2"/>
  </mergeCells>
  <pageMargins left="0.70866141732283461" right="0.70866141732283461" top="0.74803149606299213" bottom="0.74803149606299213" header="0.31496062992125984" footer="0.31496062992125984"/>
  <pageSetup paperSize="9" scale="97" firstPageNumber="21474836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14"/>
  <sheetViews>
    <sheetView tabSelected="1" workbookViewId="0">
      <selection activeCell="C14" sqref="C14"/>
    </sheetView>
  </sheetViews>
  <sheetFormatPr defaultRowHeight="15"/>
  <cols>
    <col min="1" max="1" width="4.42578125" customWidth="1"/>
    <col min="2" max="2" width="5.7109375" customWidth="1"/>
    <col min="3" max="3" width="66.42578125" customWidth="1"/>
    <col min="4" max="4" width="16.42578125" customWidth="1"/>
    <col min="5" max="5" width="19.140625" customWidth="1"/>
  </cols>
  <sheetData>
    <row r="2" spans="2:5" ht="101.25" customHeight="1">
      <c r="B2" s="152" t="s">
        <v>30</v>
      </c>
      <c r="C2" s="152"/>
      <c r="D2" s="152"/>
      <c r="E2" s="152"/>
    </row>
    <row r="3" spans="2:5">
      <c r="B3" s="31"/>
      <c r="C3" s="32"/>
      <c r="D3" s="32"/>
      <c r="E3" s="32"/>
    </row>
    <row r="4" spans="2:5" ht="39.75" customHeight="1">
      <c r="B4" s="33" t="s">
        <v>1</v>
      </c>
      <c r="C4" s="7" t="s">
        <v>2</v>
      </c>
      <c r="D4" s="7" t="s">
        <v>3</v>
      </c>
      <c r="E4" s="7" t="s">
        <v>5</v>
      </c>
    </row>
    <row r="5" spans="2:5" ht="30" customHeight="1">
      <c r="B5" s="15">
        <v>1</v>
      </c>
      <c r="C5" s="34" t="s">
        <v>31</v>
      </c>
      <c r="D5" s="14" t="s">
        <v>19</v>
      </c>
      <c r="E5" s="17">
        <v>524271489</v>
      </c>
    </row>
    <row r="6" spans="2:5" ht="35.25" customHeight="1">
      <c r="B6" s="15">
        <v>2</v>
      </c>
      <c r="C6" s="34" t="s">
        <v>32</v>
      </c>
      <c r="D6" s="14" t="s">
        <v>19</v>
      </c>
      <c r="E6" s="17">
        <v>142799377</v>
      </c>
    </row>
    <row r="7" spans="2:5" ht="37.5">
      <c r="B7" s="15">
        <v>3</v>
      </c>
      <c r="C7" s="18" t="s">
        <v>33</v>
      </c>
      <c r="D7" s="14" t="s">
        <v>19</v>
      </c>
      <c r="E7" s="17">
        <f>E5-E6</f>
        <v>381472112</v>
      </c>
    </row>
    <row r="8" spans="2:5" ht="52.5" customHeight="1">
      <c r="B8" s="7"/>
      <c r="C8" s="35" t="s">
        <v>24</v>
      </c>
      <c r="D8" s="14" t="s">
        <v>19</v>
      </c>
      <c r="E8" s="22">
        <f>E7</f>
        <v>381472112</v>
      </c>
    </row>
    <row r="9" spans="2:5" ht="65.25" customHeight="1">
      <c r="B9" s="7"/>
      <c r="C9" s="18" t="s">
        <v>34</v>
      </c>
      <c r="D9" s="14" t="s">
        <v>19</v>
      </c>
      <c r="E9" s="17">
        <v>98497295.709999993</v>
      </c>
    </row>
    <row r="10" spans="2:5" ht="28.5" customHeight="1">
      <c r="B10" s="25"/>
      <c r="C10" s="34" t="s">
        <v>35</v>
      </c>
      <c r="D10" s="14" t="s">
        <v>19</v>
      </c>
      <c r="E10" s="17">
        <v>151966113.28999999</v>
      </c>
    </row>
    <row r="11" spans="2:5" ht="25.5" customHeight="1">
      <c r="B11" s="27"/>
      <c r="C11" s="36" t="s">
        <v>27</v>
      </c>
      <c r="D11" s="14" t="s">
        <v>19</v>
      </c>
      <c r="E11" s="29">
        <f>E10+E9</f>
        <v>250463409</v>
      </c>
    </row>
    <row r="12" spans="2:5" ht="30" customHeight="1">
      <c r="B12" s="25"/>
      <c r="C12" s="34" t="s">
        <v>36</v>
      </c>
      <c r="D12" s="14" t="s">
        <v>19</v>
      </c>
      <c r="E12" s="17" t="s">
        <v>37</v>
      </c>
    </row>
    <row r="13" spans="2:5" ht="28.5" customHeight="1">
      <c r="B13" s="25"/>
      <c r="C13" s="36" t="s">
        <v>29</v>
      </c>
      <c r="D13" s="14" t="s">
        <v>19</v>
      </c>
      <c r="E13" s="29">
        <f>E11</f>
        <v>250463409</v>
      </c>
    </row>
    <row r="14" spans="2:5" ht="27" customHeight="1">
      <c r="B14" s="25"/>
      <c r="C14" s="34" t="s">
        <v>38</v>
      </c>
      <c r="D14" s="14" t="s">
        <v>19</v>
      </c>
      <c r="E14" s="17">
        <v>54600000</v>
      </c>
    </row>
  </sheetData>
  <mergeCells count="1">
    <mergeCell ref="B2:E2"/>
  </mergeCells>
  <pageMargins left="0.70078740157480324" right="0.70078740157480324" top="0.75196850393700776" bottom="0.75196850393700776" header="0.3" footer="0.3"/>
  <pageSetup paperSize="9" scale="78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153" t="s">
        <v>39</v>
      </c>
      <c r="B1" s="153"/>
      <c r="C1" s="153"/>
      <c r="D1" s="153"/>
      <c r="E1" s="153"/>
      <c r="F1" s="153"/>
      <c r="G1" s="153"/>
      <c r="H1" s="153"/>
      <c r="I1" s="153"/>
    </row>
    <row r="2" spans="1:17">
      <c r="A2" s="154"/>
      <c r="B2" s="156" t="s">
        <v>40</v>
      </c>
      <c r="C2" s="157"/>
      <c r="D2" s="156" t="s">
        <v>41</v>
      </c>
      <c r="E2" s="157"/>
      <c r="F2" s="156" t="s">
        <v>42</v>
      </c>
      <c r="G2" s="158"/>
      <c r="H2" s="158"/>
      <c r="I2" s="159"/>
      <c r="J2" s="156" t="s">
        <v>43</v>
      </c>
      <c r="K2" s="158"/>
      <c r="L2" s="158"/>
      <c r="M2" s="159"/>
      <c r="N2" s="156" t="s">
        <v>44</v>
      </c>
      <c r="O2" s="158"/>
      <c r="P2" s="158"/>
      <c r="Q2" s="159"/>
    </row>
    <row r="3" spans="1:17" ht="45">
      <c r="A3" s="155"/>
      <c r="B3" s="37" t="s">
        <v>45</v>
      </c>
      <c r="C3" s="38" t="s">
        <v>46</v>
      </c>
      <c r="D3" s="37" t="s">
        <v>45</v>
      </c>
      <c r="E3" s="38" t="s">
        <v>46</v>
      </c>
      <c r="F3" s="37" t="s">
        <v>45</v>
      </c>
      <c r="G3" s="39" t="s">
        <v>46</v>
      </c>
      <c r="H3" s="39" t="s">
        <v>47</v>
      </c>
      <c r="I3" s="39" t="s">
        <v>48</v>
      </c>
      <c r="J3" s="37" t="s">
        <v>49</v>
      </c>
      <c r="K3" s="39" t="s">
        <v>50</v>
      </c>
      <c r="L3" s="39" t="s">
        <v>51</v>
      </c>
      <c r="M3" s="39" t="s">
        <v>52</v>
      </c>
      <c r="N3" s="37" t="s">
        <v>53</v>
      </c>
      <c r="O3" s="39" t="s">
        <v>54</v>
      </c>
      <c r="P3" s="39" t="s">
        <v>55</v>
      </c>
      <c r="Q3" s="39" t="s">
        <v>56</v>
      </c>
    </row>
    <row r="4" spans="1:17">
      <c r="A4" s="40" t="s">
        <v>57</v>
      </c>
      <c r="B4" s="41"/>
      <c r="C4" s="42"/>
      <c r="D4" s="41">
        <v>5527594</v>
      </c>
      <c r="E4" s="41">
        <v>4591830</v>
      </c>
      <c r="F4" s="41">
        <v>4185838</v>
      </c>
      <c r="G4" s="43">
        <v>4018569</v>
      </c>
      <c r="H4" s="43">
        <v>6705434.5800000001</v>
      </c>
      <c r="I4" s="44">
        <v>6705434.5800000001</v>
      </c>
      <c r="J4" s="41">
        <v>3691915</v>
      </c>
      <c r="K4" s="43">
        <v>3609011</v>
      </c>
      <c r="L4" s="43">
        <v>5605286.5800000001</v>
      </c>
      <c r="M4" s="43">
        <v>5605286.5800000001</v>
      </c>
      <c r="N4" s="41">
        <v>3408017</v>
      </c>
      <c r="O4" s="43">
        <v>3270491</v>
      </c>
      <c r="P4" s="43">
        <v>5251669.58</v>
      </c>
      <c r="Q4" s="43">
        <v>5251669.58</v>
      </c>
    </row>
    <row r="5" spans="1:17">
      <c r="A5" s="45" t="s">
        <v>58</v>
      </c>
      <c r="B5" s="41"/>
      <c r="C5" s="46"/>
      <c r="D5" s="41">
        <v>7808145</v>
      </c>
      <c r="E5" s="41">
        <v>6860657</v>
      </c>
      <c r="F5" s="47">
        <v>6358036</v>
      </c>
      <c r="G5" s="48">
        <v>6197280</v>
      </c>
      <c r="H5" s="48">
        <v>6681667.5800000001</v>
      </c>
      <c r="I5" s="49">
        <v>6681667.5800000001</v>
      </c>
      <c r="J5" s="47">
        <v>5783929</v>
      </c>
      <c r="K5" s="48">
        <v>5706725</v>
      </c>
      <c r="L5" s="48">
        <v>5571489.5800000001</v>
      </c>
      <c r="M5" s="48">
        <v>5571489.5800000001</v>
      </c>
      <c r="N5" s="47">
        <v>5444338</v>
      </c>
      <c r="O5" s="48">
        <v>5291845</v>
      </c>
      <c r="P5" s="48">
        <v>5223630.58</v>
      </c>
      <c r="Q5" s="48">
        <v>5223630.58</v>
      </c>
    </row>
    <row r="6" spans="1:17">
      <c r="A6" s="50" t="s">
        <v>59</v>
      </c>
      <c r="B6" s="41">
        <v>8489726</v>
      </c>
      <c r="C6" s="41">
        <v>8489726</v>
      </c>
      <c r="D6" s="41">
        <v>5250260</v>
      </c>
      <c r="E6" s="41">
        <v>4381930</v>
      </c>
      <c r="F6" s="47">
        <v>4048210</v>
      </c>
      <c r="G6" s="48">
        <v>3911494</v>
      </c>
      <c r="H6" s="48"/>
      <c r="I6" s="49"/>
      <c r="J6" s="47">
        <v>3570727</v>
      </c>
      <c r="K6" s="48">
        <v>3521186</v>
      </c>
      <c r="L6" s="48">
        <v>5330674.58</v>
      </c>
      <c r="M6" s="48">
        <v>5330674.58</v>
      </c>
      <c r="N6" s="47">
        <v>3342912</v>
      </c>
      <c r="O6" s="48">
        <v>3227365</v>
      </c>
      <c r="P6" s="48">
        <v>5021726.58</v>
      </c>
      <c r="Q6" s="48">
        <v>5021726.58</v>
      </c>
    </row>
    <row r="7" spans="1:17">
      <c r="A7" s="45" t="s">
        <v>60</v>
      </c>
      <c r="B7" s="47">
        <v>6962154</v>
      </c>
      <c r="C7" s="47">
        <v>6962154</v>
      </c>
      <c r="D7" s="47">
        <v>5482857</v>
      </c>
      <c r="E7" s="47">
        <v>4512633</v>
      </c>
      <c r="F7" s="47">
        <v>4090042</v>
      </c>
      <c r="G7" s="48">
        <v>3936136</v>
      </c>
      <c r="H7" s="48">
        <v>4925926</v>
      </c>
      <c r="I7" s="49">
        <f t="shared" ref="I7:I15" si="0">H7</f>
        <v>4925926</v>
      </c>
      <c r="J7" s="47">
        <v>3614673</v>
      </c>
      <c r="K7" s="48">
        <v>3542914</v>
      </c>
      <c r="L7" s="48">
        <v>5501084.5800000001</v>
      </c>
      <c r="M7" s="48">
        <v>5501084.5800000001</v>
      </c>
      <c r="N7" s="47">
        <v>3390448</v>
      </c>
      <c r="O7" s="48">
        <v>3244051</v>
      </c>
      <c r="P7" s="48">
        <v>5165199.58</v>
      </c>
      <c r="Q7" s="48">
        <v>5165199.58</v>
      </c>
    </row>
    <row r="8" spans="1:17">
      <c r="A8" s="50" t="s">
        <v>61</v>
      </c>
      <c r="B8" s="47">
        <v>6836109</v>
      </c>
      <c r="C8" s="47">
        <v>6836109</v>
      </c>
      <c r="D8" s="47"/>
      <c r="E8" s="47">
        <v>4422649</v>
      </c>
      <c r="F8" s="47">
        <v>4008834</v>
      </c>
      <c r="G8" s="48">
        <v>3872639</v>
      </c>
      <c r="H8" s="48">
        <v>5763303.5800000001</v>
      </c>
      <c r="I8" s="49">
        <f t="shared" si="0"/>
        <v>5763303.5800000001</v>
      </c>
      <c r="J8" s="47">
        <v>3555278</v>
      </c>
      <c r="K8" s="48">
        <v>3498713</v>
      </c>
      <c r="L8" s="48">
        <v>5399725.5800000001</v>
      </c>
      <c r="M8" s="48">
        <v>5399725.5800000001</v>
      </c>
      <c r="N8" s="47">
        <v>3364954</v>
      </c>
      <c r="O8" s="48">
        <v>3234889</v>
      </c>
      <c r="P8" s="48">
        <v>5080404.58</v>
      </c>
      <c r="Q8" s="48">
        <v>5080404.58</v>
      </c>
    </row>
    <row r="9" spans="1:17">
      <c r="A9" s="45" t="s">
        <v>62</v>
      </c>
      <c r="B9" s="47">
        <v>6941970</v>
      </c>
      <c r="C9" s="47">
        <v>6941970</v>
      </c>
      <c r="D9" s="47">
        <v>4541276</v>
      </c>
      <c r="E9" s="47">
        <v>4249268</v>
      </c>
      <c r="F9" s="47">
        <v>4005350</v>
      </c>
      <c r="G9" s="48">
        <v>3865782</v>
      </c>
      <c r="H9" s="48">
        <v>5809678.5800000001</v>
      </c>
      <c r="I9" s="49">
        <f t="shared" si="0"/>
        <v>5809678.5800000001</v>
      </c>
      <c r="J9" s="47">
        <v>3543648</v>
      </c>
      <c r="K9" s="48">
        <v>3484334</v>
      </c>
      <c r="L9" s="48">
        <v>5430666.5800000001</v>
      </c>
      <c r="M9" s="48">
        <v>5430666.5800000001</v>
      </c>
      <c r="N9" s="47">
        <v>3375232</v>
      </c>
      <c r="O9" s="48">
        <v>3238376</v>
      </c>
      <c r="P9" s="48">
        <v>5106771.58</v>
      </c>
      <c r="Q9" s="48">
        <v>5106771.58</v>
      </c>
    </row>
    <row r="10" spans="1:17">
      <c r="A10" s="50" t="s">
        <v>63</v>
      </c>
      <c r="B10" s="47">
        <v>6816327</v>
      </c>
      <c r="C10" s="47">
        <v>6816327</v>
      </c>
      <c r="D10" s="47">
        <v>4438963</v>
      </c>
      <c r="E10" s="47">
        <v>4179571</v>
      </c>
      <c r="F10" s="47">
        <v>3925826</v>
      </c>
      <c r="G10" s="48">
        <v>3804903</v>
      </c>
      <c r="H10" s="48">
        <v>5701087.5800000001</v>
      </c>
      <c r="I10" s="49">
        <f t="shared" si="0"/>
        <v>5701087.5800000001</v>
      </c>
      <c r="J10" s="47">
        <v>3485665</v>
      </c>
      <c r="K10" s="48">
        <v>3441480</v>
      </c>
      <c r="L10" s="48">
        <v>5330958.58</v>
      </c>
      <c r="M10" s="48">
        <v>5330958.58</v>
      </c>
      <c r="N10" s="47">
        <v>3350191</v>
      </c>
      <c r="O10" s="48">
        <v>3229393</v>
      </c>
      <c r="P10" s="48">
        <v>5023345.58</v>
      </c>
      <c r="Q10" s="48">
        <v>5023345.58</v>
      </c>
    </row>
    <row r="11" spans="1:17">
      <c r="A11" s="45" t="s">
        <v>64</v>
      </c>
      <c r="B11" s="47">
        <v>5270878</v>
      </c>
      <c r="C11" s="47">
        <v>5270878</v>
      </c>
      <c r="D11" s="47">
        <v>4442780</v>
      </c>
      <c r="E11" s="47">
        <v>4184842</v>
      </c>
      <c r="F11" s="47">
        <v>3918514</v>
      </c>
      <c r="G11" s="48">
        <v>3794095</v>
      </c>
      <c r="H11" s="48">
        <v>5744821.5800000001</v>
      </c>
      <c r="I11" s="49">
        <f t="shared" si="0"/>
        <v>5744821.5800000001</v>
      </c>
      <c r="J11" s="47">
        <v>3470824</v>
      </c>
      <c r="K11" s="48">
        <v>3424645</v>
      </c>
      <c r="L11" s="48">
        <v>5363855.58</v>
      </c>
      <c r="M11" s="48">
        <v>5363855.58</v>
      </c>
      <c r="N11" s="47">
        <v>3359939</v>
      </c>
      <c r="O11" s="48">
        <v>3232691</v>
      </c>
      <c r="P11" s="48">
        <v>5047290.58</v>
      </c>
      <c r="Q11" s="48">
        <v>5047290.58</v>
      </c>
    </row>
    <row r="12" spans="1:17">
      <c r="A12" s="50" t="s">
        <v>65</v>
      </c>
      <c r="B12" s="47">
        <v>5126566</v>
      </c>
      <c r="C12" s="47">
        <v>5126566</v>
      </c>
      <c r="D12" s="47">
        <v>4392928</v>
      </c>
      <c r="E12" s="47">
        <v>4152345</v>
      </c>
      <c r="F12" s="47">
        <v>3874494</v>
      </c>
      <c r="G12" s="48">
        <v>3757861</v>
      </c>
      <c r="H12" s="48">
        <v>8640296.5800000001</v>
      </c>
      <c r="I12" s="49">
        <f t="shared" si="0"/>
        <v>8640296.5800000001</v>
      </c>
      <c r="J12" s="47">
        <v>3438047</v>
      </c>
      <c r="K12" s="48">
        <v>3394434</v>
      </c>
      <c r="L12" s="48">
        <v>8166919.5800000001</v>
      </c>
      <c r="M12" s="48">
        <v>8166919.5800000001</v>
      </c>
      <c r="N12" s="47">
        <v>3352286</v>
      </c>
      <c r="O12" s="48">
        <v>3229848</v>
      </c>
      <c r="P12" s="48">
        <v>7753465.5800000001</v>
      </c>
      <c r="Q12" s="48">
        <v>7753465.5800000001</v>
      </c>
    </row>
    <row r="13" spans="1:17">
      <c r="A13" s="45" t="s">
        <v>66</v>
      </c>
      <c r="B13" s="47">
        <v>4542434</v>
      </c>
      <c r="C13" s="47">
        <v>4542434</v>
      </c>
      <c r="D13" s="47">
        <v>4293565</v>
      </c>
      <c r="E13" s="47">
        <v>4084877</v>
      </c>
      <c r="F13" s="47">
        <v>3797572</v>
      </c>
      <c r="G13" s="48">
        <v>3699463</v>
      </c>
      <c r="H13" s="48">
        <v>5631820.5800000001</v>
      </c>
      <c r="I13" s="49">
        <f t="shared" si="0"/>
        <v>5631820.5800000001</v>
      </c>
      <c r="J13" s="47">
        <v>3411135</v>
      </c>
      <c r="K13" s="48">
        <v>3353647</v>
      </c>
      <c r="L13" s="48">
        <v>5272990.58</v>
      </c>
      <c r="M13" s="48">
        <v>5272990.58</v>
      </c>
      <c r="N13" s="47">
        <v>3327929</v>
      </c>
      <c r="O13" s="48">
        <v>3221133</v>
      </c>
      <c r="P13" s="48">
        <v>4960196.58</v>
      </c>
      <c r="Q13" s="48">
        <v>4960196.58</v>
      </c>
    </row>
    <row r="14" spans="1:17">
      <c r="A14" s="50" t="s">
        <v>67</v>
      </c>
      <c r="B14" s="47">
        <v>4525388</v>
      </c>
      <c r="C14" s="47">
        <v>4525388</v>
      </c>
      <c r="D14" s="47">
        <v>4290677</v>
      </c>
      <c r="E14" s="47">
        <v>4086084</v>
      </c>
      <c r="F14" s="47">
        <v>3784345</v>
      </c>
      <c r="G14" s="48">
        <v>3684134</v>
      </c>
      <c r="H14" s="48">
        <v>5672613.5800000001</v>
      </c>
      <c r="I14" s="49">
        <f t="shared" si="0"/>
        <v>5672613.5800000001</v>
      </c>
      <c r="J14" s="47">
        <v>3423070</v>
      </c>
      <c r="K14" s="48">
        <v>3333043</v>
      </c>
      <c r="L14" s="48">
        <v>5307532.58</v>
      </c>
      <c r="M14" s="48">
        <v>5307532.58</v>
      </c>
      <c r="N14" s="47">
        <v>3336878</v>
      </c>
      <c r="O14" s="48">
        <v>3224149</v>
      </c>
      <c r="P14" s="48">
        <v>4981460.58</v>
      </c>
      <c r="Q14" s="48">
        <v>4981460.58</v>
      </c>
    </row>
    <row r="15" spans="1:17">
      <c r="A15" s="51" t="s">
        <v>68</v>
      </c>
      <c r="B15" s="52">
        <v>4500000</v>
      </c>
      <c r="C15" s="53"/>
      <c r="D15" s="52">
        <v>4193348</v>
      </c>
      <c r="E15" s="52">
        <v>4020139</v>
      </c>
      <c r="F15" s="52">
        <v>3709217</v>
      </c>
      <c r="G15" s="54">
        <v>3627431</v>
      </c>
      <c r="H15" s="54">
        <v>5567235.5800000001</v>
      </c>
      <c r="I15" s="49">
        <f t="shared" si="0"/>
        <v>5567235.5800000001</v>
      </c>
      <c r="J15" s="52">
        <v>3396604</v>
      </c>
      <c r="K15" s="54">
        <v>3293668</v>
      </c>
      <c r="L15" s="54">
        <v>5219401.58</v>
      </c>
      <c r="M15" s="54">
        <v>5219401.58</v>
      </c>
      <c r="N15" s="52">
        <v>3312980</v>
      </c>
      <c r="O15" s="54">
        <v>3215613</v>
      </c>
      <c r="P15" s="54">
        <v>4900971.58</v>
      </c>
      <c r="Q15" s="54">
        <v>4900971.58</v>
      </c>
    </row>
    <row r="16" spans="1:17">
      <c r="A16" s="55" t="s">
        <v>69</v>
      </c>
      <c r="B16" s="56">
        <f t="shared" ref="B16:C16" si="1">SUM(B4:B15)</f>
        <v>60011552</v>
      </c>
      <c r="C16" s="56">
        <f t="shared" si="1"/>
        <v>55511552</v>
      </c>
      <c r="D16" s="56">
        <f t="shared" ref="D16:E16" si="2">SUM(D4:D15)</f>
        <v>54662393</v>
      </c>
      <c r="E16" s="56">
        <f t="shared" si="2"/>
        <v>53726825</v>
      </c>
      <c r="F16" s="56">
        <f t="shared" ref="F16:G16" si="3">SUM(F4:F15)</f>
        <v>49706278</v>
      </c>
      <c r="G16" s="57">
        <f t="shared" si="3"/>
        <v>48169787</v>
      </c>
      <c r="H16" s="57">
        <f>SUM(H4:H15)</f>
        <v>66843885.79999999</v>
      </c>
      <c r="I16" s="58">
        <f>SUM(I4:I15)</f>
        <v>66843885.79999999</v>
      </c>
      <c r="J16" s="56">
        <f t="shared" ref="J16:K16" si="4">SUM(J4:J15)</f>
        <v>44385515</v>
      </c>
      <c r="K16" s="57">
        <f t="shared" si="4"/>
        <v>43603800</v>
      </c>
      <c r="L16" s="57">
        <f>SUM(L4:L15)</f>
        <v>67500585.959999993</v>
      </c>
      <c r="M16" s="58">
        <f>SUM(M4:M15)</f>
        <v>67500585.959999993</v>
      </c>
      <c r="N16" s="56">
        <f t="shared" ref="N16:O16" si="5">SUM(N4:N15)</f>
        <v>42366104</v>
      </c>
      <c r="O16" s="57">
        <f t="shared" si="5"/>
        <v>40859844</v>
      </c>
      <c r="P16" s="57">
        <f>SUM(P4:P15)</f>
        <v>63516132.959999986</v>
      </c>
      <c r="Q16" s="58">
        <f>SUM(Q4:Q15)</f>
        <v>63516132.959999986</v>
      </c>
    </row>
    <row r="17" spans="1:17">
      <c r="A17" s="59" t="s">
        <v>70</v>
      </c>
      <c r="B17" s="60">
        <f>B16/1.18</f>
        <v>50857247.457627118</v>
      </c>
      <c r="C17" s="60">
        <f>C16/1.18</f>
        <v>47043688.135593221</v>
      </c>
      <c r="D17" s="60">
        <f t="shared" ref="D17:E17" si="6">D16/1.2</f>
        <v>45551994.166666672</v>
      </c>
      <c r="E17" s="60">
        <f t="shared" si="6"/>
        <v>44772354.166666672</v>
      </c>
      <c r="F17" s="60">
        <f t="shared" ref="F17:G17" si="7">F16/1.2</f>
        <v>41421898.333333336</v>
      </c>
      <c r="G17" s="61">
        <f t="shared" si="7"/>
        <v>40141489.166666672</v>
      </c>
      <c r="H17" s="61">
        <f>H16/1.2</f>
        <v>55703238.166666657</v>
      </c>
      <c r="I17" s="62">
        <f>I16/1.2</f>
        <v>55703238.166666657</v>
      </c>
      <c r="J17" s="60">
        <f t="shared" ref="J17:K17" si="8">J16/1.2</f>
        <v>36987929.166666672</v>
      </c>
      <c r="K17" s="61">
        <f t="shared" si="8"/>
        <v>36336500</v>
      </c>
      <c r="L17" s="61">
        <f>L16/1.2</f>
        <v>56250488.299999997</v>
      </c>
      <c r="M17" s="62">
        <f>M16/1.2</f>
        <v>56250488.299999997</v>
      </c>
      <c r="N17" s="60">
        <f t="shared" ref="N17:O17" si="9">N16/1.2</f>
        <v>35305086.666666672</v>
      </c>
      <c r="O17" s="61">
        <f t="shared" si="9"/>
        <v>34049870</v>
      </c>
      <c r="P17" s="61">
        <f>P16/1.2</f>
        <v>52930110.79999999</v>
      </c>
      <c r="Q17" s="62">
        <f>Q16/1.2</f>
        <v>52930110.79999999</v>
      </c>
    </row>
    <row r="18" spans="1:17" ht="32.25" customHeight="1">
      <c r="A18" s="63" t="s">
        <v>71</v>
      </c>
      <c r="B18" s="160">
        <f>B17+C17</f>
        <v>97900935.593220338</v>
      </c>
      <c r="C18" s="161"/>
      <c r="D18" s="160">
        <f>D17+E17</f>
        <v>90324348.333333343</v>
      </c>
      <c r="E18" s="161"/>
      <c r="F18" s="162">
        <f>SUM(F17:I17)</f>
        <v>192969863.83333331</v>
      </c>
      <c r="G18" s="163"/>
      <c r="H18" s="163"/>
      <c r="I18" s="164"/>
      <c r="J18" s="162">
        <f>SUM(J17:M17)</f>
        <v>185825405.76666665</v>
      </c>
      <c r="K18" s="163"/>
      <c r="L18" s="163"/>
      <c r="M18" s="164"/>
      <c r="N18" s="162">
        <f>SUM(N17:Q17)</f>
        <v>175215178.26666665</v>
      </c>
      <c r="O18" s="163"/>
      <c r="P18" s="163"/>
      <c r="Q18" s="164"/>
    </row>
    <row r="19" spans="1:17">
      <c r="C19" s="64"/>
    </row>
    <row r="21" spans="1:17">
      <c r="B21" s="64"/>
    </row>
    <row r="27" spans="1:17">
      <c r="F27" t="s">
        <v>72</v>
      </c>
    </row>
  </sheetData>
  <mergeCells count="12">
    <mergeCell ref="J2:M2"/>
    <mergeCell ref="N2:Q2"/>
    <mergeCell ref="B18:C18"/>
    <mergeCell ref="D18:E18"/>
    <mergeCell ref="F18:I18"/>
    <mergeCell ref="J18:M18"/>
    <mergeCell ref="N18:Q18"/>
    <mergeCell ref="A1:I1"/>
    <mergeCell ref="A2:A3"/>
    <mergeCell ref="B2:C2"/>
    <mergeCell ref="D2:E2"/>
    <mergeCell ref="F2:I2"/>
  </mergeCells>
  <pageMargins left="0.70866141732283472" right="0.70866141732283472" top="0.74803149606299213" bottom="0.74803149606299213" header="0.31496062992125984" footer="0.31496062992125984"/>
  <pageSetup paperSize="9" scale="52" firstPageNumber="2147483647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65" bestFit="1" customWidth="1"/>
    <col min="13" max="13" width="13.5703125" style="65" bestFit="1" customWidth="1"/>
    <col min="14" max="14" width="15.5703125" style="65" bestFit="1" customWidth="1"/>
    <col min="15" max="15" width="17" style="65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165" t="s">
        <v>73</v>
      </c>
      <c r="B1" s="165"/>
      <c r="C1" s="165"/>
      <c r="D1" s="165"/>
      <c r="E1" s="165"/>
      <c r="F1" s="165"/>
      <c r="G1" s="165"/>
      <c r="H1" s="165"/>
      <c r="I1" s="165"/>
      <c r="K1" s="166" t="s">
        <v>74</v>
      </c>
      <c r="L1" s="166"/>
      <c r="M1" s="166"/>
      <c r="N1" s="166"/>
      <c r="O1" s="166"/>
      <c r="P1" s="166"/>
    </row>
    <row r="2" spans="1:23" s="66" customFormat="1" ht="17.25" customHeight="1">
      <c r="A2" s="167"/>
      <c r="B2" s="170" t="s">
        <v>75</v>
      </c>
      <c r="C2" s="171"/>
      <c r="D2" s="171"/>
      <c r="E2" s="171"/>
      <c r="F2" s="171"/>
      <c r="G2" s="171"/>
      <c r="H2" s="171"/>
      <c r="I2" s="172"/>
      <c r="K2" s="173"/>
      <c r="L2" s="175" t="s">
        <v>76</v>
      </c>
      <c r="M2" s="175" t="s">
        <v>77</v>
      </c>
      <c r="N2" s="177" t="s">
        <v>78</v>
      </c>
      <c r="O2" s="178"/>
      <c r="P2" s="67" t="s">
        <v>69</v>
      </c>
    </row>
    <row r="3" spans="1:23" s="66" customFormat="1" ht="14.25" customHeight="1">
      <c r="A3" s="168"/>
      <c r="C3" s="68"/>
      <c r="D3" s="179" t="s">
        <v>79</v>
      </c>
      <c r="E3" s="180"/>
      <c r="G3" s="69"/>
      <c r="H3" s="181" t="s">
        <v>80</v>
      </c>
      <c r="I3" s="182"/>
      <c r="K3" s="174"/>
      <c r="L3" s="176"/>
      <c r="M3" s="176"/>
      <c r="N3" s="70" t="s">
        <v>80</v>
      </c>
      <c r="O3" s="70" t="s">
        <v>81</v>
      </c>
      <c r="P3" s="71"/>
    </row>
    <row r="4" spans="1:23" s="66" customFormat="1" ht="43.5" customHeight="1">
      <c r="A4" s="169"/>
      <c r="B4" s="72" t="s">
        <v>82</v>
      </c>
      <c r="C4" s="73" t="s">
        <v>83</v>
      </c>
      <c r="D4" s="74" t="s">
        <v>84</v>
      </c>
      <c r="E4" s="75" t="s">
        <v>85</v>
      </c>
      <c r="F4" s="76" t="s">
        <v>82</v>
      </c>
      <c r="G4" s="77" t="s">
        <v>83</v>
      </c>
      <c r="H4" s="37" t="s">
        <v>84</v>
      </c>
      <c r="I4" s="78" t="s">
        <v>85</v>
      </c>
      <c r="K4" s="79" t="s">
        <v>86</v>
      </c>
      <c r="L4" s="80">
        <f>L8*1.6</f>
        <v>270.40000000000003</v>
      </c>
      <c r="M4" s="80">
        <v>301.10000000000002</v>
      </c>
      <c r="N4" s="80">
        <f>(2567.1-O4-M4)*1.1</f>
        <v>1898.71</v>
      </c>
      <c r="O4" s="80">
        <f>210.6+243.3+33.5+52.5</f>
        <v>539.9</v>
      </c>
      <c r="P4" s="81"/>
    </row>
    <row r="5" spans="1:23" s="66" customFormat="1" ht="15.75">
      <c r="A5" s="82" t="s">
        <v>87</v>
      </c>
      <c r="B5" s="83">
        <v>8976699.6984082852</v>
      </c>
      <c r="C5" s="84"/>
      <c r="D5" s="83">
        <v>40708.810024072765</v>
      </c>
      <c r="E5" s="85">
        <f>D5*U16*T16</f>
        <v>44325.787794711629</v>
      </c>
      <c r="F5" s="83">
        <v>49190613.190936193</v>
      </c>
      <c r="G5" s="86"/>
      <c r="H5" s="83">
        <v>29410.548677729334</v>
      </c>
      <c r="I5" s="85">
        <f>H5*U16*T16</f>
        <v>32023.675927745582</v>
      </c>
      <c r="K5" s="87" t="s">
        <v>88</v>
      </c>
      <c r="L5" s="88">
        <f>E26*L4</f>
        <v>70682618.70526363</v>
      </c>
      <c r="M5" s="88">
        <f>M4*E26</f>
        <v>78707605.370395258</v>
      </c>
      <c r="N5" s="88">
        <f>I26*N4</f>
        <v>152688670.31058294</v>
      </c>
      <c r="O5" s="88">
        <f>O4*E26</f>
        <v>141129977.2151325</v>
      </c>
      <c r="P5" s="89">
        <f>L5+M5+N5+O5</f>
        <v>443208871.60137427</v>
      </c>
    </row>
    <row r="6" spans="1:23" s="66" customFormat="1" ht="15" customHeight="1">
      <c r="A6" s="90" t="s">
        <v>89</v>
      </c>
      <c r="B6" s="91">
        <v>3119462.7771668993</v>
      </c>
      <c r="C6" s="92"/>
      <c r="D6" s="91">
        <v>14146.581910874334</v>
      </c>
      <c r="E6" s="93">
        <f>D6*T16*U16</f>
        <v>15403.505713655519</v>
      </c>
      <c r="F6" s="91">
        <v>17350310.768736202</v>
      </c>
      <c r="G6" s="94"/>
      <c r="H6" s="91">
        <v>10373.567767024126</v>
      </c>
      <c r="I6" s="93">
        <f>H6*U16*T16</f>
        <v>11295.259263124219</v>
      </c>
      <c r="K6" s="87" t="s">
        <v>90</v>
      </c>
      <c r="L6" s="95">
        <v>28</v>
      </c>
      <c r="M6" s="95"/>
      <c r="N6" s="95"/>
      <c r="O6" s="95"/>
      <c r="P6" s="96"/>
    </row>
    <row r="7" spans="1:23" s="66" customFormat="1" ht="15.75">
      <c r="A7" s="90" t="s">
        <v>91</v>
      </c>
      <c r="B7" s="91">
        <v>95784.316229978445</v>
      </c>
      <c r="C7" s="92"/>
      <c r="D7" s="91">
        <v>434.37629236759534</v>
      </c>
      <c r="E7" s="93">
        <f>D7</f>
        <v>434.37629236759534</v>
      </c>
      <c r="F7" s="91">
        <v>472628.74838074559</v>
      </c>
      <c r="G7" s="94"/>
      <c r="H7" s="91">
        <v>282.57974253729071</v>
      </c>
      <c r="I7" s="93">
        <f>H7</f>
        <v>282.57974253729071</v>
      </c>
      <c r="K7" s="87" t="s">
        <v>92</v>
      </c>
      <c r="L7" s="95">
        <f>7500*1.037</f>
        <v>7777.4999999999991</v>
      </c>
      <c r="M7" s="95"/>
      <c r="N7" s="95"/>
      <c r="O7" s="95"/>
      <c r="P7" s="96"/>
    </row>
    <row r="8" spans="1:23" s="66" customFormat="1" ht="30">
      <c r="A8" s="90" t="s">
        <v>93</v>
      </c>
      <c r="B8" s="91">
        <v>3425187.2900346247</v>
      </c>
      <c r="C8" s="92"/>
      <c r="D8" s="91">
        <v>15533.024760938846</v>
      </c>
      <c r="E8" s="93">
        <f>E10+E12+E14</f>
        <v>16816.487530885701</v>
      </c>
      <c r="F8" s="91">
        <v>30759500.195529565</v>
      </c>
      <c r="G8" s="94"/>
      <c r="H8" s="91">
        <v>18390.780661582354</v>
      </c>
      <c r="I8" s="93">
        <f>I10+I12+I14+I15+I16+I17</f>
        <v>19910.374086087581</v>
      </c>
      <c r="K8" s="97" t="s">
        <v>94</v>
      </c>
      <c r="L8" s="95">
        <v>169</v>
      </c>
      <c r="M8" s="95"/>
      <c r="N8" s="95"/>
      <c r="O8" s="95"/>
      <c r="P8" s="96"/>
    </row>
    <row r="9" spans="1:23" s="66" customFormat="1" ht="15.75">
      <c r="A9" s="98" t="s">
        <v>95</v>
      </c>
      <c r="B9" s="91"/>
      <c r="C9" s="92"/>
      <c r="D9" s="91"/>
      <c r="E9" s="93"/>
      <c r="F9" s="91"/>
      <c r="G9" s="94"/>
      <c r="H9" s="91"/>
      <c r="I9" s="93"/>
      <c r="K9" s="87" t="s">
        <v>96</v>
      </c>
      <c r="L9" s="88">
        <f>L6*L7*L8</f>
        <v>36803129.999999993</v>
      </c>
      <c r="M9" s="88" t="e">
        <f>#REF!*1000</f>
        <v>#REF!</v>
      </c>
      <c r="N9" s="185">
        <v>68322.31</v>
      </c>
      <c r="O9" s="186"/>
      <c r="P9" s="89" t="e">
        <f>#REF!*1000</f>
        <v>#REF!</v>
      </c>
    </row>
    <row r="10" spans="1:23" s="66" customFormat="1">
      <c r="A10" s="99" t="s">
        <v>97</v>
      </c>
      <c r="B10" s="100">
        <v>2980511.7638669768</v>
      </c>
      <c r="C10" s="101"/>
      <c r="D10" s="102">
        <v>13516.447162790699</v>
      </c>
      <c r="E10" s="103">
        <f>D10*U17*T17</f>
        <v>14633.284158957767</v>
      </c>
      <c r="F10" s="100">
        <v>24392221.669475846</v>
      </c>
      <c r="G10" s="101"/>
      <c r="H10" s="102">
        <v>14583.852004110997</v>
      </c>
      <c r="I10" s="103">
        <f>H10*U17*T17</f>
        <v>15788.88652750668</v>
      </c>
      <c r="K10" s="104" t="s">
        <v>98</v>
      </c>
      <c r="L10" s="105">
        <f>L5-L9</f>
        <v>33879488.705263637</v>
      </c>
      <c r="M10" s="105" t="e">
        <f>M5-M9</f>
        <v>#REF!</v>
      </c>
      <c r="N10" s="187">
        <f>N5+O5-N9</f>
        <v>293750325.21571547</v>
      </c>
      <c r="O10" s="188"/>
      <c r="P10" s="106" t="e">
        <f>#REF!*1000</f>
        <v>#REF!</v>
      </c>
    </row>
    <row r="11" spans="1:23" s="66" customFormat="1">
      <c r="A11" s="99" t="s">
        <v>99</v>
      </c>
      <c r="B11" s="100">
        <v>0</v>
      </c>
      <c r="C11" s="101"/>
      <c r="D11" s="102">
        <v>0</v>
      </c>
      <c r="E11" s="103"/>
      <c r="F11" s="100">
        <v>0</v>
      </c>
      <c r="G11" s="101"/>
      <c r="H11" s="102"/>
      <c r="I11" s="103"/>
    </row>
    <row r="12" spans="1:23" s="66" customFormat="1">
      <c r="A12" s="99" t="s">
        <v>100</v>
      </c>
      <c r="B12" s="100">
        <v>81423.762214159447</v>
      </c>
      <c r="C12" s="101"/>
      <c r="D12" s="102">
        <v>369.25201675279783</v>
      </c>
      <c r="E12" s="103">
        <f>D12*U17*T17</f>
        <v>399.762572393048</v>
      </c>
      <c r="F12" s="100">
        <v>539702.34816745401</v>
      </c>
      <c r="G12" s="101"/>
      <c r="H12" s="102">
        <v>322.68234023942722</v>
      </c>
      <c r="I12" s="103">
        <f>H12*U17*T17</f>
        <v>349.3449366487306</v>
      </c>
      <c r="K12" s="153" t="s">
        <v>39</v>
      </c>
      <c r="L12" s="153"/>
      <c r="M12" s="153"/>
      <c r="N12" s="153"/>
      <c r="O12" s="153"/>
      <c r="P12" s="153"/>
    </row>
    <row r="13" spans="1:23" s="66" customFormat="1" ht="45">
      <c r="A13" s="99" t="s">
        <v>101</v>
      </c>
      <c r="B13" s="100"/>
      <c r="C13" s="101"/>
      <c r="D13" s="102"/>
      <c r="E13" s="103"/>
      <c r="F13" s="100">
        <v>0</v>
      </c>
      <c r="G13" s="101"/>
      <c r="H13" s="102"/>
      <c r="I13" s="103"/>
      <c r="K13" s="107"/>
      <c r="L13" s="108" t="s">
        <v>45</v>
      </c>
      <c r="M13" s="108" t="s">
        <v>46</v>
      </c>
      <c r="N13" s="108" t="s">
        <v>102</v>
      </c>
      <c r="O13" s="108" t="s">
        <v>102</v>
      </c>
      <c r="P13" s="109" t="s">
        <v>103</v>
      </c>
    </row>
    <row r="14" spans="1:23" s="66" customFormat="1" ht="24">
      <c r="A14" s="99" t="s">
        <v>104</v>
      </c>
      <c r="B14" s="100">
        <v>363251.76395348838</v>
      </c>
      <c r="C14" s="101"/>
      <c r="D14" s="102">
        <v>1647.325581395349</v>
      </c>
      <c r="E14" s="103">
        <f>D14*U17*T17</f>
        <v>1783.4407995348838</v>
      </c>
      <c r="F14" s="100">
        <v>2558098.471976704</v>
      </c>
      <c r="G14" s="101"/>
      <c r="H14" s="102">
        <v>1529.4600890715997</v>
      </c>
      <c r="I14" s="103">
        <f>H14*U17*T17</f>
        <v>1655.8363173114076</v>
      </c>
      <c r="K14" s="110" t="s">
        <v>57</v>
      </c>
      <c r="L14" s="111">
        <v>4185838</v>
      </c>
      <c r="M14" s="111">
        <v>4018569</v>
      </c>
      <c r="N14" s="111">
        <v>6705434.5800000001</v>
      </c>
      <c r="O14" s="111">
        <v>6705434.5800000001</v>
      </c>
      <c r="P14" s="112"/>
    </row>
    <row r="15" spans="1:23" s="66" customFormat="1">
      <c r="A15" s="113" t="s">
        <v>105</v>
      </c>
      <c r="B15" s="100"/>
      <c r="C15" s="101"/>
      <c r="D15" s="102"/>
      <c r="E15" s="103"/>
      <c r="F15" s="100">
        <v>3147941.9375128467</v>
      </c>
      <c r="G15" s="101"/>
      <c r="H15" s="102">
        <v>1882.1212744090442</v>
      </c>
      <c r="I15" s="103">
        <f>H15*U17*T17</f>
        <v>2037.6371910709147</v>
      </c>
      <c r="K15" s="114" t="s">
        <v>58</v>
      </c>
      <c r="L15" s="48">
        <v>6358036</v>
      </c>
      <c r="M15" s="48">
        <v>6197280</v>
      </c>
      <c r="N15" s="48">
        <v>6681667.5800000001</v>
      </c>
      <c r="O15" s="48">
        <v>6681667.5800000001</v>
      </c>
      <c r="P15" s="115"/>
      <c r="S15" s="116"/>
      <c r="T15" s="117">
        <v>2019</v>
      </c>
      <c r="U15" s="117">
        <v>2020</v>
      </c>
      <c r="V15" s="117">
        <v>2021</v>
      </c>
      <c r="W15" s="117">
        <v>2022</v>
      </c>
    </row>
    <row r="16" spans="1:23" s="66" customFormat="1" ht="24">
      <c r="A16" s="99" t="s">
        <v>106</v>
      </c>
      <c r="B16" s="100"/>
      <c r="C16" s="101"/>
      <c r="D16" s="102"/>
      <c r="E16" s="103"/>
      <c r="F16" s="100">
        <v>7263.1873244261724</v>
      </c>
      <c r="G16" s="101"/>
      <c r="H16" s="102">
        <v>4.3425830763960258</v>
      </c>
      <c r="I16" s="103">
        <f>H16*U17*T17</f>
        <v>4.701402030832476</v>
      </c>
      <c r="K16" s="118" t="s">
        <v>59</v>
      </c>
      <c r="L16" s="48">
        <v>4048210</v>
      </c>
      <c r="M16" s="48">
        <v>3911494</v>
      </c>
      <c r="N16" s="48"/>
      <c r="O16" s="48"/>
      <c r="P16" s="115"/>
      <c r="S16" s="119" t="s">
        <v>107</v>
      </c>
      <c r="T16" s="119">
        <v>1.05</v>
      </c>
      <c r="U16" s="119">
        <v>1.0369999999999999</v>
      </c>
      <c r="V16" s="116">
        <v>1.04</v>
      </c>
      <c r="W16" s="119">
        <v>1.04</v>
      </c>
    </row>
    <row r="17" spans="1:23" s="66" customFormat="1">
      <c r="A17" s="99" t="s">
        <v>108</v>
      </c>
      <c r="B17" s="100"/>
      <c r="C17" s="101"/>
      <c r="D17" s="102"/>
      <c r="E17" s="103"/>
      <c r="F17" s="100">
        <v>114272.58107228501</v>
      </c>
      <c r="G17" s="101"/>
      <c r="H17" s="102">
        <v>68.32237067488866</v>
      </c>
      <c r="I17" s="103">
        <f>H17*U17*T17</f>
        <v>73.967711519013349</v>
      </c>
      <c r="K17" s="114" t="s">
        <v>60</v>
      </c>
      <c r="L17" s="48">
        <v>4090042</v>
      </c>
      <c r="M17" s="48">
        <v>3936136</v>
      </c>
      <c r="N17" s="120">
        <v>4925926</v>
      </c>
      <c r="O17" s="120">
        <v>4925926</v>
      </c>
      <c r="P17" s="115"/>
      <c r="S17" s="121" t="s">
        <v>109</v>
      </c>
      <c r="T17" s="122">
        <v>1.044</v>
      </c>
      <c r="U17" s="122">
        <v>1.0369999999999999</v>
      </c>
      <c r="V17" s="116">
        <v>1.038</v>
      </c>
      <c r="W17" s="123">
        <v>1.04</v>
      </c>
    </row>
    <row r="18" spans="1:23" s="66" customFormat="1" ht="15" customHeight="1">
      <c r="A18" s="124" t="s">
        <v>110</v>
      </c>
      <c r="B18" s="91">
        <v>51794066.893672287</v>
      </c>
      <c r="C18" s="92"/>
      <c r="D18" s="91">
        <v>234883.07511528861</v>
      </c>
      <c r="E18" s="93">
        <f>E20+E21+E23+E24+E25</f>
        <v>184420.05977364443</v>
      </c>
      <c r="F18" s="91">
        <v>26820319.815585203</v>
      </c>
      <c r="G18" s="92"/>
      <c r="H18" s="91">
        <v>16035.586269818663</v>
      </c>
      <c r="I18" s="93">
        <f>I20+I21+I23+I24+I25</f>
        <v>16905.167987938232</v>
      </c>
      <c r="K18" s="118" t="s">
        <v>61</v>
      </c>
      <c r="L18" s="48">
        <v>4008834</v>
      </c>
      <c r="M18" s="48">
        <v>3872639</v>
      </c>
      <c r="N18" s="48">
        <v>5763303.5800000001</v>
      </c>
      <c r="O18" s="48">
        <v>5763303.5800000001</v>
      </c>
      <c r="P18" s="115"/>
      <c r="S18" s="121" t="s">
        <v>111</v>
      </c>
      <c r="T18" s="122">
        <v>1.0009999999999999</v>
      </c>
      <c r="U18" s="122">
        <v>0.99099999999999999</v>
      </c>
      <c r="V18" s="116">
        <v>1.014</v>
      </c>
      <c r="W18" s="125">
        <v>1.0169999999999999</v>
      </c>
    </row>
    <row r="19" spans="1:23" s="66" customFormat="1">
      <c r="A19" s="98" t="s">
        <v>95</v>
      </c>
      <c r="B19" s="102"/>
      <c r="C19" s="126"/>
      <c r="D19" s="102"/>
      <c r="E19" s="103"/>
      <c r="F19" s="102"/>
      <c r="G19" s="126"/>
      <c r="H19" s="102"/>
      <c r="I19" s="103"/>
      <c r="K19" s="114" t="s">
        <v>62</v>
      </c>
      <c r="L19" s="48">
        <v>4005350</v>
      </c>
      <c r="M19" s="48">
        <v>3865782</v>
      </c>
      <c r="N19" s="48">
        <v>5809678.5800000001</v>
      </c>
      <c r="O19" s="48">
        <v>5809678.5800000001</v>
      </c>
      <c r="P19" s="115"/>
    </row>
    <row r="20" spans="1:23" s="66" customFormat="1" ht="33" customHeight="1">
      <c r="A20" s="99" t="s">
        <v>112</v>
      </c>
      <c r="B20" s="100">
        <v>232636</v>
      </c>
      <c r="C20" s="101"/>
      <c r="D20" s="102">
        <v>1054.9907033694617</v>
      </c>
      <c r="E20" s="103">
        <f>D20*U16*T16</f>
        <v>1148.7266273638384</v>
      </c>
      <c r="F20" s="100">
        <v>215646</v>
      </c>
      <c r="G20" s="101"/>
      <c r="H20" s="102">
        <v>128.93246838659533</v>
      </c>
      <c r="I20" s="103">
        <f>H20*U16*T16</f>
        <v>140.38811820274432</v>
      </c>
      <c r="K20" s="118" t="s">
        <v>63</v>
      </c>
      <c r="L20" s="48">
        <v>3925826</v>
      </c>
      <c r="M20" s="48">
        <v>3804903</v>
      </c>
      <c r="N20" s="48">
        <v>5701087.5800000001</v>
      </c>
      <c r="O20" s="48">
        <v>5701087.5800000001</v>
      </c>
      <c r="P20" s="115"/>
    </row>
    <row r="21" spans="1:23" s="66" customFormat="1" ht="21.75" customHeight="1">
      <c r="A21" s="99" t="s">
        <v>113</v>
      </c>
      <c r="B21" s="100">
        <v>3206083.15</v>
      </c>
      <c r="C21" s="101"/>
      <c r="D21" s="102">
        <v>14539.400253956737</v>
      </c>
      <c r="E21" s="103">
        <f>D21*U16*T16</f>
        <v>15831.225966520791</v>
      </c>
      <c r="F21" s="100">
        <v>8833879.6999999993</v>
      </c>
      <c r="G21" s="101"/>
      <c r="H21" s="102">
        <v>5281.6834773250421</v>
      </c>
      <c r="I21" s="103">
        <f>H21*U16*T16</f>
        <v>5750.9610542853716</v>
      </c>
      <c r="K21" s="114" t="s">
        <v>64</v>
      </c>
      <c r="L21" s="48">
        <v>3918514</v>
      </c>
      <c r="M21" s="48">
        <v>3794095</v>
      </c>
      <c r="N21" s="48">
        <v>5744821.5800000001</v>
      </c>
      <c r="O21" s="48">
        <v>5744821.5800000001</v>
      </c>
      <c r="P21" s="115"/>
    </row>
    <row r="22" spans="1:23" s="66" customFormat="1" ht="15" customHeight="1">
      <c r="A22" s="99" t="s">
        <v>114</v>
      </c>
      <c r="B22" s="100"/>
      <c r="C22" s="101"/>
      <c r="D22" s="102"/>
      <c r="E22" s="103"/>
      <c r="F22" s="100">
        <v>309135</v>
      </c>
      <c r="G22" s="101"/>
      <c r="H22" s="102">
        <v>184.82855520014351</v>
      </c>
      <c r="I22" s="103">
        <f>H22*U16*T16</f>
        <v>201.25057232967626</v>
      </c>
      <c r="K22" s="118" t="s">
        <v>65</v>
      </c>
      <c r="L22" s="48">
        <v>3874494</v>
      </c>
      <c r="M22" s="48">
        <v>3757861</v>
      </c>
      <c r="N22" s="48">
        <v>8640296.5800000001</v>
      </c>
      <c r="O22" s="48">
        <v>8640296.5800000001</v>
      </c>
      <c r="P22" s="115"/>
    </row>
    <row r="23" spans="1:23" s="66" customFormat="1">
      <c r="A23" s="99" t="s">
        <v>115</v>
      </c>
      <c r="B23" s="100">
        <v>64983.784186046512</v>
      </c>
      <c r="C23" s="101"/>
      <c r="D23" s="102">
        <v>294.69767441860466</v>
      </c>
      <c r="E23" s="103">
        <f>D23*U16*T16</f>
        <v>320.88156279069767</v>
      </c>
      <c r="F23" s="100">
        <v>245086.16022610481</v>
      </c>
      <c r="G23" s="101"/>
      <c r="H23" s="102">
        <v>146.5344295991778</v>
      </c>
      <c r="I23" s="103">
        <f>H23*U16*T16</f>
        <v>159.55401366906474</v>
      </c>
      <c r="K23" s="114" t="s">
        <v>66</v>
      </c>
      <c r="L23" s="48">
        <v>3797572</v>
      </c>
      <c r="M23" s="48">
        <v>3699463</v>
      </c>
      <c r="N23" s="48">
        <v>5631820.5800000001</v>
      </c>
      <c r="O23" s="48">
        <v>5631820.5800000001</v>
      </c>
      <c r="P23" s="115"/>
    </row>
    <row r="24" spans="1:23" s="66" customFormat="1" ht="46.5" customHeight="1">
      <c r="A24" s="99" t="s">
        <v>116</v>
      </c>
      <c r="B24" s="100">
        <v>45363118.741000004</v>
      </c>
      <c r="C24" s="101"/>
      <c r="D24" s="127">
        <v>205719.10000000003</v>
      </c>
      <c r="E24" s="128">
        <f>P30</f>
        <v>156264.96081518804</v>
      </c>
      <c r="F24" s="100">
        <v>0</v>
      </c>
      <c r="G24" s="101"/>
      <c r="H24" s="129"/>
      <c r="I24" s="130"/>
      <c r="K24" s="118" t="s">
        <v>67</v>
      </c>
      <c r="L24" s="48">
        <v>3784345</v>
      </c>
      <c r="M24" s="48">
        <v>3684134</v>
      </c>
      <c r="N24" s="48">
        <v>5672613.5800000001</v>
      </c>
      <c r="O24" s="48">
        <v>5672613.5800000001</v>
      </c>
      <c r="P24" s="115"/>
    </row>
    <row r="25" spans="1:23" s="66" customFormat="1" ht="24">
      <c r="A25" s="131" t="s">
        <v>117</v>
      </c>
      <c r="B25" s="100">
        <v>2198166.8103418658</v>
      </c>
      <c r="C25" s="101"/>
      <c r="D25" s="102">
        <v>9968.5583889250647</v>
      </c>
      <c r="E25" s="103">
        <f>D25*U16*T16</f>
        <v>10854.264801781057</v>
      </c>
      <c r="F25" s="100">
        <v>16672912.333396608</v>
      </c>
      <c r="G25" s="101"/>
      <c r="H25" s="102">
        <v>9968.5583889250593</v>
      </c>
      <c r="I25" s="103">
        <f>H25*U16*T16</f>
        <v>10854.264801781052</v>
      </c>
      <c r="K25" s="114" t="s">
        <v>68</v>
      </c>
      <c r="L25" s="48">
        <v>3709217</v>
      </c>
      <c r="M25" s="48">
        <v>3627431</v>
      </c>
      <c r="N25" s="48">
        <v>5567235.5800000001</v>
      </c>
      <c r="O25" s="48">
        <v>5567235.5800000001</v>
      </c>
      <c r="P25" s="115"/>
    </row>
    <row r="26" spans="1:23" s="66" customFormat="1">
      <c r="A26" s="132" t="s">
        <v>118</v>
      </c>
      <c r="B26" s="133">
        <v>67411200.975512072</v>
      </c>
      <c r="C26" s="134">
        <f>220.51+260.39</f>
        <v>480.9</v>
      </c>
      <c r="D26" s="135">
        <v>305705.86810354213</v>
      </c>
      <c r="E26" s="136">
        <f>E5+E6+E7+E8+E18</f>
        <v>261400.21710526489</v>
      </c>
      <c r="F26" s="133">
        <v>124593372.71916789</v>
      </c>
      <c r="G26" s="137">
        <v>1672.55</v>
      </c>
      <c r="H26" s="138">
        <v>74493.063118691774</v>
      </c>
      <c r="I26" s="136">
        <f>I5+I6+I7+I8+I18</f>
        <v>80417.057007432901</v>
      </c>
      <c r="K26" s="139" t="s">
        <v>69</v>
      </c>
      <c r="L26" s="61">
        <f t="shared" ref="L26:M26" si="0">SUM(L14:L25)</f>
        <v>49706278</v>
      </c>
      <c r="M26" s="61">
        <f t="shared" si="0"/>
        <v>48169787</v>
      </c>
      <c r="N26" s="61">
        <f>SUM(N14:N25)</f>
        <v>66843885.79999999</v>
      </c>
      <c r="O26" s="61">
        <f>SUM(O14:O25)</f>
        <v>66843885.79999999</v>
      </c>
      <c r="P26" s="115"/>
    </row>
    <row r="27" spans="1:23" s="66" customFormat="1" ht="29.25" customHeight="1">
      <c r="K27" s="140" t="s">
        <v>70</v>
      </c>
      <c r="L27" s="141">
        <f t="shared" ref="L27:M27" si="1">L26/1.2</f>
        <v>41421898.333333336</v>
      </c>
      <c r="M27" s="141">
        <f t="shared" si="1"/>
        <v>40141489.166666672</v>
      </c>
      <c r="N27" s="141">
        <f>N26/1.2</f>
        <v>55703238.166666657</v>
      </c>
      <c r="O27" s="141">
        <f>O26/1.2</f>
        <v>55703238.166666657</v>
      </c>
      <c r="P27" s="142">
        <f>SUM(L27:O27)</f>
        <v>192969863.83333331</v>
      </c>
      <c r="Q27" s="143"/>
      <c r="R27" s="143"/>
      <c r="S27" s="143"/>
      <c r="T27" s="143"/>
    </row>
    <row r="28" spans="1:23" s="66" customFormat="1" ht="22.5" customHeight="1">
      <c r="K28" s="189" t="s">
        <v>119</v>
      </c>
      <c r="L28" s="190"/>
      <c r="M28" s="190"/>
      <c r="N28" s="190"/>
      <c r="O28" s="190"/>
      <c r="P28" s="144">
        <f>P27*0.9</f>
        <v>173672877.44999999</v>
      </c>
    </row>
    <row r="29" spans="1:23" ht="15" customHeight="1">
      <c r="K29" s="191" t="s">
        <v>120</v>
      </c>
      <c r="L29" s="192"/>
      <c r="M29" s="192"/>
      <c r="N29" s="192"/>
      <c r="O29" s="192"/>
      <c r="P29" s="145">
        <f>O4+L4+M4</f>
        <v>1111.4000000000001</v>
      </c>
    </row>
    <row r="30" spans="1:23" ht="19.5" customHeight="1">
      <c r="K30" s="183" t="s">
        <v>121</v>
      </c>
      <c r="L30" s="184"/>
      <c r="M30" s="184"/>
      <c r="N30" s="184"/>
      <c r="O30" s="184"/>
      <c r="P30" s="146">
        <f>P28/P29</f>
        <v>156264.96081518804</v>
      </c>
    </row>
    <row r="31" spans="1:23" ht="13.5" customHeight="1"/>
    <row r="43" spans="17:19" ht="15" customHeight="1">
      <c r="Q43" s="147"/>
      <c r="R43" s="147"/>
      <c r="S43" s="148"/>
    </row>
    <row r="44" spans="17:19" ht="15.75" customHeight="1">
      <c r="Q44" s="147"/>
      <c r="R44" s="147"/>
      <c r="S44" s="148"/>
    </row>
    <row r="45" spans="17:19">
      <c r="Q45" s="149"/>
      <c r="R45" s="149"/>
      <c r="S45" s="150"/>
    </row>
    <row r="46" spans="17:19" ht="19.5" customHeight="1"/>
    <row r="47" spans="17:19" ht="16.5" customHeight="1"/>
  </sheetData>
  <mergeCells count="16">
    <mergeCell ref="K30:O30"/>
    <mergeCell ref="N9:O9"/>
    <mergeCell ref="N10:O10"/>
    <mergeCell ref="K12:P12"/>
    <mergeCell ref="K28:O28"/>
    <mergeCell ref="K29:O29"/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</mergeCells>
  <pageMargins left="0.70866141732283472" right="0.70866141732283472" top="0.74803149606299213" bottom="0.74803149606299213" header="0.31496062992125984" footer="0.31496062992125984"/>
  <pageSetup paperSize="9" scale="62" firstPageNumber="2147483647" orientation="landscape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ЖД транспорт </vt:lpstr>
      <vt:lpstr>Авиа</vt:lpstr>
      <vt:lpstr>Лизинг</vt:lpstr>
      <vt:lpstr>авиа расчет</vt:lpstr>
      <vt:lpstr>'авиа расчет'!Область_печати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20</cp:revision>
  <cp:lastPrinted>2023-08-10T06:16:38Z</cp:lastPrinted>
  <dcterms:created xsi:type="dcterms:W3CDTF">2017-08-04T07:55:22Z</dcterms:created>
  <dcterms:modified xsi:type="dcterms:W3CDTF">2023-08-16T12:53:41Z</dcterms:modified>
</cp:coreProperties>
</file>