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Лист1!$A$1:$AL$56</definedName>
  </definedNames>
  <calcPr calcId="125725"/>
</workbook>
</file>

<file path=xl/calcChain.xml><?xml version="1.0" encoding="utf-8"?>
<calcChain xmlns="http://schemas.openxmlformats.org/spreadsheetml/2006/main">
  <c r="G35" i="1"/>
  <c r="D65" l="1"/>
  <c r="D64"/>
  <c r="S63"/>
  <c r="N62"/>
  <c r="G62"/>
  <c r="T61"/>
  <c r="N61"/>
  <c r="T60"/>
  <c r="N60"/>
  <c r="T59"/>
  <c r="N59"/>
  <c r="T58"/>
  <c r="N58"/>
  <c r="T57"/>
  <c r="N57"/>
  <c r="T56"/>
  <c r="N56"/>
  <c r="T55"/>
  <c r="N55"/>
  <c r="T54"/>
  <c r="N54"/>
  <c r="T53"/>
  <c r="N53"/>
  <c r="T52"/>
  <c r="N52"/>
  <c r="T51"/>
  <c r="N51"/>
  <c r="T50"/>
  <c r="N50"/>
  <c r="X49"/>
  <c r="AA49" s="1"/>
  <c r="T49"/>
  <c r="U49" s="1"/>
  <c r="Q49"/>
  <c r="N49"/>
  <c r="T48"/>
  <c r="N48"/>
  <c r="T47"/>
  <c r="N47"/>
  <c r="T46"/>
  <c r="N46"/>
  <c r="J46"/>
  <c r="T45"/>
  <c r="N45"/>
  <c r="J45"/>
  <c r="T44"/>
  <c r="N44"/>
  <c r="T43"/>
  <c r="N43"/>
  <c r="T42"/>
  <c r="N42"/>
  <c r="T41"/>
  <c r="N41"/>
  <c r="T40"/>
  <c r="N40"/>
  <c r="T39"/>
  <c r="N39"/>
  <c r="T38"/>
  <c r="N38"/>
  <c r="T37"/>
  <c r="N37"/>
  <c r="T36"/>
  <c r="N36"/>
  <c r="AP35"/>
  <c r="AN35"/>
  <c r="AM35"/>
  <c r="AL35"/>
  <c r="AJ35"/>
  <c r="AH35"/>
  <c r="Y35"/>
  <c r="Y62" s="1"/>
  <c r="W35"/>
  <c r="V35"/>
  <c r="S35"/>
  <c r="S49" s="1"/>
  <c r="N35"/>
  <c r="J35"/>
  <c r="J44" s="1"/>
  <c r="F35"/>
  <c r="E35"/>
  <c r="AQ34"/>
  <c r="AO34"/>
  <c r="U34"/>
  <c r="X34" s="1"/>
  <c r="S34"/>
  <c r="Q34" s="1"/>
  <c r="N34"/>
  <c r="I34"/>
  <c r="H34"/>
  <c r="E34"/>
  <c r="G34" s="1"/>
  <c r="T34" s="1"/>
  <c r="AQ33"/>
  <c r="AO33"/>
  <c r="U33"/>
  <c r="X33" s="1"/>
  <c r="Z33" s="1"/>
  <c r="S33"/>
  <c r="Q33" s="1"/>
  <c r="N33"/>
  <c r="I33"/>
  <c r="H33"/>
  <c r="E33"/>
  <c r="G33" s="1"/>
  <c r="T33" s="1"/>
  <c r="AQ32"/>
  <c r="AO32"/>
  <c r="U32"/>
  <c r="X32" s="1"/>
  <c r="Z32" s="1"/>
  <c r="S32"/>
  <c r="Q32" s="1"/>
  <c r="N32"/>
  <c r="I32"/>
  <c r="H32"/>
  <c r="E32"/>
  <c r="G32" s="1"/>
  <c r="T32" s="1"/>
  <c r="AQ31"/>
  <c r="AO31"/>
  <c r="U31"/>
  <c r="X31" s="1"/>
  <c r="Z31" s="1"/>
  <c r="S31"/>
  <c r="Q31" s="1"/>
  <c r="N31"/>
  <c r="I31"/>
  <c r="H31"/>
  <c r="E31"/>
  <c r="G31" s="1"/>
  <c r="T31" s="1"/>
  <c r="AQ30"/>
  <c r="AO30"/>
  <c r="U30"/>
  <c r="X30" s="1"/>
  <c r="Z30" s="1"/>
  <c r="S30"/>
  <c r="Q30" s="1"/>
  <c r="N30"/>
  <c r="I30"/>
  <c r="H30"/>
  <c r="E30"/>
  <c r="G30" s="1"/>
  <c r="T30" s="1"/>
  <c r="AQ29"/>
  <c r="AO29"/>
  <c r="S29"/>
  <c r="Q29"/>
  <c r="N29"/>
  <c r="I29"/>
  <c r="F29"/>
  <c r="H29" s="1"/>
  <c r="E29"/>
  <c r="G29" s="1"/>
  <c r="T29" s="1"/>
  <c r="U29" s="1"/>
  <c r="X29" s="1"/>
  <c r="AQ28"/>
  <c r="AO28"/>
  <c r="S28"/>
  <c r="Q28"/>
  <c r="N28"/>
  <c r="I28"/>
  <c r="H28"/>
  <c r="G28"/>
  <c r="T28" s="1"/>
  <c r="U28" s="1"/>
  <c r="X28" s="1"/>
  <c r="E28"/>
  <c r="AQ27"/>
  <c r="AO27"/>
  <c r="Z27"/>
  <c r="S27"/>
  <c r="Q27" s="1"/>
  <c r="N27"/>
  <c r="I27"/>
  <c r="H27"/>
  <c r="E27"/>
  <c r="G27" s="1"/>
  <c r="T27" s="1"/>
  <c r="U27" s="1"/>
  <c r="X27" s="1"/>
  <c r="AA27" s="1"/>
  <c r="AQ26"/>
  <c r="AO26"/>
  <c r="S26"/>
  <c r="Q26" s="1"/>
  <c r="N26"/>
  <c r="I26"/>
  <c r="H26"/>
  <c r="E26"/>
  <c r="G26" s="1"/>
  <c r="T26" s="1"/>
  <c r="U26" s="1"/>
  <c r="X26" s="1"/>
  <c r="Z26" s="1"/>
  <c r="AQ25"/>
  <c r="AO25"/>
  <c r="S25"/>
  <c r="Q25"/>
  <c r="N25"/>
  <c r="I25"/>
  <c r="H25"/>
  <c r="G25"/>
  <c r="T25" s="1"/>
  <c r="U25" s="1"/>
  <c r="X25" s="1"/>
  <c r="E25"/>
  <c r="AQ24"/>
  <c r="AO24"/>
  <c r="S24"/>
  <c r="Q24" s="1"/>
  <c r="N24"/>
  <c r="I24"/>
  <c r="H24"/>
  <c r="E24"/>
  <c r="G24" s="1"/>
  <c r="T24" s="1"/>
  <c r="U24" s="1"/>
  <c r="X24" s="1"/>
  <c r="AQ23"/>
  <c r="AO23"/>
  <c r="S23"/>
  <c r="Q23" s="1"/>
  <c r="N23"/>
  <c r="I23"/>
  <c r="H23"/>
  <c r="E23"/>
  <c r="G23" s="1"/>
  <c r="T23" s="1"/>
  <c r="U23" s="1"/>
  <c r="X23" s="1"/>
  <c r="Z23" s="1"/>
  <c r="AQ22"/>
  <c r="AO22"/>
  <c r="S22"/>
  <c r="Q22"/>
  <c r="N22"/>
  <c r="I22"/>
  <c r="H22"/>
  <c r="G22"/>
  <c r="T22" s="1"/>
  <c r="U22" s="1"/>
  <c r="X22" s="1"/>
  <c r="E22"/>
  <c r="AQ21"/>
  <c r="AO21"/>
  <c r="S21"/>
  <c r="Q21" s="1"/>
  <c r="N21"/>
  <c r="I21"/>
  <c r="H21"/>
  <c r="E21"/>
  <c r="G21" s="1"/>
  <c r="T21" s="1"/>
  <c r="U21" s="1"/>
  <c r="X21" s="1"/>
  <c r="AQ20"/>
  <c r="AO20"/>
  <c r="S20"/>
  <c r="Q20" s="1"/>
  <c r="N20"/>
  <c r="I20"/>
  <c r="H20"/>
  <c r="E20"/>
  <c r="G20" s="1"/>
  <c r="T20" s="1"/>
  <c r="U20" s="1"/>
  <c r="X20" s="1"/>
  <c r="Z20" s="1"/>
  <c r="AQ19"/>
  <c r="AO19"/>
  <c r="S19"/>
  <c r="Q19"/>
  <c r="N19"/>
  <c r="I19"/>
  <c r="H19"/>
  <c r="G19"/>
  <c r="T19" s="1"/>
  <c r="U19" s="1"/>
  <c r="X19" s="1"/>
  <c r="E19"/>
  <c r="AQ18"/>
  <c r="AO18"/>
  <c r="S18"/>
  <c r="Q18"/>
  <c r="N18"/>
  <c r="I18"/>
  <c r="H18"/>
  <c r="G18"/>
  <c r="T18" s="1"/>
  <c r="U18" s="1"/>
  <c r="X18" s="1"/>
  <c r="Z18" s="1"/>
  <c r="E18"/>
  <c r="AQ17"/>
  <c r="AO17"/>
  <c r="S17"/>
  <c r="Q17" s="1"/>
  <c r="N17"/>
  <c r="I17"/>
  <c r="H17"/>
  <c r="E17"/>
  <c r="G17" s="1"/>
  <c r="T17" s="1"/>
  <c r="U17" s="1"/>
  <c r="X17" s="1"/>
  <c r="AQ16"/>
  <c r="AO16"/>
  <c r="S16"/>
  <c r="Q16"/>
  <c r="N16"/>
  <c r="I16"/>
  <c r="H16"/>
  <c r="G16"/>
  <c r="T16" s="1"/>
  <c r="U16" s="1"/>
  <c r="X16" s="1"/>
  <c r="E16"/>
  <c r="AQ15"/>
  <c r="AO15"/>
  <c r="S15"/>
  <c r="Q15" s="1"/>
  <c r="N15"/>
  <c r="I15"/>
  <c r="H15"/>
  <c r="E15"/>
  <c r="G15" s="1"/>
  <c r="T15" s="1"/>
  <c r="U15" s="1"/>
  <c r="X15" s="1"/>
  <c r="AQ14"/>
  <c r="AO14"/>
  <c r="S14"/>
  <c r="Q14" s="1"/>
  <c r="N14"/>
  <c r="I14"/>
  <c r="H14"/>
  <c r="E14"/>
  <c r="G14" s="1"/>
  <c r="T14" s="1"/>
  <c r="U14" s="1"/>
  <c r="X14" s="1"/>
  <c r="Z14" s="1"/>
  <c r="AQ13"/>
  <c r="AO13"/>
  <c r="AO35" s="1"/>
  <c r="S13"/>
  <c r="Q13"/>
  <c r="N13"/>
  <c r="I13"/>
  <c r="H13"/>
  <c r="G13"/>
  <c r="T13" s="1"/>
  <c r="U13" s="1"/>
  <c r="X13" s="1"/>
  <c r="E13"/>
  <c r="AQ12"/>
  <c r="AO12"/>
  <c r="S12"/>
  <c r="Q12"/>
  <c r="N12"/>
  <c r="I12"/>
  <c r="H12"/>
  <c r="G12"/>
  <c r="T12" s="1"/>
  <c r="U12" s="1"/>
  <c r="X12" s="1"/>
  <c r="Z12" s="1"/>
  <c r="E12"/>
  <c r="AQ11"/>
  <c r="AO11"/>
  <c r="S11"/>
  <c r="Q11"/>
  <c r="N11"/>
  <c r="I11"/>
  <c r="H11"/>
  <c r="G11"/>
  <c r="T11" s="1"/>
  <c r="U11" s="1"/>
  <c r="X11" s="1"/>
  <c r="Z11" s="1"/>
  <c r="E11"/>
  <c r="AQ10"/>
  <c r="AQ35" s="1"/>
  <c r="AO10"/>
  <c r="S10"/>
  <c r="Q10" s="1"/>
  <c r="N10"/>
  <c r="I10"/>
  <c r="H10"/>
  <c r="H35" s="1"/>
  <c r="E10"/>
  <c r="G10" s="1"/>
  <c r="T10" s="1"/>
  <c r="T35" l="1"/>
  <c r="Z13"/>
  <c r="AA13"/>
  <c r="Z19"/>
  <c r="AA19"/>
  <c r="AA24"/>
  <c r="Z24"/>
  <c r="Z25"/>
  <c r="AA25"/>
  <c r="Z28"/>
  <c r="AA28"/>
  <c r="Z29"/>
  <c r="AA29"/>
  <c r="U10"/>
  <c r="AA15"/>
  <c r="Z15"/>
  <c r="Z16"/>
  <c r="AA16"/>
  <c r="AA17"/>
  <c r="Z17"/>
  <c r="AA21"/>
  <c r="Z21"/>
  <c r="Z22"/>
  <c r="AA22"/>
  <c r="AA34"/>
  <c r="Z34"/>
  <c r="AD49"/>
  <c r="AE49" s="1"/>
  <c r="U62" l="1"/>
  <c r="Q35"/>
  <c r="U52"/>
  <c r="U35"/>
  <c r="X10"/>
  <c r="Q45" l="1"/>
  <c r="Q63"/>
  <c r="Q52"/>
  <c r="X35"/>
  <c r="AA10"/>
  <c r="Z10"/>
  <c r="Z35" s="1"/>
  <c r="AA35" l="1"/>
  <c r="AA44" s="1"/>
  <c r="AA52"/>
  <c r="AA63"/>
  <c r="AB33" l="1"/>
  <c r="AB32"/>
  <c r="AB31"/>
  <c r="AB30"/>
  <c r="AB26"/>
  <c r="AB23"/>
  <c r="AB20"/>
  <c r="AB14"/>
  <c r="AB18"/>
  <c r="AB12"/>
  <c r="AB11"/>
  <c r="AB27"/>
  <c r="AB21"/>
  <c r="AB15"/>
  <c r="AB28"/>
  <c r="AB19"/>
  <c r="AB16"/>
  <c r="AB34"/>
  <c r="AB17"/>
  <c r="AB29"/>
  <c r="AB25"/>
  <c r="AB13"/>
  <c r="AB22"/>
  <c r="AB24"/>
  <c r="AB10"/>
  <c r="AB35" l="1"/>
  <c r="AD10"/>
  <c r="AE22"/>
  <c r="AG22" s="1"/>
  <c r="AD22"/>
  <c r="AE25"/>
  <c r="AG25" s="1"/>
  <c r="AD25"/>
  <c r="AD17"/>
  <c r="AE16"/>
  <c r="AG16" s="1"/>
  <c r="AD16"/>
  <c r="AE28"/>
  <c r="AG28" s="1"/>
  <c r="AD28"/>
  <c r="AD21"/>
  <c r="AD11"/>
  <c r="AD18"/>
  <c r="AE20"/>
  <c r="AG20" s="1"/>
  <c r="AD20"/>
  <c r="AE26"/>
  <c r="AG26" s="1"/>
  <c r="AD26"/>
  <c r="AE31"/>
  <c r="AG31" s="1"/>
  <c r="AD31"/>
  <c r="AE33"/>
  <c r="AG33" s="1"/>
  <c r="AD33"/>
  <c r="AD24"/>
  <c r="AE13"/>
  <c r="AG13" s="1"/>
  <c r="AD13"/>
  <c r="AE29"/>
  <c r="AG29" s="1"/>
  <c r="AD29"/>
  <c r="AF34"/>
  <c r="AD34"/>
  <c r="AE34"/>
  <c r="AG34" s="1"/>
  <c r="AD19"/>
  <c r="AD15"/>
  <c r="AE15"/>
  <c r="AG15" s="1"/>
  <c r="AD27"/>
  <c r="AE27"/>
  <c r="AG27" s="1"/>
  <c r="AD12"/>
  <c r="AE12"/>
  <c r="AG12" s="1"/>
  <c r="AG35" s="1"/>
  <c r="AF51" s="1"/>
  <c r="AD14"/>
  <c r="AD23"/>
  <c r="AD30"/>
  <c r="AD32"/>
  <c r="AF32" l="1"/>
  <c r="AF30"/>
  <c r="AI23"/>
  <c r="AK23" s="1"/>
  <c r="AF23"/>
  <c r="AF14"/>
  <c r="AI19"/>
  <c r="AK19" s="1"/>
  <c r="AF19"/>
  <c r="AI24"/>
  <c r="AK24" s="1"/>
  <c r="AF24"/>
  <c r="AF18"/>
  <c r="AI11"/>
  <c r="AK11" s="1"/>
  <c r="AF21"/>
  <c r="AF17"/>
  <c r="AD35"/>
  <c r="AE32"/>
  <c r="AG32" s="1"/>
  <c r="AE30"/>
  <c r="AG30" s="1"/>
  <c r="AE23"/>
  <c r="AG23" s="1"/>
  <c r="AE14"/>
  <c r="AG14" s="1"/>
  <c r="AI12"/>
  <c r="AK12" s="1"/>
  <c r="AF12"/>
  <c r="AF35" s="1"/>
  <c r="AI27"/>
  <c r="AK27" s="1"/>
  <c r="AF27"/>
  <c r="AI15"/>
  <c r="AK15" s="1"/>
  <c r="AF15"/>
  <c r="AE19"/>
  <c r="AG19" s="1"/>
  <c r="AI34"/>
  <c r="AK34" s="1"/>
  <c r="AF29"/>
  <c r="AI29"/>
  <c r="AK29" s="1"/>
  <c r="AI13"/>
  <c r="AK13" s="1"/>
  <c r="AF13"/>
  <c r="AE24"/>
  <c r="AG24" s="1"/>
  <c r="AF33"/>
  <c r="AI33"/>
  <c r="AK33" s="1"/>
  <c r="AF31"/>
  <c r="AI31"/>
  <c r="AK31" s="1"/>
  <c r="AI26"/>
  <c r="AK26" s="1"/>
  <c r="AF26"/>
  <c r="AI20"/>
  <c r="AK20" s="1"/>
  <c r="AF20"/>
  <c r="AE18"/>
  <c r="AG18" s="1"/>
  <c r="AE11"/>
  <c r="AE21"/>
  <c r="AG21" s="1"/>
  <c r="AI28"/>
  <c r="AK28" s="1"/>
  <c r="AF28"/>
  <c r="AI16"/>
  <c r="AK16" s="1"/>
  <c r="AF16"/>
  <c r="AE17"/>
  <c r="AG17" s="1"/>
  <c r="AI25"/>
  <c r="AK25" s="1"/>
  <c r="AF25"/>
  <c r="AI22"/>
  <c r="AK22" s="1"/>
  <c r="AF22"/>
  <c r="AE10"/>
  <c r="AE35" s="1"/>
  <c r="AE44" s="1"/>
  <c r="AB63"/>
  <c r="AB52"/>
  <c r="AI10" l="1"/>
  <c r="AI18"/>
  <c r="AK18" s="1"/>
  <c r="AI14"/>
  <c r="AK14" s="1"/>
  <c r="AD52"/>
  <c r="AD44"/>
  <c r="AD45" s="1"/>
  <c r="AD63"/>
  <c r="AI17"/>
  <c r="AK17" s="1"/>
  <c r="AI21"/>
  <c r="AK21" s="1"/>
  <c r="AI30"/>
  <c r="AK30" s="1"/>
  <c r="AI32"/>
  <c r="AK32" s="1"/>
  <c r="AI35" l="1"/>
  <c r="AK10"/>
  <c r="AK35" s="1"/>
  <c r="AK63" s="1"/>
</calcChain>
</file>

<file path=xl/sharedStrings.xml><?xml version="1.0" encoding="utf-8"?>
<sst xmlns="http://schemas.openxmlformats.org/spreadsheetml/2006/main" count="107" uniqueCount="102">
  <si>
    <t>ПОСЛЕ СЕССИИ</t>
  </si>
  <si>
    <t>№ п/п</t>
  </si>
  <si>
    <t>Наименование МО</t>
  </si>
  <si>
    <t>Средняя заработная плата педагогов общего образования на  1 мая 2023 год (руб.) (соглашение с МО)</t>
  </si>
  <si>
    <t xml:space="preserve">Коэфф. роста 2023 г. к  концу года </t>
  </si>
  <si>
    <t>Среднесписочная численность  педагогических работников муниципальных образовательных организаций дополнительного образования на 2023 год, ед. (на 01 июня 2023)</t>
  </si>
  <si>
    <t>Планируемая средняя заработная плата педагогов допобразования в 2023 году в размере 97,1 % к целевому показателю в размере  60658,08 руб.(руб.)</t>
  </si>
  <si>
    <t xml:space="preserve">Целевой показатель на 2023 год (соотношение средней заработной платы педагогов дополнительного образования к средней заработной плате учителей), % </t>
  </si>
  <si>
    <t>Среднесписочная численность  педагогических работников муниципальных образовательных организаций дополнительного образования на 2023 год, ед. (информация МО.)</t>
  </si>
  <si>
    <t xml:space="preserve">по методике гос программ </t>
  </si>
  <si>
    <t>Потребность за счет всех источников (руб.)</t>
  </si>
  <si>
    <t>Потребность за счет средств консолидированного бюджета Архангельской области (руб.)</t>
  </si>
  <si>
    <t xml:space="preserve">Запланированный объем средств на меры социальной поддержки педработников в сельской местности, руб., </t>
  </si>
  <si>
    <t xml:space="preserve">Запланированный объем средств от внебюджетной деятельности, направляемый на повышение оплаты труда (ЗП-обр. 2022 г.) (руб.) </t>
  </si>
  <si>
    <t>Потребность районов (без МСП ) (руб.)</t>
  </si>
  <si>
    <t>Предусморено в местном бюджете (без МСП)  на 2023 год (инф. МО)(руб.)</t>
  </si>
  <si>
    <t>Дополнительная потребность за счет средств консолидированного бюджета  (руб.)</t>
  </si>
  <si>
    <t>Дополнительная потребность за счет средств консолидированного бюджета  без учета отрицательных значений. (руб.)</t>
  </si>
  <si>
    <t xml:space="preserve">Дополнительная потребность за счет средств консолидированного бюджета с учетом  коэффициента досчета потребности (руб.) </t>
  </si>
  <si>
    <t>Предельный уровень софинансирования, не выше утвержденного постановлением Правительства АО № 284-пп от 28.03.2023, %</t>
  </si>
  <si>
    <t>Объем субсидии на повышение средней заработной платы работников муниципальных учреждений дополнительного образования за счет средств областного бюджета (руб.)</t>
  </si>
  <si>
    <t>Всего субсидия на повышение оплаты труда в 2021 году (руб.)</t>
  </si>
  <si>
    <t>Предусмотрено на  2021 год</t>
  </si>
  <si>
    <t>индексация на 2022 год</t>
  </si>
  <si>
    <t>Проект  2022 года</t>
  </si>
  <si>
    <t>уровни  СЗП ДО юр в соглашении</t>
  </si>
  <si>
    <t xml:space="preserve">2022 соглашения </t>
  </si>
  <si>
    <t>ФОТ сОГ но расчте Марины и числен 1681 чел.</t>
  </si>
  <si>
    <t>порядок</t>
  </si>
  <si>
    <t>за счет средств областного бюджета</t>
  </si>
  <si>
    <t>за счет местных бюджетов</t>
  </si>
  <si>
    <t>мерв  2021</t>
  </si>
  <si>
    <t>предпр</t>
  </si>
  <si>
    <t>Zi</t>
  </si>
  <si>
    <t>K</t>
  </si>
  <si>
    <t>1,302; 12</t>
  </si>
  <si>
    <t>Mci</t>
  </si>
  <si>
    <t>Фоpi</t>
  </si>
  <si>
    <t>ФMi</t>
  </si>
  <si>
    <t>Ксофi</t>
  </si>
  <si>
    <t>гр.1</t>
  </si>
  <si>
    <t>гр.2</t>
  </si>
  <si>
    <t>гр.3</t>
  </si>
  <si>
    <t>гр4</t>
  </si>
  <si>
    <t>гр.5</t>
  </si>
  <si>
    <t>гр.6</t>
  </si>
  <si>
    <t>гр.7</t>
  </si>
  <si>
    <t>гр.6=гр.4*гр.7</t>
  </si>
  <si>
    <t>гр.8=гр.5*гр.6*1,302*12мес.</t>
  </si>
  <si>
    <t>гр.9 = гр.8-гр.11</t>
  </si>
  <si>
    <t>гр.10</t>
  </si>
  <si>
    <t>гр.11</t>
  </si>
  <si>
    <t>гр.12=гр.9-гр.10</t>
  </si>
  <si>
    <t>гр.13</t>
  </si>
  <si>
    <t>гр 14 =гр. 12 - гр.13</t>
  </si>
  <si>
    <t>гр 15 =гр. 12 - гр.13 (гр15&gt;0)</t>
  </si>
  <si>
    <t>гр.16= гр.15 х к-нт</t>
  </si>
  <si>
    <t>гр.17</t>
  </si>
  <si>
    <t>гр.18 = гр.16*гр.17/100</t>
  </si>
  <si>
    <t>гр.19=гр.16-гр.18</t>
  </si>
  <si>
    <t>гр.26=гр.16+гр.24</t>
  </si>
  <si>
    <t>гр.27=гр.14+гр.25</t>
  </si>
  <si>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</si>
  <si>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</si>
  <si>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</si>
  <si>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</si>
  <si>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</si>
  <si>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</si>
  <si>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</si>
  <si>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</si>
  <si>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</si>
  <si>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</si>
  <si>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</si>
  <si>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</si>
  <si>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</si>
  <si>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</si>
  <si>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</si>
  <si>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</si>
  <si>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</si>
  <si>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</si>
  <si>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</si>
  <si>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</si>
  <si>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</si>
  <si>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</si>
  <si>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</si>
  <si>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</si>
  <si>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Всего по МО</t>
  </si>
  <si>
    <t>коэф роста ЗПЛ учит в 2019 к 2018</t>
  </si>
  <si>
    <t>коэф роста ЗПЛ учит в 2018 (с 38131руб.до  39020,89 руб.)</t>
  </si>
  <si>
    <t>Министе образования и науки Архангельской области</t>
  </si>
  <si>
    <t xml:space="preserve">                          (подпись)</t>
  </si>
  <si>
    <t>Целевой показатель на  2021  год</t>
  </si>
  <si>
    <t>100%</t>
  </si>
  <si>
    <t>97,%</t>
  </si>
  <si>
    <t>общее образование</t>
  </si>
  <si>
    <t>дополнит.образ.</t>
  </si>
  <si>
    <t>К-НТ В ГР. 17  РАСЧЕТА В СМАРТ</t>
  </si>
  <si>
    <t>Сi=((Z * К * Ч * 12 * 1,302 - (ФМi+Фмsi+Мci+Фоpi+ФS))* Ксофi</t>
  </si>
  <si>
    <t>Расчет потребности средств для реализации "майских" указов Президента Российской Федерации в 2023 году в части повышения заработной платы педагогических работников муниципальных учреждений дополнительного образования детей (97,1 % к целевому показателю)</t>
  </si>
  <si>
    <t>г.Мирный</t>
  </si>
  <si>
    <t>Прогнозная средняя заработная плата общего образования на 2023 год с учетом достижения 97,1 % (руб.)</t>
  </si>
  <si>
    <t>Потребность на повышение средней заработной платы работников муниципальных учреждений дополнительного образования, местный бюджет (руб.)</t>
  </si>
</sst>
</file>

<file path=xl/styles.xml><?xml version="1.0" encoding="utf-8"?>
<styleSheet xmlns="http://schemas.openxmlformats.org/spreadsheetml/2006/main">
  <numFmts count="21">
    <numFmt numFmtId="43" formatCode="_-* #,##0.00\ _₽_-;\-* #,##0.00\ _₽_-;_-* &quot;-&quot;??\ _₽_-;_-@_-"/>
    <numFmt numFmtId="164" formatCode="_-* #,##0.0000\ _₽_-;\-* #,##0.0000\ _₽_-;_-* &quot;-&quot;??\ _₽_-;_-@_-"/>
    <numFmt numFmtId="165" formatCode="_-* #,##0_р_._-;\-* #,##0_р_._-;_-* &quot;-&quot;??_р_._-;_-@_-"/>
    <numFmt numFmtId="166" formatCode="#,##0.0000_ ;\-#,##0.0000\ "/>
    <numFmt numFmtId="167" formatCode="#,##0.00_ ;\-#,##0.00\ "/>
    <numFmt numFmtId="168" formatCode="#,##0.0"/>
    <numFmt numFmtId="169" formatCode="#,##0.000"/>
    <numFmt numFmtId="170" formatCode="_(* #,##0.0_);_(* \(#,##0.0\);_(* &quot;-&quot;??_);_(@_)"/>
    <numFmt numFmtId="171" formatCode="_-* #,##0.0\ _₽_-;\-* #,##0.0\ _₽_-;_-* &quot;-&quot;?\ _₽_-;_-@_-"/>
    <numFmt numFmtId="172" formatCode="_-* #,##0.00\ _₽_-;\-* #,##0.00\ _₽_-;_-* &quot;-&quot;?\ _₽_-;_-@_-"/>
    <numFmt numFmtId="173" formatCode="_-* #,##0.00_р_._-;\-* #,##0.00_р_._-;_-* &quot;-&quot;??_р_._-;_-@_-"/>
    <numFmt numFmtId="174" formatCode="_-* #,##0.000_р_._-;\-* #,##0.000_р_._-;_-* &quot;-&quot;??_р_._-;_-@_-"/>
    <numFmt numFmtId="175" formatCode="_-* #,##0.0_р_._-;\-* #,##0.0_р_._-;_-* &quot;-&quot;??_р_._-;_-@_-"/>
    <numFmt numFmtId="176" formatCode="0.00000000000"/>
    <numFmt numFmtId="177" formatCode="_(* #,##0.00_);_(* \(#,##0.00\);_(* &quot;-&quot;??_);_(@_)"/>
    <numFmt numFmtId="178" formatCode="_-* #,##0.0\ _₽_-;\-* #,##0.0\ _₽_-;_-* &quot;-&quot;??\ _₽_-;_-@_-"/>
    <numFmt numFmtId="179" formatCode="#,##0.00000000"/>
    <numFmt numFmtId="180" formatCode="#,##0.00000"/>
    <numFmt numFmtId="181" formatCode="0.0"/>
    <numFmt numFmtId="182" formatCode="_-* #,##0\ _₽_-;\-* #,##0\ _₽_-;_-* &quot;-&quot;??\ _₽_-;_-@_-"/>
    <numFmt numFmtId="183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4"/>
      <name val="Calibri"/>
      <family val="2"/>
    </font>
    <font>
      <sz val="14"/>
      <color theme="1"/>
      <name val="Times New Roman"/>
      <family val="1"/>
      <charset val="204"/>
    </font>
    <font>
      <sz val="10"/>
      <color theme="4"/>
      <name val="Arial Cyr"/>
      <charset val="204"/>
    </font>
    <font>
      <sz val="10"/>
      <color theme="9" tint="-0.249977111117893"/>
      <name val="Arial Cyr"/>
      <charset val="204"/>
    </font>
    <font>
      <sz val="10"/>
      <color rgb="FF7030A0"/>
      <name val="Arial Cyr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sz val="14"/>
      <name val="Arial Cyr"/>
      <charset val="204"/>
    </font>
    <font>
      <sz val="8"/>
      <color theme="1"/>
      <name val="Times New Roman"/>
      <family val="1"/>
      <charset val="204"/>
    </font>
    <font>
      <sz val="8"/>
      <color theme="4"/>
      <name val="Times New Roman"/>
      <family val="1"/>
      <charset val="204"/>
    </font>
    <font>
      <sz val="8"/>
      <color theme="9" tint="-0.249977111117893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" fillId="0" borderId="0"/>
    <xf numFmtId="0" fontId="27" fillId="0" borderId="0"/>
  </cellStyleXfs>
  <cellXfs count="171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164" fontId="5" fillId="0" borderId="0" xfId="1" applyNumberFormat="1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165" fontId="3" fillId="0" borderId="0" xfId="1" applyNumberFormat="1" applyFont="1" applyFill="1"/>
    <xf numFmtId="165" fontId="9" fillId="0" borderId="0" xfId="1" applyNumberFormat="1" applyFont="1" applyFill="1"/>
    <xf numFmtId="0" fontId="9" fillId="0" borderId="0" xfId="0" applyFont="1" applyFill="1"/>
    <xf numFmtId="0" fontId="11" fillId="0" borderId="0" xfId="2" applyFont="1" applyFill="1"/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165" fontId="36" fillId="0" borderId="1" xfId="1" applyNumberFormat="1" applyFont="1" applyFill="1" applyBorder="1" applyAlignment="1">
      <alignment horizontal="center" vertical="center" wrapText="1"/>
    </xf>
    <xf numFmtId="1" fontId="36" fillId="0" borderId="1" xfId="3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1" fontId="41" fillId="0" borderId="1" xfId="3" applyNumberFormat="1" applyFont="1" applyFill="1" applyBorder="1" applyAlignment="1">
      <alignment horizontal="center" vertical="center" wrapText="1"/>
    </xf>
    <xf numFmtId="1" fontId="36" fillId="0" borderId="0" xfId="3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/>
    </xf>
    <xf numFmtId="4" fontId="9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8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169" fontId="9" fillId="0" borderId="1" xfId="1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/>
    <xf numFmtId="171" fontId="3" fillId="0" borderId="1" xfId="0" applyNumberFormat="1" applyFont="1" applyFill="1" applyBorder="1"/>
    <xf numFmtId="172" fontId="3" fillId="0" borderId="1" xfId="0" applyNumberFormat="1" applyFont="1" applyFill="1" applyBorder="1"/>
    <xf numFmtId="171" fontId="19" fillId="0" borderId="0" xfId="0" applyNumberFormat="1" applyFont="1" applyFill="1" applyBorder="1"/>
    <xf numFmtId="0" fontId="9" fillId="0" borderId="1" xfId="0" applyFont="1" applyFill="1" applyBorder="1"/>
    <xf numFmtId="170" fontId="9" fillId="0" borderId="1" xfId="1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9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4" fontId="23" fillId="0" borderId="1" xfId="1" applyNumberFormat="1" applyFont="1" applyFill="1" applyBorder="1" applyAlignment="1">
      <alignment horizontal="center" vertical="center"/>
    </xf>
    <xf numFmtId="167" fontId="21" fillId="0" borderId="1" xfId="1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 wrapText="1"/>
    </xf>
    <xf numFmtId="170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8" fontId="21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 wrapText="1" indent="1"/>
    </xf>
    <xf numFmtId="4" fontId="21" fillId="0" borderId="5" xfId="0" applyNumberFormat="1" applyFont="1" applyFill="1" applyBorder="1" applyAlignment="1">
      <alignment horizontal="right" vertical="center" wrapText="1" indent="1"/>
    </xf>
    <xf numFmtId="0" fontId="19" fillId="0" borderId="0" xfId="0" applyFont="1" applyFill="1"/>
    <xf numFmtId="170" fontId="3" fillId="0" borderId="1" xfId="1" applyNumberFormat="1" applyFont="1" applyFill="1" applyBorder="1" applyAlignment="1">
      <alignment horizontal="right" vertical="center" wrapText="1" indent="1"/>
    </xf>
    <xf numFmtId="173" fontId="3" fillId="0" borderId="1" xfId="1" applyNumberFormat="1" applyFont="1" applyFill="1" applyBorder="1" applyAlignment="1">
      <alignment horizontal="center" vertical="center"/>
    </xf>
    <xf numFmtId="174" fontId="9" fillId="0" borderId="0" xfId="1" applyNumberFormat="1" applyFont="1" applyFill="1"/>
    <xf numFmtId="175" fontId="9" fillId="0" borderId="0" xfId="1" applyNumberFormat="1" applyFont="1" applyFill="1"/>
    <xf numFmtId="0" fontId="9" fillId="0" borderId="0" xfId="0" applyFont="1" applyFill="1" applyBorder="1"/>
    <xf numFmtId="0" fontId="27" fillId="0" borderId="0" xfId="4" applyFill="1"/>
    <xf numFmtId="164" fontId="28" fillId="0" borderId="0" xfId="1" applyNumberFormat="1" applyFont="1" applyFill="1"/>
    <xf numFmtId="168" fontId="3" fillId="0" borderId="0" xfId="0" applyNumberFormat="1" applyFont="1" applyFill="1"/>
    <xf numFmtId="168" fontId="6" fillId="0" borderId="0" xfId="0" applyNumberFormat="1" applyFont="1" applyFill="1"/>
    <xf numFmtId="168" fontId="7" fillId="0" borderId="0" xfId="0" applyNumberFormat="1" applyFont="1" applyFill="1"/>
    <xf numFmtId="176" fontId="27" fillId="0" borderId="0" xfId="4" applyNumberFormat="1" applyFill="1"/>
    <xf numFmtId="173" fontId="3" fillId="0" borderId="0" xfId="1" applyNumberFormat="1" applyFont="1" applyFill="1"/>
    <xf numFmtId="173" fontId="9" fillId="0" borderId="0" xfId="1" applyNumberFormat="1" applyFont="1" applyFill="1"/>
    <xf numFmtId="0" fontId="29" fillId="0" borderId="0" xfId="0" applyFont="1" applyFill="1"/>
    <xf numFmtId="0" fontId="3" fillId="0" borderId="6" xfId="0" applyFont="1" applyFill="1" applyBorder="1"/>
    <xf numFmtId="4" fontId="3" fillId="0" borderId="0" xfId="0" applyNumberFormat="1" applyFont="1" applyFill="1"/>
    <xf numFmtId="4" fontId="6" fillId="0" borderId="0" xfId="0" applyNumberFormat="1" applyFont="1" applyFill="1"/>
    <xf numFmtId="4" fontId="7" fillId="0" borderId="0" xfId="0" applyNumberFormat="1" applyFont="1" applyFill="1"/>
    <xf numFmtId="168" fontId="8" fillId="0" borderId="1" xfId="0" applyNumberFormat="1" applyFont="1" applyFill="1" applyBorder="1" applyAlignment="1">
      <alignment horizontal="right" vertical="center" wrapText="1" indent="1"/>
    </xf>
    <xf numFmtId="168" fontId="3" fillId="0" borderId="0" xfId="0" applyNumberFormat="1" applyFont="1" applyFill="1" applyBorder="1" applyAlignment="1">
      <alignment horizontal="right" vertical="center" wrapText="1" indent="1"/>
    </xf>
    <xf numFmtId="43" fontId="3" fillId="0" borderId="0" xfId="0" applyNumberFormat="1" applyFont="1" applyFill="1"/>
    <xf numFmtId="43" fontId="6" fillId="0" borderId="0" xfId="0" applyNumberFormat="1" applyFont="1" applyFill="1"/>
    <xf numFmtId="43" fontId="7" fillId="0" borderId="0" xfId="0" applyNumberFormat="1" applyFont="1" applyFill="1"/>
    <xf numFmtId="0" fontId="0" fillId="0" borderId="0" xfId="0" applyFill="1"/>
    <xf numFmtId="164" fontId="30" fillId="0" borderId="0" xfId="1" applyNumberFormat="1" applyFont="1" applyFill="1"/>
    <xf numFmtId="43" fontId="0" fillId="0" borderId="0" xfId="0" applyNumberFormat="1" applyFill="1"/>
    <xf numFmtId="43" fontId="31" fillId="0" borderId="0" xfId="0" applyNumberFormat="1" applyFont="1" applyFill="1"/>
    <xf numFmtId="43" fontId="32" fillId="0" borderId="0" xfId="0" applyNumberFormat="1" applyFont="1" applyFill="1"/>
    <xf numFmtId="0" fontId="33" fillId="0" borderId="0" xfId="0" applyFont="1" applyFill="1"/>
    <xf numFmtId="0" fontId="0" fillId="0" borderId="0" xfId="0" applyFont="1" applyFill="1"/>
    <xf numFmtId="0" fontId="31" fillId="0" borderId="0" xfId="0" applyFont="1" applyFill="1"/>
    <xf numFmtId="0" fontId="32" fillId="0" borderId="0" xfId="0" applyFont="1" applyFill="1"/>
    <xf numFmtId="168" fontId="9" fillId="0" borderId="1" xfId="1" applyNumberFormat="1" applyFont="1" applyFill="1" applyBorder="1" applyAlignment="1">
      <alignment horizontal="right" indent="1"/>
    </xf>
    <xf numFmtId="164" fontId="5" fillId="0" borderId="1" xfId="1" applyNumberFormat="1" applyFont="1" applyFill="1" applyBorder="1" applyAlignment="1">
      <alignment horizontal="right" indent="1"/>
    </xf>
    <xf numFmtId="177" fontId="3" fillId="0" borderId="1" xfId="1" applyNumberFormat="1" applyFont="1" applyFill="1" applyBorder="1" applyAlignment="1">
      <alignment horizontal="right" vertical="center" wrapText="1" indent="1"/>
    </xf>
    <xf numFmtId="177" fontId="6" fillId="0" borderId="1" xfId="1" applyNumberFormat="1" applyFont="1" applyFill="1" applyBorder="1" applyAlignment="1">
      <alignment horizontal="right" vertical="center" wrapText="1" indent="1"/>
    </xf>
    <xf numFmtId="177" fontId="7" fillId="0" borderId="1" xfId="1" applyNumberFormat="1" applyFont="1" applyFill="1" applyBorder="1" applyAlignment="1">
      <alignment horizontal="right" vertical="center" wrapText="1" indent="1"/>
    </xf>
    <xf numFmtId="168" fontId="3" fillId="0" borderId="1" xfId="0" applyNumberFormat="1" applyFont="1" applyFill="1" applyBorder="1" applyAlignment="1">
      <alignment horizontal="right" vertical="center" wrapText="1" indent="1"/>
    </xf>
    <xf numFmtId="168" fontId="3" fillId="0" borderId="1" xfId="1" applyNumberFormat="1" applyFont="1" applyFill="1" applyBorder="1" applyAlignment="1">
      <alignment horizontal="right" vertical="center" wrapText="1" indent="1"/>
    </xf>
    <xf numFmtId="175" fontId="3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right" vertical="center" indent="1"/>
    </xf>
    <xf numFmtId="178" fontId="3" fillId="0" borderId="1" xfId="1" applyNumberFormat="1" applyFont="1" applyFill="1" applyBorder="1"/>
    <xf numFmtId="178" fontId="9" fillId="0" borderId="1" xfId="1" applyNumberFormat="1" applyFont="1" applyFill="1" applyBorder="1"/>
    <xf numFmtId="178" fontId="23" fillId="0" borderId="1" xfId="1" applyNumberFormat="1" applyFont="1" applyFill="1" applyBorder="1"/>
    <xf numFmtId="0" fontId="0" fillId="0" borderId="0" xfId="0" applyFill="1" applyAlignment="1">
      <alignment horizontal="left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2" fontId="0" fillId="0" borderId="0" xfId="0" applyNumberFormat="1" applyFill="1"/>
    <xf numFmtId="4" fontId="0" fillId="0" borderId="0" xfId="0" applyNumberFormat="1" applyFill="1"/>
    <xf numFmtId="168" fontId="0" fillId="0" borderId="0" xfId="0" applyNumberFormat="1" applyFont="1" applyFill="1"/>
    <xf numFmtId="179" fontId="0" fillId="0" borderId="0" xfId="0" applyNumberFormat="1" applyFont="1" applyFill="1"/>
    <xf numFmtId="180" fontId="0" fillId="0" borderId="0" xfId="0" applyNumberFormat="1" applyFont="1" applyFill="1"/>
    <xf numFmtId="4" fontId="0" fillId="0" borderId="0" xfId="0" applyNumberFormat="1" applyFont="1" applyFill="1"/>
    <xf numFmtId="168" fontId="0" fillId="0" borderId="0" xfId="0" applyNumberFormat="1" applyFill="1"/>
    <xf numFmtId="10" fontId="0" fillId="0" borderId="0" xfId="0" applyNumberFormat="1" applyFill="1"/>
    <xf numFmtId="169" fontId="0" fillId="0" borderId="0" xfId="0" applyNumberFormat="1" applyFill="1"/>
    <xf numFmtId="181" fontId="33" fillId="0" borderId="0" xfId="0" applyNumberFormat="1" applyFont="1" applyFill="1"/>
    <xf numFmtId="171" fontId="0" fillId="0" borderId="0" xfId="0" applyNumberFormat="1" applyFill="1"/>
    <xf numFmtId="0" fontId="34" fillId="0" borderId="0" xfId="0" applyFont="1" applyFill="1"/>
    <xf numFmtId="49" fontId="34" fillId="0" borderId="0" xfId="0" applyNumberFormat="1" applyFont="1" applyFill="1"/>
    <xf numFmtId="49" fontId="34" fillId="0" borderId="0" xfId="1" applyNumberFormat="1" applyFont="1" applyFill="1"/>
    <xf numFmtId="182" fontId="30" fillId="0" borderId="0" xfId="1" applyNumberFormat="1" applyFont="1" applyFill="1"/>
    <xf numFmtId="183" fontId="33" fillId="0" borderId="0" xfId="0" applyNumberFormat="1" applyFont="1" applyFill="1"/>
    <xf numFmtId="4" fontId="0" fillId="0" borderId="0" xfId="0" applyNumberFormat="1" applyFill="1" applyAlignment="1">
      <alignment horizontal="center"/>
    </xf>
    <xf numFmtId="4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/>
    <xf numFmtId="4" fontId="34" fillId="0" borderId="0" xfId="0" applyNumberFormat="1" applyFont="1" applyFill="1" applyAlignment="1">
      <alignment horizontal="center"/>
    </xf>
    <xf numFmtId="4" fontId="34" fillId="0" borderId="0" xfId="1" applyNumberFormat="1" applyFont="1" applyFill="1" applyAlignment="1">
      <alignment horizontal="center"/>
    </xf>
    <xf numFmtId="173" fontId="0" fillId="0" borderId="0" xfId="0" applyNumberFormat="1" applyFont="1" applyFill="1"/>
    <xf numFmtId="0" fontId="35" fillId="0" borderId="0" xfId="0" applyFont="1" applyFill="1"/>
    <xf numFmtId="43" fontId="33" fillId="0" borderId="0" xfId="1" applyFont="1" applyFill="1"/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5">
    <cellStyle name="Normal" xfId="3"/>
    <cellStyle name="Обычный" xfId="0" builtinId="0"/>
    <cellStyle name="Обычный 3" xfId="2"/>
    <cellStyle name="Обычный 6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3"/>
  <sheetViews>
    <sheetView tabSelected="1" view="pageBreakPreview" zoomScale="90" zoomScaleNormal="60" zoomScaleSheetLayoutView="90" zoomScalePageLayoutView="70" workbookViewId="0"/>
  </sheetViews>
  <sheetFormatPr defaultRowHeight="15"/>
  <cols>
    <col min="1" max="1" width="3.85546875" style="107" customWidth="1"/>
    <col min="2" max="2" width="21.5703125" style="107" customWidth="1"/>
    <col min="3" max="3" width="15.140625" style="107" customWidth="1"/>
    <col min="4" max="4" width="10.85546875" style="108" customWidth="1"/>
    <col min="5" max="5" width="13.5703125" style="108" customWidth="1"/>
    <col min="6" max="6" width="11.5703125" style="107" customWidth="1"/>
    <col min="7" max="7" width="14.140625" style="107" customWidth="1"/>
    <col min="8" max="8" width="21" style="107" hidden="1" customWidth="1"/>
    <col min="9" max="9" width="12.42578125" style="107" customWidth="1"/>
    <col min="10" max="11" width="15.28515625" style="107" hidden="1" customWidth="1"/>
    <col min="12" max="12" width="15.28515625" style="114" hidden="1" customWidth="1"/>
    <col min="13" max="14" width="15.28515625" style="107" hidden="1" customWidth="1"/>
    <col min="15" max="15" width="15.28515625" style="115" hidden="1" customWidth="1"/>
    <col min="16" max="16" width="15.28515625" style="107" hidden="1" customWidth="1"/>
    <col min="17" max="17" width="22.42578125" style="112" hidden="1" customWidth="1"/>
    <col min="18" max="18" width="18.7109375" style="107" hidden="1" customWidth="1"/>
    <col min="19" max="19" width="14.42578125" style="107" hidden="1" customWidth="1"/>
    <col min="20" max="20" width="17.42578125" style="107" customWidth="1"/>
    <col min="21" max="21" width="17.85546875" style="107" customWidth="1"/>
    <col min="22" max="22" width="15.42578125" style="107" customWidth="1"/>
    <col min="23" max="23" width="16.140625" style="107" customWidth="1"/>
    <col min="24" max="24" width="16.85546875" style="107" customWidth="1"/>
    <col min="25" max="25" width="18.5703125" style="113" customWidth="1"/>
    <col min="26" max="26" width="16.140625" style="113" customWidth="1"/>
    <col min="27" max="27" width="16.28515625" style="113" customWidth="1"/>
    <col min="28" max="28" width="15.85546875" style="113" customWidth="1"/>
    <col min="29" max="29" width="11.5703125" style="113" customWidth="1"/>
    <col min="30" max="30" width="16" style="113" customWidth="1"/>
    <col min="31" max="31" width="15.5703125" style="113" customWidth="1"/>
    <col min="32" max="33" width="18.85546875" style="107" hidden="1" customWidth="1"/>
    <col min="34" max="34" width="5.42578125" style="107" hidden="1" customWidth="1"/>
    <col min="35" max="35" width="21.7109375" style="107" hidden="1" customWidth="1"/>
    <col min="36" max="36" width="13.140625" style="107" hidden="1" customWidth="1"/>
    <col min="37" max="37" width="20.7109375" style="107" hidden="1" customWidth="1"/>
    <col min="38" max="39" width="0" style="107" hidden="1" customWidth="1"/>
    <col min="40" max="40" width="13.28515625" style="107" hidden="1" customWidth="1"/>
    <col min="41" max="41" width="17.5703125" style="107" hidden="1" customWidth="1"/>
    <col min="42" max="42" width="15.85546875" style="107" hidden="1" customWidth="1"/>
    <col min="43" max="43" width="18.140625" style="107" hidden="1" customWidth="1"/>
    <col min="44" max="16384" width="9.140625" style="107"/>
  </cols>
  <sheetData>
    <row r="1" spans="1:43" s="2" customFormat="1" ht="49.5" customHeight="1">
      <c r="A1" s="1"/>
      <c r="B1" s="155" t="s">
        <v>98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43" s="2" customFormat="1" ht="6.75" customHeight="1">
      <c r="D2" s="3"/>
      <c r="E2" s="3"/>
      <c r="L2" s="4"/>
      <c r="O2" s="5"/>
      <c r="Q2" s="6"/>
      <c r="T2" s="7"/>
      <c r="U2" s="7"/>
      <c r="V2" s="7"/>
      <c r="W2" s="7"/>
      <c r="X2" s="7"/>
      <c r="Y2" s="8"/>
      <c r="Z2" s="8"/>
      <c r="AA2" s="8"/>
      <c r="AB2" s="8"/>
      <c r="AC2" s="8"/>
      <c r="AD2" s="8"/>
      <c r="AE2" s="9"/>
    </row>
    <row r="3" spans="1:43" s="2" customFormat="1" ht="15.75" customHeight="1">
      <c r="B3" s="10"/>
      <c r="D3" s="3"/>
      <c r="E3" s="3"/>
      <c r="L3" s="4"/>
      <c r="O3" s="5"/>
      <c r="Q3" s="6"/>
      <c r="T3" s="7"/>
      <c r="U3" s="7"/>
      <c r="V3" s="7"/>
      <c r="W3" s="7"/>
      <c r="X3" s="7"/>
      <c r="Y3" s="8"/>
      <c r="Z3" s="8"/>
      <c r="AA3" s="8"/>
      <c r="AB3" s="8"/>
      <c r="AC3" s="8"/>
      <c r="AD3" s="8"/>
      <c r="AE3" s="9"/>
      <c r="AF3" s="2" t="s">
        <v>0</v>
      </c>
    </row>
    <row r="4" spans="1:43" s="2" customFormat="1" ht="15.75">
      <c r="D4" s="3"/>
      <c r="E4" s="3"/>
      <c r="L4" s="4"/>
      <c r="O4" s="5"/>
      <c r="Q4" s="6"/>
      <c r="T4" s="7"/>
      <c r="U4" s="7"/>
      <c r="V4" s="7"/>
      <c r="W4" s="7"/>
      <c r="X4" s="7"/>
      <c r="Y4" s="8"/>
      <c r="Z4" s="8"/>
      <c r="AA4" s="8"/>
      <c r="AB4" s="8"/>
      <c r="AC4" s="8"/>
      <c r="AD4" s="8"/>
      <c r="AE4" s="9"/>
    </row>
    <row r="5" spans="1:43" s="9" customFormat="1" ht="37.5" customHeight="1">
      <c r="A5" s="156" t="s">
        <v>1</v>
      </c>
      <c r="B5" s="157" t="s">
        <v>2</v>
      </c>
      <c r="C5" s="158" t="s">
        <v>3</v>
      </c>
      <c r="D5" s="158" t="s">
        <v>4</v>
      </c>
      <c r="E5" s="158" t="s">
        <v>100</v>
      </c>
      <c r="F5" s="158" t="s">
        <v>5</v>
      </c>
      <c r="G5" s="158" t="s">
        <v>6</v>
      </c>
      <c r="H5" s="11"/>
      <c r="I5" s="158" t="s">
        <v>7</v>
      </c>
      <c r="J5" s="158" t="s">
        <v>8</v>
      </c>
      <c r="K5" s="11"/>
      <c r="L5" s="12"/>
      <c r="M5" s="11"/>
      <c r="N5" s="11"/>
      <c r="O5" s="13"/>
      <c r="P5" s="11"/>
      <c r="Q5" s="168" t="s">
        <v>9</v>
      </c>
      <c r="R5" s="11"/>
      <c r="S5" s="158" t="s">
        <v>7</v>
      </c>
      <c r="T5" s="158" t="s">
        <v>10</v>
      </c>
      <c r="U5" s="158" t="s">
        <v>11</v>
      </c>
      <c r="V5" s="158" t="s">
        <v>12</v>
      </c>
      <c r="W5" s="158" t="s">
        <v>13</v>
      </c>
      <c r="X5" s="162" t="s">
        <v>14</v>
      </c>
      <c r="Y5" s="162" t="s">
        <v>15</v>
      </c>
      <c r="Z5" s="162" t="s">
        <v>16</v>
      </c>
      <c r="AA5" s="163" t="s">
        <v>17</v>
      </c>
      <c r="AB5" s="162" t="s">
        <v>18</v>
      </c>
      <c r="AC5" s="163" t="s">
        <v>19</v>
      </c>
      <c r="AD5" s="162" t="s">
        <v>20</v>
      </c>
      <c r="AE5" s="162" t="s">
        <v>101</v>
      </c>
      <c r="AF5" s="161" t="s">
        <v>21</v>
      </c>
      <c r="AG5" s="161"/>
      <c r="AH5" s="14"/>
      <c r="AI5" s="161" t="s">
        <v>22</v>
      </c>
      <c r="AJ5" s="161" t="s">
        <v>23</v>
      </c>
      <c r="AK5" s="161" t="s">
        <v>24</v>
      </c>
    </row>
    <row r="6" spans="1:43" s="9" customFormat="1" ht="44.25" customHeight="1">
      <c r="A6" s="156"/>
      <c r="B6" s="157"/>
      <c r="C6" s="159"/>
      <c r="D6" s="159"/>
      <c r="E6" s="159"/>
      <c r="F6" s="159"/>
      <c r="G6" s="159"/>
      <c r="H6" s="15"/>
      <c r="I6" s="159"/>
      <c r="J6" s="159"/>
      <c r="K6" s="15"/>
      <c r="L6" s="16"/>
      <c r="M6" s="15"/>
      <c r="N6" s="15"/>
      <c r="O6" s="17"/>
      <c r="P6" s="15"/>
      <c r="Q6" s="169"/>
      <c r="R6" s="15" t="s">
        <v>25</v>
      </c>
      <c r="S6" s="159"/>
      <c r="T6" s="159"/>
      <c r="U6" s="159"/>
      <c r="V6" s="159"/>
      <c r="W6" s="159"/>
      <c r="X6" s="162"/>
      <c r="Y6" s="162"/>
      <c r="Z6" s="162"/>
      <c r="AA6" s="164"/>
      <c r="AB6" s="162"/>
      <c r="AC6" s="164"/>
      <c r="AD6" s="162"/>
      <c r="AE6" s="162"/>
      <c r="AF6" s="161"/>
      <c r="AG6" s="161"/>
      <c r="AH6" s="14"/>
      <c r="AI6" s="161"/>
      <c r="AJ6" s="161"/>
      <c r="AK6" s="161"/>
    </row>
    <row r="7" spans="1:43" s="2" customFormat="1" ht="153.75" customHeight="1">
      <c r="A7" s="156"/>
      <c r="B7" s="157"/>
      <c r="C7" s="160"/>
      <c r="D7" s="160"/>
      <c r="E7" s="160"/>
      <c r="F7" s="160"/>
      <c r="G7" s="160"/>
      <c r="H7" s="18"/>
      <c r="I7" s="160"/>
      <c r="J7" s="160"/>
      <c r="K7" s="18"/>
      <c r="L7" s="19" t="s">
        <v>26</v>
      </c>
      <c r="M7" s="18"/>
      <c r="N7" s="18"/>
      <c r="O7" s="20" t="s">
        <v>27</v>
      </c>
      <c r="P7" s="18" t="s">
        <v>28</v>
      </c>
      <c r="Q7" s="170"/>
      <c r="R7" s="18"/>
      <c r="S7" s="160"/>
      <c r="T7" s="160"/>
      <c r="U7" s="160"/>
      <c r="V7" s="160"/>
      <c r="W7" s="160"/>
      <c r="X7" s="162"/>
      <c r="Y7" s="162"/>
      <c r="Z7" s="162"/>
      <c r="AA7" s="165"/>
      <c r="AB7" s="162"/>
      <c r="AC7" s="165"/>
      <c r="AD7" s="162"/>
      <c r="AE7" s="162"/>
      <c r="AF7" s="21" t="s">
        <v>29</v>
      </c>
      <c r="AG7" s="22" t="s">
        <v>30</v>
      </c>
      <c r="AH7" s="14"/>
      <c r="AI7" s="161"/>
      <c r="AJ7" s="161"/>
      <c r="AK7" s="161"/>
      <c r="AN7" s="2" t="s">
        <v>31</v>
      </c>
      <c r="AP7" s="2" t="s">
        <v>32</v>
      </c>
    </row>
    <row r="8" spans="1:43" s="2" customFormat="1" ht="26.25" customHeight="1">
      <c r="A8" s="23"/>
      <c r="B8" s="24"/>
      <c r="C8" s="18"/>
      <c r="D8" s="25"/>
      <c r="E8" s="25" t="s">
        <v>33</v>
      </c>
      <c r="F8" s="18"/>
      <c r="G8" s="18"/>
      <c r="H8" s="18"/>
      <c r="I8" s="18" t="s">
        <v>34</v>
      </c>
      <c r="J8" s="18"/>
      <c r="K8" s="18"/>
      <c r="L8" s="19"/>
      <c r="M8" s="18"/>
      <c r="N8" s="18"/>
      <c r="O8" s="20"/>
      <c r="P8" s="18"/>
      <c r="Q8" s="26"/>
      <c r="R8" s="18"/>
      <c r="S8" s="18" t="s">
        <v>34</v>
      </c>
      <c r="T8" s="18" t="s">
        <v>35</v>
      </c>
      <c r="U8" s="18"/>
      <c r="V8" s="18" t="s">
        <v>36</v>
      </c>
      <c r="W8" s="18" t="s">
        <v>37</v>
      </c>
      <c r="X8" s="27"/>
      <c r="Y8" s="27" t="s">
        <v>38</v>
      </c>
      <c r="Z8" s="27"/>
      <c r="AA8" s="28"/>
      <c r="AB8" s="27"/>
      <c r="AC8" s="29" t="s">
        <v>39</v>
      </c>
      <c r="AD8" s="27"/>
      <c r="AE8" s="27"/>
      <c r="AF8" s="21"/>
      <c r="AG8" s="22"/>
      <c r="AH8" s="14"/>
      <c r="AI8" s="22"/>
      <c r="AJ8" s="22"/>
      <c r="AK8" s="22"/>
    </row>
    <row r="9" spans="1:43" s="42" customFormat="1" ht="33.75" customHeight="1">
      <c r="A9" s="30" t="s">
        <v>40</v>
      </c>
      <c r="B9" s="30" t="s">
        <v>41</v>
      </c>
      <c r="C9" s="30" t="s">
        <v>42</v>
      </c>
      <c r="D9" s="31"/>
      <c r="E9" s="31" t="s">
        <v>43</v>
      </c>
      <c r="F9" s="30" t="s">
        <v>44</v>
      </c>
      <c r="G9" s="30" t="s">
        <v>45</v>
      </c>
      <c r="H9" s="30"/>
      <c r="I9" s="30" t="s">
        <v>46</v>
      </c>
      <c r="J9" s="30" t="s">
        <v>44</v>
      </c>
      <c r="K9" s="30"/>
      <c r="L9" s="32"/>
      <c r="M9" s="30"/>
      <c r="N9" s="30"/>
      <c r="O9" s="33"/>
      <c r="P9" s="30"/>
      <c r="Q9" s="34" t="s">
        <v>47</v>
      </c>
      <c r="R9" s="35"/>
      <c r="S9" s="36" t="s">
        <v>46</v>
      </c>
      <c r="T9" s="37" t="s">
        <v>48</v>
      </c>
      <c r="U9" s="37" t="s">
        <v>49</v>
      </c>
      <c r="V9" s="30" t="s">
        <v>50</v>
      </c>
      <c r="W9" s="30" t="s">
        <v>51</v>
      </c>
      <c r="X9" s="38" t="s">
        <v>52</v>
      </c>
      <c r="Y9" s="39" t="s">
        <v>53</v>
      </c>
      <c r="Z9" s="40" t="s">
        <v>54</v>
      </c>
      <c r="AA9" s="40" t="s">
        <v>55</v>
      </c>
      <c r="AB9" s="40" t="s">
        <v>56</v>
      </c>
      <c r="AC9" s="40" t="s">
        <v>57</v>
      </c>
      <c r="AD9" s="40" t="s">
        <v>58</v>
      </c>
      <c r="AE9" s="40" t="s">
        <v>59</v>
      </c>
      <c r="AF9" s="38" t="s">
        <v>60</v>
      </c>
      <c r="AG9" s="38" t="s">
        <v>61</v>
      </c>
      <c r="AH9" s="41"/>
      <c r="AI9" s="38"/>
      <c r="AJ9" s="38"/>
      <c r="AK9" s="38"/>
    </row>
    <row r="10" spans="1:43" s="2" customFormat="1" ht="15.75" customHeight="1">
      <c r="A10" s="43">
        <v>1</v>
      </c>
      <c r="B10" s="44" t="s">
        <v>62</v>
      </c>
      <c r="C10" s="45">
        <v>59698</v>
      </c>
      <c r="D10" s="46">
        <v>1.0390999999999999</v>
      </c>
      <c r="E10" s="47">
        <f>ROUND(C10*D10,0)</f>
        <v>62032</v>
      </c>
      <c r="F10" s="48">
        <v>80</v>
      </c>
      <c r="G10" s="45">
        <f>ROUND(E10*I10/100,1)</f>
        <v>62015.5</v>
      </c>
      <c r="H10" s="49" t="e">
        <f>#REF!*F10*12*1.302</f>
        <v>#REF!</v>
      </c>
      <c r="I10" s="50">
        <f>$I$35</f>
        <v>99.973399000000001</v>
      </c>
      <c r="J10" s="51">
        <v>80</v>
      </c>
      <c r="K10" s="51"/>
      <c r="L10" s="52">
        <v>56455.287206266315</v>
      </c>
      <c r="M10" s="51">
        <v>61777.1</v>
      </c>
      <c r="N10" s="51" t="e">
        <f>#REF!-O10</f>
        <v>#REF!</v>
      </c>
      <c r="O10" s="53">
        <v>62404.874577033363</v>
      </c>
      <c r="P10" s="51">
        <v>62780.3</v>
      </c>
      <c r="Q10" s="54" t="e">
        <f>ROUND(#REF!*S10/100,1)</f>
        <v>#REF!</v>
      </c>
      <c r="R10" s="55">
        <v>63515.528155730171</v>
      </c>
      <c r="S10" s="56">
        <f t="shared" ref="S10:S34" si="0">$S$35</f>
        <v>102.282151722573</v>
      </c>
      <c r="T10" s="57">
        <f>ROUND(F10*G10*1.302*12,2)</f>
        <v>77514413.760000005</v>
      </c>
      <c r="U10" s="57">
        <f>T10-W10</f>
        <v>76809213.760000005</v>
      </c>
      <c r="V10" s="57">
        <v>284900</v>
      </c>
      <c r="W10" s="57">
        <v>705200</v>
      </c>
      <c r="X10" s="57">
        <f>U10-V10</f>
        <v>76524313.760000005</v>
      </c>
      <c r="Y10" s="45">
        <v>76092858.200800002</v>
      </c>
      <c r="Z10" s="45">
        <f>X10-Y10</f>
        <v>431455.55920000374</v>
      </c>
      <c r="AA10" s="45">
        <f>X10-Y10</f>
        <v>431455.55920000374</v>
      </c>
      <c r="AB10" s="45">
        <f>ROUND(AA10*$AA$63,2)</f>
        <v>182798.25</v>
      </c>
      <c r="AC10" s="48">
        <v>93</v>
      </c>
      <c r="AD10" s="45">
        <f>ROUND(AB10*AC10/100,0)</f>
        <v>170002</v>
      </c>
      <c r="AE10" s="45">
        <f>AB10-AD10</f>
        <v>12796.25</v>
      </c>
      <c r="AF10" s="43"/>
      <c r="AG10" s="43"/>
      <c r="AH10" s="58"/>
      <c r="AI10" s="59" t="e">
        <f>#REF!+AD10+AE10</f>
        <v>#REF!</v>
      </c>
      <c r="AJ10" s="60">
        <v>1.01</v>
      </c>
      <c r="AK10" s="59" t="e">
        <f>AI10*AJ10</f>
        <v>#REF!</v>
      </c>
      <c r="AN10" s="2">
        <v>228.5</v>
      </c>
      <c r="AO10" s="2">
        <f>AN10*1.04*1000</f>
        <v>237640.00000000003</v>
      </c>
      <c r="AP10" s="2">
        <v>615.4</v>
      </c>
      <c r="AQ10" s="2">
        <f>AP10*1000*1.302</f>
        <v>801250.8</v>
      </c>
    </row>
    <row r="11" spans="1:43" s="2" customFormat="1" ht="15.75" customHeight="1">
      <c r="A11" s="43">
        <v>2</v>
      </c>
      <c r="B11" s="44" t="s">
        <v>63</v>
      </c>
      <c r="C11" s="45">
        <v>52360</v>
      </c>
      <c r="D11" s="46">
        <v>1.0390999999999999</v>
      </c>
      <c r="E11" s="47">
        <f t="shared" ref="E11:E35" si="1">ROUND(C11*D11,0)</f>
        <v>54407</v>
      </c>
      <c r="F11" s="48">
        <v>21</v>
      </c>
      <c r="G11" s="45">
        <f t="shared" ref="G11:G35" si="2">ROUND(E11*I11/100,1)</f>
        <v>54392.5</v>
      </c>
      <c r="H11" s="49" t="e">
        <f>#REF!*F11*12*1.302</f>
        <v>#REF!</v>
      </c>
      <c r="I11" s="50">
        <f t="shared" ref="I11:I34" si="3">$I$35</f>
        <v>99.973399000000001</v>
      </c>
      <c r="J11" s="51">
        <v>22</v>
      </c>
      <c r="K11" s="51"/>
      <c r="L11" s="52">
        <v>52763.961605584635</v>
      </c>
      <c r="M11" s="51">
        <v>57705.8</v>
      </c>
      <c r="N11" s="51" t="e">
        <f>#REF!-O11</f>
        <v>#REF!</v>
      </c>
      <c r="O11" s="53">
        <v>61933.154899731926</v>
      </c>
      <c r="P11" s="51">
        <v>55065.7</v>
      </c>
      <c r="Q11" s="54" t="e">
        <f>ROUND(#REF!*S11/100,1)</f>
        <v>#REF!</v>
      </c>
      <c r="R11" s="55">
        <v>62940.198068833262</v>
      </c>
      <c r="S11" s="56">
        <f t="shared" si="0"/>
        <v>102.282151722573</v>
      </c>
      <c r="T11" s="57">
        <f t="shared" ref="T11:T34" si="4">ROUND(F11*G11*1.302*12,2)</f>
        <v>17846396.82</v>
      </c>
      <c r="U11" s="57">
        <f t="shared" ref="U11:U33" si="5">T11-W11</f>
        <v>17846396.82</v>
      </c>
      <c r="V11" s="57">
        <v>1075200</v>
      </c>
      <c r="W11" s="57">
        <v>0</v>
      </c>
      <c r="X11" s="57">
        <f t="shared" ref="X11:X33" si="6">U11-V11</f>
        <v>16771196.82</v>
      </c>
      <c r="Y11" s="45">
        <v>18575599.219999999</v>
      </c>
      <c r="Z11" s="45">
        <f t="shared" ref="Z11:Z33" si="7">X11-Y11</f>
        <v>-1804402.3999999985</v>
      </c>
      <c r="AA11" s="45">
        <v>0</v>
      </c>
      <c r="AB11" s="45">
        <f t="shared" ref="AB11:AB34" si="8">ROUND(AA11*$AA$63,2)</f>
        <v>0</v>
      </c>
      <c r="AC11" s="48">
        <v>94</v>
      </c>
      <c r="AD11" s="45">
        <f t="shared" ref="AD11:AD34" si="9">ROUND(AB11*AC11/100,0)</f>
        <v>0</v>
      </c>
      <c r="AE11" s="45">
        <f t="shared" ref="AE11:AE34" si="10">AB11-AD11</f>
        <v>0</v>
      </c>
      <c r="AF11" s="43"/>
      <c r="AG11" s="43"/>
      <c r="AH11" s="58"/>
      <c r="AI11" s="59" t="e">
        <f>#REF!+AD11+AE11</f>
        <v>#REF!</v>
      </c>
      <c r="AJ11" s="60">
        <v>1.01</v>
      </c>
      <c r="AK11" s="59" t="e">
        <f t="shared" ref="AK11:AK34" si="11">AI11*AJ11</f>
        <v>#REF!</v>
      </c>
      <c r="AN11" s="2">
        <v>969.9</v>
      </c>
      <c r="AO11" s="2">
        <f t="shared" ref="AO11:AO34" si="12">AN11*1.04*1000</f>
        <v>1008696</v>
      </c>
      <c r="AP11" s="2">
        <v>56.6</v>
      </c>
      <c r="AQ11" s="2">
        <f t="shared" ref="AQ11:AQ34" si="13">AP11*1000*1.302</f>
        <v>73693.2</v>
      </c>
    </row>
    <row r="12" spans="1:43" s="2" customFormat="1" ht="15.75" customHeight="1">
      <c r="A12" s="43">
        <v>3</v>
      </c>
      <c r="B12" s="44" t="s">
        <v>64</v>
      </c>
      <c r="C12" s="45">
        <v>53063</v>
      </c>
      <c r="D12" s="46">
        <v>1.0390999999999999</v>
      </c>
      <c r="E12" s="47">
        <f t="shared" si="1"/>
        <v>55138</v>
      </c>
      <c r="F12" s="48">
        <v>18</v>
      </c>
      <c r="G12" s="45">
        <f t="shared" si="2"/>
        <v>55123.3</v>
      </c>
      <c r="H12" s="49" t="e">
        <f>#REF!*F12*12*1.302</f>
        <v>#REF!</v>
      </c>
      <c r="I12" s="50">
        <f t="shared" si="3"/>
        <v>99.973399000000001</v>
      </c>
      <c r="J12" s="51">
        <v>18</v>
      </c>
      <c r="K12" s="51"/>
      <c r="L12" s="52">
        <v>55678.030303030304</v>
      </c>
      <c r="M12" s="51">
        <v>62673.2</v>
      </c>
      <c r="N12" s="51" t="e">
        <f>#REF!-O12</f>
        <v>#REF!</v>
      </c>
      <c r="O12" s="53">
        <v>62436.445285969945</v>
      </c>
      <c r="P12" s="51">
        <v>55743.9</v>
      </c>
      <c r="Q12" s="54" t="e">
        <f>ROUND(#REF!*S12/100,1)</f>
        <v>#REF!</v>
      </c>
      <c r="R12" s="55">
        <v>63451.672038587341</v>
      </c>
      <c r="S12" s="56">
        <f t="shared" si="0"/>
        <v>102.282151722573</v>
      </c>
      <c r="T12" s="57">
        <f t="shared" si="4"/>
        <v>15502435.91</v>
      </c>
      <c r="U12" s="57">
        <f t="shared" si="5"/>
        <v>15502435.91</v>
      </c>
      <c r="V12" s="57">
        <v>1258798</v>
      </c>
      <c r="W12" s="57">
        <v>0</v>
      </c>
      <c r="X12" s="57">
        <f t="shared" si="6"/>
        <v>14243637.91</v>
      </c>
      <c r="Y12" s="45">
        <v>16105709.379999999</v>
      </c>
      <c r="Z12" s="45">
        <f t="shared" si="7"/>
        <v>-1862071.4699999988</v>
      </c>
      <c r="AA12" s="45">
        <v>0</v>
      </c>
      <c r="AB12" s="45">
        <f t="shared" si="8"/>
        <v>0</v>
      </c>
      <c r="AC12" s="48">
        <v>92</v>
      </c>
      <c r="AD12" s="45">
        <f t="shared" si="9"/>
        <v>0</v>
      </c>
      <c r="AE12" s="45">
        <f t="shared" si="10"/>
        <v>0</v>
      </c>
      <c r="AF12" s="59" t="e">
        <f>#REF!+AD12</f>
        <v>#REF!</v>
      </c>
      <c r="AG12" s="59" t="e">
        <f>#REF!+AE12</f>
        <v>#REF!</v>
      </c>
      <c r="AH12" s="61"/>
      <c r="AI12" s="59" t="e">
        <f>#REF!+AD12+AE12</f>
        <v>#REF!</v>
      </c>
      <c r="AJ12" s="60">
        <v>1.01</v>
      </c>
      <c r="AK12" s="59" t="e">
        <f t="shared" si="11"/>
        <v>#REF!</v>
      </c>
      <c r="AN12" s="2">
        <v>1077.7</v>
      </c>
      <c r="AO12" s="2">
        <f t="shared" si="12"/>
        <v>1120808</v>
      </c>
      <c r="AP12" s="2">
        <v>0</v>
      </c>
      <c r="AQ12" s="2">
        <f t="shared" si="13"/>
        <v>0</v>
      </c>
    </row>
    <row r="13" spans="1:43" s="2" customFormat="1" ht="15.75" customHeight="1">
      <c r="A13" s="43">
        <v>4</v>
      </c>
      <c r="B13" s="44" t="s">
        <v>65</v>
      </c>
      <c r="C13" s="45">
        <v>62967</v>
      </c>
      <c r="D13" s="46">
        <v>1.0390999999999999</v>
      </c>
      <c r="E13" s="47">
        <f t="shared" si="1"/>
        <v>65429</v>
      </c>
      <c r="F13" s="48">
        <v>22</v>
      </c>
      <c r="G13" s="45">
        <f t="shared" si="2"/>
        <v>65411.6</v>
      </c>
      <c r="H13" s="49" t="e">
        <f>#REF!*F13*12*1.302</f>
        <v>#REF!</v>
      </c>
      <c r="I13" s="50">
        <f t="shared" si="3"/>
        <v>99.973399000000001</v>
      </c>
      <c r="J13" s="51">
        <v>21.9</v>
      </c>
      <c r="K13" s="51"/>
      <c r="L13" s="52">
        <v>59545.370370370365</v>
      </c>
      <c r="M13" s="51">
        <v>66294.600000000006</v>
      </c>
      <c r="N13" s="51" t="e">
        <f>#REF!-O13</f>
        <v>#REF!</v>
      </c>
      <c r="O13" s="53">
        <v>66224.707841438169</v>
      </c>
      <c r="P13" s="51">
        <v>66220.600000000006</v>
      </c>
      <c r="Q13" s="54" t="e">
        <f>ROUND(#REF!*S13/100,1)</f>
        <v>#REF!</v>
      </c>
      <c r="R13" s="55">
        <v>67301.532359185134</v>
      </c>
      <c r="S13" s="56">
        <f t="shared" si="0"/>
        <v>102.282151722573</v>
      </c>
      <c r="T13" s="57">
        <f t="shared" si="4"/>
        <v>22483798.440000001</v>
      </c>
      <c r="U13" s="57">
        <f t="shared" si="5"/>
        <v>22394998.440000001</v>
      </c>
      <c r="V13" s="57">
        <v>1572300</v>
      </c>
      <c r="W13" s="57">
        <v>88800</v>
      </c>
      <c r="X13" s="57">
        <f t="shared" si="6"/>
        <v>20822698.440000001</v>
      </c>
      <c r="Y13" s="45">
        <v>20740641.789999999</v>
      </c>
      <c r="Z13" s="45">
        <f t="shared" si="7"/>
        <v>82056.650000002235</v>
      </c>
      <c r="AA13" s="45">
        <f t="shared" ref="AA13:AA34" si="14">X13-Y13</f>
        <v>82056.650000002235</v>
      </c>
      <c r="AB13" s="45">
        <f t="shared" si="8"/>
        <v>34765.599999999999</v>
      </c>
      <c r="AC13" s="48">
        <v>89</v>
      </c>
      <c r="AD13" s="45">
        <f t="shared" si="9"/>
        <v>30941</v>
      </c>
      <c r="AE13" s="45">
        <f t="shared" si="10"/>
        <v>3824.5999999999985</v>
      </c>
      <c r="AF13" s="59" t="e">
        <f>#REF!+AD13</f>
        <v>#REF!</v>
      </c>
      <c r="AG13" s="59" t="e">
        <f>#REF!+AE13</f>
        <v>#REF!</v>
      </c>
      <c r="AH13" s="61"/>
      <c r="AI13" s="59" t="e">
        <f>#REF!+AD13+AE13</f>
        <v>#REF!</v>
      </c>
      <c r="AJ13" s="60">
        <v>1.01</v>
      </c>
      <c r="AK13" s="59" t="e">
        <f t="shared" si="11"/>
        <v>#REF!</v>
      </c>
      <c r="AN13" s="2">
        <v>1295.9000000000001</v>
      </c>
      <c r="AO13" s="2">
        <f t="shared" si="12"/>
        <v>1347736</v>
      </c>
      <c r="AP13" s="2">
        <v>101.5</v>
      </c>
      <c r="AQ13" s="2">
        <f t="shared" si="13"/>
        <v>132153</v>
      </c>
    </row>
    <row r="14" spans="1:43" s="2" customFormat="1" ht="15.75" customHeight="1">
      <c r="A14" s="43">
        <v>5</v>
      </c>
      <c r="B14" s="44" t="s">
        <v>66</v>
      </c>
      <c r="C14" s="45">
        <v>49389</v>
      </c>
      <c r="D14" s="46">
        <v>1.0390999999999999</v>
      </c>
      <c r="E14" s="47">
        <f t="shared" si="1"/>
        <v>51320</v>
      </c>
      <c r="F14" s="48">
        <v>36.6</v>
      </c>
      <c r="G14" s="45">
        <f t="shared" si="2"/>
        <v>51306.3</v>
      </c>
      <c r="H14" s="49" t="e">
        <f>#REF!*F14*12*1.302</f>
        <v>#REF!</v>
      </c>
      <c r="I14" s="50">
        <f t="shared" si="3"/>
        <v>99.973399000000001</v>
      </c>
      <c r="J14" s="51">
        <v>36.6</v>
      </c>
      <c r="K14" s="51"/>
      <c r="L14" s="52">
        <v>46407.366071428572</v>
      </c>
      <c r="M14" s="51">
        <v>51725.3</v>
      </c>
      <c r="N14" s="51" t="e">
        <f>#REF!-O14</f>
        <v>#REF!</v>
      </c>
      <c r="O14" s="53">
        <v>51345.782629078421</v>
      </c>
      <c r="P14" s="51">
        <v>51940.9</v>
      </c>
      <c r="Q14" s="54" t="e">
        <f>ROUND(#REF!*S14/100,1)</f>
        <v>#REF!</v>
      </c>
      <c r="R14" s="55">
        <v>52214.371035593264</v>
      </c>
      <c r="S14" s="56">
        <f t="shared" si="0"/>
        <v>102.282151722573</v>
      </c>
      <c r="T14" s="57">
        <f t="shared" si="4"/>
        <v>29338912.5</v>
      </c>
      <c r="U14" s="57">
        <f t="shared" si="5"/>
        <v>29124112.5</v>
      </c>
      <c r="V14" s="57">
        <v>0</v>
      </c>
      <c r="W14" s="57">
        <v>214800</v>
      </c>
      <c r="X14" s="57">
        <f t="shared" si="6"/>
        <v>29124112.5</v>
      </c>
      <c r="Y14" s="45">
        <v>29578512.789999999</v>
      </c>
      <c r="Z14" s="45">
        <f t="shared" si="7"/>
        <v>-454400.28999999911</v>
      </c>
      <c r="AA14" s="45">
        <v>0</v>
      </c>
      <c r="AB14" s="45">
        <f t="shared" si="8"/>
        <v>0</v>
      </c>
      <c r="AC14" s="48">
        <v>93</v>
      </c>
      <c r="AD14" s="45">
        <f t="shared" si="9"/>
        <v>0</v>
      </c>
      <c r="AE14" s="45">
        <f t="shared" si="10"/>
        <v>0</v>
      </c>
      <c r="AF14" s="59" t="e">
        <f>#REF!+AD14</f>
        <v>#REF!</v>
      </c>
      <c r="AG14" s="59" t="e">
        <f>#REF!+AE14</f>
        <v>#REF!</v>
      </c>
      <c r="AH14" s="61"/>
      <c r="AI14" s="59" t="e">
        <f>#REF!+AD14+AE14</f>
        <v>#REF!</v>
      </c>
      <c r="AJ14" s="60">
        <v>1.01</v>
      </c>
      <c r="AK14" s="59" t="e">
        <f t="shared" si="11"/>
        <v>#REF!</v>
      </c>
      <c r="AN14" s="2">
        <v>0</v>
      </c>
      <c r="AO14" s="2">
        <f t="shared" si="12"/>
        <v>0</v>
      </c>
      <c r="AP14" s="2">
        <v>216.9</v>
      </c>
      <c r="AQ14" s="2">
        <f t="shared" si="13"/>
        <v>282403.8</v>
      </c>
    </row>
    <row r="15" spans="1:43" s="2" customFormat="1" ht="15.75" customHeight="1">
      <c r="A15" s="43">
        <v>6</v>
      </c>
      <c r="B15" s="44" t="s">
        <v>67</v>
      </c>
      <c r="C15" s="45">
        <v>59934</v>
      </c>
      <c r="D15" s="46">
        <v>1.0390999999999999</v>
      </c>
      <c r="E15" s="47">
        <f t="shared" si="1"/>
        <v>62277</v>
      </c>
      <c r="F15" s="48">
        <v>57</v>
      </c>
      <c r="G15" s="45">
        <f t="shared" si="2"/>
        <v>62260.4</v>
      </c>
      <c r="H15" s="49" t="e">
        <f>#REF!*F15*12*1.302</f>
        <v>#REF!</v>
      </c>
      <c r="I15" s="50">
        <f t="shared" si="3"/>
        <v>99.973399000000001</v>
      </c>
      <c r="J15" s="51">
        <v>55</v>
      </c>
      <c r="K15" s="51"/>
      <c r="L15" s="52">
        <v>55657.860824742274</v>
      </c>
      <c r="M15" s="51">
        <v>63635.9</v>
      </c>
      <c r="N15" s="51" t="e">
        <f>#REF!-O15</f>
        <v>#REF!</v>
      </c>
      <c r="O15" s="53">
        <v>63330.518131945159</v>
      </c>
      <c r="P15" s="51">
        <v>63031.3</v>
      </c>
      <c r="Q15" s="54" t="e">
        <f>ROUND(#REF!*S15/100,1)</f>
        <v>#REF!</v>
      </c>
      <c r="R15" s="55">
        <v>64405.035740835556</v>
      </c>
      <c r="S15" s="56">
        <f t="shared" si="0"/>
        <v>102.282151722573</v>
      </c>
      <c r="T15" s="57">
        <f t="shared" si="4"/>
        <v>55447119.909999996</v>
      </c>
      <c r="U15" s="57">
        <f t="shared" si="5"/>
        <v>55418119.909999996</v>
      </c>
      <c r="V15" s="57">
        <v>2280200</v>
      </c>
      <c r="W15" s="57">
        <v>29000</v>
      </c>
      <c r="X15" s="57">
        <f t="shared" si="6"/>
        <v>53137919.909999996</v>
      </c>
      <c r="Y15" s="45">
        <v>51150594.590000004</v>
      </c>
      <c r="Z15" s="45">
        <f t="shared" si="7"/>
        <v>1987325.3199999928</v>
      </c>
      <c r="AA15" s="45">
        <f t="shared" si="14"/>
        <v>1987325.3199999928</v>
      </c>
      <c r="AB15" s="45">
        <f t="shared" si="8"/>
        <v>841986.11</v>
      </c>
      <c r="AC15" s="48">
        <v>95</v>
      </c>
      <c r="AD15" s="45">
        <f t="shared" si="9"/>
        <v>799887</v>
      </c>
      <c r="AE15" s="45">
        <f t="shared" si="10"/>
        <v>42099.109999999986</v>
      </c>
      <c r="AF15" s="59" t="e">
        <f>#REF!+AD15</f>
        <v>#REF!</v>
      </c>
      <c r="AG15" s="59" t="e">
        <f>#REF!+AE15</f>
        <v>#REF!</v>
      </c>
      <c r="AH15" s="61"/>
      <c r="AI15" s="59" t="e">
        <f>#REF!+AD15+AE15</f>
        <v>#REF!</v>
      </c>
      <c r="AJ15" s="60">
        <v>1.01</v>
      </c>
      <c r="AK15" s="59" t="e">
        <f t="shared" si="11"/>
        <v>#REF!</v>
      </c>
      <c r="AN15" s="2">
        <v>1978.43</v>
      </c>
      <c r="AO15" s="2">
        <f t="shared" si="12"/>
        <v>2057567.2</v>
      </c>
      <c r="AP15" s="2">
        <v>45</v>
      </c>
      <c r="AQ15" s="2">
        <f t="shared" si="13"/>
        <v>58590</v>
      </c>
    </row>
    <row r="16" spans="1:43" s="2" customFormat="1" ht="15.75" customHeight="1">
      <c r="A16" s="43">
        <v>7</v>
      </c>
      <c r="B16" s="44" t="s">
        <v>68</v>
      </c>
      <c r="C16" s="45">
        <v>59339</v>
      </c>
      <c r="D16" s="46">
        <v>1.0390999999999999</v>
      </c>
      <c r="E16" s="47">
        <f t="shared" si="1"/>
        <v>61659</v>
      </c>
      <c r="F16" s="48">
        <v>24</v>
      </c>
      <c r="G16" s="45">
        <f t="shared" si="2"/>
        <v>61642.6</v>
      </c>
      <c r="H16" s="49" t="e">
        <f>#REF!*F16*12*1.302</f>
        <v>#REF!</v>
      </c>
      <c r="I16" s="50">
        <f t="shared" si="3"/>
        <v>99.973399000000001</v>
      </c>
      <c r="J16" s="51">
        <v>24</v>
      </c>
      <c r="K16" s="51"/>
      <c r="L16" s="52">
        <v>58446.54088050314</v>
      </c>
      <c r="M16" s="51">
        <v>61377.3</v>
      </c>
      <c r="N16" s="51" t="e">
        <f>#REF!-O16</f>
        <v>#REF!</v>
      </c>
      <c r="O16" s="53">
        <v>66029.847078898863</v>
      </c>
      <c r="P16" s="51">
        <v>62343.5</v>
      </c>
      <c r="Q16" s="54" t="e">
        <f>ROUND(#REF!*S16/100,1)</f>
        <v>#REF!</v>
      </c>
      <c r="R16" s="55">
        <v>67103.596272901646</v>
      </c>
      <c r="S16" s="56">
        <f t="shared" si="0"/>
        <v>102.282151722573</v>
      </c>
      <c r="T16" s="57">
        <f t="shared" si="4"/>
        <v>23114495.579999998</v>
      </c>
      <c r="U16" s="57">
        <f t="shared" si="5"/>
        <v>22792995.579999998</v>
      </c>
      <c r="V16" s="57">
        <v>876224.27</v>
      </c>
      <c r="W16" s="57">
        <v>321500</v>
      </c>
      <c r="X16" s="57">
        <f t="shared" si="6"/>
        <v>21916771.309999999</v>
      </c>
      <c r="Y16" s="45">
        <v>21436324.440000001</v>
      </c>
      <c r="Z16" s="45">
        <f t="shared" si="7"/>
        <v>480446.86999999732</v>
      </c>
      <c r="AA16" s="45">
        <f t="shared" si="14"/>
        <v>480446.86999999732</v>
      </c>
      <c r="AB16" s="45">
        <f t="shared" si="8"/>
        <v>203554.79</v>
      </c>
      <c r="AC16" s="48">
        <v>95</v>
      </c>
      <c r="AD16" s="45">
        <f t="shared" si="9"/>
        <v>193377</v>
      </c>
      <c r="AE16" s="45">
        <f t="shared" si="10"/>
        <v>10177.790000000008</v>
      </c>
      <c r="AF16" s="59" t="e">
        <f>#REF!+AD16</f>
        <v>#REF!</v>
      </c>
      <c r="AG16" s="59" t="e">
        <f>#REF!+AE16</f>
        <v>#REF!</v>
      </c>
      <c r="AH16" s="61"/>
      <c r="AI16" s="59" t="e">
        <f>#REF!+AD16+AE16</f>
        <v>#REF!</v>
      </c>
      <c r="AJ16" s="60">
        <v>1.01</v>
      </c>
      <c r="AK16" s="59" t="e">
        <f t="shared" si="11"/>
        <v>#REF!</v>
      </c>
      <c r="AN16" s="2">
        <v>787.6</v>
      </c>
      <c r="AO16" s="2">
        <f t="shared" si="12"/>
        <v>819104</v>
      </c>
      <c r="AP16" s="2">
        <v>250.6</v>
      </c>
      <c r="AQ16" s="2">
        <f t="shared" si="13"/>
        <v>326281.2</v>
      </c>
    </row>
    <row r="17" spans="1:43" s="2" customFormat="1" ht="15.75" customHeight="1">
      <c r="A17" s="43">
        <v>8</v>
      </c>
      <c r="B17" s="44" t="s">
        <v>69</v>
      </c>
      <c r="C17" s="45">
        <v>59798</v>
      </c>
      <c r="D17" s="46">
        <v>1.0390999999999999</v>
      </c>
      <c r="E17" s="47">
        <f t="shared" si="1"/>
        <v>62136</v>
      </c>
      <c r="F17" s="48">
        <v>7</v>
      </c>
      <c r="G17" s="45">
        <f t="shared" si="2"/>
        <v>62119.5</v>
      </c>
      <c r="H17" s="49" t="e">
        <f>#REF!*F17*12*1.302</f>
        <v>#REF!</v>
      </c>
      <c r="I17" s="50">
        <f t="shared" si="3"/>
        <v>99.973399000000001</v>
      </c>
      <c r="J17" s="51">
        <v>8</v>
      </c>
      <c r="K17" s="51"/>
      <c r="L17" s="52">
        <v>54792.288557213928</v>
      </c>
      <c r="M17" s="51">
        <v>50075</v>
      </c>
      <c r="N17" s="51" t="e">
        <f>#REF!-O17</f>
        <v>#REF!</v>
      </c>
      <c r="O17" s="53">
        <v>53915.467292933943</v>
      </c>
      <c r="P17" s="51">
        <v>61937.8</v>
      </c>
      <c r="Q17" s="54" t="e">
        <f>ROUND(#REF!*S17/100,1)</f>
        <v>#REF!</v>
      </c>
      <c r="R17" s="55">
        <v>53875.141557859701</v>
      </c>
      <c r="S17" s="56">
        <f t="shared" si="0"/>
        <v>102.282151722573</v>
      </c>
      <c r="T17" s="57">
        <f t="shared" si="4"/>
        <v>6793885.4800000004</v>
      </c>
      <c r="U17" s="57">
        <f t="shared" si="5"/>
        <v>6509985.4800000004</v>
      </c>
      <c r="V17" s="57">
        <v>598800</v>
      </c>
      <c r="W17" s="57">
        <v>283900</v>
      </c>
      <c r="X17" s="57">
        <f t="shared" si="6"/>
        <v>5911185.4800000004</v>
      </c>
      <c r="Y17" s="45">
        <v>5645194.4000000004</v>
      </c>
      <c r="Z17" s="45">
        <f t="shared" si="7"/>
        <v>265991.08000000007</v>
      </c>
      <c r="AA17" s="45">
        <f t="shared" si="14"/>
        <v>265991.08000000007</v>
      </c>
      <c r="AB17" s="45">
        <f t="shared" si="8"/>
        <v>112694.58</v>
      </c>
      <c r="AC17" s="48">
        <v>95</v>
      </c>
      <c r="AD17" s="45">
        <f t="shared" si="9"/>
        <v>107060</v>
      </c>
      <c r="AE17" s="45">
        <f t="shared" si="10"/>
        <v>5634.5800000000017</v>
      </c>
      <c r="AF17" s="59" t="e">
        <f>#REF!+AD17</f>
        <v>#REF!</v>
      </c>
      <c r="AG17" s="59" t="e">
        <f>#REF!+AE17</f>
        <v>#REF!</v>
      </c>
      <c r="AH17" s="61"/>
      <c r="AI17" s="59" t="e">
        <f>#REF!+AD17+AE17</f>
        <v>#REF!</v>
      </c>
      <c r="AJ17" s="60">
        <v>1.01</v>
      </c>
      <c r="AK17" s="59" t="e">
        <f t="shared" si="11"/>
        <v>#REF!</v>
      </c>
      <c r="AN17" s="2">
        <v>530.6</v>
      </c>
      <c r="AO17" s="2">
        <f t="shared" si="12"/>
        <v>551824.00000000012</v>
      </c>
      <c r="AP17" s="2">
        <v>93</v>
      </c>
      <c r="AQ17" s="2">
        <f t="shared" si="13"/>
        <v>121086</v>
      </c>
    </row>
    <row r="18" spans="1:43" s="2" customFormat="1" ht="15.75" customHeight="1">
      <c r="A18" s="43">
        <v>9</v>
      </c>
      <c r="B18" s="44" t="s">
        <v>70</v>
      </c>
      <c r="C18" s="45">
        <v>65005</v>
      </c>
      <c r="D18" s="46">
        <v>1.0390999999999999</v>
      </c>
      <c r="E18" s="47">
        <f t="shared" si="1"/>
        <v>67547</v>
      </c>
      <c r="F18" s="48">
        <v>23.2</v>
      </c>
      <c r="G18" s="45">
        <f t="shared" si="2"/>
        <v>67529</v>
      </c>
      <c r="H18" s="49" t="e">
        <f>#REF!*F18*12*1.302</f>
        <v>#REF!</v>
      </c>
      <c r="I18" s="50">
        <f t="shared" si="3"/>
        <v>99.973399000000001</v>
      </c>
      <c r="J18" s="51">
        <v>24</v>
      </c>
      <c r="K18" s="51"/>
      <c r="L18" s="52">
        <v>68004.537953795385</v>
      </c>
      <c r="M18" s="51">
        <v>75197.100000000006</v>
      </c>
      <c r="N18" s="51" t="e">
        <f>#REF!-O18</f>
        <v>#REF!</v>
      </c>
      <c r="O18" s="53">
        <v>84049.610943935972</v>
      </c>
      <c r="P18" s="51">
        <v>68026.2</v>
      </c>
      <c r="Q18" s="54" t="e">
        <f>ROUND(#REF!*S18/100,1)</f>
        <v>#REF!</v>
      </c>
      <c r="R18" s="55">
        <v>85416.271284487782</v>
      </c>
      <c r="S18" s="56">
        <f t="shared" si="0"/>
        <v>102.282151722573</v>
      </c>
      <c r="T18" s="57">
        <f t="shared" si="4"/>
        <v>24477695.829999998</v>
      </c>
      <c r="U18" s="57">
        <f t="shared" si="5"/>
        <v>24477695.829999998</v>
      </c>
      <c r="V18" s="57">
        <v>1893400</v>
      </c>
      <c r="W18" s="57">
        <v>0</v>
      </c>
      <c r="X18" s="57">
        <f t="shared" si="6"/>
        <v>22584295.829999998</v>
      </c>
      <c r="Y18" s="45">
        <v>26077107.77</v>
      </c>
      <c r="Z18" s="45">
        <f t="shared" si="7"/>
        <v>-3492811.9400000013</v>
      </c>
      <c r="AA18" s="45">
        <v>0</v>
      </c>
      <c r="AB18" s="45">
        <f t="shared" si="8"/>
        <v>0</v>
      </c>
      <c r="AC18" s="48">
        <v>85</v>
      </c>
      <c r="AD18" s="45">
        <f t="shared" si="9"/>
        <v>0</v>
      </c>
      <c r="AE18" s="45">
        <f t="shared" si="10"/>
        <v>0</v>
      </c>
      <c r="AF18" s="59" t="e">
        <f>#REF!+AD18</f>
        <v>#REF!</v>
      </c>
      <c r="AG18" s="59" t="e">
        <f>#REF!+AE18</f>
        <v>#REF!</v>
      </c>
      <c r="AH18" s="61"/>
      <c r="AI18" s="59" t="e">
        <f>#REF!+AD18+AE18</f>
        <v>#REF!</v>
      </c>
      <c r="AJ18" s="60">
        <v>1.01</v>
      </c>
      <c r="AK18" s="59" t="e">
        <f t="shared" si="11"/>
        <v>#REF!</v>
      </c>
      <c r="AN18" s="2">
        <v>1505.4</v>
      </c>
      <c r="AO18" s="2">
        <f t="shared" si="12"/>
        <v>1565616.0000000002</v>
      </c>
      <c r="AP18" s="2">
        <v>0</v>
      </c>
      <c r="AQ18" s="2">
        <f t="shared" si="13"/>
        <v>0</v>
      </c>
    </row>
    <row r="19" spans="1:43" s="2" customFormat="1" ht="15.75">
      <c r="A19" s="43">
        <v>10</v>
      </c>
      <c r="B19" s="44" t="s">
        <v>71</v>
      </c>
      <c r="C19" s="45">
        <v>74774</v>
      </c>
      <c r="D19" s="46">
        <v>1.0390999999999999</v>
      </c>
      <c r="E19" s="47">
        <f t="shared" si="1"/>
        <v>77698</v>
      </c>
      <c r="F19" s="48">
        <v>3</v>
      </c>
      <c r="G19" s="45">
        <f t="shared" si="2"/>
        <v>77677.3</v>
      </c>
      <c r="H19" s="49" t="e">
        <f>#REF!*F19*12*1.302</f>
        <v>#REF!</v>
      </c>
      <c r="I19" s="50">
        <f t="shared" si="3"/>
        <v>99.973399000000001</v>
      </c>
      <c r="J19" s="51">
        <v>3</v>
      </c>
      <c r="K19" s="51"/>
      <c r="L19" s="52">
        <v>67172.222222222219</v>
      </c>
      <c r="M19" s="51">
        <v>81087.3</v>
      </c>
      <c r="N19" s="51" t="e">
        <f>#REF!-O19</f>
        <v>#REF!</v>
      </c>
      <c r="O19" s="53">
        <v>75559.83974603175</v>
      </c>
      <c r="P19" s="51">
        <v>78493</v>
      </c>
      <c r="Q19" s="54" t="e">
        <f>ROUND(#REF!*S19/100,1)</f>
        <v>#REF!</v>
      </c>
      <c r="R19" s="55">
        <v>92217.205026455034</v>
      </c>
      <c r="S19" s="56">
        <f t="shared" si="0"/>
        <v>102.282151722573</v>
      </c>
      <c r="T19" s="57">
        <f t="shared" si="4"/>
        <v>3640890.41</v>
      </c>
      <c r="U19" s="57">
        <f t="shared" si="5"/>
        <v>3618290.41</v>
      </c>
      <c r="V19" s="57">
        <v>0</v>
      </c>
      <c r="W19" s="57">
        <v>22600</v>
      </c>
      <c r="X19" s="57">
        <f t="shared" si="6"/>
        <v>3618290.41</v>
      </c>
      <c r="Y19" s="45">
        <v>3599228.4640000002</v>
      </c>
      <c r="Z19" s="45">
        <f t="shared" si="7"/>
        <v>19061.945999999996</v>
      </c>
      <c r="AA19" s="45">
        <f t="shared" si="14"/>
        <v>19061.945999999996</v>
      </c>
      <c r="AB19" s="45">
        <f t="shared" si="8"/>
        <v>8076.13</v>
      </c>
      <c r="AC19" s="48">
        <v>94</v>
      </c>
      <c r="AD19" s="45">
        <f t="shared" si="9"/>
        <v>7592</v>
      </c>
      <c r="AE19" s="45">
        <f t="shared" si="10"/>
        <v>484.13000000000011</v>
      </c>
      <c r="AF19" s="59" t="e">
        <f>#REF!+AD19</f>
        <v>#REF!</v>
      </c>
      <c r="AG19" s="59" t="e">
        <f>#REF!+AE19</f>
        <v>#REF!</v>
      </c>
      <c r="AH19" s="61"/>
      <c r="AI19" s="59" t="e">
        <f>#REF!+AD19+AE19</f>
        <v>#REF!</v>
      </c>
      <c r="AJ19" s="60">
        <v>1.01</v>
      </c>
      <c r="AK19" s="59" t="e">
        <f t="shared" si="11"/>
        <v>#REF!</v>
      </c>
      <c r="AN19" s="2">
        <v>0</v>
      </c>
      <c r="AO19" s="2">
        <f t="shared" si="12"/>
        <v>0</v>
      </c>
      <c r="AP19" s="2">
        <v>22.9</v>
      </c>
      <c r="AQ19" s="2">
        <f t="shared" si="13"/>
        <v>29815.8</v>
      </c>
    </row>
    <row r="20" spans="1:43" s="2" customFormat="1" ht="15.75" customHeight="1">
      <c r="A20" s="43">
        <v>11</v>
      </c>
      <c r="B20" s="44" t="s">
        <v>72</v>
      </c>
      <c r="C20" s="45">
        <v>68654</v>
      </c>
      <c r="D20" s="46">
        <v>1.0390999999999999</v>
      </c>
      <c r="E20" s="47">
        <f t="shared" si="1"/>
        <v>71338</v>
      </c>
      <c r="F20" s="48">
        <v>13</v>
      </c>
      <c r="G20" s="45">
        <f t="shared" si="2"/>
        <v>71319</v>
      </c>
      <c r="H20" s="49" t="e">
        <f>#REF!*F20*12*1.302</f>
        <v>#REF!</v>
      </c>
      <c r="I20" s="50">
        <f t="shared" si="3"/>
        <v>99.973399000000001</v>
      </c>
      <c r="J20" s="51">
        <v>14</v>
      </c>
      <c r="K20" s="51"/>
      <c r="L20" s="52">
        <v>62628.968253968254</v>
      </c>
      <c r="M20" s="51">
        <v>68448.5</v>
      </c>
      <c r="N20" s="51" t="e">
        <f>#REF!-O20</f>
        <v>#REF!</v>
      </c>
      <c r="O20" s="53">
        <v>70441.392230414727</v>
      </c>
      <c r="P20" s="51">
        <v>72142.100000000006</v>
      </c>
      <c r="Q20" s="54" t="e">
        <f>ROUND(#REF!*S20/100,1)</f>
        <v>#REF!</v>
      </c>
      <c r="R20" s="55">
        <v>71828.490826904468</v>
      </c>
      <c r="S20" s="56">
        <f t="shared" si="0"/>
        <v>102.282151722573</v>
      </c>
      <c r="T20" s="57">
        <f t="shared" si="4"/>
        <v>14485744.73</v>
      </c>
      <c r="U20" s="57">
        <f t="shared" si="5"/>
        <v>14356144.73</v>
      </c>
      <c r="V20" s="57">
        <v>133500</v>
      </c>
      <c r="W20" s="57">
        <v>129600</v>
      </c>
      <c r="X20" s="57">
        <f t="shared" si="6"/>
        <v>14222644.73</v>
      </c>
      <c r="Y20" s="45">
        <v>14746211.1</v>
      </c>
      <c r="Z20" s="45">
        <f t="shared" si="7"/>
        <v>-523566.36999999918</v>
      </c>
      <c r="AA20" s="45">
        <v>0</v>
      </c>
      <c r="AB20" s="45">
        <f t="shared" si="8"/>
        <v>0</v>
      </c>
      <c r="AC20" s="48">
        <v>78</v>
      </c>
      <c r="AD20" s="45">
        <f t="shared" si="9"/>
        <v>0</v>
      </c>
      <c r="AE20" s="45">
        <f t="shared" si="10"/>
        <v>0</v>
      </c>
      <c r="AF20" s="59" t="e">
        <f>#REF!+AD20</f>
        <v>#REF!</v>
      </c>
      <c r="AG20" s="59" t="e">
        <f>#REF!+AE20</f>
        <v>#REF!</v>
      </c>
      <c r="AH20" s="61"/>
      <c r="AI20" s="59" t="e">
        <f>#REF!+AD20+AE20</f>
        <v>#REF!</v>
      </c>
      <c r="AJ20" s="60">
        <v>1.01</v>
      </c>
      <c r="AK20" s="59" t="e">
        <f t="shared" si="11"/>
        <v>#REF!</v>
      </c>
      <c r="AN20" s="2">
        <v>169</v>
      </c>
      <c r="AO20" s="2">
        <f t="shared" si="12"/>
        <v>175760.00000000003</v>
      </c>
      <c r="AP20" s="2">
        <v>49.8</v>
      </c>
      <c r="AQ20" s="2">
        <f t="shared" si="13"/>
        <v>64839.600000000006</v>
      </c>
    </row>
    <row r="21" spans="1:43" s="2" customFormat="1" ht="15.75">
      <c r="A21" s="43">
        <v>12</v>
      </c>
      <c r="B21" s="44" t="s">
        <v>73</v>
      </c>
      <c r="C21" s="45">
        <v>55768</v>
      </c>
      <c r="D21" s="46">
        <v>1.0390999999999999</v>
      </c>
      <c r="E21" s="47">
        <f t="shared" si="1"/>
        <v>57949</v>
      </c>
      <c r="F21" s="48">
        <v>50</v>
      </c>
      <c r="G21" s="45">
        <f t="shared" si="2"/>
        <v>57933.599999999999</v>
      </c>
      <c r="H21" s="49" t="e">
        <f>#REF!*F21*12*1.302</f>
        <v>#REF!</v>
      </c>
      <c r="I21" s="50">
        <f t="shared" si="3"/>
        <v>99.973399000000001</v>
      </c>
      <c r="J21" s="51">
        <v>46</v>
      </c>
      <c r="K21" s="51"/>
      <c r="L21" s="52">
        <v>54555.710306406683</v>
      </c>
      <c r="M21" s="51">
        <v>56799.7</v>
      </c>
      <c r="N21" s="51" t="e">
        <f>#REF!-O21</f>
        <v>#REF!</v>
      </c>
      <c r="O21" s="53">
        <v>54865.860085190143</v>
      </c>
      <c r="P21" s="51">
        <v>58650</v>
      </c>
      <c r="Q21" s="54" t="e">
        <f>ROUND(#REF!*S21/100,1)</f>
        <v>#REF!</v>
      </c>
      <c r="R21" s="55">
        <v>55757.987891453398</v>
      </c>
      <c r="S21" s="56">
        <f t="shared" si="0"/>
        <v>102.282151722573</v>
      </c>
      <c r="T21" s="57">
        <f t="shared" si="4"/>
        <v>45257728.32</v>
      </c>
      <c r="U21" s="57">
        <f t="shared" si="5"/>
        <v>44733428.32</v>
      </c>
      <c r="V21" s="57">
        <v>115600</v>
      </c>
      <c r="W21" s="57">
        <v>524300</v>
      </c>
      <c r="X21" s="57">
        <f t="shared" si="6"/>
        <v>44617828.32</v>
      </c>
      <c r="Y21" s="45">
        <v>40363669.590000004</v>
      </c>
      <c r="Z21" s="45">
        <f t="shared" si="7"/>
        <v>4254158.7299999967</v>
      </c>
      <c r="AA21" s="45">
        <f t="shared" si="14"/>
        <v>4254158.7299999967</v>
      </c>
      <c r="AB21" s="45">
        <f t="shared" si="8"/>
        <v>1802393.67</v>
      </c>
      <c r="AC21" s="48">
        <v>91</v>
      </c>
      <c r="AD21" s="45">
        <f t="shared" si="9"/>
        <v>1640178</v>
      </c>
      <c r="AE21" s="45">
        <f t="shared" si="10"/>
        <v>162215.66999999993</v>
      </c>
      <c r="AF21" s="59" t="e">
        <f>#REF!+AD21</f>
        <v>#REF!</v>
      </c>
      <c r="AG21" s="59" t="e">
        <f>#REF!+AE21</f>
        <v>#REF!</v>
      </c>
      <c r="AH21" s="61"/>
      <c r="AI21" s="59" t="e">
        <f>#REF!+AD21+AE21</f>
        <v>#REF!</v>
      </c>
      <c r="AJ21" s="60">
        <v>1.01</v>
      </c>
      <c r="AK21" s="59" t="e">
        <f t="shared" si="11"/>
        <v>#REF!</v>
      </c>
      <c r="AN21" s="2">
        <v>102.7</v>
      </c>
      <c r="AO21" s="2">
        <f t="shared" si="12"/>
        <v>106808</v>
      </c>
      <c r="AP21" s="2">
        <v>607.29999999999995</v>
      </c>
      <c r="AQ21" s="2">
        <f t="shared" si="13"/>
        <v>790704.6</v>
      </c>
    </row>
    <row r="22" spans="1:43" s="9" customFormat="1" ht="15.75">
      <c r="A22" s="62">
        <v>13</v>
      </c>
      <c r="B22" s="44" t="s">
        <v>74</v>
      </c>
      <c r="C22" s="45">
        <v>56313</v>
      </c>
      <c r="D22" s="46">
        <v>1.0390999999999999</v>
      </c>
      <c r="E22" s="47">
        <f t="shared" si="1"/>
        <v>58515</v>
      </c>
      <c r="F22" s="48">
        <v>22.8</v>
      </c>
      <c r="G22" s="45">
        <f t="shared" si="2"/>
        <v>58499.4</v>
      </c>
      <c r="H22" s="49" t="e">
        <f>#REF!*F22*12*1.302</f>
        <v>#REF!</v>
      </c>
      <c r="I22" s="50">
        <f t="shared" si="3"/>
        <v>99.973399000000001</v>
      </c>
      <c r="J22" s="63">
        <v>20.9</v>
      </c>
      <c r="K22" s="63"/>
      <c r="L22" s="52">
        <v>50572.160148975796</v>
      </c>
      <c r="M22" s="63">
        <v>55555.7</v>
      </c>
      <c r="N22" s="51" t="e">
        <f>#REF!-O22</f>
        <v>#REF!</v>
      </c>
      <c r="O22" s="53">
        <v>52395.639456684134</v>
      </c>
      <c r="P22" s="63">
        <v>59104.4</v>
      </c>
      <c r="Q22" s="64" t="e">
        <f>ROUND(#REF!*S22/100,1)</f>
        <v>#REF!</v>
      </c>
      <c r="R22" s="65">
        <v>53247.60107386599</v>
      </c>
      <c r="S22" s="66">
        <f t="shared" si="0"/>
        <v>102.282151722573</v>
      </c>
      <c r="T22" s="57">
        <f t="shared" si="4"/>
        <v>20839077.460000001</v>
      </c>
      <c r="U22" s="57">
        <f t="shared" si="5"/>
        <v>20711777.460000001</v>
      </c>
      <c r="V22" s="57">
        <v>0</v>
      </c>
      <c r="W22" s="57">
        <v>127300</v>
      </c>
      <c r="X22" s="57">
        <f t="shared" si="6"/>
        <v>20711777.460000001</v>
      </c>
      <c r="Y22" s="45">
        <v>18141247.170000002</v>
      </c>
      <c r="Z22" s="45">
        <f t="shared" si="7"/>
        <v>2570530.2899999991</v>
      </c>
      <c r="AA22" s="45">
        <f t="shared" si="14"/>
        <v>2570530.2899999991</v>
      </c>
      <c r="AB22" s="45">
        <f t="shared" si="8"/>
        <v>1089077.26</v>
      </c>
      <c r="AC22" s="48">
        <v>93</v>
      </c>
      <c r="AD22" s="45">
        <f t="shared" si="9"/>
        <v>1012842</v>
      </c>
      <c r="AE22" s="45">
        <f t="shared" si="10"/>
        <v>76235.260000000009</v>
      </c>
      <c r="AF22" s="59" t="e">
        <f>#REF!+AD22</f>
        <v>#REF!</v>
      </c>
      <c r="AG22" s="59" t="e">
        <f>#REF!+AE22</f>
        <v>#REF!</v>
      </c>
      <c r="AH22" s="61"/>
      <c r="AI22" s="59" t="e">
        <f>#REF!+AD22+AE22</f>
        <v>#REF!</v>
      </c>
      <c r="AJ22" s="60">
        <v>1.01</v>
      </c>
      <c r="AK22" s="59" t="e">
        <f t="shared" si="11"/>
        <v>#REF!</v>
      </c>
      <c r="AN22" s="9">
        <v>0</v>
      </c>
      <c r="AO22" s="2">
        <f t="shared" si="12"/>
        <v>0</v>
      </c>
      <c r="AP22" s="9">
        <v>44.9</v>
      </c>
      <c r="AQ22" s="2">
        <f t="shared" si="13"/>
        <v>58459.8</v>
      </c>
    </row>
    <row r="23" spans="1:43" s="2" customFormat="1" ht="15.75" customHeight="1">
      <c r="A23" s="43">
        <v>14</v>
      </c>
      <c r="B23" s="44" t="s">
        <v>75</v>
      </c>
      <c r="C23" s="45">
        <v>67678</v>
      </c>
      <c r="D23" s="46">
        <v>1.0390999999999999</v>
      </c>
      <c r="E23" s="47">
        <f t="shared" si="1"/>
        <v>70324</v>
      </c>
      <c r="F23" s="48">
        <v>32</v>
      </c>
      <c r="G23" s="45">
        <f t="shared" si="2"/>
        <v>70305.3</v>
      </c>
      <c r="H23" s="49" t="e">
        <f>#REF!*F23*12*1.302</f>
        <v>#REF!</v>
      </c>
      <c r="I23" s="50">
        <f t="shared" si="3"/>
        <v>99.973399000000001</v>
      </c>
      <c r="J23" s="51">
        <v>33</v>
      </c>
      <c r="K23" s="51"/>
      <c r="L23" s="52">
        <v>63278.580024067393</v>
      </c>
      <c r="M23" s="51">
        <v>72147.3</v>
      </c>
      <c r="N23" s="51" t="e">
        <f>#REF!-O23</f>
        <v>#REF!</v>
      </c>
      <c r="O23" s="53">
        <v>72502.462393572394</v>
      </c>
      <c r="P23" s="51">
        <v>71174.600000000006</v>
      </c>
      <c r="Q23" s="54" t="e">
        <f>ROUND(#REF!*S23/100,1)</f>
        <v>#REF!</v>
      </c>
      <c r="R23" s="55">
        <v>73711.895601318494</v>
      </c>
      <c r="S23" s="56">
        <f t="shared" si="0"/>
        <v>102.282151722573</v>
      </c>
      <c r="T23" s="57">
        <f t="shared" si="4"/>
        <v>35150400.229999997</v>
      </c>
      <c r="U23" s="57">
        <f t="shared" si="5"/>
        <v>35150400.229999997</v>
      </c>
      <c r="V23" s="57">
        <v>1548950</v>
      </c>
      <c r="W23" s="57">
        <v>0</v>
      </c>
      <c r="X23" s="57">
        <f t="shared" si="6"/>
        <v>33601450.229999997</v>
      </c>
      <c r="Y23" s="45">
        <v>34698570.700000003</v>
      </c>
      <c r="Z23" s="45">
        <f t="shared" si="7"/>
        <v>-1097120.4700000063</v>
      </c>
      <c r="AA23" s="45">
        <v>0</v>
      </c>
      <c r="AB23" s="45">
        <f t="shared" si="8"/>
        <v>0</v>
      </c>
      <c r="AC23" s="48">
        <v>95</v>
      </c>
      <c r="AD23" s="45">
        <f t="shared" si="9"/>
        <v>0</v>
      </c>
      <c r="AE23" s="45">
        <f t="shared" si="10"/>
        <v>0</v>
      </c>
      <c r="AF23" s="59" t="e">
        <f>#REF!+AD23</f>
        <v>#REF!</v>
      </c>
      <c r="AG23" s="59" t="e">
        <f>#REF!+AE23</f>
        <v>#REF!</v>
      </c>
      <c r="AH23" s="61"/>
      <c r="AI23" s="59" t="e">
        <f>#REF!+AD23+AE23</f>
        <v>#REF!</v>
      </c>
      <c r="AJ23" s="60">
        <v>1.01</v>
      </c>
      <c r="AK23" s="59" t="e">
        <f t="shared" si="11"/>
        <v>#REF!</v>
      </c>
      <c r="AN23" s="2">
        <v>1384.34</v>
      </c>
      <c r="AO23" s="2">
        <f t="shared" si="12"/>
        <v>1439713.6</v>
      </c>
      <c r="AP23" s="2">
        <v>0</v>
      </c>
      <c r="AQ23" s="2">
        <f t="shared" si="13"/>
        <v>0</v>
      </c>
    </row>
    <row r="24" spans="1:43" s="2" customFormat="1" ht="15.75">
      <c r="A24" s="43">
        <v>15</v>
      </c>
      <c r="B24" s="44" t="s">
        <v>76</v>
      </c>
      <c r="C24" s="45">
        <v>0</v>
      </c>
      <c r="D24" s="46">
        <v>1.0390999999999999</v>
      </c>
      <c r="E24" s="47">
        <f t="shared" si="1"/>
        <v>0</v>
      </c>
      <c r="F24" s="48">
        <v>0</v>
      </c>
      <c r="G24" s="45">
        <f t="shared" si="2"/>
        <v>0</v>
      </c>
      <c r="H24" s="49" t="e">
        <f>#REF!*F24*12*1.302</f>
        <v>#REF!</v>
      </c>
      <c r="I24" s="50">
        <f t="shared" si="3"/>
        <v>99.973399000000001</v>
      </c>
      <c r="J24" s="51">
        <v>0</v>
      </c>
      <c r="K24" s="51"/>
      <c r="L24" s="52">
        <v>0</v>
      </c>
      <c r="M24" s="51">
        <v>65014.1</v>
      </c>
      <c r="N24" s="51" t="e">
        <f>#REF!-O24</f>
        <v>#REF!</v>
      </c>
      <c r="O24" s="53">
        <v>0</v>
      </c>
      <c r="P24" s="51">
        <v>65892.7</v>
      </c>
      <c r="Q24" s="54" t="e">
        <f>ROUND(#REF!*S24/100,1)</f>
        <v>#REF!</v>
      </c>
      <c r="R24" s="55"/>
      <c r="S24" s="56">
        <f t="shared" si="0"/>
        <v>102.282151722573</v>
      </c>
      <c r="T24" s="57">
        <f t="shared" si="4"/>
        <v>0</v>
      </c>
      <c r="U24" s="57">
        <f t="shared" si="5"/>
        <v>0</v>
      </c>
      <c r="V24" s="57">
        <v>0</v>
      </c>
      <c r="W24" s="57">
        <v>0</v>
      </c>
      <c r="X24" s="57">
        <f t="shared" si="6"/>
        <v>0</v>
      </c>
      <c r="Y24" s="45">
        <v>0</v>
      </c>
      <c r="Z24" s="45">
        <f t="shared" si="7"/>
        <v>0</v>
      </c>
      <c r="AA24" s="45">
        <f t="shared" si="14"/>
        <v>0</v>
      </c>
      <c r="AB24" s="45">
        <f t="shared" si="8"/>
        <v>0</v>
      </c>
      <c r="AC24" s="48">
        <v>90</v>
      </c>
      <c r="AD24" s="45">
        <f t="shared" si="9"/>
        <v>0</v>
      </c>
      <c r="AE24" s="45">
        <f t="shared" si="10"/>
        <v>0</v>
      </c>
      <c r="AF24" s="59" t="e">
        <f>#REF!+AD24</f>
        <v>#REF!</v>
      </c>
      <c r="AG24" s="59" t="e">
        <f>#REF!+AE24</f>
        <v>#REF!</v>
      </c>
      <c r="AH24" s="61"/>
      <c r="AI24" s="59" t="e">
        <f>#REF!+AD24+AE24</f>
        <v>#REF!</v>
      </c>
      <c r="AJ24" s="60">
        <v>1.01</v>
      </c>
      <c r="AK24" s="59" t="e">
        <f t="shared" si="11"/>
        <v>#REF!</v>
      </c>
      <c r="AN24" s="2">
        <v>0</v>
      </c>
      <c r="AO24" s="2">
        <f t="shared" si="12"/>
        <v>0</v>
      </c>
      <c r="AP24" s="2">
        <v>0</v>
      </c>
      <c r="AQ24" s="2">
        <f t="shared" si="13"/>
        <v>0</v>
      </c>
    </row>
    <row r="25" spans="1:43" s="2" customFormat="1" ht="15.75">
      <c r="A25" s="43">
        <v>16</v>
      </c>
      <c r="B25" s="44" t="s">
        <v>77</v>
      </c>
      <c r="C25" s="45">
        <v>56417</v>
      </c>
      <c r="D25" s="46">
        <v>1.0390999999999999</v>
      </c>
      <c r="E25" s="47">
        <f t="shared" si="1"/>
        <v>58623</v>
      </c>
      <c r="F25" s="48">
        <v>37</v>
      </c>
      <c r="G25" s="45">
        <f t="shared" si="2"/>
        <v>58607.4</v>
      </c>
      <c r="H25" s="49" t="e">
        <f>#REF!*F25*12*1.302</f>
        <v>#REF!</v>
      </c>
      <c r="I25" s="50">
        <f t="shared" si="3"/>
        <v>99.973399000000001</v>
      </c>
      <c r="J25" s="51">
        <v>30</v>
      </c>
      <c r="K25" s="51"/>
      <c r="L25" s="52">
        <v>57482.378854625546</v>
      </c>
      <c r="M25" s="51">
        <v>61707.4</v>
      </c>
      <c r="N25" s="51" t="e">
        <f>#REF!-O25</f>
        <v>#REF!</v>
      </c>
      <c r="O25" s="53">
        <v>64868.860686139989</v>
      </c>
      <c r="P25" s="51">
        <v>59329</v>
      </c>
      <c r="Q25" s="54" t="e">
        <f>ROUND(#REF!*S25/100,1)</f>
        <v>#REF!</v>
      </c>
      <c r="R25" s="55">
        <v>65923.740534695113</v>
      </c>
      <c r="S25" s="56">
        <f t="shared" si="0"/>
        <v>102.282151722573</v>
      </c>
      <c r="T25" s="57">
        <f t="shared" si="4"/>
        <v>33880234.649999999</v>
      </c>
      <c r="U25" s="57">
        <f t="shared" si="5"/>
        <v>33701334.649999999</v>
      </c>
      <c r="V25" s="57">
        <v>1097767</v>
      </c>
      <c r="W25" s="57">
        <v>178900</v>
      </c>
      <c r="X25" s="57">
        <f t="shared" si="6"/>
        <v>32603567.649999999</v>
      </c>
      <c r="Y25" s="45">
        <v>27811332.530000001</v>
      </c>
      <c r="Z25" s="45">
        <f t="shared" si="7"/>
        <v>4792235.1199999973</v>
      </c>
      <c r="AA25" s="45">
        <f t="shared" si="14"/>
        <v>4792235.1199999973</v>
      </c>
      <c r="AB25" s="45">
        <f t="shared" si="8"/>
        <v>2030364.83</v>
      </c>
      <c r="AC25" s="48">
        <v>83</v>
      </c>
      <c r="AD25" s="45">
        <f t="shared" si="9"/>
        <v>1685203</v>
      </c>
      <c r="AE25" s="45">
        <f t="shared" si="10"/>
        <v>345161.83000000007</v>
      </c>
      <c r="AF25" s="59" t="e">
        <f>#REF!+AD25</f>
        <v>#REF!</v>
      </c>
      <c r="AG25" s="59" t="e">
        <f>#REF!+AE25</f>
        <v>#REF!</v>
      </c>
      <c r="AH25" s="61"/>
      <c r="AI25" s="59" t="e">
        <f>#REF!+AD25+AE25</f>
        <v>#REF!</v>
      </c>
      <c r="AJ25" s="60">
        <v>1.01</v>
      </c>
      <c r="AK25" s="59" t="e">
        <f t="shared" si="11"/>
        <v>#REF!</v>
      </c>
      <c r="AN25" s="2">
        <v>593.79999999999995</v>
      </c>
      <c r="AO25" s="2">
        <f t="shared" si="12"/>
        <v>617552</v>
      </c>
      <c r="AP25" s="2">
        <v>177.1</v>
      </c>
      <c r="AQ25" s="2">
        <f t="shared" si="13"/>
        <v>230584.2</v>
      </c>
    </row>
    <row r="26" spans="1:43" s="2" customFormat="1" ht="15.75" customHeight="1">
      <c r="A26" s="43">
        <v>17</v>
      </c>
      <c r="B26" s="44" t="s">
        <v>78</v>
      </c>
      <c r="C26" s="45">
        <v>61036</v>
      </c>
      <c r="D26" s="46">
        <v>1.0390999999999999</v>
      </c>
      <c r="E26" s="47">
        <f t="shared" si="1"/>
        <v>63423</v>
      </c>
      <c r="F26" s="48">
        <v>25</v>
      </c>
      <c r="G26" s="45">
        <f t="shared" si="2"/>
        <v>63406.1</v>
      </c>
      <c r="H26" s="49" t="e">
        <f>#REF!*F26*12*1.302</f>
        <v>#REF!</v>
      </c>
      <c r="I26" s="50">
        <f t="shared" si="3"/>
        <v>99.973399000000001</v>
      </c>
      <c r="J26" s="51">
        <v>25</v>
      </c>
      <c r="K26" s="51"/>
      <c r="L26" s="52">
        <v>58837.500000000007</v>
      </c>
      <c r="M26" s="51">
        <v>66524.5</v>
      </c>
      <c r="N26" s="51" t="e">
        <f>#REF!-O26</f>
        <v>#REF!</v>
      </c>
      <c r="O26" s="53">
        <v>69197.945431569897</v>
      </c>
      <c r="P26" s="51">
        <v>64080.1</v>
      </c>
      <c r="Q26" s="54" t="e">
        <f>ROUND(#REF!*S26/100,1)</f>
        <v>#REF!</v>
      </c>
      <c r="R26" s="55">
        <v>70571.74294265233</v>
      </c>
      <c r="S26" s="56">
        <f t="shared" si="0"/>
        <v>102.282151722573</v>
      </c>
      <c r="T26" s="57">
        <f t="shared" si="4"/>
        <v>24766422.66</v>
      </c>
      <c r="U26" s="57">
        <f t="shared" si="5"/>
        <v>24469222.66</v>
      </c>
      <c r="V26" s="57">
        <v>2154400</v>
      </c>
      <c r="W26" s="57">
        <v>297200</v>
      </c>
      <c r="X26" s="57">
        <f t="shared" si="6"/>
        <v>22314822.66</v>
      </c>
      <c r="Y26" s="45">
        <v>24105118.870000001</v>
      </c>
      <c r="Z26" s="45">
        <f t="shared" si="7"/>
        <v>-1790296.2100000009</v>
      </c>
      <c r="AA26" s="45">
        <v>0</v>
      </c>
      <c r="AB26" s="45">
        <f t="shared" si="8"/>
        <v>0</v>
      </c>
      <c r="AC26" s="48">
        <v>91</v>
      </c>
      <c r="AD26" s="45">
        <f t="shared" si="9"/>
        <v>0</v>
      </c>
      <c r="AE26" s="45">
        <f t="shared" si="10"/>
        <v>0</v>
      </c>
      <c r="AF26" s="59" t="e">
        <f>#REF!+AD26</f>
        <v>#REF!</v>
      </c>
      <c r="AG26" s="59" t="e">
        <f>#REF!+AE26</f>
        <v>#REF!</v>
      </c>
      <c r="AH26" s="61"/>
      <c r="AI26" s="59" t="e">
        <f>#REF!+AD26+AE26</f>
        <v>#REF!</v>
      </c>
      <c r="AJ26" s="60">
        <v>1.01</v>
      </c>
      <c r="AK26" s="59" t="e">
        <f t="shared" si="11"/>
        <v>#REF!</v>
      </c>
      <c r="AN26" s="2">
        <v>1911</v>
      </c>
      <c r="AO26" s="2">
        <f t="shared" si="12"/>
        <v>1987440</v>
      </c>
      <c r="AP26" s="2">
        <v>384.2</v>
      </c>
      <c r="AQ26" s="2">
        <f t="shared" si="13"/>
        <v>500228.4</v>
      </c>
    </row>
    <row r="27" spans="1:43" s="2" customFormat="1" ht="15.75">
      <c r="A27" s="43">
        <v>18</v>
      </c>
      <c r="B27" s="44" t="s">
        <v>79</v>
      </c>
      <c r="C27" s="45">
        <v>67434</v>
      </c>
      <c r="D27" s="46">
        <v>1.0390999999999999</v>
      </c>
      <c r="E27" s="47">
        <f t="shared" si="1"/>
        <v>70071</v>
      </c>
      <c r="F27" s="48">
        <v>4</v>
      </c>
      <c r="G27" s="45">
        <f t="shared" si="2"/>
        <v>70052.399999999994</v>
      </c>
      <c r="H27" s="49" t="e">
        <f>#REF!*F27*12*1.302</f>
        <v>#REF!</v>
      </c>
      <c r="I27" s="50">
        <f t="shared" si="3"/>
        <v>99.973399000000001</v>
      </c>
      <c r="J27" s="51">
        <v>4</v>
      </c>
      <c r="K27" s="51"/>
      <c r="L27" s="52">
        <v>63176.470588235294</v>
      </c>
      <c r="M27" s="51">
        <v>68341.399999999994</v>
      </c>
      <c r="N27" s="51" t="e">
        <f>#REF!-O27</f>
        <v>#REF!</v>
      </c>
      <c r="O27" s="53">
        <v>65797.885476574491</v>
      </c>
      <c r="P27" s="51">
        <v>70834.100000000006</v>
      </c>
      <c r="Q27" s="54" t="e">
        <f>ROUND(#REF!*S27/100,1)</f>
        <v>#REF!</v>
      </c>
      <c r="R27" s="55">
        <v>66867.769793266765</v>
      </c>
      <c r="S27" s="56">
        <f t="shared" si="0"/>
        <v>102.282151722573</v>
      </c>
      <c r="T27" s="57">
        <f t="shared" si="4"/>
        <v>4377994.79</v>
      </c>
      <c r="U27" s="57">
        <f t="shared" si="5"/>
        <v>4377994.79</v>
      </c>
      <c r="V27" s="57">
        <v>150500</v>
      </c>
      <c r="W27" s="57">
        <v>0</v>
      </c>
      <c r="X27" s="57">
        <f t="shared" si="6"/>
        <v>4227494.79</v>
      </c>
      <c r="Y27" s="45">
        <v>3971064.13</v>
      </c>
      <c r="Z27" s="45">
        <f t="shared" si="7"/>
        <v>256430.66000000015</v>
      </c>
      <c r="AA27" s="45">
        <f t="shared" si="14"/>
        <v>256430.66000000015</v>
      </c>
      <c r="AB27" s="45">
        <f t="shared" si="8"/>
        <v>108644.04</v>
      </c>
      <c r="AC27" s="48">
        <v>89</v>
      </c>
      <c r="AD27" s="45">
        <f t="shared" si="9"/>
        <v>96693</v>
      </c>
      <c r="AE27" s="45">
        <f t="shared" si="10"/>
        <v>11951.039999999994</v>
      </c>
      <c r="AF27" s="59" t="e">
        <f>#REF!+AD27</f>
        <v>#REF!</v>
      </c>
      <c r="AG27" s="59" t="e">
        <f>#REF!+AE27</f>
        <v>#REF!</v>
      </c>
      <c r="AH27" s="61"/>
      <c r="AI27" s="59" t="e">
        <f>#REF!+AD27+AE27</f>
        <v>#REF!</v>
      </c>
      <c r="AJ27" s="60">
        <v>1.01</v>
      </c>
      <c r="AK27" s="59" t="e">
        <f t="shared" si="11"/>
        <v>#REF!</v>
      </c>
      <c r="AN27" s="2">
        <v>167.4</v>
      </c>
      <c r="AO27" s="2">
        <f t="shared" si="12"/>
        <v>174096</v>
      </c>
      <c r="AP27" s="2">
        <v>0</v>
      </c>
      <c r="AQ27" s="2">
        <f t="shared" si="13"/>
        <v>0</v>
      </c>
    </row>
    <row r="28" spans="1:43" s="2" customFormat="1" ht="15.75">
      <c r="A28" s="43">
        <v>19</v>
      </c>
      <c r="B28" s="44" t="s">
        <v>80</v>
      </c>
      <c r="C28" s="45">
        <v>59455</v>
      </c>
      <c r="D28" s="46">
        <v>1.0390999999999999</v>
      </c>
      <c r="E28" s="47">
        <f t="shared" si="1"/>
        <v>61780</v>
      </c>
      <c r="F28" s="48">
        <v>17.5</v>
      </c>
      <c r="G28" s="45">
        <f t="shared" si="2"/>
        <v>61763.6</v>
      </c>
      <c r="H28" s="49" t="e">
        <f>#REF!*F28*12*1.302</f>
        <v>#REF!</v>
      </c>
      <c r="I28" s="50">
        <f t="shared" si="3"/>
        <v>99.973399000000001</v>
      </c>
      <c r="J28" s="51">
        <v>17.5</v>
      </c>
      <c r="K28" s="51"/>
      <c r="L28" s="52">
        <v>52083.333333333336</v>
      </c>
      <c r="M28" s="51">
        <v>58748.3</v>
      </c>
      <c r="N28" s="51" t="e">
        <f>#REF!-O28</f>
        <v>#REF!</v>
      </c>
      <c r="O28" s="53">
        <v>57808.327214395431</v>
      </c>
      <c r="P28" s="51">
        <v>62475.1</v>
      </c>
      <c r="Q28" s="54" t="e">
        <f>ROUND(#REF!*S28/100,1)</f>
        <v>#REF!</v>
      </c>
      <c r="R28" s="55">
        <v>58748.300014629502</v>
      </c>
      <c r="S28" s="56">
        <f t="shared" si="0"/>
        <v>102.282151722573</v>
      </c>
      <c r="T28" s="57">
        <f t="shared" si="4"/>
        <v>16887403.510000002</v>
      </c>
      <c r="U28" s="57">
        <f t="shared" si="5"/>
        <v>16887403.510000002</v>
      </c>
      <c r="V28" s="57">
        <v>0</v>
      </c>
      <c r="W28" s="57">
        <v>0</v>
      </c>
      <c r="X28" s="57">
        <f t="shared" si="6"/>
        <v>16887403.510000002</v>
      </c>
      <c r="Y28" s="45">
        <v>16062960.189999999</v>
      </c>
      <c r="Z28" s="45">
        <f t="shared" si="7"/>
        <v>824443.32000000216</v>
      </c>
      <c r="AA28" s="45">
        <f t="shared" si="14"/>
        <v>824443.32000000216</v>
      </c>
      <c r="AB28" s="45">
        <f t="shared" si="8"/>
        <v>349298.54</v>
      </c>
      <c r="AC28" s="48">
        <v>94</v>
      </c>
      <c r="AD28" s="45">
        <f t="shared" si="9"/>
        <v>328341</v>
      </c>
      <c r="AE28" s="45">
        <f t="shared" si="10"/>
        <v>20957.539999999979</v>
      </c>
      <c r="AF28" s="59" t="e">
        <f>#REF!+AD28</f>
        <v>#REF!</v>
      </c>
      <c r="AG28" s="59" t="e">
        <f>#REF!+AE28</f>
        <v>#REF!</v>
      </c>
      <c r="AH28" s="61"/>
      <c r="AI28" s="59" t="e">
        <f>#REF!+AD28+AE28</f>
        <v>#REF!</v>
      </c>
      <c r="AJ28" s="60">
        <v>1.01</v>
      </c>
      <c r="AK28" s="59" t="e">
        <f t="shared" si="11"/>
        <v>#REF!</v>
      </c>
      <c r="AN28" s="2">
        <v>0</v>
      </c>
      <c r="AO28" s="2">
        <f t="shared" si="12"/>
        <v>0</v>
      </c>
      <c r="AP28" s="2">
        <v>0</v>
      </c>
      <c r="AQ28" s="2">
        <f t="shared" si="13"/>
        <v>0</v>
      </c>
    </row>
    <row r="29" spans="1:43" s="2" customFormat="1" ht="15.75" customHeight="1">
      <c r="A29" s="43">
        <v>20</v>
      </c>
      <c r="B29" s="44" t="s">
        <v>81</v>
      </c>
      <c r="C29" s="45">
        <v>51717</v>
      </c>
      <c r="D29" s="46">
        <v>1.0390999999999999</v>
      </c>
      <c r="E29" s="47">
        <f t="shared" si="1"/>
        <v>53739</v>
      </c>
      <c r="F29" s="48">
        <f>464.3</f>
        <v>464.3</v>
      </c>
      <c r="G29" s="45">
        <f t="shared" si="2"/>
        <v>53724.7</v>
      </c>
      <c r="H29" s="49" t="e">
        <f>#REF!*F29*12*1.302</f>
        <v>#REF!</v>
      </c>
      <c r="I29" s="50">
        <f t="shared" si="3"/>
        <v>99.973399000000001</v>
      </c>
      <c r="J29" s="51">
        <v>474.1</v>
      </c>
      <c r="K29" s="51"/>
      <c r="L29" s="52">
        <v>48833.763163550386</v>
      </c>
      <c r="M29" s="51">
        <v>54111.3</v>
      </c>
      <c r="N29" s="51" t="e">
        <f>#REF!-O29</f>
        <v>#REF!</v>
      </c>
      <c r="O29" s="53">
        <v>52793.818840569984</v>
      </c>
      <c r="P29" s="51">
        <v>54388.7</v>
      </c>
      <c r="Q29" s="54" t="e">
        <f>ROUND(#REF!*S29/100,1)</f>
        <v>#REF!</v>
      </c>
      <c r="R29" s="55">
        <v>53652.254919278443</v>
      </c>
      <c r="S29" s="56">
        <f t="shared" si="0"/>
        <v>102.282151722573</v>
      </c>
      <c r="T29" s="57">
        <f t="shared" si="4"/>
        <v>389730965.14999998</v>
      </c>
      <c r="U29" s="57">
        <f t="shared" si="5"/>
        <v>387932465.14999998</v>
      </c>
      <c r="V29" s="57">
        <v>0</v>
      </c>
      <c r="W29" s="57">
        <v>1798500</v>
      </c>
      <c r="X29" s="57">
        <f t="shared" si="6"/>
        <v>387932465.14999998</v>
      </c>
      <c r="Y29" s="45">
        <v>343857912.80000001</v>
      </c>
      <c r="Z29" s="45">
        <f t="shared" si="7"/>
        <v>44074552.349999964</v>
      </c>
      <c r="AA29" s="45">
        <f t="shared" si="14"/>
        <v>44074552.349999964</v>
      </c>
      <c r="AB29" s="45">
        <f t="shared" si="8"/>
        <v>18673420.359999999</v>
      </c>
      <c r="AC29" s="48">
        <v>81</v>
      </c>
      <c r="AD29" s="45">
        <f t="shared" si="9"/>
        <v>15125470</v>
      </c>
      <c r="AE29" s="45">
        <f t="shared" si="10"/>
        <v>3547950.3599999994</v>
      </c>
      <c r="AF29" s="59" t="e">
        <f>#REF!+AD29</f>
        <v>#REF!</v>
      </c>
      <c r="AG29" s="59" t="e">
        <f>#REF!+AE29</f>
        <v>#REF!</v>
      </c>
      <c r="AH29" s="61"/>
      <c r="AI29" s="59" t="e">
        <f>#REF!+AD29+AE29</f>
        <v>#REF!</v>
      </c>
      <c r="AJ29" s="60">
        <v>1.01</v>
      </c>
      <c r="AK29" s="59" t="e">
        <f t="shared" si="11"/>
        <v>#REF!</v>
      </c>
      <c r="AN29" s="2">
        <v>0</v>
      </c>
      <c r="AO29" s="2">
        <f t="shared" si="12"/>
        <v>0</v>
      </c>
      <c r="AP29" s="2">
        <v>3172.6</v>
      </c>
      <c r="AQ29" s="2">
        <f t="shared" si="13"/>
        <v>4130725.2</v>
      </c>
    </row>
    <row r="30" spans="1:43" s="2" customFormat="1" ht="15.75">
      <c r="A30" s="43">
        <v>21</v>
      </c>
      <c r="B30" s="44" t="s">
        <v>82</v>
      </c>
      <c r="C30" s="45">
        <v>60098</v>
      </c>
      <c r="D30" s="46">
        <v>1.0390999999999999</v>
      </c>
      <c r="E30" s="47">
        <f t="shared" si="1"/>
        <v>62448</v>
      </c>
      <c r="F30" s="48">
        <v>389.4</v>
      </c>
      <c r="G30" s="45">
        <f t="shared" si="2"/>
        <v>62431.4</v>
      </c>
      <c r="H30" s="49" t="e">
        <f>#REF!*F30*12*1.302</f>
        <v>#REF!</v>
      </c>
      <c r="I30" s="50">
        <f t="shared" si="3"/>
        <v>99.973399000000001</v>
      </c>
      <c r="J30" s="51">
        <v>380.5</v>
      </c>
      <c r="K30" s="51"/>
      <c r="L30" s="52">
        <v>58222.721822541964</v>
      </c>
      <c r="M30" s="51">
        <v>65244.1</v>
      </c>
      <c r="N30" s="51" t="e">
        <f>#REF!-O30</f>
        <v>#REF!</v>
      </c>
      <c r="O30" s="53">
        <v>64980.92778815145</v>
      </c>
      <c r="P30" s="51">
        <v>63203.4</v>
      </c>
      <c r="Q30" s="54" t="e">
        <f>ROUND(#REF!*S30/100,1)</f>
        <v>#REF!</v>
      </c>
      <c r="R30" s="55">
        <v>66072.364524944715</v>
      </c>
      <c r="S30" s="56">
        <f t="shared" si="0"/>
        <v>102.282151722573</v>
      </c>
      <c r="T30" s="57">
        <f t="shared" si="4"/>
        <v>379831738.58999997</v>
      </c>
      <c r="U30" s="57">
        <f t="shared" si="5"/>
        <v>374005838.58999997</v>
      </c>
      <c r="V30" s="57">
        <v>0</v>
      </c>
      <c r="W30" s="57">
        <v>5825900</v>
      </c>
      <c r="X30" s="57">
        <f t="shared" si="6"/>
        <v>374005838.58999997</v>
      </c>
      <c r="Y30" s="45">
        <v>380048819.26331997</v>
      </c>
      <c r="Z30" s="45">
        <f t="shared" si="7"/>
        <v>-6042980.6733199954</v>
      </c>
      <c r="AA30" s="45">
        <v>0</v>
      </c>
      <c r="AB30" s="45">
        <f t="shared" si="8"/>
        <v>0</v>
      </c>
      <c r="AC30" s="48">
        <v>75</v>
      </c>
      <c r="AD30" s="45">
        <f t="shared" si="9"/>
        <v>0</v>
      </c>
      <c r="AE30" s="45">
        <f t="shared" si="10"/>
        <v>0</v>
      </c>
      <c r="AF30" s="59" t="e">
        <f>#REF!+AD30</f>
        <v>#REF!</v>
      </c>
      <c r="AG30" s="59" t="e">
        <f>#REF!+AE30</f>
        <v>#REF!</v>
      </c>
      <c r="AH30" s="61"/>
      <c r="AI30" s="59" t="e">
        <f>#REF!+AD30+AE30</f>
        <v>#REF!</v>
      </c>
      <c r="AJ30" s="60">
        <v>1.01</v>
      </c>
      <c r="AK30" s="59" t="e">
        <f t="shared" si="11"/>
        <v>#REF!</v>
      </c>
      <c r="AN30" s="2">
        <v>0</v>
      </c>
      <c r="AO30" s="2">
        <f t="shared" si="12"/>
        <v>0</v>
      </c>
      <c r="AP30" s="2">
        <v>5388.1</v>
      </c>
      <c r="AQ30" s="2">
        <f t="shared" si="13"/>
        <v>7015306.2000000002</v>
      </c>
    </row>
    <row r="31" spans="1:43" s="2" customFormat="1" ht="15.75">
      <c r="A31" s="43">
        <v>22</v>
      </c>
      <c r="B31" s="44" t="s">
        <v>83</v>
      </c>
      <c r="C31" s="45">
        <v>48500</v>
      </c>
      <c r="D31" s="46">
        <v>1.0390999999999999</v>
      </c>
      <c r="E31" s="47">
        <f t="shared" si="1"/>
        <v>50396</v>
      </c>
      <c r="F31" s="48">
        <v>137.19999999999999</v>
      </c>
      <c r="G31" s="45">
        <f t="shared" si="2"/>
        <v>50382.6</v>
      </c>
      <c r="H31" s="49" t="e">
        <f>#REF!*F31*12*1.302</f>
        <v>#REF!</v>
      </c>
      <c r="I31" s="50">
        <f t="shared" si="3"/>
        <v>99.973399000000001</v>
      </c>
      <c r="J31" s="51">
        <v>137.19999999999999</v>
      </c>
      <c r="K31" s="51"/>
      <c r="L31" s="52">
        <v>47843.262119967134</v>
      </c>
      <c r="M31" s="51">
        <v>52209.8</v>
      </c>
      <c r="N31" s="51" t="e">
        <f>#REF!-O31</f>
        <v>#REF!</v>
      </c>
      <c r="O31" s="53">
        <v>52097.151548452028</v>
      </c>
      <c r="P31" s="51">
        <v>50989.8</v>
      </c>
      <c r="Q31" s="54" t="e">
        <f>ROUND(#REF!*S31/100,1)</f>
        <v>#REF!</v>
      </c>
      <c r="R31" s="55">
        <v>54826.575362117634</v>
      </c>
      <c r="S31" s="56">
        <f t="shared" si="0"/>
        <v>102.282151722573</v>
      </c>
      <c r="T31" s="57">
        <f t="shared" si="4"/>
        <v>108000786.26000001</v>
      </c>
      <c r="U31" s="57">
        <f t="shared" si="5"/>
        <v>104127786.26000001</v>
      </c>
      <c r="V31" s="57">
        <v>876200</v>
      </c>
      <c r="W31" s="57">
        <v>3873000</v>
      </c>
      <c r="X31" s="57">
        <f t="shared" si="6"/>
        <v>103251586.26000001</v>
      </c>
      <c r="Y31" s="45">
        <v>111386133.16999999</v>
      </c>
      <c r="Z31" s="45">
        <f t="shared" si="7"/>
        <v>-8134546.9099999815</v>
      </c>
      <c r="AA31" s="45">
        <v>0</v>
      </c>
      <c r="AB31" s="45">
        <f t="shared" si="8"/>
        <v>0</v>
      </c>
      <c r="AC31" s="48">
        <v>87</v>
      </c>
      <c r="AD31" s="45">
        <f t="shared" si="9"/>
        <v>0</v>
      </c>
      <c r="AE31" s="45">
        <f t="shared" si="10"/>
        <v>0</v>
      </c>
      <c r="AF31" s="59" t="e">
        <f>#REF!+AD31</f>
        <v>#REF!</v>
      </c>
      <c r="AG31" s="59" t="e">
        <f>#REF!+AE31</f>
        <v>#REF!</v>
      </c>
      <c r="AH31" s="61"/>
      <c r="AI31" s="59" t="e">
        <f>#REF!+AD31+AE31</f>
        <v>#REF!</v>
      </c>
      <c r="AJ31" s="60">
        <v>1.01</v>
      </c>
      <c r="AK31" s="59" t="e">
        <f t="shared" si="11"/>
        <v>#REF!</v>
      </c>
      <c r="AN31" s="2">
        <v>1023.8</v>
      </c>
      <c r="AO31" s="2">
        <f t="shared" si="12"/>
        <v>1064752</v>
      </c>
      <c r="AP31" s="2">
        <v>3253.4</v>
      </c>
      <c r="AQ31" s="2">
        <f t="shared" si="13"/>
        <v>4235926.8</v>
      </c>
    </row>
    <row r="32" spans="1:43" s="2" customFormat="1" ht="15.75">
      <c r="A32" s="43">
        <v>23</v>
      </c>
      <c r="B32" s="44" t="s">
        <v>84</v>
      </c>
      <c r="C32" s="45">
        <v>55777</v>
      </c>
      <c r="D32" s="46">
        <v>1.0390999999999999</v>
      </c>
      <c r="E32" s="47">
        <f t="shared" si="1"/>
        <v>57958</v>
      </c>
      <c r="F32" s="48">
        <v>82.6</v>
      </c>
      <c r="G32" s="45">
        <f t="shared" si="2"/>
        <v>57942.6</v>
      </c>
      <c r="H32" s="49" t="e">
        <f>#REF!*F32*12*1.302</f>
        <v>#REF!</v>
      </c>
      <c r="I32" s="50">
        <f t="shared" si="3"/>
        <v>99.973399000000001</v>
      </c>
      <c r="J32" s="51">
        <v>86.3</v>
      </c>
      <c r="K32" s="51"/>
      <c r="L32" s="52">
        <v>48293.846899224816</v>
      </c>
      <c r="M32" s="51">
        <v>57757.4</v>
      </c>
      <c r="N32" s="51" t="e">
        <f>#REF!-O32</f>
        <v>#REF!</v>
      </c>
      <c r="O32" s="53">
        <v>58965.416613096837</v>
      </c>
      <c r="P32" s="51">
        <v>58659</v>
      </c>
      <c r="Q32" s="54" t="e">
        <f>ROUND(#REF!*S32/100,1)</f>
        <v>#REF!</v>
      </c>
      <c r="R32" s="55">
        <v>59972.263098787895</v>
      </c>
      <c r="S32" s="56">
        <f t="shared" si="0"/>
        <v>102.282151722573</v>
      </c>
      <c r="T32" s="57">
        <f t="shared" si="4"/>
        <v>74777382.069999993</v>
      </c>
      <c r="U32" s="57">
        <f t="shared" si="5"/>
        <v>74355682.069999993</v>
      </c>
      <c r="V32" s="57">
        <v>0</v>
      </c>
      <c r="W32" s="57">
        <v>421700</v>
      </c>
      <c r="X32" s="57">
        <f t="shared" si="6"/>
        <v>74355682.069999993</v>
      </c>
      <c r="Y32" s="45">
        <v>77503599.599999994</v>
      </c>
      <c r="Z32" s="45">
        <f t="shared" si="7"/>
        <v>-3147917.5300000012</v>
      </c>
      <c r="AA32" s="45">
        <v>0</v>
      </c>
      <c r="AB32" s="45">
        <f t="shared" si="8"/>
        <v>0</v>
      </c>
      <c r="AC32" s="48">
        <v>88</v>
      </c>
      <c r="AD32" s="45">
        <f t="shared" si="9"/>
        <v>0</v>
      </c>
      <c r="AE32" s="45">
        <f t="shared" si="10"/>
        <v>0</v>
      </c>
      <c r="AF32" s="59" t="e">
        <f>#REF!+AD32</f>
        <v>#REF!</v>
      </c>
      <c r="AG32" s="59" t="e">
        <f>#REF!+AE32</f>
        <v>#REF!</v>
      </c>
      <c r="AH32" s="61"/>
      <c r="AI32" s="59" t="e">
        <f>#REF!+AD32+AE32</f>
        <v>#REF!</v>
      </c>
      <c r="AJ32" s="60">
        <v>1.01</v>
      </c>
      <c r="AK32" s="59" t="e">
        <f t="shared" si="11"/>
        <v>#REF!</v>
      </c>
      <c r="AN32" s="2">
        <v>0</v>
      </c>
      <c r="AO32" s="2">
        <f t="shared" si="12"/>
        <v>0</v>
      </c>
      <c r="AP32" s="2">
        <v>367.7</v>
      </c>
      <c r="AQ32" s="2">
        <f t="shared" si="13"/>
        <v>478745.4</v>
      </c>
    </row>
    <row r="33" spans="1:44" s="2" customFormat="1" ht="15.75">
      <c r="A33" s="43">
        <v>24</v>
      </c>
      <c r="B33" s="44" t="s">
        <v>85</v>
      </c>
      <c r="C33" s="45">
        <v>48364</v>
      </c>
      <c r="D33" s="46">
        <v>1.0390999999999999</v>
      </c>
      <c r="E33" s="47">
        <f t="shared" si="1"/>
        <v>50255</v>
      </c>
      <c r="F33" s="48">
        <v>60.5</v>
      </c>
      <c r="G33" s="45">
        <f t="shared" si="2"/>
        <v>50241.599999999999</v>
      </c>
      <c r="H33" s="49" t="e">
        <f>#REF!*F33*12*1.302</f>
        <v>#REF!</v>
      </c>
      <c r="I33" s="50">
        <f t="shared" si="3"/>
        <v>99.973399000000001</v>
      </c>
      <c r="J33" s="51">
        <v>69</v>
      </c>
      <c r="K33" s="51"/>
      <c r="L33" s="52">
        <v>47071.376811594208</v>
      </c>
      <c r="M33" s="51">
        <v>50388.2</v>
      </c>
      <c r="N33" s="51" t="e">
        <f>#REF!-O33</f>
        <v>#REF!</v>
      </c>
      <c r="O33" s="53">
        <v>51139.059630602751</v>
      </c>
      <c r="P33" s="51">
        <v>50791.5</v>
      </c>
      <c r="Q33" s="54" t="e">
        <f>ROUND(#REF!*S33/100,1)</f>
        <v>#REF!</v>
      </c>
      <c r="R33" s="55">
        <v>54017.605224644831</v>
      </c>
      <c r="S33" s="56">
        <f t="shared" si="0"/>
        <v>102.282151722573</v>
      </c>
      <c r="T33" s="57">
        <f t="shared" si="4"/>
        <v>47490972.880000003</v>
      </c>
      <c r="U33" s="57">
        <f t="shared" si="5"/>
        <v>46559172.880000003</v>
      </c>
      <c r="V33" s="57">
        <v>0</v>
      </c>
      <c r="W33" s="57">
        <v>931800</v>
      </c>
      <c r="X33" s="57">
        <f t="shared" si="6"/>
        <v>46559172.880000003</v>
      </c>
      <c r="Y33" s="45">
        <v>53140810.490000002</v>
      </c>
      <c r="Z33" s="45">
        <f t="shared" si="7"/>
        <v>-6581637.6099999994</v>
      </c>
      <c r="AA33" s="45">
        <v>0</v>
      </c>
      <c r="AB33" s="45">
        <f t="shared" si="8"/>
        <v>0</v>
      </c>
      <c r="AC33" s="48">
        <v>86</v>
      </c>
      <c r="AD33" s="45">
        <f t="shared" si="9"/>
        <v>0</v>
      </c>
      <c r="AE33" s="45">
        <f t="shared" si="10"/>
        <v>0</v>
      </c>
      <c r="AF33" s="59" t="e">
        <f>#REF!+AD33</f>
        <v>#REF!</v>
      </c>
      <c r="AG33" s="59" t="e">
        <f>#REF!+AE33</f>
        <v>#REF!</v>
      </c>
      <c r="AH33" s="61"/>
      <c r="AI33" s="59" t="e">
        <f>#REF!+AD33+AE33</f>
        <v>#REF!</v>
      </c>
      <c r="AJ33" s="60">
        <v>1.01</v>
      </c>
      <c r="AK33" s="59" t="e">
        <f t="shared" si="11"/>
        <v>#REF!</v>
      </c>
      <c r="AN33" s="2">
        <v>0</v>
      </c>
      <c r="AO33" s="2">
        <f t="shared" si="12"/>
        <v>0</v>
      </c>
      <c r="AP33" s="2">
        <v>1955.2</v>
      </c>
      <c r="AQ33" s="2">
        <f t="shared" si="13"/>
        <v>2545670.4</v>
      </c>
    </row>
    <row r="34" spans="1:44" s="2" customFormat="1" ht="15.75">
      <c r="A34" s="43">
        <v>25</v>
      </c>
      <c r="B34" s="44" t="s">
        <v>99</v>
      </c>
      <c r="C34" s="45">
        <v>46114</v>
      </c>
      <c r="D34" s="46">
        <v>1.0390999999999999</v>
      </c>
      <c r="E34" s="47">
        <f t="shared" si="1"/>
        <v>47917</v>
      </c>
      <c r="F34" s="48">
        <v>68</v>
      </c>
      <c r="G34" s="45">
        <f t="shared" si="2"/>
        <v>47904.3</v>
      </c>
      <c r="H34" s="49" t="e">
        <f>#REF!*F34*12*1.302</f>
        <v>#REF!</v>
      </c>
      <c r="I34" s="50">
        <f t="shared" si="3"/>
        <v>99.973399000000001</v>
      </c>
      <c r="J34" s="51">
        <v>71.7</v>
      </c>
      <c r="K34" s="51"/>
      <c r="L34" s="52">
        <v>43883.06719893546</v>
      </c>
      <c r="M34" s="51">
        <v>37239</v>
      </c>
      <c r="N34" s="51" t="e">
        <f>#REF!-O34</f>
        <v>#REF!</v>
      </c>
      <c r="O34" s="53">
        <v>49753.457980356266</v>
      </c>
      <c r="P34" s="51">
        <v>48496.5</v>
      </c>
      <c r="Q34" s="54" t="e">
        <f>ROUND(#REF!*S34/100,1)</f>
        <v>#REF!</v>
      </c>
      <c r="R34" s="55">
        <v>50562.457297110028</v>
      </c>
      <c r="S34" s="56">
        <f t="shared" si="0"/>
        <v>102.282151722573</v>
      </c>
      <c r="T34" s="57">
        <f t="shared" si="4"/>
        <v>50895061.259999998</v>
      </c>
      <c r="U34" s="57">
        <f>T34-W34</f>
        <v>50895061.259999998</v>
      </c>
      <c r="V34" s="57">
        <v>0</v>
      </c>
      <c r="W34" s="57">
        <v>0</v>
      </c>
      <c r="X34" s="57">
        <f>U34-V34</f>
        <v>50895061.259999998</v>
      </c>
      <c r="Y34" s="45">
        <v>50322224.950000003</v>
      </c>
      <c r="Z34" s="45">
        <f>X34-Y34</f>
        <v>572836.30999999493</v>
      </c>
      <c r="AA34" s="45">
        <f t="shared" si="14"/>
        <v>572836.30999999493</v>
      </c>
      <c r="AB34" s="45">
        <f t="shared" si="8"/>
        <v>242698.17</v>
      </c>
      <c r="AC34" s="48">
        <v>85</v>
      </c>
      <c r="AD34" s="45">
        <f t="shared" si="9"/>
        <v>206293</v>
      </c>
      <c r="AE34" s="45">
        <f t="shared" si="10"/>
        <v>36405.170000000013</v>
      </c>
      <c r="AF34" s="59" t="e">
        <f>#REF!+AB34</f>
        <v>#REF!</v>
      </c>
      <c r="AG34" s="59" t="e">
        <f>#REF!+AE34</f>
        <v>#REF!</v>
      </c>
      <c r="AH34" s="58"/>
      <c r="AI34" s="59" t="e">
        <f>#REF!+AD34+AE34</f>
        <v>#REF!</v>
      </c>
      <c r="AJ34" s="60">
        <v>1.01</v>
      </c>
      <c r="AK34" s="59" t="e">
        <f t="shared" si="11"/>
        <v>#REF!</v>
      </c>
      <c r="AN34" s="2">
        <v>0</v>
      </c>
      <c r="AO34" s="2">
        <f t="shared" si="12"/>
        <v>0</v>
      </c>
      <c r="AP34" s="2">
        <v>0</v>
      </c>
      <c r="AQ34" s="2">
        <f t="shared" si="13"/>
        <v>0</v>
      </c>
    </row>
    <row r="35" spans="1:44" s="2" customFormat="1" ht="15.75">
      <c r="A35" s="67"/>
      <c r="B35" s="68" t="s">
        <v>86</v>
      </c>
      <c r="C35" s="69">
        <v>56683</v>
      </c>
      <c r="D35" s="46">
        <v>1.0390999999999999</v>
      </c>
      <c r="E35" s="70">
        <f t="shared" si="1"/>
        <v>58899</v>
      </c>
      <c r="F35" s="71">
        <f>SUM(F10:F34)</f>
        <v>1695.1000000000001</v>
      </c>
      <c r="G35" s="69">
        <f t="shared" si="2"/>
        <v>58883.3</v>
      </c>
      <c r="H35" s="71" t="e">
        <f>SUM(H10:H34)</f>
        <v>#REF!</v>
      </c>
      <c r="I35" s="50">
        <v>99.973399000000001</v>
      </c>
      <c r="J35" s="72">
        <f>SUM(J10:J34)</f>
        <v>1701.7</v>
      </c>
      <c r="K35" s="72"/>
      <c r="L35" s="73"/>
      <c r="M35" s="72"/>
      <c r="N35" s="51" t="e">
        <f>#REF!-O35</f>
        <v>#REF!</v>
      </c>
      <c r="O35" s="74"/>
      <c r="P35" s="72">
        <v>58063.483425973318</v>
      </c>
      <c r="Q35" s="75">
        <f>T35/J35/12/1.302</f>
        <v>57265.253541073551</v>
      </c>
      <c r="R35" s="76"/>
      <c r="S35" s="77">
        <f>1.02282151722573*100</f>
        <v>102.282151722573</v>
      </c>
      <c r="T35" s="78">
        <f>SUM(T10:T34)</f>
        <v>1522531957.2</v>
      </c>
      <c r="U35" s="71">
        <f>SUM(U10:U34)</f>
        <v>1506757957.2</v>
      </c>
      <c r="V35" s="71">
        <f t="shared" ref="V35:AB35" si="15">SUM(V10:V34)</f>
        <v>15916739.27</v>
      </c>
      <c r="W35" s="71">
        <f>SUM(W10:W34)</f>
        <v>15774000</v>
      </c>
      <c r="X35" s="71">
        <f t="shared" si="15"/>
        <v>1490841217.9299998</v>
      </c>
      <c r="Y35" s="79">
        <f>SUM(Y10:Y34)</f>
        <v>1465161445.59812</v>
      </c>
      <c r="Z35" s="79">
        <f>SUM(Z10:Z34)</f>
        <v>25679772.331879966</v>
      </c>
      <c r="AA35" s="79">
        <f t="shared" si="15"/>
        <v>60611524.205199949</v>
      </c>
      <c r="AB35" s="79">
        <f t="shared" si="15"/>
        <v>25679772.330000002</v>
      </c>
      <c r="AC35" s="48"/>
      <c r="AD35" s="79">
        <f t="shared" ref="AD35:AQ35" si="16">SUM(AD10:AD34)</f>
        <v>21403879</v>
      </c>
      <c r="AE35" s="80">
        <f t="shared" si="16"/>
        <v>4275893.3299999991</v>
      </c>
      <c r="AF35" s="81" t="e">
        <f t="shared" si="16"/>
        <v>#REF!</v>
      </c>
      <c r="AG35" s="81" t="e">
        <f t="shared" si="16"/>
        <v>#REF!</v>
      </c>
      <c r="AH35" s="81">
        <f t="shared" si="16"/>
        <v>0</v>
      </c>
      <c r="AI35" s="81" t="e">
        <f t="shared" si="16"/>
        <v>#REF!</v>
      </c>
      <c r="AJ35" s="81">
        <f t="shared" si="16"/>
        <v>25.250000000000014</v>
      </c>
      <c r="AK35" s="81" t="e">
        <f t="shared" si="16"/>
        <v>#REF!</v>
      </c>
      <c r="AL35" s="81">
        <f t="shared" si="16"/>
        <v>0</v>
      </c>
      <c r="AM35" s="81">
        <f t="shared" si="16"/>
        <v>0</v>
      </c>
      <c r="AN35" s="81">
        <f t="shared" si="16"/>
        <v>13726.07</v>
      </c>
      <c r="AO35" s="81">
        <f t="shared" si="16"/>
        <v>14275112.800000001</v>
      </c>
      <c r="AP35" s="81">
        <f t="shared" si="16"/>
        <v>16802.2</v>
      </c>
      <c r="AQ35" s="81">
        <f t="shared" si="16"/>
        <v>21876464.399999999</v>
      </c>
      <c r="AR35" s="82"/>
    </row>
    <row r="36" spans="1:44" s="2" customFormat="1" ht="15.75" hidden="1">
      <c r="C36" s="83">
        <v>53477.599999999999</v>
      </c>
      <c r="D36" s="3"/>
      <c r="E36" s="3"/>
      <c r="F36" s="83"/>
      <c r="G36" s="83"/>
      <c r="H36" s="83"/>
      <c r="I36" s="83"/>
      <c r="L36" s="4"/>
      <c r="N36" s="84" t="e">
        <f>#REF!-O36</f>
        <v>#REF!</v>
      </c>
      <c r="O36" s="5"/>
      <c r="Q36" s="6">
        <v>47699</v>
      </c>
      <c r="T36" s="85">
        <f t="shared" ref="T36:T61" si="17">F36*G36*1.302*12</f>
        <v>0</v>
      </c>
      <c r="U36" s="7"/>
      <c r="V36" s="7"/>
      <c r="W36" s="7"/>
      <c r="X36" s="7">
        <v>1035855</v>
      </c>
      <c r="Y36" s="8"/>
      <c r="Z36" s="8"/>
      <c r="AA36" s="86">
        <v>45141.168629999942</v>
      </c>
      <c r="AB36" s="8"/>
      <c r="AC36" s="8"/>
      <c r="AD36" s="87">
        <v>39724.22839439995</v>
      </c>
      <c r="AE36" s="88">
        <v>5416.9402355999919</v>
      </c>
    </row>
    <row r="37" spans="1:44" s="2" customFormat="1" ht="15.75" hidden="1">
      <c r="B37" s="2" t="s">
        <v>87</v>
      </c>
      <c r="C37" s="89">
        <v>1.0510083658965148</v>
      </c>
      <c r="D37" s="90"/>
      <c r="E37" s="90"/>
      <c r="F37" s="89"/>
      <c r="G37" s="89"/>
      <c r="H37" s="89"/>
      <c r="I37" s="89"/>
      <c r="J37" s="91"/>
      <c r="K37" s="91"/>
      <c r="L37" s="92"/>
      <c r="M37" s="91"/>
      <c r="N37" s="84" t="e">
        <f>#REF!-O37</f>
        <v>#REF!</v>
      </c>
      <c r="O37" s="93"/>
      <c r="P37" s="91"/>
      <c r="Q37" s="6">
        <v>41011.279999999999</v>
      </c>
      <c r="T37" s="85">
        <f t="shared" si="17"/>
        <v>0</v>
      </c>
      <c r="U37" s="7"/>
      <c r="V37" s="7"/>
      <c r="W37" s="7"/>
      <c r="X37" s="7"/>
      <c r="Y37" s="8"/>
      <c r="Z37" s="8"/>
      <c r="AA37" s="8"/>
      <c r="AB37" s="8"/>
      <c r="AC37" s="8"/>
      <c r="AD37" s="8"/>
      <c r="AE37" s="88"/>
    </row>
    <row r="38" spans="1:44" s="2" customFormat="1" ht="15.75" hidden="1">
      <c r="B38" s="2" t="s">
        <v>88</v>
      </c>
      <c r="C38" s="89">
        <v>1.023337685874129</v>
      </c>
      <c r="D38" s="90"/>
      <c r="E38" s="90"/>
      <c r="F38" s="94"/>
      <c r="G38" s="94"/>
      <c r="H38" s="94"/>
      <c r="I38" s="94"/>
      <c r="L38" s="4"/>
      <c r="N38" s="84" t="e">
        <f>#REF!-O38</f>
        <v>#REF!</v>
      </c>
      <c r="O38" s="5"/>
      <c r="Q38" s="6"/>
      <c r="T38" s="85">
        <f t="shared" si="17"/>
        <v>0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88"/>
    </row>
    <row r="39" spans="1:44" s="2" customFormat="1" ht="15.75" hidden="1">
      <c r="D39" s="3"/>
      <c r="E39" s="3"/>
      <c r="L39" s="4"/>
      <c r="N39" s="84" t="e">
        <f>#REF!-O39</f>
        <v>#REF!</v>
      </c>
      <c r="O39" s="5"/>
      <c r="Q39" s="6"/>
      <c r="T39" s="85">
        <f t="shared" si="17"/>
        <v>0</v>
      </c>
      <c r="U39" s="7"/>
      <c r="V39" s="7"/>
      <c r="W39" s="7"/>
      <c r="X39" s="7"/>
      <c r="Y39" s="8"/>
      <c r="Z39" s="8"/>
      <c r="AA39" s="8"/>
      <c r="AB39" s="8"/>
      <c r="AC39" s="8"/>
      <c r="AD39" s="8"/>
      <c r="AE39" s="9"/>
    </row>
    <row r="40" spans="1:44" s="2" customFormat="1" ht="15.75" hidden="1">
      <c r="D40" s="3"/>
      <c r="E40" s="3"/>
      <c r="L40" s="4"/>
      <c r="N40" s="84" t="e">
        <f>#REF!-O40</f>
        <v>#REF!</v>
      </c>
      <c r="O40" s="5"/>
      <c r="Q40" s="6"/>
      <c r="T40" s="85">
        <f t="shared" si="17"/>
        <v>0</v>
      </c>
      <c r="U40" s="7"/>
      <c r="V40" s="7"/>
      <c r="W40" s="7"/>
      <c r="X40" s="7"/>
      <c r="Y40" s="8"/>
      <c r="Z40" s="8"/>
      <c r="AA40" s="8"/>
      <c r="AB40" s="8"/>
      <c r="AC40" s="8"/>
      <c r="AD40" s="8"/>
      <c r="AE40" s="9"/>
    </row>
    <row r="41" spans="1:44" s="2" customFormat="1" ht="84.75" hidden="1" customHeight="1">
      <c r="D41" s="3"/>
      <c r="E41" s="3"/>
      <c r="L41" s="4"/>
      <c r="N41" s="84" t="e">
        <f>#REF!-O41</f>
        <v>#REF!</v>
      </c>
      <c r="O41" s="5"/>
      <c r="Q41" s="6"/>
      <c r="T41" s="85">
        <f t="shared" si="17"/>
        <v>0</v>
      </c>
      <c r="U41" s="7"/>
      <c r="V41" s="7"/>
      <c r="W41" s="7"/>
      <c r="X41" s="7"/>
      <c r="Y41" s="8"/>
      <c r="Z41" s="8"/>
      <c r="AA41" s="8"/>
      <c r="AB41" s="8"/>
      <c r="AC41" s="8"/>
      <c r="AD41" s="8"/>
      <c r="AE41" s="9"/>
    </row>
    <row r="42" spans="1:44" s="2" customFormat="1" ht="18.75" hidden="1">
      <c r="B42" s="97" t="s">
        <v>89</v>
      </c>
      <c r="D42" s="3"/>
      <c r="E42" s="3"/>
      <c r="L42" s="4"/>
      <c r="N42" s="84" t="e">
        <f>#REF!-O42</f>
        <v>#REF!</v>
      </c>
      <c r="O42" s="5"/>
      <c r="Q42" s="6"/>
      <c r="S42" s="98"/>
      <c r="T42" s="85">
        <f t="shared" si="17"/>
        <v>0</v>
      </c>
      <c r="U42" s="7"/>
      <c r="V42" s="7"/>
      <c r="W42" s="7"/>
      <c r="X42" s="7"/>
      <c r="Y42" s="8"/>
      <c r="Z42" s="8"/>
      <c r="AA42" s="8"/>
      <c r="AB42" s="8"/>
      <c r="AC42" s="8"/>
      <c r="AD42" s="8"/>
      <c r="AE42" s="9"/>
    </row>
    <row r="43" spans="1:44" s="2" customFormat="1" ht="16.5" hidden="1" customHeight="1">
      <c r="D43" s="3"/>
      <c r="E43" s="3"/>
      <c r="L43" s="4"/>
      <c r="N43" s="84" t="e">
        <f>#REF!-O43</f>
        <v>#REF!</v>
      </c>
      <c r="O43" s="5"/>
      <c r="Q43" s="6"/>
      <c r="S43" s="2" t="s">
        <v>90</v>
      </c>
      <c r="T43" s="85">
        <f t="shared" si="17"/>
        <v>0</v>
      </c>
      <c r="U43" s="7"/>
      <c r="V43" s="7"/>
      <c r="W43" s="7"/>
      <c r="X43" s="7"/>
      <c r="Y43" s="8"/>
      <c r="Z43" s="8"/>
      <c r="AA43" s="8"/>
      <c r="AB43" s="8"/>
      <c r="AC43" s="8"/>
      <c r="AD43" s="8"/>
      <c r="AE43" s="9"/>
    </row>
    <row r="44" spans="1:44" s="2" customFormat="1" ht="15.75" hidden="1">
      <c r="D44" s="3"/>
      <c r="E44" s="3"/>
      <c r="J44" s="99" t="e">
        <f>#REF!-J35</f>
        <v>#REF!</v>
      </c>
      <c r="K44" s="99"/>
      <c r="L44" s="100"/>
      <c r="M44" s="99"/>
      <c r="N44" s="84" t="e">
        <f>#REF!-O44</f>
        <v>#REF!</v>
      </c>
      <c r="O44" s="101"/>
      <c r="P44" s="99"/>
      <c r="Q44" s="102">
        <v>44780</v>
      </c>
      <c r="R44" s="103"/>
      <c r="T44" s="85">
        <f t="shared" si="17"/>
        <v>0</v>
      </c>
      <c r="U44" s="7"/>
      <c r="V44" s="7"/>
      <c r="W44" s="7"/>
      <c r="X44" s="7"/>
      <c r="Y44" s="8"/>
      <c r="Z44" s="8"/>
      <c r="AA44" s="8">
        <f>AA36-AA35</f>
        <v>-60566383.036569953</v>
      </c>
      <c r="AB44" s="8"/>
      <c r="AC44" s="8"/>
      <c r="AD44" s="87">
        <f t="shared" ref="AD44:AE44" si="18">AD36-AD35</f>
        <v>-21364154.7716056</v>
      </c>
      <c r="AE44" s="8">
        <f t="shared" si="18"/>
        <v>-4270476.3897643993</v>
      </c>
    </row>
    <row r="45" spans="1:44" s="2" customFormat="1" ht="15.75" hidden="1">
      <c r="D45" s="3"/>
      <c r="E45" s="3"/>
      <c r="J45" s="104" t="e">
        <f>#REF!-J29</f>
        <v>#REF!</v>
      </c>
      <c r="K45" s="104"/>
      <c r="L45" s="105"/>
      <c r="M45" s="104"/>
      <c r="N45" s="84" t="e">
        <f>#REF!-O45</f>
        <v>#REF!</v>
      </c>
      <c r="O45" s="106"/>
      <c r="P45" s="104"/>
      <c r="Q45" s="102">
        <f>Q35-Q44</f>
        <v>12485.253541073551</v>
      </c>
      <c r="R45" s="103"/>
      <c r="S45" s="2">
        <v>105.5412</v>
      </c>
      <c r="T45" s="85">
        <f t="shared" si="17"/>
        <v>0</v>
      </c>
      <c r="U45" s="7"/>
      <c r="V45" s="7"/>
      <c r="W45" s="7"/>
      <c r="X45" s="7"/>
      <c r="Y45" s="8"/>
      <c r="Z45" s="8"/>
      <c r="AA45" s="8"/>
      <c r="AB45" s="8"/>
      <c r="AC45" s="8"/>
      <c r="AD45" s="8">
        <f>AD44-AD35</f>
        <v>-42768033.771605596</v>
      </c>
      <c r="AE45" s="9"/>
    </row>
    <row r="46" spans="1:44" ht="15.75" hidden="1" customHeight="1">
      <c r="J46" s="109" t="e">
        <f>J31-#REF!</f>
        <v>#REF!</v>
      </c>
      <c r="K46" s="109"/>
      <c r="L46" s="110"/>
      <c r="M46" s="109"/>
      <c r="N46" s="84" t="e">
        <f>#REF!-O46</f>
        <v>#REF!</v>
      </c>
      <c r="O46" s="111"/>
      <c r="P46" s="109"/>
      <c r="T46" s="85">
        <f t="shared" si="17"/>
        <v>0</v>
      </c>
    </row>
    <row r="47" spans="1:44" ht="15.75" hidden="1" customHeight="1">
      <c r="N47" s="84" t="e">
        <f>#REF!-O47</f>
        <v>#REF!</v>
      </c>
      <c r="T47" s="85">
        <f t="shared" si="17"/>
        <v>0</v>
      </c>
    </row>
    <row r="48" spans="1:44" ht="15.75" hidden="1" customHeight="1">
      <c r="N48" s="84" t="e">
        <f>#REF!-O48</f>
        <v>#REF!</v>
      </c>
      <c r="T48" s="85">
        <f t="shared" si="17"/>
        <v>0</v>
      </c>
    </row>
    <row r="49" spans="1:37" s="2" customFormat="1" ht="15.75" hidden="1">
      <c r="A49" s="43">
        <v>23</v>
      </c>
      <c r="B49" s="44" t="s">
        <v>84</v>
      </c>
      <c r="C49" s="116">
        <v>39147.4019360409</v>
      </c>
      <c r="D49" s="117"/>
      <c r="E49" s="117"/>
      <c r="F49" s="116"/>
      <c r="G49" s="116"/>
      <c r="H49" s="116"/>
      <c r="I49" s="116"/>
      <c r="J49" s="118"/>
      <c r="K49" s="118"/>
      <c r="L49" s="119"/>
      <c r="M49" s="118"/>
      <c r="N49" s="84" t="e">
        <f>#REF!-O49</f>
        <v>#REF!</v>
      </c>
      <c r="O49" s="120"/>
      <c r="P49" s="118"/>
      <c r="Q49" s="102" t="e">
        <f>ROUND(#REF!*S49/100,1)</f>
        <v>#REF!</v>
      </c>
      <c r="R49" s="121"/>
      <c r="S49" s="122">
        <f>$S$35</f>
        <v>102.282151722573</v>
      </c>
      <c r="T49" s="85">
        <f t="shared" si="17"/>
        <v>0</v>
      </c>
      <c r="U49" s="123">
        <f t="shared" ref="U49" si="19">T49-W49</f>
        <v>-372</v>
      </c>
      <c r="V49" s="123">
        <v>0</v>
      </c>
      <c r="W49" s="124">
        <v>372</v>
      </c>
      <c r="X49" s="125">
        <f t="shared" ref="X49" si="20">T49-V49-W49</f>
        <v>-372</v>
      </c>
      <c r="Y49" s="126">
        <v>49753.599999999999</v>
      </c>
      <c r="Z49" s="126"/>
      <c r="AA49" s="126">
        <f>X49-Y49</f>
        <v>-50125.599999999999</v>
      </c>
      <c r="AB49" s="127"/>
      <c r="AC49" s="127"/>
      <c r="AD49" s="127" t="e">
        <f>AA49*#REF!</f>
        <v>#REF!</v>
      </c>
      <c r="AE49" s="127" t="e">
        <f>AA49-AD49</f>
        <v>#REF!</v>
      </c>
    </row>
    <row r="50" spans="1:37" ht="15.75" hidden="1" customHeight="1">
      <c r="N50" s="84" t="e">
        <f>#REF!-O50</f>
        <v>#REF!</v>
      </c>
      <c r="T50" s="85">
        <f t="shared" si="17"/>
        <v>0</v>
      </c>
    </row>
    <row r="51" spans="1:37" ht="22.5" hidden="1" customHeight="1">
      <c r="B51" s="166" t="s">
        <v>91</v>
      </c>
      <c r="C51" s="166"/>
      <c r="D51" s="166"/>
      <c r="E51" s="166"/>
      <c r="F51" s="166"/>
      <c r="G51" s="166"/>
      <c r="H51" s="166"/>
      <c r="I51" s="166"/>
      <c r="J51" s="166"/>
      <c r="K51" s="128"/>
      <c r="L51" s="129"/>
      <c r="M51" s="128"/>
      <c r="N51" s="84" t="e">
        <f>#REF!-O51</f>
        <v>#REF!</v>
      </c>
      <c r="O51" s="130"/>
      <c r="P51" s="128"/>
      <c r="Q51" s="112">
        <v>52159</v>
      </c>
      <c r="S51" s="131"/>
      <c r="T51" s="85">
        <f t="shared" si="17"/>
        <v>0</v>
      </c>
      <c r="AF51" s="132" t="e">
        <f>#REF!+AG35</f>
        <v>#REF!</v>
      </c>
    </row>
    <row r="52" spans="1:37" ht="15.75" hidden="1" customHeight="1">
      <c r="N52" s="84" t="e">
        <f>#REF!-O52</f>
        <v>#REF!</v>
      </c>
      <c r="Q52" s="112">
        <f>Q35/52159</f>
        <v>1.0978978420037491</v>
      </c>
      <c r="T52" s="85">
        <f t="shared" si="17"/>
        <v>0</v>
      </c>
      <c r="U52" s="132">
        <f>T35-W35</f>
        <v>1506757957.2</v>
      </c>
      <c r="Z52" s="133">
        <v>15244700</v>
      </c>
      <c r="AA52" s="134">
        <f>Z35/AA35</f>
        <v>0.42367804916011109</v>
      </c>
      <c r="AB52" s="135">
        <f>7200500/AB35</f>
        <v>0.28039578807278309</v>
      </c>
      <c r="AD52" s="136">
        <f>AD35+197049600</f>
        <v>218453479</v>
      </c>
      <c r="AE52" s="136"/>
      <c r="AF52" s="137"/>
      <c r="AG52" s="137"/>
      <c r="AH52" s="137"/>
      <c r="AI52" s="137"/>
      <c r="AJ52" s="137"/>
      <c r="AK52" s="137"/>
    </row>
    <row r="53" spans="1:37" ht="15.75" hidden="1" customHeight="1">
      <c r="N53" s="84" t="e">
        <f>#REF!-O53</f>
        <v>#REF!</v>
      </c>
      <c r="T53" s="85">
        <f t="shared" si="17"/>
        <v>0</v>
      </c>
      <c r="AD53" s="133"/>
      <c r="AE53" s="136"/>
      <c r="AG53" s="132"/>
    </row>
    <row r="54" spans="1:37" ht="15.75" hidden="1" customHeight="1">
      <c r="N54" s="84" t="e">
        <f>#REF!-O54</f>
        <v>#REF!</v>
      </c>
      <c r="T54" s="85">
        <f t="shared" si="17"/>
        <v>0</v>
      </c>
      <c r="AB54" s="133"/>
      <c r="AD54" s="136"/>
    </row>
    <row r="55" spans="1:37" ht="15.75" hidden="1" customHeight="1">
      <c r="N55" s="84" t="e">
        <f>#REF!-O55</f>
        <v>#REF!</v>
      </c>
      <c r="T55" s="85">
        <f t="shared" si="17"/>
        <v>0</v>
      </c>
      <c r="AF55" s="132"/>
    </row>
    <row r="56" spans="1:37" ht="15.75" hidden="1" customHeight="1">
      <c r="N56" s="84" t="e">
        <f>#REF!-O56</f>
        <v>#REF!</v>
      </c>
      <c r="T56" s="85">
        <f t="shared" si="17"/>
        <v>0</v>
      </c>
    </row>
    <row r="57" spans="1:37" ht="15.75" hidden="1" customHeight="1">
      <c r="N57" s="84" t="e">
        <f>#REF!-O57</f>
        <v>#REF!</v>
      </c>
      <c r="T57" s="85">
        <f t="shared" si="17"/>
        <v>0</v>
      </c>
    </row>
    <row r="58" spans="1:37" ht="15.75" hidden="1" customHeight="1">
      <c r="N58" s="84" t="e">
        <f>#REF!-O58</f>
        <v>#REF!</v>
      </c>
      <c r="T58" s="85">
        <f t="shared" si="17"/>
        <v>0</v>
      </c>
    </row>
    <row r="59" spans="1:37" ht="15.75" hidden="1" customHeight="1">
      <c r="N59" s="84" t="e">
        <f>#REF!-O59</f>
        <v>#REF!</v>
      </c>
      <c r="S59" s="107">
        <v>101.6399325</v>
      </c>
      <c r="T59" s="85">
        <f t="shared" si="17"/>
        <v>0</v>
      </c>
    </row>
    <row r="60" spans="1:37" ht="15.75" hidden="1" customHeight="1">
      <c r="N60" s="84" t="e">
        <f>#REF!-O60</f>
        <v>#REF!</v>
      </c>
      <c r="T60" s="85">
        <f t="shared" si="17"/>
        <v>0</v>
      </c>
    </row>
    <row r="61" spans="1:37" ht="15.75" hidden="1" customHeight="1">
      <c r="N61" s="84" t="e">
        <f>#REF!-O61</f>
        <v>#REF!</v>
      </c>
      <c r="T61" s="85">
        <f t="shared" si="17"/>
        <v>0</v>
      </c>
    </row>
    <row r="62" spans="1:37" ht="15.75" hidden="1" customHeight="1">
      <c r="G62" s="138">
        <f>G35/C65</f>
        <v>0.95340587101892782</v>
      </c>
      <c r="I62" s="139"/>
      <c r="N62" s="84" t="e">
        <f>#REF!-O62</f>
        <v>#REF!</v>
      </c>
      <c r="Q62" s="140">
        <v>60483.1</v>
      </c>
      <c r="T62" s="141"/>
      <c r="U62" s="132">
        <f>T35-W35</f>
        <v>1506757957.2</v>
      </c>
      <c r="W62" s="132"/>
      <c r="Y62" s="136">
        <f>Y35+V35</f>
        <v>1481078184.86812</v>
      </c>
      <c r="AB62" s="136"/>
      <c r="AD62" s="136">
        <v>21403700</v>
      </c>
    </row>
    <row r="63" spans="1:37" ht="12.75" hidden="1" customHeight="1">
      <c r="B63" s="142"/>
      <c r="C63" s="143" t="s">
        <v>92</v>
      </c>
      <c r="D63" s="144" t="s">
        <v>93</v>
      </c>
      <c r="E63" s="145"/>
      <c r="G63" s="138"/>
      <c r="H63" s="132"/>
      <c r="Q63" s="146">
        <f>Q35/Q62</f>
        <v>0.94679759372574412</v>
      </c>
      <c r="S63" s="107">
        <f>60633/58063.48</f>
        <v>1.0442536341259601</v>
      </c>
      <c r="T63" s="147"/>
      <c r="U63" s="147"/>
      <c r="V63" s="147"/>
      <c r="W63" s="147"/>
      <c r="X63" s="147"/>
      <c r="Y63" s="148"/>
      <c r="Z63" s="136"/>
      <c r="AA63" s="149">
        <f>Z35/AA35</f>
        <v>0.42367804916011109</v>
      </c>
      <c r="AB63" s="136">
        <f>AB62-AB35</f>
        <v>-25679772.330000002</v>
      </c>
      <c r="AD63" s="136">
        <f>AD35-AD62</f>
        <v>179</v>
      </c>
      <c r="AK63" s="132" t="e">
        <f>AK35+V35</f>
        <v>#REF!</v>
      </c>
    </row>
    <row r="64" spans="1:37" ht="12.75" hidden="1" customHeight="1">
      <c r="B64" s="142" t="s">
        <v>94</v>
      </c>
      <c r="C64" s="150">
        <v>60658.080000000002</v>
      </c>
      <c r="D64" s="151">
        <f>C64*97.1%</f>
        <v>58898.99568</v>
      </c>
      <c r="E64" s="145"/>
      <c r="H64" s="132"/>
      <c r="Z64" s="136"/>
      <c r="AD64" s="136"/>
    </row>
    <row r="65" spans="2:31" ht="12.75" hidden="1" customHeight="1">
      <c r="B65" s="142" t="s">
        <v>95</v>
      </c>
      <c r="C65" s="150">
        <v>61761</v>
      </c>
      <c r="D65" s="151">
        <f>C65*97.1%</f>
        <v>59969.930999999997</v>
      </c>
      <c r="Q65" s="112">
        <v>53224.19</v>
      </c>
      <c r="S65" s="107">
        <v>104.92783257524999</v>
      </c>
      <c r="AA65" s="113" t="s">
        <v>96</v>
      </c>
    </row>
    <row r="66" spans="2:31" ht="12.75" hidden="1" customHeight="1">
      <c r="AE66" s="136"/>
    </row>
    <row r="67" spans="2:31" ht="28.5" customHeight="1">
      <c r="S67" s="109"/>
      <c r="AA67" s="136"/>
      <c r="AD67" s="152"/>
      <c r="AE67" s="136"/>
    </row>
    <row r="68" spans="2:31" ht="36.75" customHeight="1">
      <c r="B68" s="153"/>
      <c r="Q68" s="154"/>
      <c r="T68" s="147"/>
      <c r="U68" s="147"/>
      <c r="V68" s="147"/>
      <c r="W68" s="147"/>
      <c r="X68" s="147"/>
      <c r="Y68" s="148"/>
      <c r="Z68" s="136"/>
      <c r="AD68" s="136"/>
    </row>
    <row r="69" spans="2:31">
      <c r="AD69" s="136"/>
    </row>
    <row r="70" spans="2:31">
      <c r="AD70" s="136"/>
    </row>
    <row r="73" spans="2:31" ht="55.5" hidden="1" customHeight="1">
      <c r="B73" s="167" t="s">
        <v>97</v>
      </c>
      <c r="C73" s="167"/>
      <c r="D73" s="167"/>
      <c r="E73" s="167"/>
      <c r="F73" s="167"/>
      <c r="G73" s="167"/>
    </row>
  </sheetData>
  <mergeCells count="30">
    <mergeCell ref="B51:J51"/>
    <mergeCell ref="B73:G73"/>
    <mergeCell ref="AD5:AD7"/>
    <mergeCell ref="AE5:AE7"/>
    <mergeCell ref="AF5:AG6"/>
    <mergeCell ref="Q5:Q7"/>
    <mergeCell ref="S5:S7"/>
    <mergeCell ref="T5:T7"/>
    <mergeCell ref="U5:U7"/>
    <mergeCell ref="V5:V7"/>
    <mergeCell ref="W5:W7"/>
    <mergeCell ref="AI5:AI7"/>
    <mergeCell ref="AJ5:AJ7"/>
    <mergeCell ref="AK5:AK7"/>
    <mergeCell ref="X5:X7"/>
    <mergeCell ref="Y5:Y7"/>
    <mergeCell ref="Z5:Z7"/>
    <mergeCell ref="AA5:AA7"/>
    <mergeCell ref="AB5:AB7"/>
    <mergeCell ref="AC5:AC7"/>
    <mergeCell ref="B1:AE1"/>
    <mergeCell ref="A5:A7"/>
    <mergeCell ref="B5:B7"/>
    <mergeCell ref="C5:C7"/>
    <mergeCell ref="D5:D7"/>
    <mergeCell ref="E5:E7"/>
    <mergeCell ref="F5:F7"/>
    <mergeCell ref="G5:G7"/>
    <mergeCell ref="I5:I7"/>
    <mergeCell ref="J5:J7"/>
  </mergeCells>
  <printOptions horizontalCentered="1"/>
  <pageMargins left="0.11811023622047245" right="0.11811023622047245" top="0.94488188976377963" bottom="0.15748031496062992" header="0.31496062992125984" footer="0.31496062992125984"/>
  <pageSetup paperSize="9" scale="48" orientation="landscape" r:id="rId1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2023-08-31T15:27:56Z</dcterms:modified>
</cp:coreProperties>
</file>