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250" windowHeight="12345"/>
  </bookViews>
  <sheets>
    <sheet name="ИТОГ" sheetId="9" r:id="rId1"/>
  </sheets>
  <definedNames>
    <definedName name="_xlnm.Print_Titles" localSheetId="0">ИТОГ!$3:$5</definedName>
    <definedName name="_xlnm.Print_Area" localSheetId="0">ИТОГ!$A$1:$Q$75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9"/>
  <c r="P48"/>
  <c r="P37"/>
  <c r="P32"/>
  <c r="P27"/>
  <c r="P22"/>
  <c r="P17"/>
  <c r="P12"/>
  <c r="O73"/>
  <c r="O72"/>
  <c r="N53" l="1"/>
  <c r="P52" l="1"/>
  <c r="P53" s="1"/>
  <c r="P57" s="1"/>
  <c r="P58" s="1"/>
  <c r="P62" s="1"/>
  <c r="P63" s="1"/>
  <c r="P67" s="1"/>
  <c r="N42" l="1"/>
  <c r="I46"/>
  <c r="F45"/>
  <c r="F42"/>
  <c r="E70" l="1"/>
  <c r="E69"/>
  <c r="E68"/>
  <c r="E67"/>
  <c r="E66"/>
  <c r="E65"/>
  <c r="E64"/>
  <c r="E63"/>
  <c r="E61"/>
  <c r="E60"/>
  <c r="E59"/>
  <c r="E58"/>
  <c r="E56"/>
  <c r="E55"/>
  <c r="E54"/>
  <c r="E53"/>
  <c r="E51"/>
  <c r="E50"/>
  <c r="E49"/>
  <c r="E48"/>
  <c r="I70" l="1"/>
  <c r="I69"/>
  <c r="I68"/>
  <c r="I67"/>
  <c r="I66"/>
  <c r="I65"/>
  <c r="I64"/>
  <c r="I63"/>
  <c r="I61"/>
  <c r="I60"/>
  <c r="I59"/>
  <c r="I58"/>
  <c r="I56"/>
  <c r="I55"/>
  <c r="F55"/>
  <c r="I54"/>
  <c r="I53"/>
  <c r="F48"/>
  <c r="I48"/>
  <c r="F49"/>
  <c r="I49"/>
  <c r="F50"/>
  <c r="I50"/>
  <c r="F51"/>
  <c r="I51"/>
  <c r="I45"/>
  <c r="I44"/>
  <c r="F44"/>
  <c r="I43"/>
  <c r="F43"/>
  <c r="I42"/>
  <c r="L41"/>
  <c r="M41" s="1"/>
  <c r="I41"/>
  <c r="K41" s="1"/>
  <c r="I40"/>
  <c r="K40" s="1"/>
  <c r="I39"/>
  <c r="K39" s="1"/>
  <c r="I38"/>
  <c r="K38" s="1"/>
  <c r="I37"/>
  <c r="K37" s="1"/>
  <c r="L36"/>
  <c r="M36" s="1"/>
  <c r="I36"/>
  <c r="K36" s="1"/>
  <c r="L35"/>
  <c r="L40" s="1"/>
  <c r="M40" s="1"/>
  <c r="I35"/>
  <c r="K35" s="1"/>
  <c r="L34"/>
  <c r="L39" s="1"/>
  <c r="M39" s="1"/>
  <c r="I34"/>
  <c r="K34" s="1"/>
  <c r="L33"/>
  <c r="L38" s="1"/>
  <c r="M38" s="1"/>
  <c r="I33"/>
  <c r="K33" s="1"/>
  <c r="L32"/>
  <c r="L37" s="1"/>
  <c r="M37" s="1"/>
  <c r="I32"/>
  <c r="K32" s="1"/>
  <c r="I31"/>
  <c r="K31" s="1"/>
  <c r="I30"/>
  <c r="K30" s="1"/>
  <c r="I29"/>
  <c r="K29" s="1"/>
  <c r="I28"/>
  <c r="K28" s="1"/>
  <c r="I27"/>
  <c r="K27" s="1"/>
  <c r="L26"/>
  <c r="L31" s="1"/>
  <c r="M31" s="1"/>
  <c r="I26"/>
  <c r="K26" s="1"/>
  <c r="L25"/>
  <c r="L30" s="1"/>
  <c r="M30" s="1"/>
  <c r="I25"/>
  <c r="K25" s="1"/>
  <c r="L24"/>
  <c r="L29" s="1"/>
  <c r="M29" s="1"/>
  <c r="I24"/>
  <c r="K24" s="1"/>
  <c r="L23"/>
  <c r="L28" s="1"/>
  <c r="M28" s="1"/>
  <c r="I23"/>
  <c r="K23" s="1"/>
  <c r="L22"/>
  <c r="L27" s="1"/>
  <c r="M27" s="1"/>
  <c r="I22"/>
  <c r="K22" s="1"/>
  <c r="L21"/>
  <c r="M21" s="1"/>
  <c r="I21"/>
  <c r="K21" s="1"/>
  <c r="L20"/>
  <c r="M20" s="1"/>
  <c r="I20"/>
  <c r="K20" s="1"/>
  <c r="L19"/>
  <c r="M19" s="1"/>
  <c r="I19"/>
  <c r="K19" s="1"/>
  <c r="L18"/>
  <c r="M18" s="1"/>
  <c r="I18"/>
  <c r="K18" s="1"/>
  <c r="L17"/>
  <c r="M17" s="1"/>
  <c r="I17"/>
  <c r="K17" s="1"/>
  <c r="M16"/>
  <c r="I16"/>
  <c r="K16" s="1"/>
  <c r="M15"/>
  <c r="I15"/>
  <c r="K15" s="1"/>
  <c r="M14"/>
  <c r="I14"/>
  <c r="K14" s="1"/>
  <c r="M13"/>
  <c r="I13"/>
  <c r="K13" s="1"/>
  <c r="M12"/>
  <c r="I12"/>
  <c r="K12" s="1"/>
  <c r="M11"/>
  <c r="I11"/>
  <c r="K11" s="1"/>
  <c r="M10"/>
  <c r="I10"/>
  <c r="K10" s="1"/>
  <c r="M9"/>
  <c r="I9"/>
  <c r="K9" s="1"/>
  <c r="M8"/>
  <c r="I8"/>
  <c r="K8" s="1"/>
  <c r="M7"/>
  <c r="I7"/>
  <c r="K7" s="1"/>
  <c r="K50" l="1"/>
  <c r="K48"/>
  <c r="K51"/>
  <c r="K49"/>
  <c r="K55"/>
  <c r="F56"/>
  <c r="K56" s="1"/>
  <c r="M22"/>
  <c r="M24"/>
  <c r="M32"/>
  <c r="M33"/>
  <c r="M26"/>
  <c r="M35"/>
  <c r="N7"/>
  <c r="O7" s="1"/>
  <c r="N12"/>
  <c r="O12" s="1"/>
  <c r="N17"/>
  <c r="O17" s="1"/>
  <c r="N27"/>
  <c r="O27" s="1"/>
  <c r="N37"/>
  <c r="M23"/>
  <c r="M25"/>
  <c r="M34"/>
  <c r="N48" l="1"/>
  <c r="P7"/>
  <c r="F61"/>
  <c r="K61" s="1"/>
  <c r="F60"/>
  <c r="K60" s="1"/>
  <c r="F54"/>
  <c r="K54" s="1"/>
  <c r="F53"/>
  <c r="K53" s="1"/>
  <c r="N32"/>
  <c r="O32" s="1"/>
  <c r="N22"/>
  <c r="O22" s="1"/>
  <c r="F66" l="1"/>
  <c r="K66" s="1"/>
  <c r="F70"/>
  <c r="K70" s="1"/>
  <c r="F65"/>
  <c r="K65" s="1"/>
  <c r="F69"/>
  <c r="K69" s="1"/>
  <c r="F59"/>
  <c r="K59" s="1"/>
  <c r="F58"/>
  <c r="K58" s="1"/>
  <c r="N58" l="1"/>
  <c r="F64"/>
  <c r="K64" s="1"/>
  <c r="F68"/>
  <c r="K68" s="1"/>
  <c r="F63"/>
  <c r="K63" s="1"/>
  <c r="F67"/>
  <c r="K67" s="1"/>
  <c r="N67" l="1"/>
  <c r="N63"/>
</calcChain>
</file>

<file path=xl/sharedStrings.xml><?xml version="1.0" encoding="utf-8"?>
<sst xmlns="http://schemas.openxmlformats.org/spreadsheetml/2006/main" count="138" uniqueCount="50">
  <si>
    <t>Категория населения</t>
  </si>
  <si>
    <t>Итого по ТКО в отношении сельских населеных пунктов</t>
  </si>
  <si>
    <t>-</t>
  </si>
  <si>
    <t xml:space="preserve">Период предоставления субсидии </t>
  </si>
  <si>
    <t>Сумма, подлежащая перечислению из областного бюджета, 
руб.</t>
  </si>
  <si>
    <t>Расчет потребности средств областного бюджета на 2023 год в субсидии на возмещение недополученных доходов, возникающих в результате государственного регулирования тарифов в области обращения с твердыми коммунальными отходами</t>
  </si>
  <si>
    <t>Март (корректировка за 2022 г.)</t>
  </si>
  <si>
    <t>Остаток, руб.</t>
  </si>
  <si>
    <t>Общая сумма потребности средств областного бюдждета в 2023 году, руб.</t>
  </si>
  <si>
    <t>Дополнительная потребность в средствах областного бюджета, руб.</t>
  </si>
  <si>
    <t>Предусмотрено в Сводной бюджетной росписи расходов областного бюджета на 2023 год, руб.</t>
  </si>
  <si>
    <t>Выплата в январе 2023 г. за декабрь 2022 г.</t>
  </si>
  <si>
    <t>Выплата в феврале 2023 г. за январь 2023 г.</t>
  </si>
  <si>
    <t>Выплата в марте 2023 г. за февраль 2023 г.</t>
  </si>
  <si>
    <t>Норматив накопления ТКО, утвержденный постановлением министерства природных ресурсов и лесопромышленного комплекса Архангельской области от 24.03.2022 № 5п, куб.м в год</t>
  </si>
  <si>
    <t>Предельный тариф на услугу регионального оператора, утвержденный постановлением агенства по тарифам и ценам от 28.11.2022 № 94-п/28, руб./куб.м</t>
  </si>
  <si>
    <t>Льготный тариф на услугу регионального оператора, утвержденный постановлением агенства по тарифам и ценам от 28.11.2022 № 94-п/28, руб./куб.м</t>
  </si>
  <si>
    <t>Разница между предельным и льготным тарифом, руб./куб.м</t>
  </si>
  <si>
    <t>Потребность в средствах областного бюджета для возмещения недополученных доходов региональному оператору, возникающих в результате государственного регулирования тарифов по категиориям населения, руб.</t>
  </si>
  <si>
    <t>8=6-7</t>
  </si>
  <si>
    <t>Объемы ТКО, в отношении которых оказаны услуги населению и потребителям, приравненным к населению, куб.м в месяц</t>
  </si>
  <si>
    <t>За расчетный период, руб.</t>
  </si>
  <si>
    <t>10=5*8</t>
  </si>
  <si>
    <t>Сумма, подлежащая перечислению из областного бюджета ИТОГ, 
руб.</t>
  </si>
  <si>
    <t>Нарастающим итогом с учетом корректировки за предыдущие месяцы,
руб.</t>
  </si>
  <si>
    <t>Получено средств из областного бюджета, нарастающим итогом, руб.</t>
  </si>
  <si>
    <t>Выплата в апреле 2023 г. за март 2023 г.</t>
  </si>
  <si>
    <t>Выплата в мае 2023 г. за апрель 2023 г.</t>
  </si>
  <si>
    <t>Выплачено, руб.</t>
  </si>
  <si>
    <t>Выплата в июле 2023 г. за май 2023 г.</t>
  </si>
  <si>
    <t>Выплата в августе 2023 г. за июль 2023 г. (прогнозные значения)</t>
  </si>
  <si>
    <t>Выплата в сентябре 2023 г. за август 2023 г. (прогнозные значения)</t>
  </si>
  <si>
    <t>Выплата в октябре 2023 г. за сентябрь 2023 г. (прогнозные значения)</t>
  </si>
  <si>
    <t>Выплата в ноябре 2023 г. за октябрь 2023 г. (прогнозные значения)</t>
  </si>
  <si>
    <t>Выплата в декабре 2023 г. за ноябрь 2023 г. (прогнозные значения)</t>
  </si>
  <si>
    <t>Количество потребителей, которым оказаны услуги согласно отчету регионального оператора за расчетный период, чел.</t>
  </si>
  <si>
    <t>12=9-11</t>
  </si>
  <si>
    <t>В населенных пунктах более 12 тыс. человек</t>
  </si>
  <si>
    <t xml:space="preserve">МКД </t>
  </si>
  <si>
    <t xml:space="preserve">ИЖД </t>
  </si>
  <si>
    <t>В населенных пунктах менее 12 тыс. человек</t>
  </si>
  <si>
    <t>*Индекс изменения численности населения, в % к предыдущему году = 0,9917 согласно таблице 2.9. территориальной схемы по обращению с отходами</t>
  </si>
  <si>
    <t xml:space="preserve">Выплата в июле 2023 г. за июнь 2023 г. </t>
  </si>
  <si>
    <t>*По результатам заседания рабочей группы по проверке документов, предоставленных ООО "ЭкоИнтегратор", уменьшен размер субсидии на 9 382 892,05 руб.</t>
  </si>
  <si>
    <t>*По результатам заседания рабочей группы по проверке документов, предоставленных ООО "ЭкоИнтегратор", уменьшен размер субсидии на 19 617 072,46 руб.</t>
  </si>
  <si>
    <t>*По результатам заседания рабочей группы по проверке документов, предоставленных ООО "ЭкоИнтегратор", уменьшен размер субсидии на 25 638 634,27 руб.</t>
  </si>
  <si>
    <t>Сентябрь (Корректировка за 2023) прогнозные значения</t>
  </si>
  <si>
    <t>Ноябрь (Корректировка за 2023) прогнозные значения</t>
  </si>
  <si>
    <t>Выплата удержанной суммы за ПВН</t>
  </si>
  <si>
    <t>*Выплата удержанных ранее сумм по вывозу ТКО на ПВН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</si>
</sst>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\ _₽"/>
    <numFmt numFmtId="165" formatCode="#,##0.000\ _₽"/>
    <numFmt numFmtId="166" formatCode="#,##0\ _₽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6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02">
    <xf numFmtId="0" fontId="0" fillId="0" borderId="0" xfId="0"/>
    <xf numFmtId="164" fontId="3" fillId="0" borderId="0" xfId="0" applyNumberFormat="1" applyFont="1" applyBorder="1"/>
    <xf numFmtId="164" fontId="3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left"/>
    </xf>
    <xf numFmtId="164" fontId="5" fillId="0" borderId="0" xfId="0" applyNumberFormat="1" applyFont="1" applyFill="1" applyBorder="1"/>
    <xf numFmtId="164" fontId="3" fillId="0" borderId="2" xfId="0" applyNumberFormat="1" applyFont="1" applyFill="1" applyBorder="1" applyAlignment="1">
      <alignment horizontal="center" vertical="center" wrapText="1" shrinkToFit="1"/>
    </xf>
    <xf numFmtId="164" fontId="3" fillId="0" borderId="1" xfId="0" applyNumberFormat="1" applyFont="1" applyFill="1" applyBorder="1" applyAlignment="1">
      <alignment horizontal="center" vertical="center" wrapText="1" shrinkToFi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166" fontId="4" fillId="0" borderId="1" xfId="4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/>
    <xf numFmtId="164" fontId="8" fillId="0" borderId="3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/>
    <xf numFmtId="164" fontId="3" fillId="0" borderId="14" xfId="0" applyNumberFormat="1" applyFont="1" applyFill="1" applyBorder="1"/>
    <xf numFmtId="164" fontId="3" fillId="2" borderId="14" xfId="0" applyNumberFormat="1" applyFont="1" applyFill="1" applyBorder="1"/>
    <xf numFmtId="164" fontId="3" fillId="0" borderId="14" xfId="0" applyNumberFormat="1" applyFont="1" applyBorder="1"/>
    <xf numFmtId="164" fontId="10" fillId="0" borderId="14" xfId="0" applyNumberFormat="1" applyFont="1" applyFill="1" applyBorder="1" applyAlignment="1">
      <alignment horizontal="left"/>
    </xf>
    <xf numFmtId="164" fontId="10" fillId="0" borderId="13" xfId="0" applyNumberFormat="1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left" vertical="center" wrapText="1"/>
    </xf>
    <xf numFmtId="164" fontId="8" fillId="0" borderId="5" xfId="0" applyNumberFormat="1" applyFont="1" applyFill="1" applyBorder="1" applyAlignment="1">
      <alignment horizontal="left" vertical="center" wrapText="1"/>
    </xf>
    <xf numFmtId="164" fontId="8" fillId="0" borderId="7" xfId="0" applyNumberFormat="1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left" vertical="top"/>
    </xf>
    <xf numFmtId="164" fontId="9" fillId="0" borderId="1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left" wrapText="1"/>
    </xf>
    <xf numFmtId="164" fontId="3" fillId="0" borderId="10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166" fontId="3" fillId="0" borderId="7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 shrinkToFit="1"/>
    </xf>
    <xf numFmtId="164" fontId="3" fillId="0" borderId="7" xfId="0" applyNumberFormat="1" applyFont="1" applyFill="1" applyBorder="1" applyAlignment="1">
      <alignment horizontal="center" vertical="center" wrapText="1" shrinkToFit="1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8" fillId="0" borderId="2" xfId="1" applyNumberFormat="1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6" fontId="3" fillId="0" borderId="4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4" fontId="4" fillId="0" borderId="2" xfId="4" applyNumberFormat="1" applyFont="1" applyFill="1" applyBorder="1" applyAlignment="1">
      <alignment horizontal="center" vertical="center" wrapText="1"/>
    </xf>
    <xf numFmtId="164" fontId="4" fillId="0" borderId="4" xfId="4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right" vertical="center" wrapText="1"/>
    </xf>
    <xf numFmtId="164" fontId="7" fillId="0" borderId="5" xfId="0" applyNumberFormat="1" applyFont="1" applyFill="1" applyBorder="1" applyAlignment="1">
      <alignment horizontal="right" vertical="center" wrapText="1"/>
    </xf>
    <xf numFmtId="164" fontId="7" fillId="0" borderId="7" xfId="0" applyNumberFormat="1" applyFont="1" applyFill="1" applyBorder="1" applyAlignment="1">
      <alignment horizontal="right" vertical="center" wrapText="1"/>
    </xf>
    <xf numFmtId="164" fontId="8" fillId="0" borderId="1" xfId="1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2 3" xfId="3"/>
    <cellStyle name="Обычный 2 4" xfId="4"/>
    <cellStyle name="Финансовый" xfId="1" builtinId="3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8"/>
  <sheetViews>
    <sheetView tabSelected="1" view="pageBreakPreview" zoomScale="130" zoomScaleNormal="70" zoomScaleSheetLayoutView="130" workbookViewId="0">
      <pane xSplit="16" ySplit="5" topLeftCell="Q6" activePane="bottomRight" state="frozen"/>
      <selection pane="topRight" activeCell="Q1" sqref="Q1"/>
      <selection pane="bottomLeft" activeCell="A6" sqref="A6"/>
      <selection pane="bottomRight" activeCell="B3" sqref="B3:C4"/>
    </sheetView>
  </sheetViews>
  <sheetFormatPr defaultColWidth="9.140625" defaultRowHeight="8.25"/>
  <cols>
    <col min="1" max="1" width="11.5703125" style="2" customWidth="1"/>
    <col min="2" max="2" width="9" style="2" customWidth="1"/>
    <col min="3" max="3" width="5.5703125" style="2" customWidth="1"/>
    <col min="4" max="4" width="11.28515625" style="2" customWidth="1"/>
    <col min="5" max="5" width="8.140625" style="2" customWidth="1"/>
    <col min="6" max="6" width="8.28515625" style="2" customWidth="1"/>
    <col min="7" max="7" width="8.85546875" style="2" customWidth="1"/>
    <col min="8" max="8" width="8.7109375" style="2" customWidth="1"/>
    <col min="9" max="9" width="7.28515625" style="2" customWidth="1"/>
    <col min="10" max="10" width="11.7109375" style="2" customWidth="1"/>
    <col min="11" max="11" width="12.140625" style="2" customWidth="1"/>
    <col min="12" max="12" width="14.140625" style="2" customWidth="1"/>
    <col min="13" max="13" width="15.42578125" style="2" customWidth="1"/>
    <col min="14" max="14" width="18" style="3" customWidth="1"/>
    <col min="15" max="15" width="15.7109375" style="3" customWidth="1"/>
    <col min="16" max="16" width="13.5703125" style="2" customWidth="1"/>
    <col min="17" max="17" width="20.5703125" style="2" customWidth="1"/>
    <col min="18" max="16384" width="9.140625" style="2"/>
  </cols>
  <sheetData>
    <row r="1" spans="1:17" ht="15" customHeight="1">
      <c r="M1" s="92"/>
      <c r="N1" s="92"/>
      <c r="O1" s="92"/>
      <c r="P1" s="92"/>
    </row>
    <row r="2" spans="1:17" ht="36.75" customHeight="1">
      <c r="A2" s="93" t="s">
        <v>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8"/>
    </row>
    <row r="3" spans="1:17" ht="57.75" customHeight="1">
      <c r="A3" s="51" t="s">
        <v>3</v>
      </c>
      <c r="B3" s="58" t="s">
        <v>0</v>
      </c>
      <c r="C3" s="59"/>
      <c r="D3" s="51" t="s">
        <v>14</v>
      </c>
      <c r="E3" s="51" t="s">
        <v>35</v>
      </c>
      <c r="F3" s="51" t="s">
        <v>20</v>
      </c>
      <c r="G3" s="51" t="s">
        <v>15</v>
      </c>
      <c r="H3" s="51" t="s">
        <v>16</v>
      </c>
      <c r="I3" s="51" t="s">
        <v>17</v>
      </c>
      <c r="J3" s="94" t="s">
        <v>18</v>
      </c>
      <c r="K3" s="95"/>
      <c r="L3" s="51" t="s">
        <v>25</v>
      </c>
      <c r="M3" s="96" t="s">
        <v>4</v>
      </c>
      <c r="N3" s="96" t="s">
        <v>23</v>
      </c>
      <c r="O3" s="96" t="s">
        <v>28</v>
      </c>
      <c r="P3" s="51" t="s">
        <v>7</v>
      </c>
      <c r="Q3" s="36"/>
    </row>
    <row r="4" spans="1:17" ht="53.25" customHeight="1">
      <c r="A4" s="52"/>
      <c r="B4" s="60"/>
      <c r="C4" s="61"/>
      <c r="D4" s="52"/>
      <c r="E4" s="52"/>
      <c r="F4" s="52"/>
      <c r="G4" s="52"/>
      <c r="H4" s="52"/>
      <c r="I4" s="52"/>
      <c r="J4" s="5" t="s">
        <v>24</v>
      </c>
      <c r="K4" s="5" t="s">
        <v>21</v>
      </c>
      <c r="L4" s="52"/>
      <c r="M4" s="97"/>
      <c r="N4" s="97"/>
      <c r="O4" s="97"/>
      <c r="P4" s="52"/>
      <c r="Q4" s="37"/>
    </row>
    <row r="5" spans="1:17" ht="9" customHeight="1">
      <c r="A5" s="23">
        <v>1</v>
      </c>
      <c r="B5" s="62">
        <v>2</v>
      </c>
      <c r="C5" s="63"/>
      <c r="D5" s="23">
        <v>3</v>
      </c>
      <c r="E5" s="23">
        <v>4</v>
      </c>
      <c r="F5" s="23">
        <v>5</v>
      </c>
      <c r="G5" s="23">
        <v>6</v>
      </c>
      <c r="H5" s="23">
        <v>7</v>
      </c>
      <c r="I5" s="23" t="s">
        <v>19</v>
      </c>
      <c r="J5" s="23">
        <v>9</v>
      </c>
      <c r="K5" s="23" t="s">
        <v>22</v>
      </c>
      <c r="L5" s="23">
        <v>11</v>
      </c>
      <c r="M5" s="24" t="s">
        <v>36</v>
      </c>
      <c r="N5" s="23">
        <v>13</v>
      </c>
      <c r="O5" s="23">
        <v>14</v>
      </c>
      <c r="P5" s="23">
        <v>15</v>
      </c>
      <c r="Q5" s="37"/>
    </row>
    <row r="6" spans="1:17" ht="21" customHeight="1">
      <c r="A6" s="98" t="s">
        <v>10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100"/>
      <c r="N6" s="7">
        <v>950001955.49000001</v>
      </c>
      <c r="O6" s="7"/>
      <c r="P6" s="6"/>
      <c r="Q6" s="37"/>
    </row>
    <row r="7" spans="1:17" ht="12" customHeight="1">
      <c r="A7" s="87" t="s">
        <v>11</v>
      </c>
      <c r="B7" s="51" t="s">
        <v>37</v>
      </c>
      <c r="C7" s="15" t="s">
        <v>38</v>
      </c>
      <c r="D7" s="33">
        <v>2.75</v>
      </c>
      <c r="E7" s="20">
        <v>717009</v>
      </c>
      <c r="F7" s="25">
        <v>164314.56299999999</v>
      </c>
      <c r="G7" s="10">
        <v>871.03</v>
      </c>
      <c r="H7" s="10">
        <v>371.17</v>
      </c>
      <c r="I7" s="11">
        <f t="shared" ref="I7:I10" si="0">G7-H7</f>
        <v>499.85999999999996</v>
      </c>
      <c r="J7" s="22">
        <v>674163136.22000003</v>
      </c>
      <c r="K7" s="12">
        <f t="shared" ref="K7:K15" si="1">F7*I7</f>
        <v>82134277.461179987</v>
      </c>
      <c r="L7" s="33">
        <v>617514674.57000005</v>
      </c>
      <c r="M7" s="17">
        <f>J7-L7</f>
        <v>56648461.649999976</v>
      </c>
      <c r="N7" s="101">
        <f>SUM(M7:M11)</f>
        <v>74697009.839999974</v>
      </c>
      <c r="O7" s="75">
        <f>N7</f>
        <v>74697009.839999974</v>
      </c>
      <c r="P7" s="77">
        <f>N6-O7</f>
        <v>875304945.6500001</v>
      </c>
      <c r="Q7" s="37"/>
    </row>
    <row r="8" spans="1:17" ht="13.5" customHeight="1">
      <c r="A8" s="87"/>
      <c r="B8" s="64"/>
      <c r="C8" s="16" t="s">
        <v>39</v>
      </c>
      <c r="D8" s="32">
        <v>2.06</v>
      </c>
      <c r="E8" s="20">
        <v>25114</v>
      </c>
      <c r="F8" s="25">
        <v>4322.567</v>
      </c>
      <c r="G8" s="10">
        <v>871.03</v>
      </c>
      <c r="H8" s="10">
        <v>371.17</v>
      </c>
      <c r="I8" s="11">
        <f t="shared" si="0"/>
        <v>499.85999999999996</v>
      </c>
      <c r="J8" s="22">
        <v>17285682.289999999</v>
      </c>
      <c r="K8" s="12">
        <f t="shared" si="1"/>
        <v>2160678.3406199999</v>
      </c>
      <c r="L8" s="33">
        <v>15600932.65</v>
      </c>
      <c r="M8" s="17">
        <f t="shared" ref="M8" si="2">J8-L8</f>
        <v>1684749.6399999987</v>
      </c>
      <c r="N8" s="101"/>
      <c r="O8" s="76"/>
      <c r="P8" s="77"/>
      <c r="Q8" s="37"/>
    </row>
    <row r="9" spans="1:17" ht="12.75" customHeight="1">
      <c r="A9" s="87"/>
      <c r="B9" s="51" t="s">
        <v>40</v>
      </c>
      <c r="C9" s="15" t="s">
        <v>38</v>
      </c>
      <c r="D9" s="33">
        <v>1.95</v>
      </c>
      <c r="E9" s="20">
        <v>169485</v>
      </c>
      <c r="F9" s="25">
        <v>28040.35</v>
      </c>
      <c r="G9" s="10">
        <v>871.03</v>
      </c>
      <c r="H9" s="10">
        <v>371.17</v>
      </c>
      <c r="I9" s="11">
        <f t="shared" si="0"/>
        <v>499.85999999999996</v>
      </c>
      <c r="J9" s="22">
        <v>99831265.760000005</v>
      </c>
      <c r="K9" s="12">
        <f t="shared" si="1"/>
        <v>14016249.350999998</v>
      </c>
      <c r="L9" s="33">
        <v>90257810.510000005</v>
      </c>
      <c r="M9" s="17">
        <f t="shared" ref="M9" si="3">J9-L9</f>
        <v>9573455.25</v>
      </c>
      <c r="N9" s="101"/>
      <c r="O9" s="76"/>
      <c r="P9" s="77"/>
      <c r="Q9" s="37"/>
    </row>
    <row r="10" spans="1:17" ht="15" customHeight="1">
      <c r="A10" s="87"/>
      <c r="B10" s="52"/>
      <c r="C10" s="16" t="s">
        <v>39</v>
      </c>
      <c r="D10" s="32">
        <v>1.72</v>
      </c>
      <c r="E10" s="20">
        <v>124419</v>
      </c>
      <c r="F10" s="25">
        <v>18262.099999999999</v>
      </c>
      <c r="G10" s="10">
        <v>871.03</v>
      </c>
      <c r="H10" s="10">
        <v>371.17</v>
      </c>
      <c r="I10" s="11">
        <f t="shared" si="0"/>
        <v>499.85999999999996</v>
      </c>
      <c r="J10" s="22">
        <v>82662839.859999999</v>
      </c>
      <c r="K10" s="12">
        <f t="shared" si="1"/>
        <v>9128493.305999998</v>
      </c>
      <c r="L10" s="33">
        <v>76142647.510000005</v>
      </c>
      <c r="M10" s="17">
        <f t="shared" ref="M10" si="4">J10-L10</f>
        <v>6520192.349999994</v>
      </c>
      <c r="N10" s="101"/>
      <c r="O10" s="76"/>
      <c r="P10" s="77"/>
      <c r="Q10" s="37"/>
    </row>
    <row r="11" spans="1:17" ht="25.5" customHeight="1">
      <c r="A11" s="87"/>
      <c r="B11" s="65" t="s">
        <v>1</v>
      </c>
      <c r="C11" s="66"/>
      <c r="D11" s="32" t="s">
        <v>2</v>
      </c>
      <c r="E11" s="20">
        <v>0</v>
      </c>
      <c r="F11" s="32">
        <v>0</v>
      </c>
      <c r="G11" s="10">
        <v>653.49</v>
      </c>
      <c r="H11" s="10">
        <v>535.6</v>
      </c>
      <c r="I11" s="11">
        <f>G11-H11</f>
        <v>117.88999999999999</v>
      </c>
      <c r="J11" s="12">
        <v>9240298.7100000009</v>
      </c>
      <c r="K11" s="12">
        <f t="shared" si="1"/>
        <v>0</v>
      </c>
      <c r="L11" s="12">
        <v>8970147.7599999998</v>
      </c>
      <c r="M11" s="12">
        <f>J11-L11</f>
        <v>270150.95000000112</v>
      </c>
      <c r="N11" s="101"/>
      <c r="O11" s="88"/>
      <c r="P11" s="77"/>
      <c r="Q11" s="37"/>
    </row>
    <row r="12" spans="1:17" ht="14.25" customHeight="1">
      <c r="A12" s="67" t="s">
        <v>12</v>
      </c>
      <c r="B12" s="51" t="s">
        <v>37</v>
      </c>
      <c r="C12" s="15" t="s">
        <v>38</v>
      </c>
      <c r="D12" s="33">
        <v>2.75</v>
      </c>
      <c r="E12" s="34">
        <v>716659</v>
      </c>
      <c r="F12" s="25">
        <v>164234.35399999999</v>
      </c>
      <c r="G12" s="10">
        <v>871.03</v>
      </c>
      <c r="H12" s="10">
        <v>371.17</v>
      </c>
      <c r="I12" s="11">
        <f t="shared" ref="I12:I15" si="5">G12-H12</f>
        <v>499.85999999999996</v>
      </c>
      <c r="J12" s="22">
        <v>81462572.620000005</v>
      </c>
      <c r="K12" s="12">
        <f t="shared" si="1"/>
        <v>82094184.190439984</v>
      </c>
      <c r="L12" s="33">
        <v>0</v>
      </c>
      <c r="M12" s="35">
        <f>J12-L12</f>
        <v>81462572.620000005</v>
      </c>
      <c r="N12" s="75">
        <f>SUM(M12:M16)</f>
        <v>107067475.38000003</v>
      </c>
      <c r="O12" s="75">
        <f>N12</f>
        <v>107067475.38000003</v>
      </c>
      <c r="P12" s="53">
        <f>P7-O12</f>
        <v>768237470.2700001</v>
      </c>
      <c r="Q12" s="37"/>
    </row>
    <row r="13" spans="1:17" ht="12.75" customHeight="1">
      <c r="A13" s="68"/>
      <c r="B13" s="64"/>
      <c r="C13" s="16" t="s">
        <v>39</v>
      </c>
      <c r="D13" s="33">
        <v>2.06</v>
      </c>
      <c r="E13" s="34">
        <v>25180</v>
      </c>
      <c r="F13" s="25">
        <v>4322.567</v>
      </c>
      <c r="G13" s="10">
        <v>871.03</v>
      </c>
      <c r="H13" s="10">
        <v>371.17</v>
      </c>
      <c r="I13" s="11">
        <f t="shared" si="5"/>
        <v>499.85999999999996</v>
      </c>
      <c r="J13" s="22">
        <v>2211756.6800000002</v>
      </c>
      <c r="K13" s="12">
        <f t="shared" si="1"/>
        <v>2160678.3406199999</v>
      </c>
      <c r="L13" s="33">
        <v>0</v>
      </c>
      <c r="M13" s="35">
        <f t="shared" ref="M13" si="6">J13-L13</f>
        <v>2211756.6800000002</v>
      </c>
      <c r="N13" s="76"/>
      <c r="O13" s="76"/>
      <c r="P13" s="54"/>
      <c r="Q13" s="37"/>
    </row>
    <row r="14" spans="1:17" ht="12.75" customHeight="1">
      <c r="A14" s="68"/>
      <c r="B14" s="51" t="s">
        <v>40</v>
      </c>
      <c r="C14" s="15" t="s">
        <v>38</v>
      </c>
      <c r="D14" s="33">
        <v>1.95</v>
      </c>
      <c r="E14" s="34">
        <v>172556</v>
      </c>
      <c r="F14" s="25">
        <v>28040.45</v>
      </c>
      <c r="G14" s="10">
        <v>871.03</v>
      </c>
      <c r="H14" s="10">
        <v>371.17</v>
      </c>
      <c r="I14" s="11">
        <f t="shared" si="5"/>
        <v>499.85999999999996</v>
      </c>
      <c r="J14" s="22">
        <v>13961479.93</v>
      </c>
      <c r="K14" s="12">
        <f t="shared" si="1"/>
        <v>14016299.336999999</v>
      </c>
      <c r="L14" s="33">
        <v>0</v>
      </c>
      <c r="M14" s="35">
        <f t="shared" ref="M14" si="7">J14-L14</f>
        <v>13961479.93</v>
      </c>
      <c r="N14" s="76"/>
      <c r="O14" s="76"/>
      <c r="P14" s="54"/>
      <c r="Q14" s="37"/>
    </row>
    <row r="15" spans="1:17" ht="12.75" customHeight="1">
      <c r="A15" s="68"/>
      <c r="B15" s="52"/>
      <c r="C15" s="16" t="s">
        <v>39</v>
      </c>
      <c r="D15" s="33">
        <v>1.72</v>
      </c>
      <c r="E15" s="34">
        <v>127410</v>
      </c>
      <c r="F15" s="25">
        <v>18262.099999999999</v>
      </c>
      <c r="G15" s="10">
        <v>871.03</v>
      </c>
      <c r="H15" s="10">
        <v>371.17</v>
      </c>
      <c r="I15" s="11">
        <f t="shared" si="5"/>
        <v>499.85999999999996</v>
      </c>
      <c r="J15" s="22">
        <v>9417613.3100000005</v>
      </c>
      <c r="K15" s="12">
        <f t="shared" si="1"/>
        <v>9128493.305999998</v>
      </c>
      <c r="L15" s="33">
        <v>0</v>
      </c>
      <c r="M15" s="35">
        <f t="shared" ref="M15" si="8">J15-L15</f>
        <v>9417613.3100000005</v>
      </c>
      <c r="N15" s="76"/>
      <c r="O15" s="76"/>
      <c r="P15" s="54"/>
      <c r="Q15" s="37"/>
    </row>
    <row r="16" spans="1:17" ht="18.75" customHeight="1">
      <c r="A16" s="64"/>
      <c r="B16" s="65" t="s">
        <v>1</v>
      </c>
      <c r="C16" s="66"/>
      <c r="D16" s="32" t="s">
        <v>2</v>
      </c>
      <c r="E16" s="20">
        <v>0</v>
      </c>
      <c r="F16" s="32">
        <v>119.203</v>
      </c>
      <c r="G16" s="10">
        <v>653.49</v>
      </c>
      <c r="H16" s="10">
        <v>535.6</v>
      </c>
      <c r="I16" s="11">
        <f>G16-H16</f>
        <v>117.88999999999999</v>
      </c>
      <c r="J16" s="12">
        <v>14052.84</v>
      </c>
      <c r="K16" s="12">
        <f t="shared" ref="K16" si="9">F16*I16</f>
        <v>14052.841669999998</v>
      </c>
      <c r="L16" s="12">
        <v>0</v>
      </c>
      <c r="M16" s="12">
        <f>J16-L16</f>
        <v>14052.84</v>
      </c>
      <c r="N16" s="88"/>
      <c r="O16" s="88"/>
      <c r="P16" s="55"/>
      <c r="Q16" s="37"/>
    </row>
    <row r="17" spans="1:17" ht="14.25" customHeight="1">
      <c r="A17" s="67" t="s">
        <v>6</v>
      </c>
      <c r="B17" s="51" t="s">
        <v>37</v>
      </c>
      <c r="C17" s="15" t="s">
        <v>38</v>
      </c>
      <c r="D17" s="33">
        <v>2.75</v>
      </c>
      <c r="E17" s="20">
        <v>739000</v>
      </c>
      <c r="F17" s="25">
        <v>169354.16699999999</v>
      </c>
      <c r="G17" s="10">
        <v>871.03</v>
      </c>
      <c r="H17" s="10">
        <v>371.17</v>
      </c>
      <c r="I17" s="11">
        <f t="shared" ref="I17:I20" si="10">G17-H17</f>
        <v>499.85999999999996</v>
      </c>
      <c r="J17" s="22">
        <v>688920415.63999999</v>
      </c>
      <c r="K17" s="12">
        <f>F17*I17</f>
        <v>84653373.916619986</v>
      </c>
      <c r="L17" s="33">
        <f>L7+56648461.65</f>
        <v>674163136.22000003</v>
      </c>
      <c r="M17" s="35">
        <f>J17-L17</f>
        <v>14757279.419999957</v>
      </c>
      <c r="N17" s="75">
        <f>SUM(M17:M21)</f>
        <v>17147945.139999948</v>
      </c>
      <c r="O17" s="75">
        <f>N17</f>
        <v>17147945.139999948</v>
      </c>
      <c r="P17" s="77">
        <f>P12-O17</f>
        <v>751089525.13000011</v>
      </c>
      <c r="Q17" s="37"/>
    </row>
    <row r="18" spans="1:17" ht="12" customHeight="1">
      <c r="A18" s="68"/>
      <c r="B18" s="64"/>
      <c r="C18" s="16" t="s">
        <v>39</v>
      </c>
      <c r="D18" s="33">
        <v>2.06</v>
      </c>
      <c r="E18" s="20">
        <v>25114</v>
      </c>
      <c r="F18" s="25">
        <v>4311.2370000000001</v>
      </c>
      <c r="G18" s="10">
        <v>871.03</v>
      </c>
      <c r="H18" s="10">
        <v>371.17</v>
      </c>
      <c r="I18" s="11">
        <f t="shared" si="10"/>
        <v>499.85999999999996</v>
      </c>
      <c r="J18" s="22">
        <v>17285682.289999999</v>
      </c>
      <c r="K18" s="12">
        <f>F18*I18</f>
        <v>2155014.9268199997</v>
      </c>
      <c r="L18" s="32">
        <f>L8+1684749.64</f>
        <v>17285682.289999999</v>
      </c>
      <c r="M18" s="35">
        <f t="shared" ref="M18" si="11">J18-L18</f>
        <v>0</v>
      </c>
      <c r="N18" s="76"/>
      <c r="O18" s="76"/>
      <c r="P18" s="77"/>
      <c r="Q18" s="37"/>
    </row>
    <row r="19" spans="1:17" ht="12.75" customHeight="1">
      <c r="A19" s="68"/>
      <c r="B19" s="51" t="s">
        <v>40</v>
      </c>
      <c r="C19" s="15" t="s">
        <v>38</v>
      </c>
      <c r="D19" s="33">
        <v>1.95</v>
      </c>
      <c r="E19" s="34">
        <v>170714</v>
      </c>
      <c r="F19" s="19">
        <v>27741.026000000002</v>
      </c>
      <c r="G19" s="10">
        <v>871.03</v>
      </c>
      <c r="H19" s="10">
        <v>371.17</v>
      </c>
      <c r="I19" s="11">
        <f t="shared" si="10"/>
        <v>499.85999999999996</v>
      </c>
      <c r="J19" s="22">
        <v>102208678.44</v>
      </c>
      <c r="K19" s="12">
        <f>F19*I19</f>
        <v>13866629.25636</v>
      </c>
      <c r="L19" s="33">
        <f>L9+9573455.25</f>
        <v>99831265.760000005</v>
      </c>
      <c r="M19" s="35">
        <f t="shared" ref="M19" si="12">J19-L19</f>
        <v>2377412.6799999923</v>
      </c>
      <c r="N19" s="76"/>
      <c r="O19" s="76"/>
      <c r="P19" s="77"/>
      <c r="Q19" s="37"/>
    </row>
    <row r="20" spans="1:17" ht="12" customHeight="1">
      <c r="A20" s="68"/>
      <c r="B20" s="52"/>
      <c r="C20" s="16" t="s">
        <v>39</v>
      </c>
      <c r="D20" s="33">
        <v>1.72</v>
      </c>
      <c r="E20" s="20">
        <v>124419</v>
      </c>
      <c r="F20" s="25">
        <v>17833.388999999999</v>
      </c>
      <c r="G20" s="10">
        <v>871.03</v>
      </c>
      <c r="H20" s="10">
        <v>371.17</v>
      </c>
      <c r="I20" s="11">
        <f t="shared" si="10"/>
        <v>499.85999999999996</v>
      </c>
      <c r="J20" s="22">
        <v>82662839.859999999</v>
      </c>
      <c r="K20" s="12">
        <f>F20*I20</f>
        <v>8914197.8255399987</v>
      </c>
      <c r="L20" s="32">
        <f>L10+6520192.35</f>
        <v>82662839.859999999</v>
      </c>
      <c r="M20" s="35">
        <f t="shared" ref="M20" si="13">J20-L20</f>
        <v>0</v>
      </c>
      <c r="N20" s="76"/>
      <c r="O20" s="76"/>
      <c r="P20" s="77"/>
      <c r="Q20" s="37"/>
    </row>
    <row r="21" spans="1:17" ht="25.5" customHeight="1">
      <c r="A21" s="64"/>
      <c r="B21" s="65" t="s">
        <v>1</v>
      </c>
      <c r="C21" s="66"/>
      <c r="D21" s="32" t="s">
        <v>2</v>
      </c>
      <c r="E21" s="20">
        <v>0</v>
      </c>
      <c r="F21" s="32">
        <v>0</v>
      </c>
      <c r="G21" s="10">
        <v>653.49</v>
      </c>
      <c r="H21" s="10">
        <v>535.6</v>
      </c>
      <c r="I21" s="11">
        <f>G21-H21</f>
        <v>117.88999999999999</v>
      </c>
      <c r="J21" s="12">
        <v>9253551.75</v>
      </c>
      <c r="K21" s="12">
        <f t="shared" ref="K21" si="14">F21*I21</f>
        <v>0</v>
      </c>
      <c r="L21" s="32">
        <f>L11+270150.95</f>
        <v>9240298.709999999</v>
      </c>
      <c r="M21" s="32">
        <f>J21-L21</f>
        <v>13253.040000000969</v>
      </c>
      <c r="N21" s="88"/>
      <c r="O21" s="88"/>
      <c r="P21" s="77"/>
      <c r="Q21" s="37"/>
    </row>
    <row r="22" spans="1:17" ht="12.75" customHeight="1">
      <c r="A22" s="67" t="s">
        <v>13</v>
      </c>
      <c r="B22" s="51" t="s">
        <v>37</v>
      </c>
      <c r="C22" s="15" t="s">
        <v>38</v>
      </c>
      <c r="D22" s="33">
        <v>2.75</v>
      </c>
      <c r="E22" s="34">
        <v>717966</v>
      </c>
      <c r="F22" s="25">
        <v>164533.875</v>
      </c>
      <c r="G22" s="10">
        <v>871.03</v>
      </c>
      <c r="H22" s="10">
        <v>371.17</v>
      </c>
      <c r="I22" s="11">
        <f t="shared" ref="I22:I25" si="15">G22-H22</f>
        <v>499.85999999999996</v>
      </c>
      <c r="J22" s="22">
        <v>164310070.88999999</v>
      </c>
      <c r="K22" s="12">
        <f t="shared" ref="K22:K41" si="16">F22*I22</f>
        <v>82243902.757499993</v>
      </c>
      <c r="L22" s="33">
        <f>J12</f>
        <v>81462572.620000005</v>
      </c>
      <c r="M22" s="35">
        <f>J22-L22</f>
        <v>82847498.269999981</v>
      </c>
      <c r="N22" s="75">
        <f>SUM(M22:M26)</f>
        <v>108677475.14999998</v>
      </c>
      <c r="O22" s="75">
        <f>N22</f>
        <v>108677475.14999998</v>
      </c>
      <c r="P22" s="53">
        <f>P17-O22</f>
        <v>642412049.98000014</v>
      </c>
      <c r="Q22" s="37"/>
    </row>
    <row r="23" spans="1:17" ht="14.25" customHeight="1">
      <c r="A23" s="68"/>
      <c r="B23" s="64"/>
      <c r="C23" s="16" t="s">
        <v>39</v>
      </c>
      <c r="D23" s="33">
        <v>2.06</v>
      </c>
      <c r="E23" s="34">
        <v>25517</v>
      </c>
      <c r="F23" s="25">
        <v>4380.4179999999997</v>
      </c>
      <c r="G23" s="10">
        <v>871.03</v>
      </c>
      <c r="H23" s="10">
        <v>371.17</v>
      </c>
      <c r="I23" s="11">
        <f t="shared" si="15"/>
        <v>499.85999999999996</v>
      </c>
      <c r="J23" s="22">
        <v>4763842.8099999996</v>
      </c>
      <c r="K23" s="12">
        <f t="shared" si="16"/>
        <v>2189595.7414799999</v>
      </c>
      <c r="L23" s="33">
        <f>J13</f>
        <v>2211756.6800000002</v>
      </c>
      <c r="M23" s="35">
        <f t="shared" ref="M23" si="17">J23-L23</f>
        <v>2552086.1299999994</v>
      </c>
      <c r="N23" s="76"/>
      <c r="O23" s="76"/>
      <c r="P23" s="54"/>
      <c r="Q23" s="37"/>
    </row>
    <row r="24" spans="1:17" ht="12" customHeight="1">
      <c r="A24" s="68"/>
      <c r="B24" s="51" t="s">
        <v>40</v>
      </c>
      <c r="C24" s="15" t="s">
        <v>38</v>
      </c>
      <c r="D24" s="33">
        <v>1.95</v>
      </c>
      <c r="E24" s="34">
        <v>172862</v>
      </c>
      <c r="F24" s="25">
        <v>28090.075000000001</v>
      </c>
      <c r="G24" s="10">
        <v>871.03</v>
      </c>
      <c r="H24" s="10">
        <v>371.17</v>
      </c>
      <c r="I24" s="11">
        <f t="shared" si="15"/>
        <v>499.85999999999996</v>
      </c>
      <c r="J24" s="22">
        <v>27960468.98</v>
      </c>
      <c r="K24" s="12">
        <f t="shared" si="16"/>
        <v>14041104.8895</v>
      </c>
      <c r="L24" s="33">
        <f>J14</f>
        <v>13961479.93</v>
      </c>
      <c r="M24" s="35">
        <f t="shared" ref="M24" si="18">J24-L24</f>
        <v>13998989.050000001</v>
      </c>
      <c r="N24" s="76"/>
      <c r="O24" s="76"/>
      <c r="P24" s="54"/>
      <c r="Q24" s="37"/>
    </row>
    <row r="25" spans="1:17" ht="13.5" customHeight="1">
      <c r="A25" s="68"/>
      <c r="B25" s="52"/>
      <c r="C25" s="16" t="s">
        <v>39</v>
      </c>
      <c r="D25" s="33">
        <v>1.72</v>
      </c>
      <c r="E25" s="34">
        <v>128024</v>
      </c>
      <c r="F25" s="25">
        <v>18350.107</v>
      </c>
      <c r="G25" s="10">
        <v>871.03</v>
      </c>
      <c r="H25" s="10">
        <v>371.17</v>
      </c>
      <c r="I25" s="11">
        <f t="shared" si="15"/>
        <v>499.85999999999996</v>
      </c>
      <c r="J25" s="22">
        <v>18688543.760000002</v>
      </c>
      <c r="K25" s="12">
        <f t="shared" si="16"/>
        <v>9172484.4850199986</v>
      </c>
      <c r="L25" s="33">
        <f>J15</f>
        <v>9417613.3100000005</v>
      </c>
      <c r="M25" s="35">
        <f t="shared" ref="M25" si="19">J25-L25</f>
        <v>9270930.4500000011</v>
      </c>
      <c r="N25" s="76"/>
      <c r="O25" s="76"/>
      <c r="P25" s="54"/>
      <c r="Q25" s="37"/>
    </row>
    <row r="26" spans="1:17" ht="24.75" customHeight="1">
      <c r="A26" s="64"/>
      <c r="B26" s="65" t="s">
        <v>1</v>
      </c>
      <c r="C26" s="66"/>
      <c r="D26" s="32" t="s">
        <v>2</v>
      </c>
      <c r="E26" s="20">
        <v>0</v>
      </c>
      <c r="F26" s="32">
        <v>0</v>
      </c>
      <c r="G26" s="10">
        <v>653.49</v>
      </c>
      <c r="H26" s="10">
        <v>535.6</v>
      </c>
      <c r="I26" s="11">
        <f>G26-H26</f>
        <v>117.88999999999999</v>
      </c>
      <c r="J26" s="12">
        <v>22024.09</v>
      </c>
      <c r="K26" s="12">
        <f t="shared" si="16"/>
        <v>0</v>
      </c>
      <c r="L26" s="12">
        <f>J16</f>
        <v>14052.84</v>
      </c>
      <c r="M26" s="12">
        <f>J26-L26</f>
        <v>7971.25</v>
      </c>
      <c r="N26" s="88"/>
      <c r="O26" s="88"/>
      <c r="P26" s="55"/>
      <c r="Q26" s="37"/>
    </row>
    <row r="27" spans="1:17" ht="11.25" customHeight="1">
      <c r="A27" s="67" t="s">
        <v>26</v>
      </c>
      <c r="B27" s="51" t="s">
        <v>37</v>
      </c>
      <c r="C27" s="15" t="s">
        <v>38</v>
      </c>
      <c r="D27" s="33">
        <v>2.75</v>
      </c>
      <c r="E27" s="34">
        <v>717567</v>
      </c>
      <c r="F27" s="25">
        <v>164444.5</v>
      </c>
      <c r="G27" s="10">
        <v>871.03</v>
      </c>
      <c r="H27" s="10">
        <v>371.17</v>
      </c>
      <c r="I27" s="11">
        <f t="shared" ref="I27:I30" si="20">G27-H27</f>
        <v>499.85999999999996</v>
      </c>
      <c r="J27" s="22">
        <v>246418050.59999999</v>
      </c>
      <c r="K27" s="12">
        <f t="shared" si="16"/>
        <v>82199227.769999996</v>
      </c>
      <c r="L27" s="33">
        <f>L22+82847498.27</f>
        <v>164310070.88999999</v>
      </c>
      <c r="M27" s="35">
        <f>J27-L27</f>
        <v>82107979.710000008</v>
      </c>
      <c r="N27" s="75">
        <f>SUM(M27:M31)</f>
        <v>110527592.90000001</v>
      </c>
      <c r="O27" s="75">
        <f>N27</f>
        <v>110527592.90000001</v>
      </c>
      <c r="P27" s="53">
        <f>P22-O27</f>
        <v>531884457.08000016</v>
      </c>
      <c r="Q27" s="37"/>
    </row>
    <row r="28" spans="1:17" ht="13.5" customHeight="1">
      <c r="A28" s="68"/>
      <c r="B28" s="64"/>
      <c r="C28" s="16" t="s">
        <v>39</v>
      </c>
      <c r="D28" s="33">
        <v>2.06</v>
      </c>
      <c r="E28" s="34">
        <v>25607</v>
      </c>
      <c r="F28" s="25">
        <v>4395.8680000000004</v>
      </c>
      <c r="G28" s="10">
        <v>871.03</v>
      </c>
      <c r="H28" s="10">
        <v>371.17</v>
      </c>
      <c r="I28" s="11">
        <f t="shared" si="20"/>
        <v>499.85999999999996</v>
      </c>
      <c r="J28" s="22">
        <v>6946782.4299999997</v>
      </c>
      <c r="K28" s="12">
        <f t="shared" si="16"/>
        <v>2197318.5784800001</v>
      </c>
      <c r="L28" s="33">
        <f>L23+2552086.13</f>
        <v>4763842.8100000005</v>
      </c>
      <c r="M28" s="35">
        <f t="shared" ref="M28" si="21">J28-L28</f>
        <v>2182939.6199999992</v>
      </c>
      <c r="N28" s="76"/>
      <c r="O28" s="76"/>
      <c r="P28" s="54"/>
      <c r="Q28" s="37"/>
    </row>
    <row r="29" spans="1:17" ht="12.75" customHeight="1">
      <c r="A29" s="68"/>
      <c r="B29" s="51" t="s">
        <v>40</v>
      </c>
      <c r="C29" s="15" t="s">
        <v>38</v>
      </c>
      <c r="D29" s="33">
        <v>1.95</v>
      </c>
      <c r="E29" s="34">
        <v>174499</v>
      </c>
      <c r="F29" s="25">
        <v>28356.088</v>
      </c>
      <c r="G29" s="10">
        <v>871.03</v>
      </c>
      <c r="H29" s="10">
        <v>371.17</v>
      </c>
      <c r="I29" s="11">
        <f t="shared" si="20"/>
        <v>499.85999999999996</v>
      </c>
      <c r="J29" s="22">
        <v>43499651.060000002</v>
      </c>
      <c r="K29" s="12">
        <f t="shared" si="16"/>
        <v>14174074.147679999</v>
      </c>
      <c r="L29" s="33">
        <f>L24+13998989.05</f>
        <v>27960468.98</v>
      </c>
      <c r="M29" s="35">
        <f t="shared" ref="M29" si="22">J29-L29</f>
        <v>15539182.080000002</v>
      </c>
      <c r="N29" s="76"/>
      <c r="O29" s="76"/>
      <c r="P29" s="54"/>
      <c r="Q29" s="37"/>
    </row>
    <row r="30" spans="1:17" ht="12.75" customHeight="1">
      <c r="A30" s="68"/>
      <c r="B30" s="52"/>
      <c r="C30" s="16" t="s">
        <v>39</v>
      </c>
      <c r="D30" s="33">
        <v>1.72</v>
      </c>
      <c r="E30" s="34">
        <v>129095</v>
      </c>
      <c r="F30" s="25">
        <v>18503.616000000002</v>
      </c>
      <c r="G30" s="10">
        <v>871.03</v>
      </c>
      <c r="H30" s="10">
        <v>371.17</v>
      </c>
      <c r="I30" s="11">
        <f t="shared" si="20"/>
        <v>499.85999999999996</v>
      </c>
      <c r="J30" s="22">
        <v>28763373.260000002</v>
      </c>
      <c r="K30" s="12">
        <f t="shared" si="16"/>
        <v>9249217.4937600009</v>
      </c>
      <c r="L30" s="33">
        <f>L25+9270930.45</f>
        <v>18688543.759999998</v>
      </c>
      <c r="M30" s="35">
        <f t="shared" ref="M30" si="23">J30-L30</f>
        <v>10074829.500000004</v>
      </c>
      <c r="N30" s="76"/>
      <c r="O30" s="76"/>
      <c r="P30" s="54"/>
      <c r="Q30" s="37"/>
    </row>
    <row r="31" spans="1:17" ht="25.5" customHeight="1">
      <c r="A31" s="64"/>
      <c r="B31" s="65" t="s">
        <v>1</v>
      </c>
      <c r="C31" s="66"/>
      <c r="D31" s="32" t="s">
        <v>2</v>
      </c>
      <c r="E31" s="20">
        <v>0</v>
      </c>
      <c r="F31" s="32">
        <v>0</v>
      </c>
      <c r="G31" s="10">
        <v>653.49</v>
      </c>
      <c r="H31" s="10">
        <v>535.6</v>
      </c>
      <c r="I31" s="11">
        <f>G31-H31</f>
        <v>117.88999999999999</v>
      </c>
      <c r="J31" s="12">
        <v>644686.07999999996</v>
      </c>
      <c r="K31" s="12">
        <f t="shared" si="16"/>
        <v>0</v>
      </c>
      <c r="L31" s="12">
        <f>L26+7971.25</f>
        <v>22024.09</v>
      </c>
      <c r="M31" s="12">
        <f>J31-L31</f>
        <v>622661.99</v>
      </c>
      <c r="N31" s="88"/>
      <c r="O31" s="88"/>
      <c r="P31" s="55"/>
      <c r="Q31" s="37"/>
    </row>
    <row r="32" spans="1:17" ht="12.75" customHeight="1">
      <c r="A32" s="67" t="s">
        <v>27</v>
      </c>
      <c r="B32" s="51" t="s">
        <v>37</v>
      </c>
      <c r="C32" s="15" t="s">
        <v>38</v>
      </c>
      <c r="D32" s="33">
        <v>2.75</v>
      </c>
      <c r="E32" s="34">
        <v>717068</v>
      </c>
      <c r="F32" s="25">
        <v>164328.08300000001</v>
      </c>
      <c r="G32" s="10">
        <v>871.03</v>
      </c>
      <c r="H32" s="10">
        <v>371.17</v>
      </c>
      <c r="I32" s="11">
        <f t="shared" ref="I32:I35" si="24">G32-H32</f>
        <v>499.85999999999996</v>
      </c>
      <c r="J32" s="22">
        <v>328124274.89999998</v>
      </c>
      <c r="K32" s="12">
        <f t="shared" si="16"/>
        <v>82141035.568379998</v>
      </c>
      <c r="L32" s="33">
        <f>246418050.6</f>
        <v>246418050.59999999</v>
      </c>
      <c r="M32" s="35">
        <f>J32-L32</f>
        <v>81706224.299999982</v>
      </c>
      <c r="N32" s="75">
        <f>SUM(M32:M36)</f>
        <v>108449212.66999997</v>
      </c>
      <c r="O32" s="75">
        <f>N32-7568727.66-1814164.39</f>
        <v>99066320.619999975</v>
      </c>
      <c r="P32" s="77">
        <f>P27-O32</f>
        <v>432818136.46000016</v>
      </c>
      <c r="Q32" s="87" t="s">
        <v>43</v>
      </c>
    </row>
    <row r="33" spans="1:17" ht="12" customHeight="1">
      <c r="A33" s="68"/>
      <c r="B33" s="64"/>
      <c r="C33" s="16" t="s">
        <v>39</v>
      </c>
      <c r="D33" s="33">
        <v>2.06</v>
      </c>
      <c r="E33" s="34">
        <v>25802</v>
      </c>
      <c r="F33" s="25">
        <v>4429.3429999999998</v>
      </c>
      <c r="G33" s="10">
        <v>871.03</v>
      </c>
      <c r="H33" s="10">
        <v>371.17</v>
      </c>
      <c r="I33" s="11">
        <f t="shared" si="24"/>
        <v>499.85999999999996</v>
      </c>
      <c r="J33" s="22">
        <v>9204981.4600000009</v>
      </c>
      <c r="K33" s="12">
        <f t="shared" si="16"/>
        <v>2214051.3919799998</v>
      </c>
      <c r="L33" s="33">
        <f>6946782.43</f>
        <v>6946782.4299999997</v>
      </c>
      <c r="M33" s="35">
        <f t="shared" ref="M33" si="25">J33-L33</f>
        <v>2258199.0300000012</v>
      </c>
      <c r="N33" s="76"/>
      <c r="O33" s="76"/>
      <c r="P33" s="77"/>
      <c r="Q33" s="87"/>
    </row>
    <row r="34" spans="1:17" ht="14.25" customHeight="1">
      <c r="A34" s="68"/>
      <c r="B34" s="51" t="s">
        <v>40</v>
      </c>
      <c r="C34" s="15" t="s">
        <v>38</v>
      </c>
      <c r="D34" s="33">
        <v>1.95</v>
      </c>
      <c r="E34" s="34">
        <v>174802</v>
      </c>
      <c r="F34" s="25">
        <v>28405.325000000001</v>
      </c>
      <c r="G34" s="10">
        <v>871.03</v>
      </c>
      <c r="H34" s="10">
        <v>371.17</v>
      </c>
      <c r="I34" s="11">
        <f t="shared" si="24"/>
        <v>499.85999999999996</v>
      </c>
      <c r="J34" s="22">
        <v>57711767.049999997</v>
      </c>
      <c r="K34" s="12">
        <f t="shared" si="16"/>
        <v>14198685.7545</v>
      </c>
      <c r="L34" s="33">
        <f>43499651.06</f>
        <v>43499651.060000002</v>
      </c>
      <c r="M34" s="35">
        <f t="shared" ref="M34" si="26">J34-L34</f>
        <v>14212115.989999995</v>
      </c>
      <c r="N34" s="76"/>
      <c r="O34" s="76"/>
      <c r="P34" s="77"/>
      <c r="Q34" s="87"/>
    </row>
    <row r="35" spans="1:17" ht="13.5" customHeight="1">
      <c r="A35" s="68"/>
      <c r="B35" s="52"/>
      <c r="C35" s="16" t="s">
        <v>39</v>
      </c>
      <c r="D35" s="33">
        <v>1.72</v>
      </c>
      <c r="E35" s="34">
        <v>133082</v>
      </c>
      <c r="F35" s="25">
        <v>19075.087</v>
      </c>
      <c r="G35" s="10">
        <v>871.03</v>
      </c>
      <c r="H35" s="10">
        <v>371.17</v>
      </c>
      <c r="I35" s="11">
        <f t="shared" si="24"/>
        <v>499.85999999999996</v>
      </c>
      <c r="J35" s="22">
        <v>39036046.369999997</v>
      </c>
      <c r="K35" s="12">
        <f t="shared" si="16"/>
        <v>9534872.9878199995</v>
      </c>
      <c r="L35" s="33">
        <f>28763373.02</f>
        <v>28763373.02</v>
      </c>
      <c r="M35" s="35">
        <f t="shared" ref="M35" si="27">J35-L35</f>
        <v>10272673.349999998</v>
      </c>
      <c r="N35" s="76"/>
      <c r="O35" s="76"/>
      <c r="P35" s="77"/>
      <c r="Q35" s="87"/>
    </row>
    <row r="36" spans="1:17" ht="25.5" customHeight="1">
      <c r="A36" s="64"/>
      <c r="B36" s="65" t="s">
        <v>1</v>
      </c>
      <c r="C36" s="66"/>
      <c r="D36" s="32" t="s">
        <v>2</v>
      </c>
      <c r="E36" s="20">
        <v>0</v>
      </c>
      <c r="F36" s="32">
        <v>0</v>
      </c>
      <c r="G36" s="10">
        <v>653.49</v>
      </c>
      <c r="H36" s="10">
        <v>535.6</v>
      </c>
      <c r="I36" s="11">
        <f>G36-H36</f>
        <v>117.88999999999999</v>
      </c>
      <c r="J36" s="12">
        <v>644686.07999999996</v>
      </c>
      <c r="K36" s="12">
        <f t="shared" si="16"/>
        <v>0</v>
      </c>
      <c r="L36" s="12">
        <f>644686.08</f>
        <v>644686.07999999996</v>
      </c>
      <c r="M36" s="12">
        <f>J36-L36</f>
        <v>0</v>
      </c>
      <c r="N36" s="88"/>
      <c r="O36" s="88"/>
      <c r="P36" s="77"/>
      <c r="Q36" s="87"/>
    </row>
    <row r="37" spans="1:17" ht="12" customHeight="1">
      <c r="A37" s="67" t="s">
        <v>29</v>
      </c>
      <c r="B37" s="51" t="s">
        <v>37</v>
      </c>
      <c r="C37" s="15" t="s">
        <v>38</v>
      </c>
      <c r="D37" s="33">
        <v>2.75</v>
      </c>
      <c r="E37" s="34">
        <v>715813</v>
      </c>
      <c r="F37" s="25">
        <v>164040.47899999999</v>
      </c>
      <c r="G37" s="10">
        <v>871.03</v>
      </c>
      <c r="H37" s="10">
        <v>371.17</v>
      </c>
      <c r="I37" s="11">
        <f t="shared" ref="I37:I40" si="28">G37-H37</f>
        <v>499.85999999999996</v>
      </c>
      <c r="J37" s="22">
        <v>408695218.82999998</v>
      </c>
      <c r="K37" s="12">
        <f t="shared" si="16"/>
        <v>81997273.832939982</v>
      </c>
      <c r="L37" s="33">
        <f>L32+80894285.04+0.01</f>
        <v>327312335.64999998</v>
      </c>
      <c r="M37" s="35">
        <f>J37-L37</f>
        <v>81382883.180000007</v>
      </c>
      <c r="N37" s="75">
        <f>SUM(M37:M41)</f>
        <v>120770189.35000001</v>
      </c>
      <c r="O37" s="75">
        <v>101153116.89</v>
      </c>
      <c r="P37" s="77">
        <f>P32-O37</f>
        <v>331665019.57000017</v>
      </c>
      <c r="Q37" s="87" t="s">
        <v>44</v>
      </c>
    </row>
    <row r="38" spans="1:17" ht="13.5" customHeight="1">
      <c r="A38" s="68"/>
      <c r="B38" s="64"/>
      <c r="C38" s="16" t="s">
        <v>39</v>
      </c>
      <c r="D38" s="33">
        <v>2.06</v>
      </c>
      <c r="E38" s="34">
        <v>27292</v>
      </c>
      <c r="F38" s="25">
        <v>4685.1270000000004</v>
      </c>
      <c r="G38" s="10">
        <v>871.03</v>
      </c>
      <c r="H38" s="10">
        <v>371.17</v>
      </c>
      <c r="I38" s="11">
        <f t="shared" si="28"/>
        <v>499.85999999999996</v>
      </c>
      <c r="J38" s="22">
        <v>13117405.02</v>
      </c>
      <c r="K38" s="12">
        <f t="shared" si="16"/>
        <v>2341907.5822200002</v>
      </c>
      <c r="L38" s="33">
        <f>L33+2198304.14</f>
        <v>9145086.5700000003</v>
      </c>
      <c r="M38" s="35">
        <f t="shared" ref="M38" si="29">J38-L38</f>
        <v>3972318.4499999993</v>
      </c>
      <c r="N38" s="76"/>
      <c r="O38" s="76"/>
      <c r="P38" s="77"/>
      <c r="Q38" s="87"/>
    </row>
    <row r="39" spans="1:17" ht="12.75" customHeight="1">
      <c r="A39" s="68"/>
      <c r="B39" s="51" t="s">
        <v>40</v>
      </c>
      <c r="C39" s="15" t="s">
        <v>38</v>
      </c>
      <c r="D39" s="33">
        <v>1.95</v>
      </c>
      <c r="E39" s="34">
        <v>175051</v>
      </c>
      <c r="F39" s="25">
        <v>28445.788</v>
      </c>
      <c r="G39" s="10">
        <v>871.03</v>
      </c>
      <c r="H39" s="10">
        <v>371.17</v>
      </c>
      <c r="I39" s="11">
        <f t="shared" si="28"/>
        <v>499.85999999999996</v>
      </c>
      <c r="J39" s="22">
        <v>72797282.069999993</v>
      </c>
      <c r="K39" s="12">
        <f t="shared" si="16"/>
        <v>14218911.589679999</v>
      </c>
      <c r="L39" s="33">
        <f>L34+9711476.52</f>
        <v>53211127.579999998</v>
      </c>
      <c r="M39" s="35">
        <f t="shared" ref="M39" si="30">J39-L39</f>
        <v>19586154.489999995</v>
      </c>
      <c r="N39" s="76"/>
      <c r="O39" s="76"/>
      <c r="P39" s="77"/>
      <c r="Q39" s="87"/>
    </row>
    <row r="40" spans="1:17" ht="13.5" customHeight="1">
      <c r="A40" s="68"/>
      <c r="B40" s="52"/>
      <c r="C40" s="16" t="s">
        <v>39</v>
      </c>
      <c r="D40" s="33">
        <v>1.72</v>
      </c>
      <c r="E40" s="34">
        <v>130664</v>
      </c>
      <c r="F40" s="25">
        <v>18728.506000000001</v>
      </c>
      <c r="G40" s="10">
        <v>871.03</v>
      </c>
      <c r="H40" s="10">
        <v>371.17</v>
      </c>
      <c r="I40" s="11">
        <f t="shared" si="28"/>
        <v>499.85999999999996</v>
      </c>
      <c r="J40" s="22">
        <v>50045132.520000003</v>
      </c>
      <c r="K40" s="12">
        <f t="shared" si="16"/>
        <v>9361631.009159999</v>
      </c>
      <c r="L40" s="33">
        <f>L35+6262254.91</f>
        <v>35025627.93</v>
      </c>
      <c r="M40" s="35">
        <f t="shared" ref="M40" si="31">J40-L40</f>
        <v>15019504.590000004</v>
      </c>
      <c r="N40" s="76"/>
      <c r="O40" s="76"/>
      <c r="P40" s="77"/>
      <c r="Q40" s="87"/>
    </row>
    <row r="41" spans="1:17" ht="24" customHeight="1">
      <c r="A41" s="68"/>
      <c r="B41" s="65" t="s">
        <v>1</v>
      </c>
      <c r="C41" s="66"/>
      <c r="D41" s="33" t="s">
        <v>2</v>
      </c>
      <c r="E41" s="34">
        <v>0</v>
      </c>
      <c r="F41" s="33">
        <v>0</v>
      </c>
      <c r="G41" s="10">
        <v>653.49</v>
      </c>
      <c r="H41" s="10">
        <v>535.6</v>
      </c>
      <c r="I41" s="11">
        <f>G41-H41</f>
        <v>117.88999999999999</v>
      </c>
      <c r="J41" s="22">
        <v>1454014.72</v>
      </c>
      <c r="K41" s="12">
        <f t="shared" si="16"/>
        <v>0</v>
      </c>
      <c r="L41" s="12">
        <f>644686.08</f>
        <v>644686.07999999996</v>
      </c>
      <c r="M41" s="12">
        <f>J41-L41</f>
        <v>809328.64000000001</v>
      </c>
      <c r="N41" s="76"/>
      <c r="O41" s="76"/>
      <c r="P41" s="77"/>
      <c r="Q41" s="87"/>
    </row>
    <row r="42" spans="1:17" ht="14.25" customHeight="1">
      <c r="A42" s="67" t="s">
        <v>42</v>
      </c>
      <c r="B42" s="51" t="s">
        <v>37</v>
      </c>
      <c r="C42" s="15" t="s">
        <v>38</v>
      </c>
      <c r="D42" s="32">
        <v>2.75</v>
      </c>
      <c r="E42" s="20">
        <v>716399</v>
      </c>
      <c r="F42" s="25">
        <f>D42*E42/12</f>
        <v>164174.77083333334</v>
      </c>
      <c r="G42" s="17">
        <v>871.03</v>
      </c>
      <c r="H42" s="17">
        <v>371.17</v>
      </c>
      <c r="I42" s="32">
        <f>G42-H42</f>
        <v>499.85999999999996</v>
      </c>
      <c r="J42" s="32">
        <v>490551610.08999997</v>
      </c>
      <c r="K42" s="32">
        <v>82064401.030000001</v>
      </c>
      <c r="L42" s="32">
        <v>406049130.29000002</v>
      </c>
      <c r="M42" s="32">
        <v>84502479.799999997</v>
      </c>
      <c r="N42" s="53">
        <f>SUM(M42:M47)</f>
        <v>128788252.44999999</v>
      </c>
      <c r="O42" s="53">
        <v>103149618.18000001</v>
      </c>
      <c r="P42" s="77">
        <f>P37-O42</f>
        <v>228515401.39000016</v>
      </c>
      <c r="Q42" s="87" t="s">
        <v>45</v>
      </c>
    </row>
    <row r="43" spans="1:17" ht="14.25" customHeight="1">
      <c r="A43" s="68"/>
      <c r="B43" s="64"/>
      <c r="C43" s="16" t="s">
        <v>39</v>
      </c>
      <c r="D43" s="32">
        <v>2.06</v>
      </c>
      <c r="E43" s="20">
        <v>27566</v>
      </c>
      <c r="F43" s="25">
        <f t="shared" ref="F43:F44" si="32">D43*E43/12</f>
        <v>4732.163333333333</v>
      </c>
      <c r="G43" s="17">
        <v>871.03</v>
      </c>
      <c r="H43" s="17">
        <v>371.17</v>
      </c>
      <c r="I43" s="32">
        <f t="shared" ref="I43:I45" si="33">G43-H43</f>
        <v>499.85999999999996</v>
      </c>
      <c r="J43" s="32">
        <v>15952459.619999999</v>
      </c>
      <c r="K43" s="32">
        <v>2365419</v>
      </c>
      <c r="L43" s="32">
        <v>9962205.0899999999</v>
      </c>
      <c r="M43" s="32">
        <v>5990254.5300000003</v>
      </c>
      <c r="N43" s="54"/>
      <c r="O43" s="54"/>
      <c r="P43" s="77"/>
      <c r="Q43" s="87"/>
    </row>
    <row r="44" spans="1:17" ht="15" customHeight="1">
      <c r="A44" s="68"/>
      <c r="B44" s="51" t="s">
        <v>40</v>
      </c>
      <c r="C44" s="15" t="s">
        <v>38</v>
      </c>
      <c r="D44" s="32">
        <v>1.95</v>
      </c>
      <c r="E44" s="20">
        <v>175905</v>
      </c>
      <c r="F44" s="25">
        <f t="shared" si="32"/>
        <v>28584.5625</v>
      </c>
      <c r="G44" s="17">
        <v>871.03</v>
      </c>
      <c r="H44" s="17">
        <v>371.17</v>
      </c>
      <c r="I44" s="32">
        <f t="shared" si="33"/>
        <v>499.85999999999996</v>
      </c>
      <c r="J44" s="32">
        <v>86916493.299999997</v>
      </c>
      <c r="K44" s="32">
        <v>14288279.66</v>
      </c>
      <c r="L44" s="32">
        <v>65370975.75</v>
      </c>
      <c r="M44" s="32">
        <v>21545517.550000001</v>
      </c>
      <c r="N44" s="54"/>
      <c r="O44" s="54"/>
      <c r="P44" s="77"/>
      <c r="Q44" s="87"/>
    </row>
    <row r="45" spans="1:17" ht="15" customHeight="1">
      <c r="A45" s="68"/>
      <c r="B45" s="52"/>
      <c r="C45" s="16" t="s">
        <v>39</v>
      </c>
      <c r="D45" s="32">
        <v>1.72</v>
      </c>
      <c r="E45" s="20">
        <v>135698</v>
      </c>
      <c r="F45" s="25">
        <f>ROUND(((D45*E45)/12),3)-0.001</f>
        <v>19450.045999999998</v>
      </c>
      <c r="G45" s="17">
        <v>871.03</v>
      </c>
      <c r="H45" s="17">
        <v>371.17</v>
      </c>
      <c r="I45" s="32">
        <f t="shared" si="33"/>
        <v>499.85999999999996</v>
      </c>
      <c r="J45" s="32">
        <v>60424942.149999999</v>
      </c>
      <c r="K45" s="32">
        <v>9722299.9900000002</v>
      </c>
      <c r="L45" s="32">
        <v>44464983.490000002</v>
      </c>
      <c r="M45" s="32">
        <v>15959958.66</v>
      </c>
      <c r="N45" s="54"/>
      <c r="O45" s="54"/>
      <c r="P45" s="77"/>
      <c r="Q45" s="87"/>
    </row>
    <row r="46" spans="1:17" ht="15" customHeight="1">
      <c r="A46" s="78"/>
      <c r="B46" s="58" t="s">
        <v>1</v>
      </c>
      <c r="C46" s="59"/>
      <c r="D46" s="80" t="s">
        <v>2</v>
      </c>
      <c r="E46" s="82">
        <v>0</v>
      </c>
      <c r="F46" s="80">
        <v>0</v>
      </c>
      <c r="G46" s="84">
        <v>653.49</v>
      </c>
      <c r="H46" s="84">
        <v>535.6</v>
      </c>
      <c r="I46" s="80">
        <f>G46-H46</f>
        <v>117.88999999999999</v>
      </c>
      <c r="J46" s="80">
        <v>1434727.99</v>
      </c>
      <c r="K46" s="80">
        <v>0</v>
      </c>
      <c r="L46" s="86">
        <v>644686.07999999996</v>
      </c>
      <c r="M46" s="80">
        <v>790041.91</v>
      </c>
      <c r="N46" s="89"/>
      <c r="O46" s="89"/>
      <c r="P46" s="91"/>
      <c r="Q46" s="87"/>
    </row>
    <row r="47" spans="1:17" ht="11.25" customHeight="1">
      <c r="A47" s="79"/>
      <c r="B47" s="60"/>
      <c r="C47" s="61"/>
      <c r="D47" s="81"/>
      <c r="E47" s="83"/>
      <c r="F47" s="81"/>
      <c r="G47" s="85"/>
      <c r="H47" s="85"/>
      <c r="I47" s="81"/>
      <c r="J47" s="81"/>
      <c r="K47" s="81"/>
      <c r="L47" s="86"/>
      <c r="M47" s="81"/>
      <c r="N47" s="90"/>
      <c r="O47" s="90"/>
      <c r="P47" s="91"/>
      <c r="Q47" s="87"/>
    </row>
    <row r="48" spans="1:17" ht="13.5" customHeight="1">
      <c r="A48" s="67" t="s">
        <v>30</v>
      </c>
      <c r="B48" s="51" t="s">
        <v>37</v>
      </c>
      <c r="C48" s="15" t="s">
        <v>38</v>
      </c>
      <c r="D48" s="32">
        <v>2.75</v>
      </c>
      <c r="E48" s="20">
        <f>739873*0.9917</f>
        <v>733732.05410000007</v>
      </c>
      <c r="F48" s="32">
        <f>D48*E48/12</f>
        <v>168146.92906458335</v>
      </c>
      <c r="G48" s="17">
        <v>986.02</v>
      </c>
      <c r="H48" s="17">
        <v>371.17</v>
      </c>
      <c r="I48" s="32">
        <f>G48-H48</f>
        <v>614.84999999999991</v>
      </c>
      <c r="J48" s="32"/>
      <c r="K48" s="32">
        <f t="shared" ref="K48:K51" si="34">F48*I48</f>
        <v>103385139.33535907</v>
      </c>
      <c r="L48" s="69"/>
      <c r="M48" s="70"/>
      <c r="N48" s="53">
        <f>SUM(K48:K51)</f>
        <v>134667096.00283161</v>
      </c>
      <c r="O48" s="53"/>
      <c r="P48" s="53">
        <f>P42-N48</f>
        <v>93848305.387168556</v>
      </c>
      <c r="Q48" s="37"/>
    </row>
    <row r="49" spans="1:17" ht="15.75" customHeight="1">
      <c r="A49" s="68"/>
      <c r="B49" s="52"/>
      <c r="C49" s="16" t="s">
        <v>39</v>
      </c>
      <c r="D49" s="32">
        <v>2.06</v>
      </c>
      <c r="E49" s="20">
        <f>20106*0.9917</f>
        <v>19939.120200000001</v>
      </c>
      <c r="F49" s="32">
        <f t="shared" ref="F49:F51" si="35">D49*E49/12</f>
        <v>3422.8823010000001</v>
      </c>
      <c r="G49" s="17">
        <v>986.02</v>
      </c>
      <c r="H49" s="17">
        <v>371.17</v>
      </c>
      <c r="I49" s="32">
        <f t="shared" ref="I49:I51" si="36">G49-H49</f>
        <v>614.84999999999991</v>
      </c>
      <c r="J49" s="32"/>
      <c r="K49" s="32">
        <f t="shared" si="34"/>
        <v>2104559.1827698499</v>
      </c>
      <c r="L49" s="71"/>
      <c r="M49" s="72"/>
      <c r="N49" s="54"/>
      <c r="O49" s="54"/>
      <c r="P49" s="54"/>
      <c r="Q49" s="37"/>
    </row>
    <row r="50" spans="1:17" ht="14.25" customHeight="1">
      <c r="A50" s="68"/>
      <c r="B50" s="51" t="s">
        <v>40</v>
      </c>
      <c r="C50" s="15" t="s">
        <v>38</v>
      </c>
      <c r="D50" s="32">
        <v>1.95</v>
      </c>
      <c r="E50" s="20">
        <f>179821*0.9917</f>
        <v>178328.48569999999</v>
      </c>
      <c r="F50" s="32">
        <f t="shared" si="35"/>
        <v>28978.378926249996</v>
      </c>
      <c r="G50" s="17">
        <v>986.02</v>
      </c>
      <c r="H50" s="17">
        <v>371.17</v>
      </c>
      <c r="I50" s="32">
        <f t="shared" si="36"/>
        <v>614.84999999999991</v>
      </c>
      <c r="J50" s="32"/>
      <c r="K50" s="32">
        <f t="shared" si="34"/>
        <v>17817356.282804806</v>
      </c>
      <c r="L50" s="71"/>
      <c r="M50" s="72"/>
      <c r="N50" s="54"/>
      <c r="O50" s="54"/>
      <c r="P50" s="54"/>
      <c r="Q50" s="37"/>
    </row>
    <row r="51" spans="1:17" ht="17.25" customHeight="1">
      <c r="A51" s="64"/>
      <c r="B51" s="52"/>
      <c r="C51" s="16" t="s">
        <v>39</v>
      </c>
      <c r="D51" s="32">
        <v>1.72</v>
      </c>
      <c r="E51" s="20">
        <f>129982*0.9917</f>
        <v>128903.14940000001</v>
      </c>
      <c r="F51" s="32">
        <f t="shared" si="35"/>
        <v>18476.118080666667</v>
      </c>
      <c r="G51" s="17">
        <v>986.02</v>
      </c>
      <c r="H51" s="17">
        <v>371.17</v>
      </c>
      <c r="I51" s="32">
        <f t="shared" si="36"/>
        <v>614.84999999999991</v>
      </c>
      <c r="J51" s="32"/>
      <c r="K51" s="32">
        <f t="shared" si="34"/>
        <v>11360041.201897899</v>
      </c>
      <c r="L51" s="73"/>
      <c r="M51" s="74"/>
      <c r="N51" s="55"/>
      <c r="O51" s="55"/>
      <c r="P51" s="55"/>
      <c r="Q51" s="37"/>
    </row>
    <row r="52" spans="1:17" s="29" customFormat="1" ht="60" customHeight="1">
      <c r="A52" s="27" t="s">
        <v>46</v>
      </c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4"/>
      <c r="N52" s="28">
        <v>14625651.32</v>
      </c>
      <c r="O52" s="28"/>
      <c r="P52" s="28">
        <f>P48-N52</f>
        <v>79222654.067168564</v>
      </c>
      <c r="Q52" s="38"/>
    </row>
    <row r="53" spans="1:17" ht="16.5" customHeight="1">
      <c r="A53" s="67" t="s">
        <v>31</v>
      </c>
      <c r="B53" s="51" t="s">
        <v>37</v>
      </c>
      <c r="C53" s="15" t="s">
        <v>38</v>
      </c>
      <c r="D53" s="32">
        <v>2.75</v>
      </c>
      <c r="E53" s="20">
        <f>739873*0.9917</f>
        <v>733732.05410000007</v>
      </c>
      <c r="F53" s="32">
        <f>D53*E53/12</f>
        <v>168146.92906458335</v>
      </c>
      <c r="G53" s="17">
        <v>986.02</v>
      </c>
      <c r="H53" s="17">
        <v>371.17</v>
      </c>
      <c r="I53" s="32">
        <f>G53-H53</f>
        <v>614.84999999999991</v>
      </c>
      <c r="J53" s="32"/>
      <c r="K53" s="32">
        <f t="shared" ref="K53:K56" si="37">F53*I53</f>
        <v>103385139.33535907</v>
      </c>
      <c r="L53" s="69"/>
      <c r="M53" s="70"/>
      <c r="N53" s="53">
        <f>SUM(K53:K56)</f>
        <v>134667096.00283161</v>
      </c>
      <c r="O53" s="53"/>
      <c r="P53" s="53">
        <f>P52-N53</f>
        <v>-55444441.935663044</v>
      </c>
      <c r="Q53" s="37"/>
    </row>
    <row r="54" spans="1:17" ht="21" customHeight="1">
      <c r="A54" s="68"/>
      <c r="B54" s="52"/>
      <c r="C54" s="16" t="s">
        <v>39</v>
      </c>
      <c r="D54" s="32">
        <v>2.06</v>
      </c>
      <c r="E54" s="20">
        <f>20106*0.9917</f>
        <v>19939.120200000001</v>
      </c>
      <c r="F54" s="32">
        <f t="shared" ref="F54:F56" si="38">D54*E54/12</f>
        <v>3422.8823010000001</v>
      </c>
      <c r="G54" s="17">
        <v>986.02</v>
      </c>
      <c r="H54" s="17">
        <v>371.17</v>
      </c>
      <c r="I54" s="32">
        <f t="shared" ref="I54:I56" si="39">G54-H54</f>
        <v>614.84999999999991</v>
      </c>
      <c r="J54" s="32"/>
      <c r="K54" s="32">
        <f t="shared" si="37"/>
        <v>2104559.1827698499</v>
      </c>
      <c r="L54" s="71"/>
      <c r="M54" s="72"/>
      <c r="N54" s="54"/>
      <c r="O54" s="54"/>
      <c r="P54" s="54"/>
      <c r="Q54" s="37"/>
    </row>
    <row r="55" spans="1:17" ht="14.25" customHeight="1">
      <c r="A55" s="68"/>
      <c r="B55" s="51" t="s">
        <v>40</v>
      </c>
      <c r="C55" s="15" t="s">
        <v>38</v>
      </c>
      <c r="D55" s="32">
        <v>1.95</v>
      </c>
      <c r="E55" s="20">
        <f>179821*0.9917</f>
        <v>178328.48569999999</v>
      </c>
      <c r="F55" s="32">
        <f t="shared" si="38"/>
        <v>28978.378926249996</v>
      </c>
      <c r="G55" s="17">
        <v>986.02</v>
      </c>
      <c r="H55" s="17">
        <v>371.17</v>
      </c>
      <c r="I55" s="32">
        <f t="shared" si="39"/>
        <v>614.84999999999991</v>
      </c>
      <c r="J55" s="32"/>
      <c r="K55" s="32">
        <f t="shared" si="37"/>
        <v>17817356.282804806</v>
      </c>
      <c r="L55" s="71"/>
      <c r="M55" s="72"/>
      <c r="N55" s="54"/>
      <c r="O55" s="54"/>
      <c r="P55" s="54"/>
      <c r="Q55" s="37"/>
    </row>
    <row r="56" spans="1:17" ht="17.25" customHeight="1">
      <c r="A56" s="64"/>
      <c r="B56" s="52"/>
      <c r="C56" s="16" t="s">
        <v>39</v>
      </c>
      <c r="D56" s="32">
        <v>1.72</v>
      </c>
      <c r="E56" s="20">
        <f>129982*0.9917</f>
        <v>128903.14940000001</v>
      </c>
      <c r="F56" s="32">
        <f t="shared" si="38"/>
        <v>18476.118080666667</v>
      </c>
      <c r="G56" s="17">
        <v>986.02</v>
      </c>
      <c r="H56" s="17">
        <v>371.17</v>
      </c>
      <c r="I56" s="32">
        <f t="shared" si="39"/>
        <v>614.84999999999991</v>
      </c>
      <c r="J56" s="32"/>
      <c r="K56" s="32">
        <f t="shared" si="37"/>
        <v>11360041.201897899</v>
      </c>
      <c r="L56" s="73"/>
      <c r="M56" s="74"/>
      <c r="N56" s="55"/>
      <c r="O56" s="55"/>
      <c r="P56" s="55"/>
      <c r="Q56" s="37"/>
    </row>
    <row r="57" spans="1:17" ht="24" customHeight="1">
      <c r="A57" s="45" t="s">
        <v>48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7"/>
      <c r="N57" s="31">
        <v>25638634.27</v>
      </c>
      <c r="O57" s="30"/>
      <c r="P57" s="30">
        <f>P53-N57</f>
        <v>-81083076.20566304</v>
      </c>
      <c r="Q57" s="26" t="s">
        <v>49</v>
      </c>
    </row>
    <row r="58" spans="1:17" ht="22.5" customHeight="1">
      <c r="A58" s="67" t="s">
        <v>32</v>
      </c>
      <c r="B58" s="51" t="s">
        <v>37</v>
      </c>
      <c r="C58" s="15" t="s">
        <v>38</v>
      </c>
      <c r="D58" s="32">
        <v>2.75</v>
      </c>
      <c r="E58" s="20">
        <f>739873*0.9917</f>
        <v>733732.05410000007</v>
      </c>
      <c r="F58" s="32">
        <f>D58*E58/12</f>
        <v>168146.92906458335</v>
      </c>
      <c r="G58" s="17">
        <v>986.02</v>
      </c>
      <c r="H58" s="17">
        <v>371.17</v>
      </c>
      <c r="I58" s="32">
        <f>G58-H58</f>
        <v>614.84999999999991</v>
      </c>
      <c r="J58" s="32"/>
      <c r="K58" s="32">
        <f t="shared" ref="K58:K61" si="40">F58*I58</f>
        <v>103385139.33535907</v>
      </c>
      <c r="L58" s="69"/>
      <c r="M58" s="70"/>
      <c r="N58" s="53">
        <f>SUM(K58:K61)</f>
        <v>134667096.00283161</v>
      </c>
      <c r="O58" s="53"/>
      <c r="P58" s="53">
        <f>P57-N58</f>
        <v>-215750172.20849466</v>
      </c>
      <c r="Q58" s="37"/>
    </row>
    <row r="59" spans="1:17" ht="18.75" customHeight="1">
      <c r="A59" s="68"/>
      <c r="B59" s="52"/>
      <c r="C59" s="16" t="s">
        <v>39</v>
      </c>
      <c r="D59" s="32">
        <v>2.06</v>
      </c>
      <c r="E59" s="20">
        <f>20106*0.9917</f>
        <v>19939.120200000001</v>
      </c>
      <c r="F59" s="32">
        <f t="shared" ref="F59:F61" si="41">D59*E59/12</f>
        <v>3422.8823010000001</v>
      </c>
      <c r="G59" s="17">
        <v>986.02</v>
      </c>
      <c r="H59" s="17">
        <v>371.17</v>
      </c>
      <c r="I59" s="32">
        <f t="shared" ref="I59:I61" si="42">G59-H59</f>
        <v>614.84999999999991</v>
      </c>
      <c r="J59" s="32"/>
      <c r="K59" s="32">
        <f t="shared" si="40"/>
        <v>2104559.1827698499</v>
      </c>
      <c r="L59" s="71"/>
      <c r="M59" s="72"/>
      <c r="N59" s="54"/>
      <c r="O59" s="54"/>
      <c r="P59" s="54"/>
      <c r="Q59" s="37"/>
    </row>
    <row r="60" spans="1:17" ht="14.25" customHeight="1">
      <c r="A60" s="68"/>
      <c r="B60" s="51" t="s">
        <v>40</v>
      </c>
      <c r="C60" s="15" t="s">
        <v>38</v>
      </c>
      <c r="D60" s="32">
        <v>1.95</v>
      </c>
      <c r="E60" s="20">
        <f>179821*0.9917</f>
        <v>178328.48569999999</v>
      </c>
      <c r="F60" s="32">
        <f t="shared" si="41"/>
        <v>28978.378926249996</v>
      </c>
      <c r="G60" s="17">
        <v>986.02</v>
      </c>
      <c r="H60" s="17">
        <v>371.17</v>
      </c>
      <c r="I60" s="32">
        <f t="shared" si="42"/>
        <v>614.84999999999991</v>
      </c>
      <c r="J60" s="32"/>
      <c r="K60" s="32">
        <f t="shared" si="40"/>
        <v>17817356.282804806</v>
      </c>
      <c r="L60" s="71"/>
      <c r="M60" s="72"/>
      <c r="N60" s="54"/>
      <c r="O60" s="54"/>
      <c r="P60" s="54"/>
      <c r="Q60" s="37"/>
    </row>
    <row r="61" spans="1:17" ht="13.5" customHeight="1">
      <c r="A61" s="64"/>
      <c r="B61" s="52"/>
      <c r="C61" s="16" t="s">
        <v>39</v>
      </c>
      <c r="D61" s="32">
        <v>1.72</v>
      </c>
      <c r="E61" s="20">
        <f>129982*0.9917</f>
        <v>128903.14940000001</v>
      </c>
      <c r="F61" s="32">
        <f t="shared" si="41"/>
        <v>18476.118080666667</v>
      </c>
      <c r="G61" s="17">
        <v>986.02</v>
      </c>
      <c r="H61" s="17">
        <v>371.17</v>
      </c>
      <c r="I61" s="32">
        <f t="shared" si="42"/>
        <v>614.84999999999991</v>
      </c>
      <c r="J61" s="32"/>
      <c r="K61" s="32">
        <f t="shared" si="40"/>
        <v>11360041.201897899</v>
      </c>
      <c r="L61" s="73"/>
      <c r="M61" s="74"/>
      <c r="N61" s="55"/>
      <c r="O61" s="55"/>
      <c r="P61" s="55"/>
      <c r="Q61" s="37"/>
    </row>
    <row r="62" spans="1:17" s="29" customFormat="1" ht="64.5" customHeight="1">
      <c r="A62" s="27" t="s">
        <v>47</v>
      </c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  <c r="N62" s="28">
        <v>4024070.28</v>
      </c>
      <c r="O62" s="28"/>
      <c r="P62" s="28">
        <f>P58-N62</f>
        <v>-219774242.48849466</v>
      </c>
      <c r="Q62" s="38"/>
    </row>
    <row r="63" spans="1:17" ht="24.75" customHeight="1">
      <c r="A63" s="67" t="s">
        <v>33</v>
      </c>
      <c r="B63" s="51" t="s">
        <v>37</v>
      </c>
      <c r="C63" s="15" t="s">
        <v>38</v>
      </c>
      <c r="D63" s="32">
        <v>2.75</v>
      </c>
      <c r="E63" s="20">
        <f>739873*0.9917</f>
        <v>733732.05410000007</v>
      </c>
      <c r="F63" s="32">
        <f>D63*E63/12</f>
        <v>168146.92906458335</v>
      </c>
      <c r="G63" s="17">
        <v>986.02</v>
      </c>
      <c r="H63" s="17">
        <v>371.17</v>
      </c>
      <c r="I63" s="32">
        <f>G63-H63</f>
        <v>614.84999999999991</v>
      </c>
      <c r="J63" s="32"/>
      <c r="K63" s="32">
        <f t="shared" ref="K63:K66" si="43">F63*I63</f>
        <v>103385139.33535907</v>
      </c>
      <c r="L63" s="69"/>
      <c r="M63" s="70"/>
      <c r="N63" s="53">
        <f>SUM(K63:K66)</f>
        <v>134667096.00283161</v>
      </c>
      <c r="O63" s="53"/>
      <c r="P63" s="53">
        <f>P62-N63</f>
        <v>-354441338.49132627</v>
      </c>
      <c r="Q63" s="37"/>
    </row>
    <row r="64" spans="1:17" ht="15.75" customHeight="1">
      <c r="A64" s="68"/>
      <c r="B64" s="52"/>
      <c r="C64" s="16" t="s">
        <v>39</v>
      </c>
      <c r="D64" s="32">
        <v>2.06</v>
      </c>
      <c r="E64" s="20">
        <f>20106*0.9917</f>
        <v>19939.120200000001</v>
      </c>
      <c r="F64" s="32">
        <f t="shared" ref="F64:F66" si="44">D64*E64/12</f>
        <v>3422.8823010000001</v>
      </c>
      <c r="G64" s="17">
        <v>986.02</v>
      </c>
      <c r="H64" s="17">
        <v>371.17</v>
      </c>
      <c r="I64" s="32">
        <f t="shared" ref="I64:I66" si="45">G64-H64</f>
        <v>614.84999999999991</v>
      </c>
      <c r="J64" s="32"/>
      <c r="K64" s="32">
        <f t="shared" si="43"/>
        <v>2104559.1827698499</v>
      </c>
      <c r="L64" s="71"/>
      <c r="M64" s="72"/>
      <c r="N64" s="54"/>
      <c r="O64" s="54"/>
      <c r="P64" s="54"/>
      <c r="Q64" s="37"/>
    </row>
    <row r="65" spans="1:17" ht="14.25" customHeight="1">
      <c r="A65" s="68"/>
      <c r="B65" s="51" t="s">
        <v>40</v>
      </c>
      <c r="C65" s="15" t="s">
        <v>38</v>
      </c>
      <c r="D65" s="32">
        <v>1.95</v>
      </c>
      <c r="E65" s="20">
        <f>179821*0.9917</f>
        <v>178328.48569999999</v>
      </c>
      <c r="F65" s="32">
        <f t="shared" si="44"/>
        <v>28978.378926249996</v>
      </c>
      <c r="G65" s="17">
        <v>986.02</v>
      </c>
      <c r="H65" s="17">
        <v>371.17</v>
      </c>
      <c r="I65" s="32">
        <f t="shared" si="45"/>
        <v>614.84999999999991</v>
      </c>
      <c r="J65" s="32"/>
      <c r="K65" s="32">
        <f t="shared" si="43"/>
        <v>17817356.282804806</v>
      </c>
      <c r="L65" s="71"/>
      <c r="M65" s="72"/>
      <c r="N65" s="54"/>
      <c r="O65" s="54"/>
      <c r="P65" s="54"/>
      <c r="Q65" s="37"/>
    </row>
    <row r="66" spans="1:17" ht="13.5" customHeight="1">
      <c r="A66" s="64"/>
      <c r="B66" s="52"/>
      <c r="C66" s="16" t="s">
        <v>39</v>
      </c>
      <c r="D66" s="32">
        <v>1.72</v>
      </c>
      <c r="E66" s="20">
        <f>129982*0.9917</f>
        <v>128903.14940000001</v>
      </c>
      <c r="F66" s="32">
        <f t="shared" si="44"/>
        <v>18476.118080666667</v>
      </c>
      <c r="G66" s="17">
        <v>986.02</v>
      </c>
      <c r="H66" s="17">
        <v>371.17</v>
      </c>
      <c r="I66" s="32">
        <f t="shared" si="45"/>
        <v>614.84999999999991</v>
      </c>
      <c r="J66" s="32"/>
      <c r="K66" s="32">
        <f t="shared" si="43"/>
        <v>11360041.201897899</v>
      </c>
      <c r="L66" s="73"/>
      <c r="M66" s="74"/>
      <c r="N66" s="55"/>
      <c r="O66" s="55"/>
      <c r="P66" s="55"/>
      <c r="Q66" s="37"/>
    </row>
    <row r="67" spans="1:17" ht="13.5" customHeight="1">
      <c r="A67" s="67" t="s">
        <v>34</v>
      </c>
      <c r="B67" s="51" t="s">
        <v>37</v>
      </c>
      <c r="C67" s="15" t="s">
        <v>38</v>
      </c>
      <c r="D67" s="32">
        <v>2.75</v>
      </c>
      <c r="E67" s="20">
        <f>739873*0.9917</f>
        <v>733732.05410000007</v>
      </c>
      <c r="F67" s="32">
        <f>D67*E67/12</f>
        <v>168146.92906458335</v>
      </c>
      <c r="G67" s="17">
        <v>986.02</v>
      </c>
      <c r="H67" s="17">
        <v>371.17</v>
      </c>
      <c r="I67" s="32">
        <f>G67-H67</f>
        <v>614.84999999999991</v>
      </c>
      <c r="J67" s="32"/>
      <c r="K67" s="32">
        <f t="shared" ref="K67:K70" si="46">F67*I67</f>
        <v>103385139.33535907</v>
      </c>
      <c r="L67" s="69"/>
      <c r="M67" s="70"/>
      <c r="N67" s="53">
        <f>SUM(K67:K70)</f>
        <v>134667096.00283161</v>
      </c>
      <c r="O67" s="53"/>
      <c r="P67" s="53">
        <f>P63-N67</f>
        <v>-489108434.49415791</v>
      </c>
      <c r="Q67" s="37"/>
    </row>
    <row r="68" spans="1:17" ht="15.75" customHeight="1">
      <c r="A68" s="68"/>
      <c r="B68" s="52"/>
      <c r="C68" s="16" t="s">
        <v>39</v>
      </c>
      <c r="D68" s="32">
        <v>2.06</v>
      </c>
      <c r="E68" s="20">
        <f>20106*0.9917</f>
        <v>19939.120200000001</v>
      </c>
      <c r="F68" s="32">
        <f t="shared" ref="F68:F70" si="47">D68*E68/12</f>
        <v>3422.8823010000001</v>
      </c>
      <c r="G68" s="17">
        <v>986.02</v>
      </c>
      <c r="H68" s="17">
        <v>371.17</v>
      </c>
      <c r="I68" s="32">
        <f t="shared" ref="I68:I70" si="48">G68-H68</f>
        <v>614.84999999999991</v>
      </c>
      <c r="J68" s="32"/>
      <c r="K68" s="32">
        <f t="shared" si="46"/>
        <v>2104559.1827698499</v>
      </c>
      <c r="L68" s="71"/>
      <c r="M68" s="72"/>
      <c r="N68" s="54"/>
      <c r="O68" s="54"/>
      <c r="P68" s="54"/>
      <c r="Q68" s="37"/>
    </row>
    <row r="69" spans="1:17" ht="14.25" customHeight="1">
      <c r="A69" s="68"/>
      <c r="B69" s="51" t="s">
        <v>40</v>
      </c>
      <c r="C69" s="15" t="s">
        <v>38</v>
      </c>
      <c r="D69" s="32">
        <v>1.95</v>
      </c>
      <c r="E69" s="20">
        <f>179821*0.9917</f>
        <v>178328.48569999999</v>
      </c>
      <c r="F69" s="32">
        <f t="shared" si="47"/>
        <v>28978.378926249996</v>
      </c>
      <c r="G69" s="17">
        <v>986.02</v>
      </c>
      <c r="H69" s="17">
        <v>371.17</v>
      </c>
      <c r="I69" s="32">
        <f t="shared" si="48"/>
        <v>614.84999999999991</v>
      </c>
      <c r="J69" s="32"/>
      <c r="K69" s="32">
        <f t="shared" si="46"/>
        <v>17817356.282804806</v>
      </c>
      <c r="L69" s="71"/>
      <c r="M69" s="72"/>
      <c r="N69" s="54"/>
      <c r="O69" s="54"/>
      <c r="P69" s="54"/>
      <c r="Q69" s="37"/>
    </row>
    <row r="70" spans="1:17" ht="13.5" customHeight="1">
      <c r="A70" s="64"/>
      <c r="B70" s="52"/>
      <c r="C70" s="16" t="s">
        <v>39</v>
      </c>
      <c r="D70" s="32">
        <v>1.72</v>
      </c>
      <c r="E70" s="20">
        <f>129982*0.9917</f>
        <v>128903.14940000001</v>
      </c>
      <c r="F70" s="32">
        <f t="shared" si="47"/>
        <v>18476.118080666667</v>
      </c>
      <c r="G70" s="17">
        <v>986.02</v>
      </c>
      <c r="H70" s="17">
        <v>371.17</v>
      </c>
      <c r="I70" s="32">
        <f t="shared" si="48"/>
        <v>614.84999999999991</v>
      </c>
      <c r="J70" s="32"/>
      <c r="K70" s="32">
        <f t="shared" si="46"/>
        <v>11360041.201897899</v>
      </c>
      <c r="L70" s="73"/>
      <c r="M70" s="74"/>
      <c r="N70" s="55"/>
      <c r="O70" s="55"/>
      <c r="P70" s="55"/>
      <c r="Q70" s="37"/>
    </row>
    <row r="71" spans="1:17" s="1" customFormat="1" ht="16.5" customHeight="1">
      <c r="A71" s="49" t="s">
        <v>41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39"/>
    </row>
    <row r="72" spans="1:17" ht="15" customHeight="1">
      <c r="A72" s="48" t="s">
        <v>8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50">
        <f>SUM(O7:O47)+SUM(N48:N70)</f>
        <v>1439110389.9841578</v>
      </c>
      <c r="P72" s="50"/>
      <c r="Q72" s="40"/>
    </row>
    <row r="73" spans="1:17" ht="15" customHeight="1">
      <c r="A73" s="48" t="s">
        <v>9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50">
        <f>O72-N6</f>
        <v>489108434.49415779</v>
      </c>
      <c r="P73" s="50"/>
      <c r="Q73" s="41"/>
    </row>
    <row r="74" spans="1:17" ht="12.75">
      <c r="L74" s="9"/>
      <c r="M74" s="9"/>
      <c r="N74" s="9"/>
      <c r="O74" s="9"/>
      <c r="P74" s="8"/>
    </row>
    <row r="75" spans="1:17" ht="8.25" customHeight="1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</row>
    <row r="76" spans="1:17" ht="15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18"/>
      <c r="O76" s="4"/>
      <c r="P76" s="13"/>
    </row>
    <row r="77" spans="1:17" ht="12.7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4"/>
      <c r="O77" s="4"/>
    </row>
    <row r="78" spans="1:17" ht="25.5" customHeight="1">
      <c r="A78" s="57"/>
      <c r="B78" s="57"/>
      <c r="C78" s="57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4"/>
      <c r="O78" s="4"/>
    </row>
    <row r="79" spans="1:17" ht="12.75">
      <c r="A79" s="14"/>
      <c r="B79" s="14"/>
      <c r="C79" s="14"/>
    </row>
    <row r="80" spans="1:17" ht="12.75">
      <c r="A80" s="14"/>
      <c r="B80" s="14"/>
      <c r="C80" s="14"/>
    </row>
    <row r="123" ht="28.5" customHeight="1"/>
    <row r="124" ht="15" customHeight="1"/>
    <row r="126" ht="15.75" customHeight="1"/>
    <row r="127" ht="8.25" customHeight="1"/>
    <row r="128" ht="8.25" customHeight="1"/>
  </sheetData>
  <mergeCells count="132">
    <mergeCell ref="A6:M6"/>
    <mergeCell ref="B16:C16"/>
    <mergeCell ref="N12:N16"/>
    <mergeCell ref="O12:O16"/>
    <mergeCell ref="P12:P16"/>
    <mergeCell ref="A12:A16"/>
    <mergeCell ref="B12:B13"/>
    <mergeCell ref="N7:N11"/>
    <mergeCell ref="O7:O11"/>
    <mergeCell ref="P7:P11"/>
    <mergeCell ref="A7:A11"/>
    <mergeCell ref="M1:P1"/>
    <mergeCell ref="A2:P2"/>
    <mergeCell ref="A3:A4"/>
    <mergeCell ref="D3:D4"/>
    <mergeCell ref="E3:E4"/>
    <mergeCell ref="F3:F4"/>
    <mergeCell ref="G3:G4"/>
    <mergeCell ref="H3:H4"/>
    <mergeCell ref="I3:I4"/>
    <mergeCell ref="P3:P4"/>
    <mergeCell ref="J3:K3"/>
    <mergeCell ref="L3:L4"/>
    <mergeCell ref="M3:M4"/>
    <mergeCell ref="N3:N4"/>
    <mergeCell ref="O3:O4"/>
    <mergeCell ref="A22:A26"/>
    <mergeCell ref="B17:B18"/>
    <mergeCell ref="N17:N21"/>
    <mergeCell ref="O17:O21"/>
    <mergeCell ref="P17:P21"/>
    <mergeCell ref="A17:A21"/>
    <mergeCell ref="B19:B20"/>
    <mergeCell ref="B21:C21"/>
    <mergeCell ref="B22:B23"/>
    <mergeCell ref="B24:B25"/>
    <mergeCell ref="B26:C26"/>
    <mergeCell ref="N22:N26"/>
    <mergeCell ref="O22:O26"/>
    <mergeCell ref="P22:P26"/>
    <mergeCell ref="L46:L47"/>
    <mergeCell ref="Q37:Q41"/>
    <mergeCell ref="A37:A41"/>
    <mergeCell ref="N32:N36"/>
    <mergeCell ref="O32:O36"/>
    <mergeCell ref="P32:P36"/>
    <mergeCell ref="Q32:Q36"/>
    <mergeCell ref="A32:A36"/>
    <mergeCell ref="B29:B30"/>
    <mergeCell ref="N27:N31"/>
    <mergeCell ref="O27:O31"/>
    <mergeCell ref="P27:P31"/>
    <mergeCell ref="A27:A31"/>
    <mergeCell ref="B27:B28"/>
    <mergeCell ref="B36:C36"/>
    <mergeCell ref="N42:N47"/>
    <mergeCell ref="O42:O47"/>
    <mergeCell ref="P42:P47"/>
    <mergeCell ref="Q42:Q47"/>
    <mergeCell ref="K46:K47"/>
    <mergeCell ref="A72:N72"/>
    <mergeCell ref="A48:A51"/>
    <mergeCell ref="L48:M51"/>
    <mergeCell ref="N48:N51"/>
    <mergeCell ref="O48:O51"/>
    <mergeCell ref="P48:P51"/>
    <mergeCell ref="B41:C41"/>
    <mergeCell ref="B42:B43"/>
    <mergeCell ref="B44:B45"/>
    <mergeCell ref="N37:N41"/>
    <mergeCell ref="O37:O41"/>
    <mergeCell ref="P37:P41"/>
    <mergeCell ref="B37:B38"/>
    <mergeCell ref="B39:B40"/>
    <mergeCell ref="A42:A47"/>
    <mergeCell ref="B46:C47"/>
    <mergeCell ref="D46:D47"/>
    <mergeCell ref="E46:E47"/>
    <mergeCell ref="F46:F47"/>
    <mergeCell ref="G46:G47"/>
    <mergeCell ref="H46:H47"/>
    <mergeCell ref="I46:I47"/>
    <mergeCell ref="J46:J47"/>
    <mergeCell ref="M46:M47"/>
    <mergeCell ref="B62:M62"/>
    <mergeCell ref="A75:M76"/>
    <mergeCell ref="A78:C78"/>
    <mergeCell ref="B3:C4"/>
    <mergeCell ref="B5:C5"/>
    <mergeCell ref="B7:B8"/>
    <mergeCell ref="B9:B10"/>
    <mergeCell ref="B11:C11"/>
    <mergeCell ref="A63:A66"/>
    <mergeCell ref="L63:M66"/>
    <mergeCell ref="A67:A70"/>
    <mergeCell ref="L67:M70"/>
    <mergeCell ref="A53:A56"/>
    <mergeCell ref="L53:M56"/>
    <mergeCell ref="A58:A61"/>
    <mergeCell ref="L58:M61"/>
    <mergeCell ref="B14:B15"/>
    <mergeCell ref="B48:B49"/>
    <mergeCell ref="B50:B51"/>
    <mergeCell ref="B53:B54"/>
    <mergeCell ref="B31:C31"/>
    <mergeCell ref="B32:B33"/>
    <mergeCell ref="B34:B35"/>
    <mergeCell ref="B69:B70"/>
    <mergeCell ref="B52:M52"/>
    <mergeCell ref="A57:M57"/>
    <mergeCell ref="A73:N73"/>
    <mergeCell ref="A71:P71"/>
    <mergeCell ref="O72:P72"/>
    <mergeCell ref="O73:P73"/>
    <mergeCell ref="B55:B56"/>
    <mergeCell ref="B58:B59"/>
    <mergeCell ref="B60:B61"/>
    <mergeCell ref="B63:B64"/>
    <mergeCell ref="B65:B66"/>
    <mergeCell ref="B67:B68"/>
    <mergeCell ref="N63:N66"/>
    <mergeCell ref="O63:O66"/>
    <mergeCell ref="P63:P66"/>
    <mergeCell ref="N67:N70"/>
    <mergeCell ref="O67:O70"/>
    <mergeCell ref="P67:P70"/>
    <mergeCell ref="N53:N56"/>
    <mergeCell ref="O53:O56"/>
    <mergeCell ref="P53:P56"/>
    <mergeCell ref="N58:N61"/>
    <mergeCell ref="O58:O61"/>
    <mergeCell ref="P58:P61"/>
  </mergeCells>
  <pageMargins left="0.70866141732283472" right="0.70866141732283472" top="0.74803149606299213" bottom="0.74803149606299213" header="0.31496062992125984" footer="0.31496062992125984"/>
  <pageSetup paperSize="9" scale="64" fitToWidth="0" fitToHeight="0" orientation="landscape" r:id="rId1"/>
  <headerFooter>
    <oddFooter>&amp;C&amp;P</oddFooter>
  </headerFooter>
  <rowBreaks count="1" manualBreakCount="1">
    <brk id="4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</vt:lpstr>
      <vt:lpstr>ИТОГ!Заголовки_для_печати</vt:lpstr>
      <vt:lpstr>ИТОГ!Область_печати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potapova.is</dc:creator>
  <cp:lastModifiedBy>minfin user</cp:lastModifiedBy>
  <cp:lastPrinted>2023-08-17T06:22:48Z</cp:lastPrinted>
  <dcterms:created xsi:type="dcterms:W3CDTF">2021-10-20T07:10:21Z</dcterms:created>
  <dcterms:modified xsi:type="dcterms:W3CDTF">2023-08-17T06:22:53Z</dcterms:modified>
</cp:coreProperties>
</file>