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АВИА" sheetId="1" r:id="rId1"/>
    <sheet name="Лизинг" sheetId="2" state="hidden" r:id="rId2"/>
    <sheet name="авиа расчет" sheetId="3" state="hidden" r:id="rId3"/>
  </sheets>
  <definedNames>
    <definedName name="_xlnm.Print_Area" localSheetId="2">'авиа расчет'!$A$1:$P$30</definedName>
  </definedNames>
  <calcPr calcId="125725"/>
</workbook>
</file>

<file path=xl/calcChain.xml><?xml version="1.0" encoding="utf-8"?>
<calcChain xmlns="http://schemas.openxmlformats.org/spreadsheetml/2006/main">
  <c r="O26" i="3"/>
  <c r="O27" s="1"/>
  <c r="N26"/>
  <c r="N27" s="1"/>
  <c r="M26"/>
  <c r="M27" s="1"/>
  <c r="L26"/>
  <c r="L27" s="1"/>
  <c r="C26"/>
  <c r="I25"/>
  <c r="E25"/>
  <c r="I23"/>
  <c r="E23"/>
  <c r="I22"/>
  <c r="I21"/>
  <c r="E21"/>
  <c r="I20"/>
  <c r="E20"/>
  <c r="I18"/>
  <c r="I17"/>
  <c r="I16"/>
  <c r="I15"/>
  <c r="I14"/>
  <c r="E14"/>
  <c r="I12"/>
  <c r="E12"/>
  <c r="P10"/>
  <c r="I10"/>
  <c r="E10"/>
  <c r="P9"/>
  <c r="M9"/>
  <c r="I8"/>
  <c r="L7"/>
  <c r="L9" s="1"/>
  <c r="I7"/>
  <c r="E7"/>
  <c r="I6"/>
  <c r="E6"/>
  <c r="I5"/>
  <c r="E5"/>
  <c r="O4"/>
  <c r="P29" s="1"/>
  <c r="L4"/>
  <c r="Q16" i="2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I15"/>
  <c r="I14"/>
  <c r="I13"/>
  <c r="I12"/>
  <c r="I11"/>
  <c r="I10"/>
  <c r="I9"/>
  <c r="I8"/>
  <c r="I7"/>
  <c r="D15" i="1"/>
  <c r="C15"/>
  <c r="E14"/>
  <c r="E13"/>
  <c r="E12"/>
  <c r="E11"/>
  <c r="E10"/>
  <c r="E9"/>
  <c r="E8"/>
  <c r="F18" i="2" l="1"/>
  <c r="I26" i="3"/>
  <c r="I16" i="2"/>
  <c r="I17" s="1"/>
  <c r="E8" i="3"/>
  <c r="E15" i="1"/>
  <c r="N18" i="2"/>
  <c r="P27" i="3"/>
  <c r="P28" s="1"/>
  <c r="P30" s="1"/>
  <c r="E24" s="1"/>
  <c r="E18" s="1"/>
  <c r="E26" s="1"/>
  <c r="J18" i="2"/>
  <c r="D18"/>
  <c r="B18"/>
  <c r="N4" i="3"/>
  <c r="N5" s="1"/>
  <c r="L5" l="1"/>
  <c r="M5"/>
  <c r="M10" s="1"/>
  <c r="O5"/>
  <c r="N10" s="1"/>
  <c r="L10" l="1"/>
  <c r="P5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<sst xmlns="http://schemas.openxmlformats.org/spreadsheetml/2006/main" count="127" uniqueCount="98">
  <si>
    <t>Потребность в субсидии на возмещение недополученных доходов, возникающих в результате  государственного регулирования тарифов на перевозки пассажиров и багажа воздушным транспортом на 2024 год, рублей</t>
  </si>
  <si>
    <t>Направление</t>
  </si>
  <si>
    <t>2024 год - прогноз</t>
  </si>
  <si>
    <t>Расходы</t>
  </si>
  <si>
    <t>Доходы</t>
  </si>
  <si>
    <t>Субсидии</t>
  </si>
  <si>
    <t>Архангельск - Лешуконский округ</t>
  </si>
  <si>
    <t>Архангельск - Мезенский округ</t>
  </si>
  <si>
    <t>Архангельск - Приморский округ</t>
  </si>
  <si>
    <t>Архангельск - Соловки</t>
  </si>
  <si>
    <t>Архангельск - Вельск</t>
  </si>
  <si>
    <t>Вертолетное сообщение (в период распутицы и размокания 
взлетно-посадочных полос в Приморском и Мезенком округах АО)</t>
  </si>
  <si>
    <t>Архангельск - Котлас</t>
  </si>
  <si>
    <t xml:space="preserve">ИТОГО авиаперевозки </t>
  </si>
  <si>
    <t>Справочно: в 2024 году была выплачена задолжденность за 2023 год - 30 477 520,65 рублей.</t>
  </si>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</sst>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#,##0.000"/>
  </numFmts>
  <fonts count="41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sz val="14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51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166">
    <xf numFmtId="0" fontId="0" fillId="0" borderId="0" xfId="0"/>
    <xf numFmtId="0" fontId="0" fillId="0" borderId="0" xfId="0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3" fontId="24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3" fontId="23" fillId="0" borderId="10" xfId="886" applyNumberFormat="1" applyFont="1" applyBorder="1" applyAlignment="1">
      <alignment horizontal="center" vertical="center"/>
    </xf>
    <xf numFmtId="0" fontId="25" fillId="0" borderId="0" xfId="0" applyFont="1"/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7" fillId="0" borderId="20" xfId="0" applyFont="1" applyBorder="1" applyAlignment="1">
      <alignment wrapText="1"/>
    </xf>
    <xf numFmtId="4" fontId="0" fillId="0" borderId="21" xfId="0" applyNumberFormat="1" applyBorder="1" applyAlignment="1">
      <alignment wrapText="1"/>
    </xf>
    <xf numFmtId="0" fontId="27" fillId="0" borderId="22" xfId="0" applyFont="1" applyBorder="1" applyAlignment="1">
      <alignment wrapText="1"/>
    </xf>
    <xf numFmtId="4" fontId="0" fillId="0" borderId="23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4" fontId="0" fillId="0" borderId="27" xfId="0" applyNumberFormat="1" applyBorder="1" applyAlignment="1">
      <alignment wrapText="1"/>
    </xf>
    <xf numFmtId="4" fontId="0" fillId="0" borderId="28" xfId="0" applyNumberFormat="1" applyBorder="1" applyAlignment="1">
      <alignment wrapText="1"/>
    </xf>
    <xf numFmtId="4" fontId="0" fillId="0" borderId="29" xfId="0" applyNumberFormat="1" applyBorder="1" applyAlignment="1">
      <alignment wrapText="1"/>
    </xf>
    <xf numFmtId="0" fontId="27" fillId="0" borderId="25" xfId="0" applyFont="1" applyBorder="1" applyAlignment="1">
      <alignment wrapText="1"/>
    </xf>
    <xf numFmtId="0" fontId="0" fillId="0" borderId="30" xfId="0" applyBorder="1" applyAlignment="1">
      <alignment wrapText="1"/>
    </xf>
    <xf numFmtId="4" fontId="0" fillId="0" borderId="31" xfId="0" applyNumberFormat="1" applyBorder="1" applyAlignment="1">
      <alignment wrapText="1"/>
    </xf>
    <xf numFmtId="0" fontId="0" fillId="0" borderId="32" xfId="0" applyBorder="1" applyAlignment="1">
      <alignment wrapText="1"/>
    </xf>
    <xf numFmtId="4" fontId="0" fillId="0" borderId="33" xfId="0" applyNumberFormat="1" applyBorder="1" applyAlignment="1">
      <alignment wrapText="1"/>
    </xf>
    <xf numFmtId="0" fontId="28" fillId="0" borderId="34" xfId="0" applyFont="1" applyBorder="1" applyAlignment="1">
      <alignment wrapText="1"/>
    </xf>
    <xf numFmtId="4" fontId="28" fillId="0" borderId="12" xfId="0" applyNumberFormat="1" applyFont="1" applyBorder="1" applyAlignment="1">
      <alignment wrapText="1"/>
    </xf>
    <xf numFmtId="4" fontId="28" fillId="0" borderId="14" xfId="0" applyNumberFormat="1" applyFont="1" applyBorder="1" applyAlignment="1">
      <alignment wrapText="1"/>
    </xf>
    <xf numFmtId="4" fontId="28" fillId="0" borderId="15" xfId="0" applyNumberFormat="1" applyFont="1" applyBorder="1" applyAlignment="1">
      <alignment wrapText="1"/>
    </xf>
    <xf numFmtId="0" fontId="28" fillId="0" borderId="35" xfId="0" applyFont="1" applyBorder="1" applyAlignment="1">
      <alignment wrapText="1"/>
    </xf>
    <xf numFmtId="4" fontId="28" fillId="0" borderId="27" xfId="0" applyNumberFormat="1" applyFont="1" applyBorder="1" applyAlignment="1">
      <alignment wrapText="1"/>
    </xf>
    <xf numFmtId="4" fontId="28" fillId="0" borderId="28" xfId="0" applyNumberFormat="1" applyFont="1" applyBorder="1" applyAlignment="1">
      <alignment wrapText="1"/>
    </xf>
    <xf numFmtId="4" fontId="28" fillId="0" borderId="29" xfId="0" applyNumberFormat="1" applyFont="1" applyBorder="1" applyAlignment="1">
      <alignment wrapText="1"/>
    </xf>
    <xf numFmtId="0" fontId="28" fillId="0" borderId="36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8" fillId="0" borderId="47" xfId="0" applyFont="1" applyBorder="1" applyAlignment="1">
      <alignment horizontal="center" vertical="center"/>
    </xf>
    <xf numFmtId="0" fontId="29" fillId="0" borderId="49" xfId="0" applyFont="1" applyBorder="1" applyAlignment="1">
      <alignment vertical="center"/>
    </xf>
    <xf numFmtId="0" fontId="29" fillId="0" borderId="52" xfId="0" applyFont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2" fillId="0" borderId="53" xfId="0" applyFont="1" applyBorder="1" applyAlignment="1">
      <alignment vertical="center" wrapText="1"/>
    </xf>
    <xf numFmtId="3" fontId="33" fillId="0" borderId="12" xfId="0" applyNumberFormat="1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3" fontId="33" fillId="0" borderId="15" xfId="0" applyNumberFormat="1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0" fillId="0" borderId="27" xfId="0" applyBorder="1" applyAlignment="1">
      <alignment vertical="center"/>
    </xf>
    <xf numFmtId="4" fontId="0" fillId="0" borderId="28" xfId="0" applyNumberFormat="1" applyBorder="1" applyAlignment="1">
      <alignment horizontal="center" vertical="center"/>
    </xf>
    <xf numFmtId="4" fontId="28" fillId="0" borderId="29" xfId="0" applyNumberFormat="1" applyFont="1" applyBorder="1" applyAlignment="1">
      <alignment vertical="center"/>
    </xf>
    <xf numFmtId="0" fontId="32" fillId="0" borderId="25" xfId="0" applyFont="1" applyBorder="1" applyAlignment="1">
      <alignment vertical="center" wrapText="1"/>
    </xf>
    <xf numFmtId="3" fontId="33" fillId="0" borderId="27" xfId="0" applyNumberFormat="1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3" fontId="33" fillId="0" borderId="29" xfId="0" applyNumberFormat="1" applyFont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28" fillId="0" borderId="29" xfId="0" applyFon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35" fillId="0" borderId="25" xfId="0" applyFont="1" applyBorder="1" applyAlignment="1">
      <alignment horizontal="center" vertical="center" wrapText="1"/>
    </xf>
    <xf numFmtId="0" fontId="36" fillId="0" borderId="25" xfId="0" applyFont="1" applyBorder="1" applyAlignment="1">
      <alignment vertical="center" wrapText="1"/>
    </xf>
    <xf numFmtId="3" fontId="0" fillId="0" borderId="27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3" fontId="27" fillId="0" borderId="27" xfId="0" applyNumberFormat="1" applyFont="1" applyBorder="1" applyAlignment="1">
      <alignment vertical="center"/>
    </xf>
    <xf numFmtId="3" fontId="27" fillId="0" borderId="29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19" xfId="0" applyNumberFormat="1" applyBorder="1" applyAlignment="1">
      <alignment horizontal="center" vertical="center"/>
    </xf>
    <xf numFmtId="4" fontId="28" fillId="0" borderId="39" xfId="0" applyNumberFormat="1" applyFont="1" applyBorder="1" applyAlignment="1">
      <alignment vertical="center"/>
    </xf>
    <xf numFmtId="0" fontId="0" fillId="0" borderId="44" xfId="0" applyBorder="1" applyAlignment="1">
      <alignment wrapText="1"/>
    </xf>
    <xf numFmtId="0" fontId="0" fillId="0" borderId="4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27" fillId="0" borderId="12" xfId="0" applyFont="1" applyBorder="1" applyAlignment="1">
      <alignment wrapText="1"/>
    </xf>
    <xf numFmtId="4" fontId="0" fillId="0" borderId="14" xfId="0" applyNumberFormat="1" applyBorder="1" applyAlignment="1">
      <alignment wrapText="1"/>
    </xf>
    <xf numFmtId="0" fontId="0" fillId="0" borderId="15" xfId="0" applyBorder="1" applyAlignment="1">
      <alignment wrapText="1"/>
    </xf>
    <xf numFmtId="49" fontId="36" fillId="0" borderId="25" xfId="0" applyNumberFormat="1" applyFont="1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24" borderId="28" xfId="0" applyFill="1" applyBorder="1" applyAlignment="1">
      <alignment horizontal="center"/>
    </xf>
    <xf numFmtId="0" fontId="28" fillId="24" borderId="28" xfId="0" applyFont="1" applyFill="1" applyBorder="1" applyAlignment="1">
      <alignment horizontal="center"/>
    </xf>
    <xf numFmtId="0" fontId="27" fillId="0" borderId="27" xfId="0" applyFont="1" applyBorder="1" applyAlignment="1">
      <alignment wrapText="1"/>
    </xf>
    <xf numFmtId="0" fontId="37" fillId="24" borderId="28" xfId="0" applyFont="1" applyFill="1" applyBorder="1" applyAlignment="1">
      <alignment horizontal="center"/>
    </xf>
    <xf numFmtId="0" fontId="0" fillId="0" borderId="28" xfId="0" applyBorder="1" applyAlignment="1">
      <alignment wrapText="1"/>
    </xf>
    <xf numFmtId="164" fontId="37" fillId="24" borderId="28" xfId="0" applyNumberFormat="1" applyFont="1" applyFill="1" applyBorder="1" applyAlignment="1">
      <alignment horizontal="center"/>
    </xf>
    <xf numFmtId="165" fontId="37" fillId="24" borderId="28" xfId="0" applyNumberFormat="1" applyFont="1" applyFill="1" applyBorder="1" applyAlignment="1">
      <alignment horizontal="center"/>
    </xf>
    <xf numFmtId="2" fontId="37" fillId="24" borderId="28" xfId="0" applyNumberFormat="1" applyFont="1" applyFill="1" applyBorder="1" applyAlignment="1">
      <alignment horizontal="center"/>
    </xf>
    <xf numFmtId="0" fontId="32" fillId="0" borderId="25" xfId="0" applyFont="1" applyBorder="1" applyAlignment="1">
      <alignment horizontal="left" vertical="center" wrapText="1"/>
    </xf>
    <xf numFmtId="166" fontId="37" fillId="24" borderId="28" xfId="0" applyNumberFormat="1" applyFont="1" applyFill="1" applyBorder="1" applyAlignment="1">
      <alignment horizontal="center"/>
    </xf>
    <xf numFmtId="0" fontId="27" fillId="0" borderId="26" xfId="0" applyFont="1" applyBorder="1" applyAlignment="1">
      <alignment vertical="center"/>
    </xf>
    <xf numFmtId="3" fontId="27" fillId="25" borderId="27" xfId="0" applyNumberFormat="1" applyFont="1" applyFill="1" applyBorder="1" applyAlignment="1">
      <alignment vertical="center"/>
    </xf>
    <xf numFmtId="3" fontId="27" fillId="25" borderId="29" xfId="0" applyNumberFormat="1" applyFont="1" applyFill="1" applyBorder="1" applyAlignment="1">
      <alignment vertical="center"/>
    </xf>
    <xf numFmtId="3" fontId="27" fillId="26" borderId="27" xfId="0" applyNumberFormat="1" applyFont="1" applyFill="1" applyBorder="1" applyAlignment="1">
      <alignment vertical="center"/>
    </xf>
    <xf numFmtId="3" fontId="27" fillId="26" borderId="29" xfId="0" applyNumberFormat="1" applyFont="1" applyFill="1" applyBorder="1" applyAlignment="1">
      <alignment vertical="center"/>
    </xf>
    <xf numFmtId="0" fontId="36" fillId="0" borderId="30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3" fontId="33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4" fontId="33" fillId="27" borderId="17" xfId="0" applyNumberFormat="1" applyFont="1" applyFill="1" applyBorder="1" applyAlignment="1">
      <alignment vertical="center"/>
    </xf>
    <xf numFmtId="4" fontId="33" fillId="27" borderId="39" xfId="0" applyNumberFormat="1" applyFont="1" applyFill="1" applyBorder="1" applyAlignment="1">
      <alignment vertical="center"/>
    </xf>
    <xf numFmtId="4" fontId="33" fillId="0" borderId="18" xfId="0" applyNumberFormat="1" applyFont="1" applyBorder="1" applyAlignment="1">
      <alignment vertical="center"/>
    </xf>
    <xf numFmtId="167" fontId="33" fillId="27" borderId="17" xfId="0" applyNumberFormat="1" applyFont="1" applyFill="1" applyBorder="1" applyAlignment="1">
      <alignment vertical="center"/>
    </xf>
    <xf numFmtId="0" fontId="28" fillId="0" borderId="27" xfId="0" applyFont="1" applyBorder="1" applyAlignment="1">
      <alignment wrapText="1"/>
    </xf>
    <xf numFmtId="0" fontId="28" fillId="0" borderId="31" xfId="0" applyFont="1" applyBorder="1" applyAlignment="1">
      <alignment wrapText="1"/>
    </xf>
    <xf numFmtId="4" fontId="28" fillId="0" borderId="33" xfId="0" applyNumberFormat="1" applyFont="1" applyBorder="1" applyAlignment="1">
      <alignment wrapText="1"/>
    </xf>
    <xf numFmtId="4" fontId="28" fillId="0" borderId="63" xfId="0" applyNumberFormat="1" applyFont="1" applyBorder="1" applyAlignment="1">
      <alignment wrapText="1"/>
    </xf>
    <xf numFmtId="0" fontId="26" fillId="0" borderId="0" xfId="0" applyFont="1"/>
    <xf numFmtId="4" fontId="0" fillId="0" borderId="15" xfId="0" applyNumberFormat="1" applyBorder="1" applyAlignment="1">
      <alignment wrapText="1"/>
    </xf>
    <xf numFmtId="0" fontId="0" fillId="0" borderId="29" xfId="0" applyBorder="1" applyAlignment="1">
      <alignment horizontal="center" wrapText="1"/>
    </xf>
    <xf numFmtId="4" fontId="28" fillId="0" borderId="39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4" xfId="0" applyBorder="1" applyAlignment="1">
      <alignment wrapText="1"/>
    </xf>
    <xf numFmtId="0" fontId="0" fillId="0" borderId="40" xfId="0" applyBorder="1"/>
    <xf numFmtId="0" fontId="0" fillId="0" borderId="65" xfId="0" applyBorder="1"/>
    <xf numFmtId="0" fontId="21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4" fontId="28" fillId="24" borderId="37" xfId="0" applyNumberFormat="1" applyFont="1" applyFill="1" applyBorder="1" applyAlignment="1">
      <alignment horizontal="center"/>
    </xf>
    <xf numFmtId="0" fontId="28" fillId="24" borderId="38" xfId="0" applyFont="1" applyFill="1" applyBorder="1" applyAlignment="1">
      <alignment horizontal="center"/>
    </xf>
    <xf numFmtId="4" fontId="28" fillId="24" borderId="17" xfId="0" applyNumberFormat="1" applyFont="1" applyFill="1" applyBorder="1" applyAlignment="1">
      <alignment horizontal="center" wrapText="1"/>
    </xf>
    <xf numFmtId="4" fontId="28" fillId="24" borderId="19" xfId="0" applyNumberFormat="1" applyFont="1" applyFill="1" applyBorder="1" applyAlignment="1">
      <alignment horizontal="center" wrapText="1"/>
    </xf>
    <xf numFmtId="4" fontId="28" fillId="24" borderId="39" xfId="0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4" fontId="0" fillId="0" borderId="26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62" xfId="0" applyNumberFormat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29" fillId="0" borderId="40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</cellXfs>
  <cellStyles count="951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" xfId="886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F71C636E-623A-9E4C-80C2-5E9B78F73573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F71C636E-623A-9E4C-80C2-5E9B78F73573}" id="{00290096-009C-42B8-A9F5-003D004800D7}" done="0">
    <text xml:space="preserve">на 10 % больше, чем в 2019 по предложению тернового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AY17"/>
  <sheetViews>
    <sheetView tabSelected="1" topLeftCell="A4" workbookViewId="0">
      <selection activeCell="C12" sqref="C12"/>
    </sheetView>
  </sheetViews>
  <sheetFormatPr defaultColWidth="9.140625" defaultRowHeight="15"/>
  <cols>
    <col min="1" max="1" width="4" style="1" customWidth="1"/>
    <col min="2" max="2" width="42.85546875" style="1" customWidth="1"/>
    <col min="3" max="3" width="17" style="1" customWidth="1"/>
    <col min="4" max="4" width="16.7109375" style="1" customWidth="1"/>
    <col min="5" max="5" width="16.85546875" style="1" customWidth="1"/>
    <col min="6" max="16384" width="9.140625" style="1"/>
  </cols>
  <sheetData>
    <row r="3" spans="2:51" hidden="1"/>
    <row r="4" spans="2:51" ht="73.5" customHeight="1">
      <c r="B4" s="124" t="s">
        <v>0</v>
      </c>
      <c r="C4" s="124"/>
      <c r="D4" s="124"/>
      <c r="E4" s="12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2:51" ht="22.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2:51" ht="29.25" customHeight="1">
      <c r="B6" s="125" t="s">
        <v>1</v>
      </c>
      <c r="C6" s="125" t="s">
        <v>2</v>
      </c>
      <c r="D6" s="125"/>
      <c r="E6" s="125"/>
    </row>
    <row r="7" spans="2:51" ht="45" customHeight="1">
      <c r="B7" s="125"/>
      <c r="C7" s="4" t="s">
        <v>3</v>
      </c>
      <c r="D7" s="4" t="s">
        <v>4</v>
      </c>
      <c r="E7" s="4" t="s">
        <v>5</v>
      </c>
    </row>
    <row r="8" spans="2:51" ht="24.75" customHeight="1">
      <c r="B8" s="5" t="s">
        <v>6</v>
      </c>
      <c r="C8" s="6">
        <v>107026729</v>
      </c>
      <c r="D8" s="6">
        <v>25842363</v>
      </c>
      <c r="E8" s="6">
        <f t="shared" ref="E8:E9" si="0">C8-D8</f>
        <v>81184366</v>
      </c>
    </row>
    <row r="9" spans="2:51" ht="24.75" customHeight="1">
      <c r="B9" s="5" t="s">
        <v>7</v>
      </c>
      <c r="C9" s="6">
        <v>139851940</v>
      </c>
      <c r="D9" s="6">
        <v>33414215</v>
      </c>
      <c r="E9" s="6">
        <f t="shared" si="0"/>
        <v>106437725</v>
      </c>
    </row>
    <row r="10" spans="2:51" ht="24.75" customHeight="1">
      <c r="B10" s="5" t="s">
        <v>8</v>
      </c>
      <c r="C10" s="6">
        <v>57881340</v>
      </c>
      <c r="D10" s="6">
        <v>14463998</v>
      </c>
      <c r="E10" s="6">
        <f t="shared" ref="E10:E14" si="1">C10-D10</f>
        <v>43417342</v>
      </c>
    </row>
    <row r="11" spans="2:51" ht="24.75" customHeight="1">
      <c r="B11" s="5" t="s">
        <v>9</v>
      </c>
      <c r="C11" s="6">
        <v>91178718.900000006</v>
      </c>
      <c r="D11" s="6">
        <v>41926378</v>
      </c>
      <c r="E11" s="6">
        <f t="shared" si="1"/>
        <v>49252340.900000006</v>
      </c>
    </row>
    <row r="12" spans="2:51" ht="24.75" customHeight="1">
      <c r="B12" s="5" t="s">
        <v>10</v>
      </c>
      <c r="C12" s="6">
        <v>4469059.2</v>
      </c>
      <c r="D12" s="6">
        <v>320000</v>
      </c>
      <c r="E12" s="6">
        <f t="shared" si="1"/>
        <v>4149059.2</v>
      </c>
    </row>
    <row r="13" spans="2:51" ht="67.5" customHeight="1">
      <c r="B13" s="5" t="s">
        <v>11</v>
      </c>
      <c r="C13" s="6">
        <v>62992405</v>
      </c>
      <c r="D13" s="6">
        <v>8789556</v>
      </c>
      <c r="E13" s="6">
        <f t="shared" si="1"/>
        <v>54202849</v>
      </c>
    </row>
    <row r="14" spans="2:51" ht="24.75" customHeight="1">
      <c r="B14" s="5" t="s">
        <v>12</v>
      </c>
      <c r="C14" s="6">
        <v>98659277</v>
      </c>
      <c r="D14" s="6">
        <v>15555456</v>
      </c>
      <c r="E14" s="6">
        <f t="shared" si="1"/>
        <v>83103821</v>
      </c>
    </row>
    <row r="15" spans="2:51" ht="29.25" customHeight="1">
      <c r="B15" s="7" t="s">
        <v>13</v>
      </c>
      <c r="C15" s="8">
        <f>SUM(C8:C14)</f>
        <v>562059469.0999999</v>
      </c>
      <c r="D15" s="8">
        <f>SUM(D8:D14)</f>
        <v>140311966</v>
      </c>
      <c r="E15" s="8">
        <f>SUM(E8:E14)</f>
        <v>421747503.09999996</v>
      </c>
    </row>
    <row r="17" spans="2:2" ht="15.75">
      <c r="B17" s="9" t="s">
        <v>14</v>
      </c>
    </row>
  </sheetData>
  <mergeCells count="3">
    <mergeCell ref="B4:E4"/>
    <mergeCell ref="B6:B7"/>
    <mergeCell ref="C6:E6"/>
  </mergeCells>
  <pageMargins left="0.19685039370078741" right="0.23622047244094491" top="0.59055118110236227" bottom="0.66929133858267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34" t="s">
        <v>15</v>
      </c>
      <c r="B1" s="134"/>
      <c r="C1" s="134"/>
      <c r="D1" s="134"/>
      <c r="E1" s="134"/>
      <c r="F1" s="134"/>
      <c r="G1" s="134"/>
      <c r="H1" s="134"/>
      <c r="I1" s="134"/>
    </row>
    <row r="2" spans="1:17">
      <c r="A2" s="135"/>
      <c r="B2" s="126" t="s">
        <v>16</v>
      </c>
      <c r="C2" s="137"/>
      <c r="D2" s="126" t="s">
        <v>17</v>
      </c>
      <c r="E2" s="137"/>
      <c r="F2" s="126" t="s">
        <v>18</v>
      </c>
      <c r="G2" s="127"/>
      <c r="H2" s="127"/>
      <c r="I2" s="128"/>
      <c r="J2" s="126" t="s">
        <v>19</v>
      </c>
      <c r="K2" s="127"/>
      <c r="L2" s="127"/>
      <c r="M2" s="128"/>
      <c r="N2" s="126" t="s">
        <v>20</v>
      </c>
      <c r="O2" s="127"/>
      <c r="P2" s="127"/>
      <c r="Q2" s="128"/>
    </row>
    <row r="3" spans="1:17" ht="45">
      <c r="A3" s="136"/>
      <c r="B3" s="10" t="s">
        <v>21</v>
      </c>
      <c r="C3" s="11" t="s">
        <v>22</v>
      </c>
      <c r="D3" s="10" t="s">
        <v>21</v>
      </c>
      <c r="E3" s="11" t="s">
        <v>22</v>
      </c>
      <c r="F3" s="10" t="s">
        <v>21</v>
      </c>
      <c r="G3" s="12" t="s">
        <v>22</v>
      </c>
      <c r="H3" s="12" t="s">
        <v>23</v>
      </c>
      <c r="I3" s="12" t="s">
        <v>24</v>
      </c>
      <c r="J3" s="10" t="s">
        <v>25</v>
      </c>
      <c r="K3" s="12" t="s">
        <v>26</v>
      </c>
      <c r="L3" s="12" t="s">
        <v>27</v>
      </c>
      <c r="M3" s="12" t="s">
        <v>28</v>
      </c>
      <c r="N3" s="10" t="s">
        <v>29</v>
      </c>
      <c r="O3" s="12" t="s">
        <v>30</v>
      </c>
      <c r="P3" s="12" t="s">
        <v>31</v>
      </c>
      <c r="Q3" s="12" t="s">
        <v>32</v>
      </c>
    </row>
    <row r="4" spans="1:17">
      <c r="A4" s="13" t="s">
        <v>33</v>
      </c>
      <c r="B4" s="14"/>
      <c r="C4" s="15"/>
      <c r="D4" s="14">
        <v>5527594</v>
      </c>
      <c r="E4" s="14">
        <v>4591830</v>
      </c>
      <c r="F4" s="14">
        <v>4185838</v>
      </c>
      <c r="G4" s="16">
        <v>4018569</v>
      </c>
      <c r="H4" s="16">
        <v>6705434.5800000001</v>
      </c>
      <c r="I4" s="17">
        <v>6705434.5800000001</v>
      </c>
      <c r="J4" s="14">
        <v>3691915</v>
      </c>
      <c r="K4" s="16">
        <v>3609011</v>
      </c>
      <c r="L4" s="16">
        <v>5605286.5800000001</v>
      </c>
      <c r="M4" s="16">
        <v>5605286.5800000001</v>
      </c>
      <c r="N4" s="14">
        <v>3408017</v>
      </c>
      <c r="O4" s="16">
        <v>3270491</v>
      </c>
      <c r="P4" s="16">
        <v>5251669.58</v>
      </c>
      <c r="Q4" s="16">
        <v>5251669.58</v>
      </c>
    </row>
    <row r="5" spans="1:17">
      <c r="A5" s="18" t="s">
        <v>34</v>
      </c>
      <c r="B5" s="14"/>
      <c r="C5" s="19"/>
      <c r="D5" s="14">
        <v>7808145</v>
      </c>
      <c r="E5" s="14">
        <v>6860657</v>
      </c>
      <c r="F5" s="20">
        <v>6358036</v>
      </c>
      <c r="G5" s="21">
        <v>6197280</v>
      </c>
      <c r="H5" s="21">
        <v>6681667.5800000001</v>
      </c>
      <c r="I5" s="22">
        <v>6681667.5800000001</v>
      </c>
      <c r="J5" s="20">
        <v>5783929</v>
      </c>
      <c r="K5" s="21">
        <v>5706725</v>
      </c>
      <c r="L5" s="21">
        <v>5571489.5800000001</v>
      </c>
      <c r="M5" s="21">
        <v>5571489.5800000001</v>
      </c>
      <c r="N5" s="20">
        <v>5444338</v>
      </c>
      <c r="O5" s="21">
        <v>5291845</v>
      </c>
      <c r="P5" s="21">
        <v>5223630.58</v>
      </c>
      <c r="Q5" s="21">
        <v>5223630.58</v>
      </c>
    </row>
    <row r="6" spans="1:17">
      <c r="A6" s="23" t="s">
        <v>35</v>
      </c>
      <c r="B6" s="14">
        <v>8489726</v>
      </c>
      <c r="C6" s="14">
        <v>8489726</v>
      </c>
      <c r="D6" s="14">
        <v>5250260</v>
      </c>
      <c r="E6" s="14">
        <v>4381930</v>
      </c>
      <c r="F6" s="20">
        <v>4048210</v>
      </c>
      <c r="G6" s="21">
        <v>3911494</v>
      </c>
      <c r="H6" s="21"/>
      <c r="I6" s="22"/>
      <c r="J6" s="20">
        <v>3570727</v>
      </c>
      <c r="K6" s="21">
        <v>3521186</v>
      </c>
      <c r="L6" s="21">
        <v>5330674.58</v>
      </c>
      <c r="M6" s="21">
        <v>5330674.58</v>
      </c>
      <c r="N6" s="20">
        <v>3342912</v>
      </c>
      <c r="O6" s="21">
        <v>3227365</v>
      </c>
      <c r="P6" s="21">
        <v>5021726.58</v>
      </c>
      <c r="Q6" s="21">
        <v>5021726.58</v>
      </c>
    </row>
    <row r="7" spans="1:17">
      <c r="A7" s="18" t="s">
        <v>36</v>
      </c>
      <c r="B7" s="20">
        <v>6962154</v>
      </c>
      <c r="C7" s="20">
        <v>6962154</v>
      </c>
      <c r="D7" s="20">
        <v>5482857</v>
      </c>
      <c r="E7" s="20">
        <v>4512633</v>
      </c>
      <c r="F7" s="20">
        <v>4090042</v>
      </c>
      <c r="G7" s="21">
        <v>3936136</v>
      </c>
      <c r="H7" s="21">
        <v>4925926</v>
      </c>
      <c r="I7" s="22">
        <f t="shared" ref="I7:I15" si="0">H7</f>
        <v>4925926</v>
      </c>
      <c r="J7" s="20">
        <v>3614673</v>
      </c>
      <c r="K7" s="21">
        <v>3542914</v>
      </c>
      <c r="L7" s="21">
        <v>5501084.5800000001</v>
      </c>
      <c r="M7" s="21">
        <v>5501084.5800000001</v>
      </c>
      <c r="N7" s="20">
        <v>3390448</v>
      </c>
      <c r="O7" s="21">
        <v>3244051</v>
      </c>
      <c r="P7" s="21">
        <v>5165199.58</v>
      </c>
      <c r="Q7" s="21">
        <v>5165199.58</v>
      </c>
    </row>
    <row r="8" spans="1:17">
      <c r="A8" s="23" t="s">
        <v>37</v>
      </c>
      <c r="B8" s="20">
        <v>6836109</v>
      </c>
      <c r="C8" s="20">
        <v>6836109</v>
      </c>
      <c r="D8" s="20"/>
      <c r="E8" s="20">
        <v>4422649</v>
      </c>
      <c r="F8" s="20">
        <v>4008834</v>
      </c>
      <c r="G8" s="21">
        <v>3872639</v>
      </c>
      <c r="H8" s="21">
        <v>5763303.5800000001</v>
      </c>
      <c r="I8" s="22">
        <f t="shared" si="0"/>
        <v>5763303.5800000001</v>
      </c>
      <c r="J8" s="20">
        <v>3555278</v>
      </c>
      <c r="K8" s="21">
        <v>3498713</v>
      </c>
      <c r="L8" s="21">
        <v>5399725.5800000001</v>
      </c>
      <c r="M8" s="21">
        <v>5399725.5800000001</v>
      </c>
      <c r="N8" s="20">
        <v>3364954</v>
      </c>
      <c r="O8" s="21">
        <v>3234889</v>
      </c>
      <c r="P8" s="21">
        <v>5080404.58</v>
      </c>
      <c r="Q8" s="21">
        <v>5080404.58</v>
      </c>
    </row>
    <row r="9" spans="1:17">
      <c r="A9" s="18" t="s">
        <v>38</v>
      </c>
      <c r="B9" s="20">
        <v>6941970</v>
      </c>
      <c r="C9" s="20">
        <v>6941970</v>
      </c>
      <c r="D9" s="20">
        <v>4541276</v>
      </c>
      <c r="E9" s="20">
        <v>4249268</v>
      </c>
      <c r="F9" s="20">
        <v>4005350</v>
      </c>
      <c r="G9" s="21">
        <v>3865782</v>
      </c>
      <c r="H9" s="21">
        <v>5809678.5800000001</v>
      </c>
      <c r="I9" s="22">
        <f t="shared" si="0"/>
        <v>5809678.5800000001</v>
      </c>
      <c r="J9" s="20">
        <v>3543648</v>
      </c>
      <c r="K9" s="21">
        <v>3484334</v>
      </c>
      <c r="L9" s="21">
        <v>5430666.5800000001</v>
      </c>
      <c r="M9" s="21">
        <v>5430666.5800000001</v>
      </c>
      <c r="N9" s="20">
        <v>3375232</v>
      </c>
      <c r="O9" s="21">
        <v>3238376</v>
      </c>
      <c r="P9" s="21">
        <v>5106771.58</v>
      </c>
      <c r="Q9" s="21">
        <v>5106771.58</v>
      </c>
    </row>
    <row r="10" spans="1:17">
      <c r="A10" s="23" t="s">
        <v>39</v>
      </c>
      <c r="B10" s="20">
        <v>6816327</v>
      </c>
      <c r="C10" s="20">
        <v>6816327</v>
      </c>
      <c r="D10" s="20">
        <v>4438963</v>
      </c>
      <c r="E10" s="20">
        <v>4179571</v>
      </c>
      <c r="F10" s="20">
        <v>3925826</v>
      </c>
      <c r="G10" s="21">
        <v>3804903</v>
      </c>
      <c r="H10" s="21">
        <v>5701087.5800000001</v>
      </c>
      <c r="I10" s="22">
        <f t="shared" si="0"/>
        <v>5701087.5800000001</v>
      </c>
      <c r="J10" s="20">
        <v>3485665</v>
      </c>
      <c r="K10" s="21">
        <v>3441480</v>
      </c>
      <c r="L10" s="21">
        <v>5330958.58</v>
      </c>
      <c r="M10" s="21">
        <v>5330958.58</v>
      </c>
      <c r="N10" s="20">
        <v>3350191</v>
      </c>
      <c r="O10" s="21">
        <v>3229393</v>
      </c>
      <c r="P10" s="21">
        <v>5023345.58</v>
      </c>
      <c r="Q10" s="21">
        <v>5023345.58</v>
      </c>
    </row>
    <row r="11" spans="1:17">
      <c r="A11" s="18" t="s">
        <v>40</v>
      </c>
      <c r="B11" s="20">
        <v>5270878</v>
      </c>
      <c r="C11" s="20">
        <v>5270878</v>
      </c>
      <c r="D11" s="20">
        <v>4442780</v>
      </c>
      <c r="E11" s="20">
        <v>4184842</v>
      </c>
      <c r="F11" s="20">
        <v>3918514</v>
      </c>
      <c r="G11" s="21">
        <v>3794095</v>
      </c>
      <c r="H11" s="21">
        <v>5744821.5800000001</v>
      </c>
      <c r="I11" s="22">
        <f t="shared" si="0"/>
        <v>5744821.5800000001</v>
      </c>
      <c r="J11" s="20">
        <v>3470824</v>
      </c>
      <c r="K11" s="21">
        <v>3424645</v>
      </c>
      <c r="L11" s="21">
        <v>5363855.58</v>
      </c>
      <c r="M11" s="21">
        <v>5363855.58</v>
      </c>
      <c r="N11" s="20">
        <v>3359939</v>
      </c>
      <c r="O11" s="21">
        <v>3232691</v>
      </c>
      <c r="P11" s="21">
        <v>5047290.58</v>
      </c>
      <c r="Q11" s="21">
        <v>5047290.58</v>
      </c>
    </row>
    <row r="12" spans="1:17">
      <c r="A12" s="23" t="s">
        <v>41</v>
      </c>
      <c r="B12" s="20">
        <v>5126566</v>
      </c>
      <c r="C12" s="20">
        <v>5126566</v>
      </c>
      <c r="D12" s="20">
        <v>4392928</v>
      </c>
      <c r="E12" s="20">
        <v>4152345</v>
      </c>
      <c r="F12" s="20">
        <v>3874494</v>
      </c>
      <c r="G12" s="21">
        <v>3757861</v>
      </c>
      <c r="H12" s="21">
        <v>8640296.5800000001</v>
      </c>
      <c r="I12" s="22">
        <f t="shared" si="0"/>
        <v>8640296.5800000001</v>
      </c>
      <c r="J12" s="20">
        <v>3438047</v>
      </c>
      <c r="K12" s="21">
        <v>3394434</v>
      </c>
      <c r="L12" s="21">
        <v>8166919.5800000001</v>
      </c>
      <c r="M12" s="21">
        <v>8166919.5800000001</v>
      </c>
      <c r="N12" s="20">
        <v>3352286</v>
      </c>
      <c r="O12" s="21">
        <v>3229848</v>
      </c>
      <c r="P12" s="21">
        <v>7753465.5800000001</v>
      </c>
      <c r="Q12" s="21">
        <v>7753465.5800000001</v>
      </c>
    </row>
    <row r="13" spans="1:17">
      <c r="A13" s="18" t="s">
        <v>42</v>
      </c>
      <c r="B13" s="20">
        <v>4542434</v>
      </c>
      <c r="C13" s="20">
        <v>4542434</v>
      </c>
      <c r="D13" s="20">
        <v>4293565</v>
      </c>
      <c r="E13" s="20">
        <v>4084877</v>
      </c>
      <c r="F13" s="20">
        <v>3797572</v>
      </c>
      <c r="G13" s="21">
        <v>3699463</v>
      </c>
      <c r="H13" s="21">
        <v>5631820.5800000001</v>
      </c>
      <c r="I13" s="22">
        <f t="shared" si="0"/>
        <v>5631820.5800000001</v>
      </c>
      <c r="J13" s="20">
        <v>3411135</v>
      </c>
      <c r="K13" s="21">
        <v>3353647</v>
      </c>
      <c r="L13" s="21">
        <v>5272990.58</v>
      </c>
      <c r="M13" s="21">
        <v>5272990.58</v>
      </c>
      <c r="N13" s="20">
        <v>3327929</v>
      </c>
      <c r="O13" s="21">
        <v>3221133</v>
      </c>
      <c r="P13" s="21">
        <v>4960196.58</v>
      </c>
      <c r="Q13" s="21">
        <v>4960196.58</v>
      </c>
    </row>
    <row r="14" spans="1:17">
      <c r="A14" s="23" t="s">
        <v>43</v>
      </c>
      <c r="B14" s="20">
        <v>4525388</v>
      </c>
      <c r="C14" s="20">
        <v>4525388</v>
      </c>
      <c r="D14" s="20">
        <v>4290677</v>
      </c>
      <c r="E14" s="20">
        <v>4086084</v>
      </c>
      <c r="F14" s="20">
        <v>3784345</v>
      </c>
      <c r="G14" s="21">
        <v>3684134</v>
      </c>
      <c r="H14" s="21">
        <v>5672613.5800000001</v>
      </c>
      <c r="I14" s="22">
        <f t="shared" si="0"/>
        <v>5672613.5800000001</v>
      </c>
      <c r="J14" s="20">
        <v>3423070</v>
      </c>
      <c r="K14" s="21">
        <v>3333043</v>
      </c>
      <c r="L14" s="21">
        <v>5307532.58</v>
      </c>
      <c r="M14" s="21">
        <v>5307532.58</v>
      </c>
      <c r="N14" s="20">
        <v>3336878</v>
      </c>
      <c r="O14" s="21">
        <v>3224149</v>
      </c>
      <c r="P14" s="21">
        <v>4981460.58</v>
      </c>
      <c r="Q14" s="21">
        <v>4981460.58</v>
      </c>
    </row>
    <row r="15" spans="1:17">
      <c r="A15" s="24" t="s">
        <v>44</v>
      </c>
      <c r="B15" s="25">
        <v>4500000</v>
      </c>
      <c r="C15" s="26"/>
      <c r="D15" s="25">
        <v>4193348</v>
      </c>
      <c r="E15" s="25">
        <v>4020139</v>
      </c>
      <c r="F15" s="25">
        <v>3709217</v>
      </c>
      <c r="G15" s="27">
        <v>3627431</v>
      </c>
      <c r="H15" s="27">
        <v>5567235.5800000001</v>
      </c>
      <c r="I15" s="22">
        <f t="shared" si="0"/>
        <v>5567235.5800000001</v>
      </c>
      <c r="J15" s="25">
        <v>3396604</v>
      </c>
      <c r="K15" s="27">
        <v>3293668</v>
      </c>
      <c r="L15" s="27">
        <v>5219401.58</v>
      </c>
      <c r="M15" s="27">
        <v>5219401.58</v>
      </c>
      <c r="N15" s="25">
        <v>3312980</v>
      </c>
      <c r="O15" s="27">
        <v>3215613</v>
      </c>
      <c r="P15" s="27">
        <v>4900971.58</v>
      </c>
      <c r="Q15" s="27">
        <v>4900971.58</v>
      </c>
    </row>
    <row r="16" spans="1:17">
      <c r="A16" s="28" t="s">
        <v>45</v>
      </c>
      <c r="B16" s="29">
        <f t="shared" ref="B16:C16" si="1">SUM(B4:B15)</f>
        <v>60011552</v>
      </c>
      <c r="C16" s="29">
        <f t="shared" si="1"/>
        <v>55511552</v>
      </c>
      <c r="D16" s="29">
        <f t="shared" ref="D16:E16" si="2">SUM(D4:D15)</f>
        <v>54662393</v>
      </c>
      <c r="E16" s="29">
        <f t="shared" si="2"/>
        <v>53726825</v>
      </c>
      <c r="F16" s="29">
        <f t="shared" ref="F16:G16" si="3">SUM(F4:F15)</f>
        <v>49706278</v>
      </c>
      <c r="G16" s="30">
        <f t="shared" si="3"/>
        <v>48169787</v>
      </c>
      <c r="H16" s="30">
        <f>SUM(H4:H15)</f>
        <v>66843885.79999999</v>
      </c>
      <c r="I16" s="31">
        <f>SUM(I4:I15)</f>
        <v>66843885.79999999</v>
      </c>
      <c r="J16" s="29">
        <f t="shared" ref="J16:K16" si="4">SUM(J4:J15)</f>
        <v>44385515</v>
      </c>
      <c r="K16" s="30">
        <f t="shared" si="4"/>
        <v>43603800</v>
      </c>
      <c r="L16" s="30">
        <f>SUM(L4:L15)</f>
        <v>67500585.959999993</v>
      </c>
      <c r="M16" s="31">
        <f>SUM(M4:M15)</f>
        <v>67500585.959999993</v>
      </c>
      <c r="N16" s="29">
        <f t="shared" ref="N16:O16" si="5">SUM(N4:N15)</f>
        <v>42366104</v>
      </c>
      <c r="O16" s="30">
        <f t="shared" si="5"/>
        <v>40859844</v>
      </c>
      <c r="P16" s="30">
        <f>SUM(P4:P15)</f>
        <v>63516132.959999986</v>
      </c>
      <c r="Q16" s="31">
        <f>SUM(Q4:Q15)</f>
        <v>63516132.959999986</v>
      </c>
    </row>
    <row r="17" spans="1:17">
      <c r="A17" s="32" t="s">
        <v>46</v>
      </c>
      <c r="B17" s="33">
        <f>B16/1.18</f>
        <v>50857247.457627118</v>
      </c>
      <c r="C17" s="33">
        <f>C16/1.18</f>
        <v>47043688.135593221</v>
      </c>
      <c r="D17" s="33">
        <f t="shared" ref="D17:E17" si="6">D16/1.2</f>
        <v>45551994.166666672</v>
      </c>
      <c r="E17" s="33">
        <f t="shared" si="6"/>
        <v>44772354.166666672</v>
      </c>
      <c r="F17" s="33">
        <f t="shared" ref="F17:G17" si="7">F16/1.2</f>
        <v>41421898.333333336</v>
      </c>
      <c r="G17" s="34">
        <f t="shared" si="7"/>
        <v>40141489.166666672</v>
      </c>
      <c r="H17" s="34">
        <f>H16/1.2</f>
        <v>55703238.166666657</v>
      </c>
      <c r="I17" s="35">
        <f>I16/1.2</f>
        <v>55703238.166666657</v>
      </c>
      <c r="J17" s="33">
        <f t="shared" ref="J17:K17" si="8">J16/1.2</f>
        <v>36987929.166666672</v>
      </c>
      <c r="K17" s="34">
        <f t="shared" si="8"/>
        <v>36336500</v>
      </c>
      <c r="L17" s="34">
        <f>L16/1.2</f>
        <v>56250488.299999997</v>
      </c>
      <c r="M17" s="35">
        <f>M16/1.2</f>
        <v>56250488.299999997</v>
      </c>
      <c r="N17" s="33">
        <f t="shared" ref="N17:O17" si="9">N16/1.2</f>
        <v>35305086.666666672</v>
      </c>
      <c r="O17" s="34">
        <f t="shared" si="9"/>
        <v>34049870</v>
      </c>
      <c r="P17" s="34">
        <f>P16/1.2</f>
        <v>52930110.79999999</v>
      </c>
      <c r="Q17" s="35">
        <f>Q16/1.2</f>
        <v>52930110.79999999</v>
      </c>
    </row>
    <row r="18" spans="1:17" ht="32.25" customHeight="1">
      <c r="A18" s="36" t="s">
        <v>47</v>
      </c>
      <c r="B18" s="129">
        <f>B17+C17</f>
        <v>97900935.593220338</v>
      </c>
      <c r="C18" s="130"/>
      <c r="D18" s="129">
        <f>D17+E17</f>
        <v>90324348.333333343</v>
      </c>
      <c r="E18" s="130"/>
      <c r="F18" s="131">
        <f>SUM(F17:I17)</f>
        <v>192969863.83333331</v>
      </c>
      <c r="G18" s="132"/>
      <c r="H18" s="132"/>
      <c r="I18" s="133"/>
      <c r="J18" s="131">
        <f>SUM(J17:M17)</f>
        <v>185825405.76666665</v>
      </c>
      <c r="K18" s="132"/>
      <c r="L18" s="132"/>
      <c r="M18" s="133"/>
      <c r="N18" s="131">
        <f>SUM(N17:Q17)</f>
        <v>175215178.26666665</v>
      </c>
      <c r="O18" s="132"/>
      <c r="P18" s="132"/>
      <c r="Q18" s="133"/>
    </row>
    <row r="19" spans="1:17">
      <c r="C19" s="37"/>
    </row>
    <row r="21" spans="1:17">
      <c r="B21" s="37"/>
    </row>
    <row r="27" spans="1:17">
      <c r="F27" t="s">
        <v>48</v>
      </c>
    </row>
  </sheetData>
  <mergeCells count="12">
    <mergeCell ref="A1:I1"/>
    <mergeCell ref="A2:A3"/>
    <mergeCell ref="B2:C2"/>
    <mergeCell ref="D2:E2"/>
    <mergeCell ref="F2:I2"/>
    <mergeCell ref="J2:M2"/>
    <mergeCell ref="N2:Q2"/>
    <mergeCell ref="B18:C18"/>
    <mergeCell ref="D18:E18"/>
    <mergeCell ref="F18:I18"/>
    <mergeCell ref="J18:M18"/>
    <mergeCell ref="N18:Q18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38" bestFit="1" customWidth="1"/>
    <col min="13" max="13" width="13.5703125" style="38" bestFit="1" customWidth="1"/>
    <col min="14" max="14" width="15.5703125" style="38" bestFit="1" customWidth="1"/>
    <col min="15" max="15" width="17" style="38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48" t="s">
        <v>49</v>
      </c>
      <c r="B1" s="148"/>
      <c r="C1" s="148"/>
      <c r="D1" s="148"/>
      <c r="E1" s="148"/>
      <c r="F1" s="148"/>
      <c r="G1" s="148"/>
      <c r="H1" s="148"/>
      <c r="I1" s="148"/>
      <c r="K1" s="149" t="s">
        <v>50</v>
      </c>
      <c r="L1" s="149"/>
      <c r="M1" s="149"/>
      <c r="N1" s="149"/>
      <c r="O1" s="149"/>
      <c r="P1" s="149"/>
    </row>
    <row r="2" spans="1:23" s="39" customFormat="1" ht="17.25" customHeight="1">
      <c r="A2" s="150"/>
      <c r="B2" s="153" t="s">
        <v>51</v>
      </c>
      <c r="C2" s="154"/>
      <c r="D2" s="154"/>
      <c r="E2" s="154"/>
      <c r="F2" s="154"/>
      <c r="G2" s="154"/>
      <c r="H2" s="154"/>
      <c r="I2" s="155"/>
      <c r="K2" s="156"/>
      <c r="L2" s="158" t="s">
        <v>52</v>
      </c>
      <c r="M2" s="158" t="s">
        <v>53</v>
      </c>
      <c r="N2" s="160" t="s">
        <v>54</v>
      </c>
      <c r="O2" s="161"/>
      <c r="P2" s="40" t="s">
        <v>45</v>
      </c>
    </row>
    <row r="3" spans="1:23" s="39" customFormat="1" ht="14.25" customHeight="1">
      <c r="A3" s="151"/>
      <c r="C3" s="41"/>
      <c r="D3" s="162" t="s">
        <v>55</v>
      </c>
      <c r="E3" s="163"/>
      <c r="G3" s="42"/>
      <c r="H3" s="164" t="s">
        <v>56</v>
      </c>
      <c r="I3" s="165"/>
      <c r="K3" s="157"/>
      <c r="L3" s="159"/>
      <c r="M3" s="159"/>
      <c r="N3" s="43" t="s">
        <v>56</v>
      </c>
      <c r="O3" s="43" t="s">
        <v>57</v>
      </c>
      <c r="P3" s="44"/>
    </row>
    <row r="4" spans="1:23" s="39" customFormat="1" ht="43.5" customHeight="1">
      <c r="A4" s="152"/>
      <c r="B4" s="45" t="s">
        <v>58</v>
      </c>
      <c r="C4" s="46" t="s">
        <v>59</v>
      </c>
      <c r="D4" s="47" t="s">
        <v>60</v>
      </c>
      <c r="E4" s="48" t="s">
        <v>61</v>
      </c>
      <c r="F4" s="49" t="s">
        <v>58</v>
      </c>
      <c r="G4" s="50" t="s">
        <v>59</v>
      </c>
      <c r="H4" s="10" t="s">
        <v>60</v>
      </c>
      <c r="I4" s="51" t="s">
        <v>61</v>
      </c>
      <c r="K4" s="52" t="s">
        <v>62</v>
      </c>
      <c r="L4" s="53">
        <f>L8*1.6</f>
        <v>270.40000000000003</v>
      </c>
      <c r="M4" s="53">
        <v>301.10000000000002</v>
      </c>
      <c r="N4" s="53">
        <f>(2567.1-O4-M4)*1.1</f>
        <v>1898.71</v>
      </c>
      <c r="O4" s="53">
        <f>210.6+243.3+33.5+52.5</f>
        <v>539.9</v>
      </c>
      <c r="P4" s="54"/>
    </row>
    <row r="5" spans="1:23" s="39" customFormat="1" ht="15.75">
      <c r="A5" s="55" t="s">
        <v>63</v>
      </c>
      <c r="B5" s="56">
        <v>8976699.6984082852</v>
      </c>
      <c r="C5" s="57"/>
      <c r="D5" s="56">
        <v>40708.810024072765</v>
      </c>
      <c r="E5" s="58">
        <f>D5*U16*T16</f>
        <v>44325.787794711629</v>
      </c>
      <c r="F5" s="56">
        <v>49190613.190936193</v>
      </c>
      <c r="G5" s="59"/>
      <c r="H5" s="56">
        <v>29410.548677729334</v>
      </c>
      <c r="I5" s="58">
        <f>H5*U16*T16</f>
        <v>32023.675927745582</v>
      </c>
      <c r="K5" s="60" t="s">
        <v>64</v>
      </c>
      <c r="L5" s="61">
        <f>E26*L4</f>
        <v>70682618.70526363</v>
      </c>
      <c r="M5" s="61">
        <f>M4*E26</f>
        <v>78707605.370395258</v>
      </c>
      <c r="N5" s="61">
        <f>I26*N4</f>
        <v>152688670.31058294</v>
      </c>
      <c r="O5" s="61">
        <f>O4*E26</f>
        <v>141129977.2151325</v>
      </c>
      <c r="P5" s="62">
        <f>L5+M5+N5+O5</f>
        <v>443208871.60137427</v>
      </c>
    </row>
    <row r="6" spans="1:23" s="39" customFormat="1" ht="15" customHeight="1">
      <c r="A6" s="63" t="s">
        <v>65</v>
      </c>
      <c r="B6" s="64">
        <v>3119462.7771668993</v>
      </c>
      <c r="C6" s="65"/>
      <c r="D6" s="64">
        <v>14146.581910874334</v>
      </c>
      <c r="E6" s="66">
        <f>D6*T16*U16</f>
        <v>15403.505713655519</v>
      </c>
      <c r="F6" s="64">
        <v>17350310.768736202</v>
      </c>
      <c r="G6" s="67"/>
      <c r="H6" s="64">
        <v>10373.567767024126</v>
      </c>
      <c r="I6" s="66">
        <f>H6*U16*T16</f>
        <v>11295.259263124219</v>
      </c>
      <c r="K6" s="60" t="s">
        <v>66</v>
      </c>
      <c r="L6" s="68">
        <v>28</v>
      </c>
      <c r="M6" s="68"/>
      <c r="N6" s="68"/>
      <c r="O6" s="68"/>
      <c r="P6" s="69"/>
    </row>
    <row r="7" spans="1:23" s="39" customFormat="1" ht="15.75">
      <c r="A7" s="63" t="s">
        <v>67</v>
      </c>
      <c r="B7" s="64">
        <v>95784.316229978445</v>
      </c>
      <c r="C7" s="65"/>
      <c r="D7" s="64">
        <v>434.37629236759534</v>
      </c>
      <c r="E7" s="66">
        <f>D7</f>
        <v>434.37629236759534</v>
      </c>
      <c r="F7" s="64">
        <v>472628.74838074559</v>
      </c>
      <c r="G7" s="67"/>
      <c r="H7" s="64">
        <v>282.57974253729071</v>
      </c>
      <c r="I7" s="66">
        <f>H7</f>
        <v>282.57974253729071</v>
      </c>
      <c r="K7" s="60" t="s">
        <v>68</v>
      </c>
      <c r="L7" s="68">
        <f>7500*1.037</f>
        <v>7777.4999999999991</v>
      </c>
      <c r="M7" s="68"/>
      <c r="N7" s="68"/>
      <c r="O7" s="68"/>
      <c r="P7" s="69"/>
    </row>
    <row r="8" spans="1:23" s="39" customFormat="1" ht="30">
      <c r="A8" s="63" t="s">
        <v>69</v>
      </c>
      <c r="B8" s="64">
        <v>3425187.2900346247</v>
      </c>
      <c r="C8" s="65"/>
      <c r="D8" s="64">
        <v>15533.024760938846</v>
      </c>
      <c r="E8" s="66">
        <f>E10+E12+E14</f>
        <v>16816.487530885701</v>
      </c>
      <c r="F8" s="64">
        <v>30759500.195529565</v>
      </c>
      <c r="G8" s="67"/>
      <c r="H8" s="64">
        <v>18390.780661582354</v>
      </c>
      <c r="I8" s="66">
        <f>I10+I12+I14+I15+I16+I17</f>
        <v>19910.374086087581</v>
      </c>
      <c r="K8" s="70" t="s">
        <v>70</v>
      </c>
      <c r="L8" s="68">
        <v>169</v>
      </c>
      <c r="M8" s="68"/>
      <c r="N8" s="68"/>
      <c r="O8" s="68"/>
      <c r="P8" s="69"/>
    </row>
    <row r="9" spans="1:23" s="39" customFormat="1" ht="15.75">
      <c r="A9" s="71" t="s">
        <v>71</v>
      </c>
      <c r="B9" s="64"/>
      <c r="C9" s="65"/>
      <c r="D9" s="64"/>
      <c r="E9" s="66"/>
      <c r="F9" s="64"/>
      <c r="G9" s="67"/>
      <c r="H9" s="64"/>
      <c r="I9" s="66"/>
      <c r="K9" s="60" t="s">
        <v>72</v>
      </c>
      <c r="L9" s="61">
        <f>L6*L7*L8</f>
        <v>36803129.999999993</v>
      </c>
      <c r="M9" s="61" t="e">
        <f>#REF!*1000</f>
        <v>#REF!</v>
      </c>
      <c r="N9" s="140">
        <v>68322.31</v>
      </c>
      <c r="O9" s="141"/>
      <c r="P9" s="62" t="e">
        <f>#REF!*1000</f>
        <v>#REF!</v>
      </c>
    </row>
    <row r="10" spans="1:23" s="39" customFormat="1">
      <c r="A10" s="72" t="s">
        <v>73</v>
      </c>
      <c r="B10" s="73">
        <v>2980511.7638669768</v>
      </c>
      <c r="C10" s="74"/>
      <c r="D10" s="75">
        <v>13516.447162790699</v>
      </c>
      <c r="E10" s="76">
        <f>D10*U17*T17</f>
        <v>14633.284158957767</v>
      </c>
      <c r="F10" s="73">
        <v>24392221.669475846</v>
      </c>
      <c r="G10" s="74"/>
      <c r="H10" s="75">
        <v>14583.852004110997</v>
      </c>
      <c r="I10" s="76">
        <f>H10*U17*T17</f>
        <v>15788.88652750668</v>
      </c>
      <c r="K10" s="77" t="s">
        <v>74</v>
      </c>
      <c r="L10" s="78">
        <f>L5-L9</f>
        <v>33879488.705263637</v>
      </c>
      <c r="M10" s="78" t="e">
        <f>M5-M9</f>
        <v>#REF!</v>
      </c>
      <c r="N10" s="142">
        <f>N5+O5-N9</f>
        <v>293750325.21571547</v>
      </c>
      <c r="O10" s="143"/>
      <c r="P10" s="79" t="e">
        <f>#REF!*1000</f>
        <v>#REF!</v>
      </c>
    </row>
    <row r="11" spans="1:23" s="39" customFormat="1">
      <c r="A11" s="72" t="s">
        <v>75</v>
      </c>
      <c r="B11" s="73">
        <v>0</v>
      </c>
      <c r="C11" s="74"/>
      <c r="D11" s="75">
        <v>0</v>
      </c>
      <c r="E11" s="76"/>
      <c r="F11" s="73">
        <v>0</v>
      </c>
      <c r="G11" s="74"/>
      <c r="H11" s="75"/>
      <c r="I11" s="76"/>
    </row>
    <row r="12" spans="1:23" s="39" customFormat="1">
      <c r="A12" s="72" t="s">
        <v>76</v>
      </c>
      <c r="B12" s="73">
        <v>81423.762214159447</v>
      </c>
      <c r="C12" s="74"/>
      <c r="D12" s="75">
        <v>369.25201675279783</v>
      </c>
      <c r="E12" s="76">
        <f>D12*U17*T17</f>
        <v>399.762572393048</v>
      </c>
      <c r="F12" s="73">
        <v>539702.34816745401</v>
      </c>
      <c r="G12" s="74"/>
      <c r="H12" s="75">
        <v>322.68234023942722</v>
      </c>
      <c r="I12" s="76">
        <f>H12*U17*T17</f>
        <v>349.3449366487306</v>
      </c>
      <c r="K12" s="134" t="s">
        <v>15</v>
      </c>
      <c r="L12" s="134"/>
      <c r="M12" s="134"/>
      <c r="N12" s="134"/>
      <c r="O12" s="134"/>
      <c r="P12" s="134"/>
    </row>
    <row r="13" spans="1:23" s="39" customFormat="1" ht="45">
      <c r="A13" s="72" t="s">
        <v>77</v>
      </c>
      <c r="B13" s="73"/>
      <c r="C13" s="74"/>
      <c r="D13" s="75"/>
      <c r="E13" s="76"/>
      <c r="F13" s="73">
        <v>0</v>
      </c>
      <c r="G13" s="74"/>
      <c r="H13" s="75"/>
      <c r="I13" s="76"/>
      <c r="K13" s="80"/>
      <c r="L13" s="81" t="s">
        <v>21</v>
      </c>
      <c r="M13" s="81" t="s">
        <v>22</v>
      </c>
      <c r="N13" s="81" t="s">
        <v>78</v>
      </c>
      <c r="O13" s="81" t="s">
        <v>78</v>
      </c>
      <c r="P13" s="82" t="s">
        <v>79</v>
      </c>
    </row>
    <row r="14" spans="1:23" s="39" customFormat="1" ht="24">
      <c r="A14" s="72" t="s">
        <v>80</v>
      </c>
      <c r="B14" s="73">
        <v>363251.76395348838</v>
      </c>
      <c r="C14" s="74"/>
      <c r="D14" s="75">
        <v>1647.325581395349</v>
      </c>
      <c r="E14" s="76">
        <f>D14*U17*T17</f>
        <v>1783.4407995348838</v>
      </c>
      <c r="F14" s="73">
        <v>2558098.471976704</v>
      </c>
      <c r="G14" s="74"/>
      <c r="H14" s="75">
        <v>1529.4600890715997</v>
      </c>
      <c r="I14" s="76">
        <f>H14*U17*T17</f>
        <v>1655.8363173114076</v>
      </c>
      <c r="K14" s="83" t="s">
        <v>33</v>
      </c>
      <c r="L14" s="84">
        <v>4185838</v>
      </c>
      <c r="M14" s="84">
        <v>4018569</v>
      </c>
      <c r="N14" s="84">
        <v>6705434.5800000001</v>
      </c>
      <c r="O14" s="84">
        <v>6705434.5800000001</v>
      </c>
      <c r="P14" s="85"/>
    </row>
    <row r="15" spans="1:23" s="39" customFormat="1">
      <c r="A15" s="86" t="s">
        <v>81</v>
      </c>
      <c r="B15" s="73"/>
      <c r="C15" s="74"/>
      <c r="D15" s="75"/>
      <c r="E15" s="76"/>
      <c r="F15" s="73">
        <v>3147941.9375128467</v>
      </c>
      <c r="G15" s="74"/>
      <c r="H15" s="75">
        <v>1882.1212744090442</v>
      </c>
      <c r="I15" s="76">
        <f>H15*U17*T17</f>
        <v>2037.6371910709147</v>
      </c>
      <c r="K15" s="87" t="s">
        <v>34</v>
      </c>
      <c r="L15" s="21">
        <v>6358036</v>
      </c>
      <c r="M15" s="21">
        <v>6197280</v>
      </c>
      <c r="N15" s="21">
        <v>6681667.5800000001</v>
      </c>
      <c r="O15" s="21">
        <v>6681667.5800000001</v>
      </c>
      <c r="P15" s="88"/>
      <c r="S15" s="89"/>
      <c r="T15" s="90">
        <v>2019</v>
      </c>
      <c r="U15" s="90">
        <v>2020</v>
      </c>
      <c r="V15" s="90">
        <v>2021</v>
      </c>
      <c r="W15" s="90">
        <v>2022</v>
      </c>
    </row>
    <row r="16" spans="1:23" s="39" customFormat="1" ht="24">
      <c r="A16" s="72" t="s">
        <v>82</v>
      </c>
      <c r="B16" s="73"/>
      <c r="C16" s="74"/>
      <c r="D16" s="75"/>
      <c r="E16" s="76"/>
      <c r="F16" s="73">
        <v>7263.1873244261724</v>
      </c>
      <c r="G16" s="74"/>
      <c r="H16" s="75">
        <v>4.3425830763960258</v>
      </c>
      <c r="I16" s="76">
        <f>H16*U17*T17</f>
        <v>4.701402030832476</v>
      </c>
      <c r="K16" s="91" t="s">
        <v>35</v>
      </c>
      <c r="L16" s="21">
        <v>4048210</v>
      </c>
      <c r="M16" s="21">
        <v>3911494</v>
      </c>
      <c r="N16" s="21"/>
      <c r="O16" s="21"/>
      <c r="P16" s="88"/>
      <c r="S16" s="92" t="s">
        <v>83</v>
      </c>
      <c r="T16" s="92">
        <v>1.05</v>
      </c>
      <c r="U16" s="92">
        <v>1.0369999999999999</v>
      </c>
      <c r="V16" s="89">
        <v>1.04</v>
      </c>
      <c r="W16" s="92">
        <v>1.04</v>
      </c>
    </row>
    <row r="17" spans="1:23" s="39" customFormat="1">
      <c r="A17" s="72" t="s">
        <v>84</v>
      </c>
      <c r="B17" s="73"/>
      <c r="C17" s="74"/>
      <c r="D17" s="75"/>
      <c r="E17" s="76"/>
      <c r="F17" s="73">
        <v>114272.58107228501</v>
      </c>
      <c r="G17" s="74"/>
      <c r="H17" s="75">
        <v>68.32237067488866</v>
      </c>
      <c r="I17" s="76">
        <f>H17*U17*T17</f>
        <v>73.967711519013349</v>
      </c>
      <c r="K17" s="87" t="s">
        <v>36</v>
      </c>
      <c r="L17" s="21">
        <v>4090042</v>
      </c>
      <c r="M17" s="21">
        <v>3936136</v>
      </c>
      <c r="N17" s="93">
        <v>4925926</v>
      </c>
      <c r="O17" s="93">
        <v>4925926</v>
      </c>
      <c r="P17" s="88"/>
      <c r="S17" s="94" t="s">
        <v>85</v>
      </c>
      <c r="T17" s="95">
        <v>1.044</v>
      </c>
      <c r="U17" s="95">
        <v>1.0369999999999999</v>
      </c>
      <c r="V17" s="89">
        <v>1.038</v>
      </c>
      <c r="W17" s="96">
        <v>1.04</v>
      </c>
    </row>
    <row r="18" spans="1:23" s="39" customFormat="1" ht="15" customHeight="1">
      <c r="A18" s="97" t="s">
        <v>86</v>
      </c>
      <c r="B18" s="64">
        <v>51794066.893672287</v>
      </c>
      <c r="C18" s="65"/>
      <c r="D18" s="64">
        <v>234883.07511528861</v>
      </c>
      <c r="E18" s="66">
        <f>E20+E21+E23+E24+E25</f>
        <v>184420.05977364443</v>
      </c>
      <c r="F18" s="64">
        <v>26820319.815585203</v>
      </c>
      <c r="G18" s="65"/>
      <c r="H18" s="64">
        <v>16035.586269818663</v>
      </c>
      <c r="I18" s="66">
        <f>I20+I21+I23+I24+I25</f>
        <v>16905.167987938232</v>
      </c>
      <c r="K18" s="91" t="s">
        <v>37</v>
      </c>
      <c r="L18" s="21">
        <v>4008834</v>
      </c>
      <c r="M18" s="21">
        <v>3872639</v>
      </c>
      <c r="N18" s="21">
        <v>5763303.5800000001</v>
      </c>
      <c r="O18" s="21">
        <v>5763303.5800000001</v>
      </c>
      <c r="P18" s="88"/>
      <c r="S18" s="94" t="s">
        <v>87</v>
      </c>
      <c r="T18" s="95">
        <v>1.0009999999999999</v>
      </c>
      <c r="U18" s="95">
        <v>0.99099999999999999</v>
      </c>
      <c r="V18" s="89">
        <v>1.014</v>
      </c>
      <c r="W18" s="98">
        <v>1.0169999999999999</v>
      </c>
    </row>
    <row r="19" spans="1:23" s="39" customFormat="1">
      <c r="A19" s="71" t="s">
        <v>71</v>
      </c>
      <c r="B19" s="75"/>
      <c r="C19" s="99"/>
      <c r="D19" s="75"/>
      <c r="E19" s="76"/>
      <c r="F19" s="75"/>
      <c r="G19" s="99"/>
      <c r="H19" s="75"/>
      <c r="I19" s="76"/>
      <c r="K19" s="87" t="s">
        <v>38</v>
      </c>
      <c r="L19" s="21">
        <v>4005350</v>
      </c>
      <c r="M19" s="21">
        <v>3865782</v>
      </c>
      <c r="N19" s="21">
        <v>5809678.5800000001</v>
      </c>
      <c r="O19" s="21">
        <v>5809678.5800000001</v>
      </c>
      <c r="P19" s="88"/>
    </row>
    <row r="20" spans="1:23" s="39" customFormat="1" ht="33" customHeight="1">
      <c r="A20" s="72" t="s">
        <v>88</v>
      </c>
      <c r="B20" s="73">
        <v>232636</v>
      </c>
      <c r="C20" s="74"/>
      <c r="D20" s="75">
        <v>1054.9907033694617</v>
      </c>
      <c r="E20" s="76">
        <f>D20*U16*T16</f>
        <v>1148.7266273638384</v>
      </c>
      <c r="F20" s="73">
        <v>215646</v>
      </c>
      <c r="G20" s="74"/>
      <c r="H20" s="75">
        <v>128.93246838659533</v>
      </c>
      <c r="I20" s="76">
        <f>H20*U16*T16</f>
        <v>140.38811820274432</v>
      </c>
      <c r="K20" s="91" t="s">
        <v>39</v>
      </c>
      <c r="L20" s="21">
        <v>3925826</v>
      </c>
      <c r="M20" s="21">
        <v>3804903</v>
      </c>
      <c r="N20" s="21">
        <v>5701087.5800000001</v>
      </c>
      <c r="O20" s="21">
        <v>5701087.5800000001</v>
      </c>
      <c r="P20" s="88"/>
    </row>
    <row r="21" spans="1:23" s="39" customFormat="1" ht="21.75" customHeight="1">
      <c r="A21" s="72" t="s">
        <v>89</v>
      </c>
      <c r="B21" s="73">
        <v>3206083.15</v>
      </c>
      <c r="C21" s="74"/>
      <c r="D21" s="75">
        <v>14539.400253956737</v>
      </c>
      <c r="E21" s="76">
        <f>D21*U16*T16</f>
        <v>15831.225966520791</v>
      </c>
      <c r="F21" s="73">
        <v>8833879.6999999993</v>
      </c>
      <c r="G21" s="74"/>
      <c r="H21" s="75">
        <v>5281.6834773250421</v>
      </c>
      <c r="I21" s="76">
        <f>H21*U16*T16</f>
        <v>5750.9610542853716</v>
      </c>
      <c r="K21" s="87" t="s">
        <v>40</v>
      </c>
      <c r="L21" s="21">
        <v>3918514</v>
      </c>
      <c r="M21" s="21">
        <v>3794095</v>
      </c>
      <c r="N21" s="21">
        <v>5744821.5800000001</v>
      </c>
      <c r="O21" s="21">
        <v>5744821.5800000001</v>
      </c>
      <c r="P21" s="88"/>
    </row>
    <row r="22" spans="1:23" s="39" customFormat="1" ht="15" customHeight="1">
      <c r="A22" s="72" t="s">
        <v>90</v>
      </c>
      <c r="B22" s="73"/>
      <c r="C22" s="74"/>
      <c r="D22" s="75"/>
      <c r="E22" s="76"/>
      <c r="F22" s="73">
        <v>309135</v>
      </c>
      <c r="G22" s="74"/>
      <c r="H22" s="75">
        <v>184.82855520014351</v>
      </c>
      <c r="I22" s="76">
        <f>H22*U16*T16</f>
        <v>201.25057232967626</v>
      </c>
      <c r="K22" s="91" t="s">
        <v>41</v>
      </c>
      <c r="L22" s="21">
        <v>3874494</v>
      </c>
      <c r="M22" s="21">
        <v>3757861</v>
      </c>
      <c r="N22" s="21">
        <v>8640296.5800000001</v>
      </c>
      <c r="O22" s="21">
        <v>8640296.5800000001</v>
      </c>
      <c r="P22" s="88"/>
    </row>
    <row r="23" spans="1:23" s="39" customFormat="1">
      <c r="A23" s="72" t="s">
        <v>91</v>
      </c>
      <c r="B23" s="73">
        <v>64983.784186046512</v>
      </c>
      <c r="C23" s="74"/>
      <c r="D23" s="75">
        <v>294.69767441860466</v>
      </c>
      <c r="E23" s="76">
        <f>D23*U16*T16</f>
        <v>320.88156279069767</v>
      </c>
      <c r="F23" s="73">
        <v>245086.16022610481</v>
      </c>
      <c r="G23" s="74"/>
      <c r="H23" s="75">
        <v>146.5344295991778</v>
      </c>
      <c r="I23" s="76">
        <f>H23*U16*T16</f>
        <v>159.55401366906474</v>
      </c>
      <c r="K23" s="87" t="s">
        <v>42</v>
      </c>
      <c r="L23" s="21">
        <v>3797572</v>
      </c>
      <c r="M23" s="21">
        <v>3699463</v>
      </c>
      <c r="N23" s="21">
        <v>5631820.5800000001</v>
      </c>
      <c r="O23" s="21">
        <v>5631820.5800000001</v>
      </c>
      <c r="P23" s="88"/>
    </row>
    <row r="24" spans="1:23" s="39" customFormat="1" ht="46.5" customHeight="1">
      <c r="A24" s="72" t="s">
        <v>92</v>
      </c>
      <c r="B24" s="73">
        <v>45363118.741000004</v>
      </c>
      <c r="C24" s="74"/>
      <c r="D24" s="100">
        <v>205719.10000000003</v>
      </c>
      <c r="E24" s="101">
        <f>P30</f>
        <v>156264.96081518804</v>
      </c>
      <c r="F24" s="73">
        <v>0</v>
      </c>
      <c r="G24" s="74"/>
      <c r="H24" s="102"/>
      <c r="I24" s="103"/>
      <c r="K24" s="91" t="s">
        <v>43</v>
      </c>
      <c r="L24" s="21">
        <v>3784345</v>
      </c>
      <c r="M24" s="21">
        <v>3684134</v>
      </c>
      <c r="N24" s="21">
        <v>5672613.5800000001</v>
      </c>
      <c r="O24" s="21">
        <v>5672613.5800000001</v>
      </c>
      <c r="P24" s="88"/>
    </row>
    <row r="25" spans="1:23" s="39" customFormat="1" ht="24">
      <c r="A25" s="104" t="s">
        <v>93</v>
      </c>
      <c r="B25" s="73">
        <v>2198166.8103418658</v>
      </c>
      <c r="C25" s="74"/>
      <c r="D25" s="75">
        <v>9968.5583889250647</v>
      </c>
      <c r="E25" s="76">
        <f>D25*U16*T16</f>
        <v>10854.264801781057</v>
      </c>
      <c r="F25" s="73">
        <v>16672912.333396608</v>
      </c>
      <c r="G25" s="74"/>
      <c r="H25" s="75">
        <v>9968.5583889250593</v>
      </c>
      <c r="I25" s="76">
        <f>H25*U16*T16</f>
        <v>10854.264801781052</v>
      </c>
      <c r="K25" s="87" t="s">
        <v>44</v>
      </c>
      <c r="L25" s="21">
        <v>3709217</v>
      </c>
      <c r="M25" s="21">
        <v>3627431</v>
      </c>
      <c r="N25" s="21">
        <v>5567235.5800000001</v>
      </c>
      <c r="O25" s="21">
        <v>5567235.5800000001</v>
      </c>
      <c r="P25" s="88"/>
    </row>
    <row r="26" spans="1:23" s="39" customFormat="1">
      <c r="A26" s="105" t="s">
        <v>94</v>
      </c>
      <c r="B26" s="106">
        <v>67411200.975512072</v>
      </c>
      <c r="C26" s="107">
        <f>220.51+260.39</f>
        <v>480.9</v>
      </c>
      <c r="D26" s="108">
        <v>305705.86810354213</v>
      </c>
      <c r="E26" s="109">
        <f>E5+E6+E7+E8+E18</f>
        <v>261400.21710526489</v>
      </c>
      <c r="F26" s="106">
        <v>124593372.71916789</v>
      </c>
      <c r="G26" s="110">
        <v>1672.55</v>
      </c>
      <c r="H26" s="111">
        <v>74493.063118691774</v>
      </c>
      <c r="I26" s="109">
        <f>I5+I6+I7+I8+I18</f>
        <v>80417.057007432901</v>
      </c>
      <c r="K26" s="112" t="s">
        <v>45</v>
      </c>
      <c r="L26" s="34">
        <f t="shared" ref="L26:M26" si="0">SUM(L14:L25)</f>
        <v>49706278</v>
      </c>
      <c r="M26" s="34">
        <f t="shared" si="0"/>
        <v>48169787</v>
      </c>
      <c r="N26" s="34">
        <f>SUM(N14:N25)</f>
        <v>66843885.79999999</v>
      </c>
      <c r="O26" s="34">
        <f>SUM(O14:O25)</f>
        <v>66843885.79999999</v>
      </c>
      <c r="P26" s="88"/>
    </row>
    <row r="27" spans="1:23" s="39" customFormat="1" ht="29.25" customHeight="1">
      <c r="K27" s="113" t="s">
        <v>46</v>
      </c>
      <c r="L27" s="114">
        <f t="shared" ref="L27:M27" si="1">L26/1.2</f>
        <v>41421898.333333336</v>
      </c>
      <c r="M27" s="114">
        <f t="shared" si="1"/>
        <v>40141489.166666672</v>
      </c>
      <c r="N27" s="114">
        <f>N26/1.2</f>
        <v>55703238.166666657</v>
      </c>
      <c r="O27" s="114">
        <f>O26/1.2</f>
        <v>55703238.166666657</v>
      </c>
      <c r="P27" s="115">
        <f>SUM(L27:O27)</f>
        <v>192969863.83333331</v>
      </c>
      <c r="Q27" s="116"/>
      <c r="R27" s="116"/>
      <c r="S27" s="116"/>
      <c r="T27" s="116"/>
    </row>
    <row r="28" spans="1:23" s="39" customFormat="1" ht="22.5" customHeight="1">
      <c r="K28" s="144" t="s">
        <v>95</v>
      </c>
      <c r="L28" s="145"/>
      <c r="M28" s="145"/>
      <c r="N28" s="145"/>
      <c r="O28" s="145"/>
      <c r="P28" s="117">
        <f>P27*0.9</f>
        <v>173672877.44999999</v>
      </c>
    </row>
    <row r="29" spans="1:23" ht="15" customHeight="1">
      <c r="K29" s="146" t="s">
        <v>96</v>
      </c>
      <c r="L29" s="147"/>
      <c r="M29" s="147"/>
      <c r="N29" s="147"/>
      <c r="O29" s="147"/>
      <c r="P29" s="118">
        <f>O4+L4+M4</f>
        <v>1111.4000000000001</v>
      </c>
    </row>
    <row r="30" spans="1:23" ht="19.5" customHeight="1">
      <c r="K30" s="138" t="s">
        <v>97</v>
      </c>
      <c r="L30" s="139"/>
      <c r="M30" s="139"/>
      <c r="N30" s="139"/>
      <c r="O30" s="139"/>
      <c r="P30" s="119">
        <f>P28/P29</f>
        <v>156264.96081518804</v>
      </c>
    </row>
    <row r="31" spans="1:23" ht="13.5" customHeight="1"/>
    <row r="43" spans="17:19" ht="15" customHeight="1">
      <c r="Q43" s="120"/>
      <c r="R43" s="120"/>
      <c r="S43" s="121"/>
    </row>
    <row r="44" spans="17:19" ht="15.75" customHeight="1">
      <c r="Q44" s="120"/>
      <c r="R44" s="120"/>
      <c r="S44" s="121"/>
    </row>
    <row r="45" spans="17:19">
      <c r="Q45" s="122"/>
      <c r="R45" s="122"/>
      <c r="S45" s="123"/>
    </row>
    <row r="46" spans="17:19" ht="19.5" customHeight="1"/>
    <row r="47" spans="17:19" ht="16.5" customHeight="1"/>
  </sheetData>
  <mergeCells count="16"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  <mergeCell ref="K30:O30"/>
    <mergeCell ref="N9:O9"/>
    <mergeCell ref="N10:O10"/>
    <mergeCell ref="K12:P12"/>
    <mergeCell ref="K28:O28"/>
    <mergeCell ref="K29:O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АВИА</vt:lpstr>
      <vt:lpstr>Лизинг</vt:lpstr>
      <vt:lpstr>авиа расчет</vt:lpstr>
      <vt:lpstr>'авиа расчет'!Область_печати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28</cp:revision>
  <cp:lastPrinted>2024-10-05T08:46:49Z</cp:lastPrinted>
  <dcterms:created xsi:type="dcterms:W3CDTF">2017-08-04T07:55:22Z</dcterms:created>
  <dcterms:modified xsi:type="dcterms:W3CDTF">2024-10-05T08:46:51Z</dcterms:modified>
</cp:coreProperties>
</file>