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Сводный план 2025" sheetId="1" r:id="rId1"/>
  </sheets>
  <definedNames>
    <definedName name="Print_Titles" localSheetId="0">'Сводный план 2025'!$7:$8</definedName>
    <definedName name="_xlnm.Print_Titles" localSheetId="0">'Сводный план 2025'!$7:$9</definedName>
  </definedNames>
  <calcPr calcId="125725"/>
</workbook>
</file>

<file path=xl/calcChain.xml><?xml version="1.0" encoding="utf-8"?>
<calcChain xmlns="http://schemas.openxmlformats.org/spreadsheetml/2006/main">
  <c r="N96" i="1"/>
  <c r="L96"/>
  <c r="O95"/>
  <c r="O94"/>
  <c r="O93"/>
  <c r="O92"/>
  <c r="O91"/>
  <c r="O90"/>
  <c r="O89"/>
  <c r="O88"/>
  <c r="J88"/>
  <c r="I88"/>
  <c r="H88"/>
  <c r="G88"/>
  <c r="O87"/>
  <c r="J87"/>
  <c r="I87"/>
  <c r="H87"/>
  <c r="G87"/>
  <c r="O86"/>
  <c r="J86"/>
  <c r="I86"/>
  <c r="H86"/>
  <c r="G86"/>
  <c r="O85"/>
  <c r="J85"/>
  <c r="I85"/>
  <c r="H85"/>
  <c r="G85"/>
  <c r="O84"/>
  <c r="J84"/>
  <c r="I84"/>
  <c r="H84"/>
  <c r="G84"/>
  <c r="O83"/>
  <c r="J83"/>
  <c r="I83"/>
  <c r="H83"/>
  <c r="G83"/>
  <c r="O82"/>
  <c r="J82"/>
  <c r="I82"/>
  <c r="H82"/>
  <c r="O81"/>
  <c r="J81"/>
  <c r="I81"/>
  <c r="H81"/>
  <c r="G81"/>
  <c r="O80"/>
  <c r="J80"/>
  <c r="I80"/>
  <c r="H80"/>
  <c r="G80"/>
  <c r="O79"/>
  <c r="J79"/>
  <c r="I79"/>
  <c r="H79"/>
  <c r="G79"/>
  <c r="K79" s="1"/>
  <c r="O78"/>
  <c r="J78"/>
  <c r="I78"/>
  <c r="H78"/>
  <c r="G78"/>
  <c r="O77"/>
  <c r="J77"/>
  <c r="I77"/>
  <c r="H77"/>
  <c r="G77"/>
  <c r="O76"/>
  <c r="J76"/>
  <c r="I76"/>
  <c r="H76"/>
  <c r="G76"/>
  <c r="O75"/>
  <c r="J75"/>
  <c r="G75"/>
  <c r="O74"/>
  <c r="J74"/>
  <c r="I74"/>
  <c r="H74"/>
  <c r="G74"/>
  <c r="O73"/>
  <c r="J73"/>
  <c r="G73"/>
  <c r="K73" s="1"/>
  <c r="O72"/>
  <c r="J72"/>
  <c r="G72"/>
  <c r="O71"/>
  <c r="J71"/>
  <c r="G71"/>
  <c r="O70"/>
  <c r="J70"/>
  <c r="I70"/>
  <c r="K70" s="1"/>
  <c r="G70"/>
  <c r="O69"/>
  <c r="J69"/>
  <c r="I69"/>
  <c r="H69"/>
  <c r="G69"/>
  <c r="O68"/>
  <c r="J68"/>
  <c r="I68"/>
  <c r="H68"/>
  <c r="G68"/>
  <c r="O67"/>
  <c r="J67"/>
  <c r="I67"/>
  <c r="H67"/>
  <c r="G67"/>
  <c r="O66"/>
  <c r="J66"/>
  <c r="I66"/>
  <c r="H66"/>
  <c r="G66"/>
  <c r="O65"/>
  <c r="J65"/>
  <c r="I65"/>
  <c r="H65"/>
  <c r="G65"/>
  <c r="O64"/>
  <c r="J64"/>
  <c r="I64"/>
  <c r="H64"/>
  <c r="G64"/>
  <c r="K64" s="1"/>
  <c r="O63"/>
  <c r="I63"/>
  <c r="H63"/>
  <c r="K63" s="1"/>
  <c r="O62"/>
  <c r="J62"/>
  <c r="I62"/>
  <c r="H62"/>
  <c r="G62"/>
  <c r="O61"/>
  <c r="J61"/>
  <c r="I61"/>
  <c r="H61"/>
  <c r="G61"/>
  <c r="O60"/>
  <c r="J60"/>
  <c r="I60"/>
  <c r="H60"/>
  <c r="G60"/>
  <c r="O59"/>
  <c r="J59"/>
  <c r="I59"/>
  <c r="H59"/>
  <c r="G59"/>
  <c r="K59" s="1"/>
  <c r="O58"/>
  <c r="J58"/>
  <c r="I58"/>
  <c r="H58"/>
  <c r="G58"/>
  <c r="O57"/>
  <c r="J57"/>
  <c r="I57"/>
  <c r="H57"/>
  <c r="G57"/>
  <c r="O56"/>
  <c r="J56"/>
  <c r="I56"/>
  <c r="H56"/>
  <c r="G56"/>
  <c r="O55"/>
  <c r="J55"/>
  <c r="I55"/>
  <c r="H55"/>
  <c r="G55"/>
  <c r="O54"/>
  <c r="J54"/>
  <c r="I54"/>
  <c r="H54"/>
  <c r="G54"/>
  <c r="O53"/>
  <c r="K53"/>
  <c r="O52"/>
  <c r="J52"/>
  <c r="I52"/>
  <c r="H52"/>
  <c r="G52"/>
  <c r="O51"/>
  <c r="K51"/>
  <c r="O50"/>
  <c r="K50"/>
  <c r="O49"/>
  <c r="J49"/>
  <c r="I49"/>
  <c r="H49"/>
  <c r="G49"/>
  <c r="O48"/>
  <c r="J48"/>
  <c r="I48"/>
  <c r="H48"/>
  <c r="G48"/>
  <c r="O47"/>
  <c r="J47"/>
  <c r="I47"/>
  <c r="H47"/>
  <c r="G47"/>
  <c r="O46"/>
  <c r="K46"/>
  <c r="O45"/>
  <c r="K45"/>
  <c r="O44"/>
  <c r="K44"/>
  <c r="O43"/>
  <c r="K43"/>
  <c r="O42"/>
  <c r="J42"/>
  <c r="I42"/>
  <c r="H42"/>
  <c r="G42"/>
  <c r="O41"/>
  <c r="J41"/>
  <c r="I41"/>
  <c r="H41"/>
  <c r="G41"/>
  <c r="O40"/>
  <c r="J40"/>
  <c r="I40"/>
  <c r="H40"/>
  <c r="G40"/>
  <c r="O39"/>
  <c r="K39"/>
  <c r="O38"/>
  <c r="J38"/>
  <c r="I38"/>
  <c r="H38"/>
  <c r="G38"/>
  <c r="O37"/>
  <c r="J37"/>
  <c r="I37"/>
  <c r="H37"/>
  <c r="G37"/>
  <c r="O36"/>
  <c r="J36"/>
  <c r="I36"/>
  <c r="H36"/>
  <c r="G36"/>
  <c r="O35"/>
  <c r="K35"/>
  <c r="O34"/>
  <c r="K34"/>
  <c r="O33"/>
  <c r="J33"/>
  <c r="I33"/>
  <c r="H33"/>
  <c r="G33"/>
  <c r="K33" s="1"/>
  <c r="O32"/>
  <c r="J32"/>
  <c r="I32"/>
  <c r="H32"/>
  <c r="G32"/>
  <c r="O31"/>
  <c r="J31"/>
  <c r="I31"/>
  <c r="H31"/>
  <c r="G31"/>
  <c r="O30"/>
  <c r="J30"/>
  <c r="I30"/>
  <c r="H30"/>
  <c r="G30"/>
  <c r="O29"/>
  <c r="J29"/>
  <c r="I29"/>
  <c r="H29"/>
  <c r="G29"/>
  <c r="O28"/>
  <c r="J28"/>
  <c r="I28"/>
  <c r="H28"/>
  <c r="O27"/>
  <c r="J27"/>
  <c r="I27"/>
  <c r="H27"/>
  <c r="K27" s="1"/>
  <c r="O26"/>
  <c r="J26"/>
  <c r="I26"/>
  <c r="H26"/>
  <c r="O25"/>
  <c r="J25"/>
  <c r="I25"/>
  <c r="H25"/>
  <c r="O24"/>
  <c r="J24"/>
  <c r="I24"/>
  <c r="H24"/>
  <c r="O23"/>
  <c r="J23"/>
  <c r="I23"/>
  <c r="H23"/>
  <c r="K23" s="1"/>
  <c r="O22"/>
  <c r="J22"/>
  <c r="I22"/>
  <c r="H22"/>
  <c r="G22"/>
  <c r="O21"/>
  <c r="J21"/>
  <c r="I21"/>
  <c r="H21"/>
  <c r="G21"/>
  <c r="O20"/>
  <c r="J20"/>
  <c r="I20"/>
  <c r="H20"/>
  <c r="G20"/>
  <c r="O19"/>
  <c r="J19"/>
  <c r="I19"/>
  <c r="O18"/>
  <c r="J18"/>
  <c r="I18"/>
  <c r="H18"/>
  <c r="G18"/>
  <c r="O17"/>
  <c r="J17"/>
  <c r="I17"/>
  <c r="H17"/>
  <c r="G17"/>
  <c r="K17" s="1"/>
  <c r="O16"/>
  <c r="J16"/>
  <c r="I16"/>
  <c r="H16"/>
  <c r="G16"/>
  <c r="O15"/>
  <c r="J15"/>
  <c r="I15"/>
  <c r="H15"/>
  <c r="G15"/>
  <c r="O14"/>
  <c r="K14"/>
  <c r="O13"/>
  <c r="J13"/>
  <c r="I13"/>
  <c r="H13"/>
  <c r="G13"/>
  <c r="O12"/>
  <c r="J12"/>
  <c r="I12"/>
  <c r="H12"/>
  <c r="G12"/>
  <c r="O11"/>
  <c r="J11"/>
  <c r="I11"/>
  <c r="H11"/>
  <c r="G11"/>
  <c r="O10"/>
  <c r="J10"/>
  <c r="I10"/>
  <c r="H10"/>
  <c r="K74" l="1"/>
  <c r="M74" s="1"/>
  <c r="K80"/>
  <c r="K85"/>
  <c r="K58"/>
  <c r="M53"/>
  <c r="K60"/>
  <c r="M60" s="1"/>
  <c r="K47"/>
  <c r="K65"/>
  <c r="K68"/>
  <c r="K78"/>
  <c r="M78" s="1"/>
  <c r="K13"/>
  <c r="M13" s="1"/>
  <c r="K28"/>
  <c r="M28" s="1"/>
  <c r="K57"/>
  <c r="M57" s="1"/>
  <c r="K71"/>
  <c r="M71" s="1"/>
  <c r="K75"/>
  <c r="M75" s="1"/>
  <c r="K77"/>
  <c r="K87"/>
  <c r="M87" s="1"/>
  <c r="K15"/>
  <c r="M15" s="1"/>
  <c r="K18"/>
  <c r="M18" s="1"/>
  <c r="K37"/>
  <c r="M37" s="1"/>
  <c r="K56"/>
  <c r="M56" s="1"/>
  <c r="K81"/>
  <c r="M81" s="1"/>
  <c r="K83"/>
  <c r="M83" s="1"/>
  <c r="K86"/>
  <c r="M63"/>
  <c r="K19"/>
  <c r="M19" s="1"/>
  <c r="K26"/>
  <c r="M26" s="1"/>
  <c r="K11"/>
  <c r="M11" s="1"/>
  <c r="K42"/>
  <c r="M42" s="1"/>
  <c r="K54"/>
  <c r="M54" s="1"/>
  <c r="O96"/>
  <c r="M51"/>
  <c r="M70"/>
  <c r="K88"/>
  <c r="M88" s="1"/>
  <c r="K31"/>
  <c r="M31" s="1"/>
  <c r="M17"/>
  <c r="M85"/>
  <c r="M23"/>
  <c r="K29"/>
  <c r="M29" s="1"/>
  <c r="K38"/>
  <c r="M38" s="1"/>
  <c r="K69"/>
  <c r="M69" s="1"/>
  <c r="K32"/>
  <c r="M32" s="1"/>
  <c r="K61"/>
  <c r="M61" s="1"/>
  <c r="K82"/>
  <c r="M82" s="1"/>
  <c r="K12"/>
  <c r="M12" s="1"/>
  <c r="K25"/>
  <c r="M25" s="1"/>
  <c r="K55"/>
  <c r="M55" s="1"/>
  <c r="K67"/>
  <c r="M67" s="1"/>
  <c r="K72"/>
  <c r="M72" s="1"/>
  <c r="K76"/>
  <c r="M76" s="1"/>
  <c r="M68"/>
  <c r="K21"/>
  <c r="M21" s="1"/>
  <c r="M27"/>
  <c r="K49"/>
  <c r="M49" s="1"/>
  <c r="K16"/>
  <c r="M16" s="1"/>
  <c r="K84"/>
  <c r="M84" s="1"/>
  <c r="K36"/>
  <c r="M36" s="1"/>
  <c r="K10"/>
  <c r="K20"/>
  <c r="M20" s="1"/>
  <c r="K30"/>
  <c r="M30" s="1"/>
  <c r="K48"/>
  <c r="M48" s="1"/>
  <c r="M77"/>
  <c r="K24"/>
  <c r="M24" s="1"/>
  <c r="M34"/>
  <c r="K52"/>
  <c r="M52" s="1"/>
  <c r="K66"/>
  <c r="M66" s="1"/>
  <c r="M14"/>
  <c r="M33"/>
  <c r="K40"/>
  <c r="M40" s="1"/>
  <c r="K22"/>
  <c r="M22" s="1"/>
  <c r="K41"/>
  <c r="M41" s="1"/>
  <c r="K62"/>
  <c r="M62" s="1"/>
  <c r="M46"/>
  <c r="M79"/>
  <c r="M86"/>
  <c r="M43"/>
  <c r="M65"/>
  <c r="M80"/>
  <c r="M45"/>
  <c r="M50"/>
  <c r="M58"/>
  <c r="M64"/>
  <c r="M73"/>
  <c r="M35"/>
  <c r="M39"/>
  <c r="M59"/>
  <c r="M44"/>
  <c r="M47"/>
  <c r="K96" l="1"/>
  <c r="M10"/>
  <c r="M96" s="1"/>
</calcChain>
</file>

<file path=xl/sharedStrings.xml><?xml version="1.0" encoding="utf-8"?>
<sst xmlns="http://schemas.openxmlformats.org/spreadsheetml/2006/main" count="23" uniqueCount="19">
  <si>
    <t>№ маршрута</t>
  </si>
  <si>
    <t>Дата завершения ГК</t>
  </si>
  <si>
    <t>Количество рабочих дней в 2025 году</t>
  </si>
  <si>
    <t>Пробег на 2025 год</t>
  </si>
  <si>
    <t>Зима</t>
  </si>
  <si>
    <t>Весна</t>
  </si>
  <si>
    <t>Лето</t>
  </si>
  <si>
    <t>Осень</t>
  </si>
  <si>
    <t>144э</t>
  </si>
  <si>
    <t xml:space="preserve">Расчет прогнозируемого размера средств областного бюджета на организацию межмуниципальных маршрутов для перевозки пассажиров автомобильным транспортом в междугородном и пригородном сообщении </t>
  </si>
  <si>
    <t>Количество оборотных рейсов в 2025 году</t>
  </si>
  <si>
    <t>Потребность на 2025 год, рублей</t>
  </si>
  <si>
    <t>Цена за единицу в 2024 году, рублей</t>
  </si>
  <si>
    <t>Потребность на 2026 год, рублей</t>
  </si>
  <si>
    <t>Потребность на 2027 год, рублей</t>
  </si>
  <si>
    <t>ИТОГО</t>
  </si>
  <si>
    <t xml:space="preserve">Приложение № 22 </t>
  </si>
  <si>
    <t>к пояснительной записке</t>
  </si>
  <si>
    <t>Таблица № 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</si>
</sst>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9"/>
  <sheetViews>
    <sheetView tabSelected="1" view="pageBreakPreview" zoomScale="60" workbookViewId="0">
      <selection activeCell="N5" sqref="N5"/>
    </sheetView>
  </sheetViews>
  <sheetFormatPr defaultColWidth="9.140625" defaultRowHeight="15"/>
  <cols>
    <col min="1" max="1" width="15.7109375" style="2" customWidth="1"/>
    <col min="2" max="2" width="19.7109375" style="2" customWidth="1"/>
    <col min="3" max="10" width="9.140625" style="2" customWidth="1"/>
    <col min="11" max="11" width="15.28515625" style="2" customWidth="1"/>
    <col min="12" max="12" width="14.28515625" style="2" customWidth="1"/>
    <col min="13" max="15" width="18.5703125" style="2" customWidth="1"/>
    <col min="16" max="16384" width="9.140625" style="2"/>
  </cols>
  <sheetData>
    <row r="1" spans="1:15" ht="24.75" customHeight="1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2" t="s">
        <v>16</v>
      </c>
      <c r="O1" s="21"/>
    </row>
    <row r="2" spans="1:15" ht="17.25" customHeight="1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2" t="s">
        <v>17</v>
      </c>
      <c r="O2" s="21"/>
    </row>
    <row r="3" spans="1:15" ht="17.25" customHeight="1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2"/>
      <c r="O3" s="21"/>
    </row>
    <row r="4" spans="1:15" ht="17.25" customHeight="1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2" t="s">
        <v>18</v>
      </c>
      <c r="O4" s="21"/>
    </row>
    <row r="5" spans="1:15" ht="17.25" customHeight="1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2"/>
      <c r="O5" s="21"/>
    </row>
    <row r="6" spans="1:15" s="1" customFormat="1" ht="49.9" customHeight="1">
      <c r="A6" s="23" t="s">
        <v>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5" ht="39" customHeight="1">
      <c r="A7" s="24" t="s">
        <v>0</v>
      </c>
      <c r="B7" s="25" t="s">
        <v>1</v>
      </c>
      <c r="C7" s="26" t="s">
        <v>2</v>
      </c>
      <c r="D7" s="27"/>
      <c r="E7" s="27"/>
      <c r="F7" s="28"/>
      <c r="G7" s="25" t="s">
        <v>10</v>
      </c>
      <c r="H7" s="25"/>
      <c r="I7" s="25"/>
      <c r="J7" s="25"/>
      <c r="K7" s="25" t="s">
        <v>3</v>
      </c>
      <c r="L7" s="25" t="s">
        <v>12</v>
      </c>
      <c r="M7" s="25" t="s">
        <v>11</v>
      </c>
      <c r="N7" s="25" t="s">
        <v>13</v>
      </c>
      <c r="O7" s="25" t="s">
        <v>14</v>
      </c>
    </row>
    <row r="8" spans="1:15" ht="31.15" customHeight="1">
      <c r="A8" s="24"/>
      <c r="B8" s="25"/>
      <c r="C8" s="14" t="s">
        <v>4</v>
      </c>
      <c r="D8" s="14" t="s">
        <v>5</v>
      </c>
      <c r="E8" s="14" t="s">
        <v>6</v>
      </c>
      <c r="F8" s="14" t="s">
        <v>7</v>
      </c>
      <c r="G8" s="14" t="s">
        <v>4</v>
      </c>
      <c r="H8" s="14" t="s">
        <v>5</v>
      </c>
      <c r="I8" s="14" t="s">
        <v>6</v>
      </c>
      <c r="J8" s="14" t="s">
        <v>7</v>
      </c>
      <c r="K8" s="25"/>
      <c r="L8" s="25"/>
      <c r="M8" s="25"/>
      <c r="N8" s="25"/>
      <c r="O8" s="25"/>
    </row>
    <row r="9" spans="1:15" ht="17.45" customHeight="1">
      <c r="A9" s="18">
        <v>1</v>
      </c>
      <c r="B9" s="19">
        <v>2</v>
      </c>
      <c r="C9" s="18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18">
        <v>9</v>
      </c>
      <c r="J9" s="18">
        <v>10</v>
      </c>
      <c r="K9" s="19">
        <v>11</v>
      </c>
      <c r="L9" s="19">
        <v>12</v>
      </c>
      <c r="M9" s="19">
        <v>13</v>
      </c>
      <c r="N9" s="19">
        <v>14</v>
      </c>
      <c r="O9" s="19">
        <v>15</v>
      </c>
    </row>
    <row r="10" spans="1:15">
      <c r="A10" s="4">
        <v>306</v>
      </c>
      <c r="B10" s="3">
        <v>45444</v>
      </c>
      <c r="C10" s="4">
        <v>0</v>
      </c>
      <c r="D10" s="4">
        <v>31</v>
      </c>
      <c r="E10" s="4">
        <v>92</v>
      </c>
      <c r="F10" s="4">
        <v>51</v>
      </c>
      <c r="G10" s="4">
        <v>0</v>
      </c>
      <c r="H10" s="4">
        <f>(79*5)+(12*6)</f>
        <v>467</v>
      </c>
      <c r="I10" s="4">
        <f>(63*5)+(98*6)</f>
        <v>903</v>
      </c>
      <c r="J10" s="4">
        <f>(37*5)+(14*6)</f>
        <v>269</v>
      </c>
      <c r="K10" s="5">
        <f>(G10+H10+I10+J10)*29.1*2</f>
        <v>95389.8</v>
      </c>
      <c r="L10" s="5">
        <v>0.15</v>
      </c>
      <c r="M10" s="5">
        <f t="shared" ref="M10:M14" si="0">K10*$L$96</f>
        <v>1484458.4825316458</v>
      </c>
      <c r="N10" s="5">
        <v>37981.990000024438</v>
      </c>
      <c r="O10" s="5">
        <f t="shared" ref="O10:O41" si="1">N10*1.04</f>
        <v>39501.269600025415</v>
      </c>
    </row>
    <row r="11" spans="1:15">
      <c r="A11" s="4">
        <v>308</v>
      </c>
      <c r="B11" s="3">
        <v>45444</v>
      </c>
      <c r="C11" s="4">
        <v>90</v>
      </c>
      <c r="D11" s="4">
        <v>61</v>
      </c>
      <c r="E11" s="4">
        <v>92</v>
      </c>
      <c r="F11" s="4">
        <v>61</v>
      </c>
      <c r="G11" s="4">
        <f>C11*3</f>
        <v>270</v>
      </c>
      <c r="H11" s="4">
        <f>D11*3</f>
        <v>183</v>
      </c>
      <c r="I11" s="4">
        <f>E11*3</f>
        <v>276</v>
      </c>
      <c r="J11" s="4">
        <f>F11*3</f>
        <v>183</v>
      </c>
      <c r="K11" s="5">
        <f>(G11+H11+I11+J11)*61.4*2</f>
        <v>111993.59999999999</v>
      </c>
      <c r="L11" s="5">
        <v>0.15</v>
      </c>
      <c r="M11" s="5">
        <f t="shared" si="0"/>
        <v>1742847.2384810126</v>
      </c>
      <c r="N11" s="5">
        <v>0</v>
      </c>
      <c r="O11" s="5">
        <f t="shared" si="1"/>
        <v>0</v>
      </c>
    </row>
    <row r="12" spans="1:15">
      <c r="A12" s="4">
        <v>901</v>
      </c>
      <c r="B12" s="3">
        <v>45351</v>
      </c>
      <c r="C12" s="4">
        <v>90</v>
      </c>
      <c r="D12" s="4">
        <v>92</v>
      </c>
      <c r="E12" s="4">
        <v>92</v>
      </c>
      <c r="F12" s="4">
        <v>91</v>
      </c>
      <c r="G12" s="4">
        <f>C12*1</f>
        <v>90</v>
      </c>
      <c r="H12" s="4">
        <f>D12*1</f>
        <v>92</v>
      </c>
      <c r="I12" s="4">
        <f>E12*1</f>
        <v>92</v>
      </c>
      <c r="J12" s="4">
        <f>F12*1</f>
        <v>91</v>
      </c>
      <c r="K12" s="5">
        <f>(G12+H12+I12+J12)*149*2</f>
        <v>108770</v>
      </c>
      <c r="L12" s="5">
        <v>0.27</v>
      </c>
      <c r="M12" s="5">
        <f t="shared" si="0"/>
        <v>1692681.4936708861</v>
      </c>
      <c r="N12" s="5">
        <v>0</v>
      </c>
      <c r="O12" s="5">
        <f t="shared" si="1"/>
        <v>0</v>
      </c>
    </row>
    <row r="13" spans="1:15">
      <c r="A13" s="4">
        <v>105</v>
      </c>
      <c r="B13" s="3">
        <v>45534</v>
      </c>
      <c r="C13" s="4">
        <v>90</v>
      </c>
      <c r="D13" s="4">
        <v>92</v>
      </c>
      <c r="E13" s="4">
        <v>92</v>
      </c>
      <c r="F13" s="4">
        <v>91</v>
      </c>
      <c r="G13" s="4">
        <f>C13*9</f>
        <v>810</v>
      </c>
      <c r="H13" s="4">
        <f>D13*9</f>
        <v>828</v>
      </c>
      <c r="I13" s="4">
        <f>E13*9</f>
        <v>828</v>
      </c>
      <c r="J13" s="4">
        <f>F13*9</f>
        <v>819</v>
      </c>
      <c r="K13" s="5">
        <f>(G13+H13+I13+J13)*16.6*2</f>
        <v>109062.00000000001</v>
      </c>
      <c r="L13" s="5">
        <v>70.62</v>
      </c>
      <c r="M13" s="5">
        <f t="shared" si="0"/>
        <v>1697225.6050632915</v>
      </c>
      <c r="N13" s="5">
        <v>1</v>
      </c>
      <c r="O13" s="5">
        <f t="shared" si="1"/>
        <v>1.04</v>
      </c>
    </row>
    <row r="14" spans="1:15">
      <c r="A14" s="4">
        <v>106</v>
      </c>
      <c r="B14" s="3">
        <v>45534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5">
        <f>(G14+H14+I14+J14)</f>
        <v>0</v>
      </c>
      <c r="L14" s="5">
        <v>70.62</v>
      </c>
      <c r="M14" s="5">
        <f t="shared" si="0"/>
        <v>0</v>
      </c>
      <c r="N14" s="5">
        <v>1</v>
      </c>
      <c r="O14" s="5">
        <f t="shared" si="1"/>
        <v>1.04</v>
      </c>
    </row>
    <row r="15" spans="1:15">
      <c r="A15" s="4">
        <v>350</v>
      </c>
      <c r="B15" s="3">
        <v>45535</v>
      </c>
      <c r="C15" s="4">
        <v>0</v>
      </c>
      <c r="D15" s="4">
        <v>31</v>
      </c>
      <c r="E15" s="4">
        <v>29</v>
      </c>
      <c r="F15" s="4">
        <v>12</v>
      </c>
      <c r="G15" s="4">
        <f>C15*3</f>
        <v>0</v>
      </c>
      <c r="H15" s="4">
        <f>D15*3</f>
        <v>93</v>
      </c>
      <c r="I15" s="4">
        <f>E15*3</f>
        <v>87</v>
      </c>
      <c r="J15" s="4">
        <f>F15*3</f>
        <v>36</v>
      </c>
      <c r="K15" s="5">
        <f>(G15+H15+I15+J15)*41.7*2</f>
        <v>18014.400000000001</v>
      </c>
      <c r="L15" s="5">
        <v>0.01</v>
      </c>
      <c r="M15" s="5">
        <f t="shared" ref="M15:M78" si="2">K15*$L$96</f>
        <v>280340.54886075953</v>
      </c>
      <c r="N15" s="5">
        <v>0</v>
      </c>
      <c r="O15" s="5">
        <f t="shared" si="1"/>
        <v>0</v>
      </c>
    </row>
    <row r="16" spans="1:15">
      <c r="A16" s="4">
        <v>124</v>
      </c>
      <c r="B16" s="3">
        <v>45550</v>
      </c>
      <c r="C16" s="4">
        <v>0</v>
      </c>
      <c r="D16" s="4">
        <v>0</v>
      </c>
      <c r="E16" s="4">
        <v>27</v>
      </c>
      <c r="F16" s="4">
        <v>4</v>
      </c>
      <c r="G16" s="4">
        <f>C16*1</f>
        <v>0</v>
      </c>
      <c r="H16" s="4">
        <f>D16*1</f>
        <v>0</v>
      </c>
      <c r="I16" s="4">
        <f>E16*1</f>
        <v>27</v>
      </c>
      <c r="J16" s="4">
        <f>F16*1</f>
        <v>4</v>
      </c>
      <c r="K16" s="5">
        <f>(G16+H16+I16+J16)*45.5*2</f>
        <v>2821</v>
      </c>
      <c r="L16" s="5">
        <v>0.01</v>
      </c>
      <c r="M16" s="5">
        <f t="shared" si="2"/>
        <v>43900.473417721521</v>
      </c>
      <c r="N16" s="6">
        <v>1</v>
      </c>
      <c r="O16" s="5">
        <f t="shared" si="1"/>
        <v>1.04</v>
      </c>
    </row>
    <row r="17" spans="1:15">
      <c r="A17" s="4">
        <v>134</v>
      </c>
      <c r="B17" s="3">
        <v>45550</v>
      </c>
      <c r="C17" s="4">
        <v>90</v>
      </c>
      <c r="D17" s="4">
        <v>92</v>
      </c>
      <c r="E17" s="4">
        <v>92</v>
      </c>
      <c r="F17" s="4">
        <v>91</v>
      </c>
      <c r="G17" s="4">
        <f>C17*26</f>
        <v>2340</v>
      </c>
      <c r="H17" s="4">
        <f>D17*26</f>
        <v>2392</v>
      </c>
      <c r="I17" s="4">
        <f>E17*26</f>
        <v>2392</v>
      </c>
      <c r="J17" s="4">
        <f>F17*26</f>
        <v>2366</v>
      </c>
      <c r="K17" s="5">
        <f>(G17+H17+I17+J17)*28.4*2</f>
        <v>539032</v>
      </c>
      <c r="L17" s="5">
        <v>0.01</v>
      </c>
      <c r="M17" s="5">
        <f t="shared" si="2"/>
        <v>8388429.6303797476</v>
      </c>
      <c r="N17" s="6">
        <v>1</v>
      </c>
      <c r="O17" s="5">
        <f t="shared" si="1"/>
        <v>1.04</v>
      </c>
    </row>
    <row r="18" spans="1:15">
      <c r="A18" s="4">
        <v>135</v>
      </c>
      <c r="B18" s="3">
        <v>45550</v>
      </c>
      <c r="C18" s="4">
        <v>0</v>
      </c>
      <c r="D18" s="4">
        <v>31</v>
      </c>
      <c r="E18" s="4">
        <v>92</v>
      </c>
      <c r="F18" s="4">
        <v>30</v>
      </c>
      <c r="G18" s="4">
        <f>C18*8</f>
        <v>0</v>
      </c>
      <c r="H18" s="4">
        <f>D18*8</f>
        <v>248</v>
      </c>
      <c r="I18" s="4">
        <f>E18*8</f>
        <v>736</v>
      </c>
      <c r="J18" s="4">
        <f>F18*8</f>
        <v>240</v>
      </c>
      <c r="K18" s="5">
        <f>(G18+H18+I18+J18)*15.2*2</f>
        <v>37209.599999999999</v>
      </c>
      <c r="L18" s="5">
        <v>0.01</v>
      </c>
      <c r="M18" s="5">
        <f t="shared" si="2"/>
        <v>579056.73721518985</v>
      </c>
      <c r="N18" s="6">
        <v>1</v>
      </c>
      <c r="O18" s="5">
        <f t="shared" si="1"/>
        <v>1.04</v>
      </c>
    </row>
    <row r="19" spans="1:15">
      <c r="A19" s="4">
        <v>136</v>
      </c>
      <c r="B19" s="3">
        <v>45550</v>
      </c>
      <c r="C19" s="4">
        <v>0</v>
      </c>
      <c r="D19" s="4">
        <v>0</v>
      </c>
      <c r="E19" s="4">
        <v>92</v>
      </c>
      <c r="F19" s="4">
        <v>15</v>
      </c>
      <c r="G19" s="4">
        <v>0</v>
      </c>
      <c r="H19" s="4">
        <v>0</v>
      </c>
      <c r="I19" s="4">
        <f>(65*2)+(27*1)</f>
        <v>157</v>
      </c>
      <c r="J19" s="4">
        <f>(11*2)+(4*1)</f>
        <v>26</v>
      </c>
      <c r="K19" s="5">
        <f>(G19+H19+I19+J19)*19.2*2</f>
        <v>7027.2</v>
      </c>
      <c r="L19" s="5">
        <v>0.01</v>
      </c>
      <c r="M19" s="5">
        <f t="shared" si="2"/>
        <v>109357.46430379747</v>
      </c>
      <c r="N19" s="6">
        <v>1</v>
      </c>
      <c r="O19" s="5">
        <f t="shared" si="1"/>
        <v>1.04</v>
      </c>
    </row>
    <row r="20" spans="1:15">
      <c r="A20" s="4">
        <v>125</v>
      </c>
      <c r="B20" s="3">
        <v>45199</v>
      </c>
      <c r="C20" s="4">
        <v>90</v>
      </c>
      <c r="D20" s="4">
        <v>92</v>
      </c>
      <c r="E20" s="4">
        <v>92</v>
      </c>
      <c r="F20" s="4">
        <v>91</v>
      </c>
      <c r="G20" s="4">
        <f>(65*48)+(25*38)</f>
        <v>4070</v>
      </c>
      <c r="H20" s="4">
        <f>(75*48)+(17*38)</f>
        <v>4246</v>
      </c>
      <c r="I20" s="4">
        <f>(76*48)+(16*38)</f>
        <v>4256</v>
      </c>
      <c r="J20" s="4">
        <f>(77*48)+(14*38)</f>
        <v>4228</v>
      </c>
      <c r="K20" s="5">
        <f>(G20+H20+I20+J20)*50.44</f>
        <v>847392</v>
      </c>
      <c r="L20" s="5">
        <v>0.01</v>
      </c>
      <c r="M20" s="5">
        <f t="shared" si="2"/>
        <v>13187135.756962026</v>
      </c>
      <c r="N20" s="5">
        <v>1</v>
      </c>
      <c r="O20" s="5">
        <f t="shared" si="1"/>
        <v>1.04</v>
      </c>
    </row>
    <row r="21" spans="1:15">
      <c r="A21" s="4">
        <v>110</v>
      </c>
      <c r="B21" s="3">
        <v>45199</v>
      </c>
      <c r="C21" s="4">
        <v>90</v>
      </c>
      <c r="D21" s="4">
        <v>92</v>
      </c>
      <c r="E21" s="4">
        <v>92</v>
      </c>
      <c r="F21" s="4">
        <v>91</v>
      </c>
      <c r="G21" s="4">
        <f>C21*13</f>
        <v>1170</v>
      </c>
      <c r="H21" s="4">
        <f>(31*13)+(49*19)+(12*24)</f>
        <v>1622</v>
      </c>
      <c r="I21" s="4">
        <f>E21*24</f>
        <v>2208</v>
      </c>
      <c r="J21" s="4">
        <f>(15*24)+(46*19)+(30*13)</f>
        <v>1624</v>
      </c>
      <c r="K21" s="5">
        <f>(G21+H21+I21+J21)*27.4*2</f>
        <v>362995.19999999995</v>
      </c>
      <c r="L21" s="5">
        <v>0.01</v>
      </c>
      <c r="M21" s="5">
        <f t="shared" si="2"/>
        <v>5648940.4921518983</v>
      </c>
      <c r="N21" s="5">
        <v>1</v>
      </c>
      <c r="O21" s="5">
        <f t="shared" si="1"/>
        <v>1.04</v>
      </c>
    </row>
    <row r="22" spans="1:15">
      <c r="A22" s="4">
        <v>616</v>
      </c>
      <c r="B22" s="3">
        <v>45565</v>
      </c>
      <c r="C22" s="4">
        <v>0</v>
      </c>
      <c r="D22" s="4">
        <v>9</v>
      </c>
      <c r="E22" s="4">
        <v>27</v>
      </c>
      <c r="F22" s="4">
        <v>8</v>
      </c>
      <c r="G22" s="4">
        <f>C22*1</f>
        <v>0</v>
      </c>
      <c r="H22" s="4">
        <f>D22*1</f>
        <v>9</v>
      </c>
      <c r="I22" s="4">
        <f>E22*1</f>
        <v>27</v>
      </c>
      <c r="J22" s="4">
        <f>F22*1</f>
        <v>8</v>
      </c>
      <c r="K22" s="5">
        <f>(G22+H22+I22+J22)*134*2</f>
        <v>11792</v>
      </c>
      <c r="L22" s="5">
        <v>52.53</v>
      </c>
      <c r="M22" s="5">
        <f t="shared" si="2"/>
        <v>183507.40253164558</v>
      </c>
      <c r="N22" s="5">
        <v>824496.64000000001</v>
      </c>
      <c r="O22" s="5">
        <f t="shared" si="1"/>
        <v>857476.50560000003</v>
      </c>
    </row>
    <row r="23" spans="1:15">
      <c r="A23" s="4">
        <v>109</v>
      </c>
      <c r="B23" s="3">
        <v>45580</v>
      </c>
      <c r="C23" s="4">
        <v>0</v>
      </c>
      <c r="D23" s="4">
        <v>36</v>
      </c>
      <c r="E23" s="4">
        <v>92</v>
      </c>
      <c r="F23" s="4">
        <v>45</v>
      </c>
      <c r="G23" s="4">
        <v>0</v>
      </c>
      <c r="H23" s="4">
        <f t="shared" ref="H23:H25" si="3">D23*5</f>
        <v>180</v>
      </c>
      <c r="I23" s="4">
        <f>E23*6</f>
        <v>552</v>
      </c>
      <c r="J23" s="4">
        <f>(17*6)+(28*5)</f>
        <v>242</v>
      </c>
      <c r="K23" s="5">
        <f>(G23+H23+I23+J23)*20.92*2</f>
        <v>40752.160000000003</v>
      </c>
      <c r="L23" s="5">
        <v>0.01</v>
      </c>
      <c r="M23" s="5">
        <f t="shared" si="2"/>
        <v>634186.14562025329</v>
      </c>
      <c r="N23" s="6">
        <v>401.24560000000008</v>
      </c>
      <c r="O23" s="5">
        <f t="shared" si="1"/>
        <v>417.29542400000008</v>
      </c>
    </row>
    <row r="24" spans="1:15">
      <c r="A24" s="4">
        <v>114</v>
      </c>
      <c r="B24" s="3">
        <v>45580</v>
      </c>
      <c r="C24" s="4">
        <v>0</v>
      </c>
      <c r="D24" s="4">
        <v>36</v>
      </c>
      <c r="E24" s="4">
        <v>92</v>
      </c>
      <c r="F24" s="4">
        <v>17</v>
      </c>
      <c r="G24" s="4">
        <v>0</v>
      </c>
      <c r="H24" s="4">
        <f t="shared" si="3"/>
        <v>180</v>
      </c>
      <c r="I24" s="4">
        <f t="shared" ref="I24:I26" si="4">E24*5</f>
        <v>460</v>
      </c>
      <c r="J24" s="4">
        <f>F24*5</f>
        <v>85</v>
      </c>
      <c r="K24" s="5">
        <f>(G24+H24+I24+J24)*19.88*2</f>
        <v>28826</v>
      </c>
      <c r="L24" s="5">
        <v>0.01</v>
      </c>
      <c r="M24" s="5">
        <f t="shared" si="2"/>
        <v>448590.94177215191</v>
      </c>
      <c r="N24" s="6">
        <v>282.29599999999999</v>
      </c>
      <c r="O24" s="5">
        <f t="shared" si="1"/>
        <v>293.58784000000003</v>
      </c>
    </row>
    <row r="25" spans="1:15">
      <c r="A25" s="4">
        <v>116</v>
      </c>
      <c r="B25" s="3">
        <v>45580</v>
      </c>
      <c r="C25" s="4">
        <v>0</v>
      </c>
      <c r="D25" s="4">
        <v>36</v>
      </c>
      <c r="E25" s="4">
        <v>92</v>
      </c>
      <c r="F25" s="4">
        <v>45</v>
      </c>
      <c r="G25" s="4">
        <v>0</v>
      </c>
      <c r="H25" s="4">
        <f t="shared" si="3"/>
        <v>180</v>
      </c>
      <c r="I25" s="4">
        <f t="shared" si="4"/>
        <v>460</v>
      </c>
      <c r="J25" s="4">
        <f t="shared" ref="J25:J26" si="5">(17*5)+(28*4.5)</f>
        <v>211</v>
      </c>
      <c r="K25" s="5">
        <f>(G25+H25+I25+J25)*20.42*2</f>
        <v>34754.840000000004</v>
      </c>
      <c r="L25" s="5">
        <v>0.01</v>
      </c>
      <c r="M25" s="5">
        <f t="shared" si="2"/>
        <v>540855.6999493672</v>
      </c>
      <c r="N25" s="6">
        <v>341.42240000000004</v>
      </c>
      <c r="O25" s="5">
        <f t="shared" si="1"/>
        <v>355.07929600000006</v>
      </c>
    </row>
    <row r="26" spans="1:15">
      <c r="A26" s="4">
        <v>117</v>
      </c>
      <c r="B26" s="3">
        <v>45580</v>
      </c>
      <c r="C26" s="4">
        <v>0</v>
      </c>
      <c r="D26" s="4">
        <v>36</v>
      </c>
      <c r="E26" s="4">
        <v>92</v>
      </c>
      <c r="F26" s="4">
        <v>45</v>
      </c>
      <c r="G26" s="4">
        <v>0</v>
      </c>
      <c r="H26" s="4">
        <f>D26*4.5</f>
        <v>162</v>
      </c>
      <c r="I26" s="4">
        <f t="shared" si="4"/>
        <v>460</v>
      </c>
      <c r="J26" s="4">
        <f t="shared" si="5"/>
        <v>211</v>
      </c>
      <c r="K26" s="5">
        <f>(G26+H26+I26+J26)*23.06*2</f>
        <v>38417.96</v>
      </c>
      <c r="L26" s="5">
        <v>0.01</v>
      </c>
      <c r="M26" s="5">
        <f t="shared" si="2"/>
        <v>597861.26612658228</v>
      </c>
      <c r="N26" s="6">
        <v>377.95339999999999</v>
      </c>
      <c r="O26" s="5">
        <f t="shared" si="1"/>
        <v>393.07153599999998</v>
      </c>
    </row>
    <row r="27" spans="1:15">
      <c r="A27" s="4">
        <v>156</v>
      </c>
      <c r="B27" s="3">
        <v>45580</v>
      </c>
      <c r="C27" s="4">
        <v>0</v>
      </c>
      <c r="D27" s="4">
        <v>12</v>
      </c>
      <c r="E27" s="4">
        <v>92</v>
      </c>
      <c r="F27" s="4">
        <v>45</v>
      </c>
      <c r="G27" s="4">
        <v>0</v>
      </c>
      <c r="H27" s="4">
        <f>D27*4</f>
        <v>48</v>
      </c>
      <c r="I27" s="4">
        <f>(63*2)+(29*4)</f>
        <v>242</v>
      </c>
      <c r="J27" s="4">
        <f>(33*2)+(12*4)</f>
        <v>114</v>
      </c>
      <c r="K27" s="5">
        <f>(G27+H27+I27+J27)*25*2</f>
        <v>20200</v>
      </c>
      <c r="L27" s="5">
        <v>97.63</v>
      </c>
      <c r="M27" s="5">
        <f t="shared" si="2"/>
        <v>314352.91139240511</v>
      </c>
      <c r="N27" s="6">
        <v>2892400</v>
      </c>
      <c r="O27" s="5">
        <f t="shared" si="1"/>
        <v>3008096</v>
      </c>
    </row>
    <row r="28" spans="1:15">
      <c r="A28" s="4">
        <v>160</v>
      </c>
      <c r="B28" s="3">
        <v>45580</v>
      </c>
      <c r="C28" s="4">
        <v>0</v>
      </c>
      <c r="D28" s="4">
        <v>12</v>
      </c>
      <c r="E28" s="4">
        <v>53</v>
      </c>
      <c r="F28" s="4">
        <v>25</v>
      </c>
      <c r="G28" s="4">
        <v>0</v>
      </c>
      <c r="H28" s="4">
        <f>D28*2</f>
        <v>24</v>
      </c>
      <c r="I28" s="4">
        <f>(40*2)+(13*1)</f>
        <v>93</v>
      </c>
      <c r="J28" s="4">
        <f>(21*2)+(4*1)</f>
        <v>46</v>
      </c>
      <c r="K28" s="5">
        <f>(G28+H28+I28+J28)*48.42</f>
        <v>7892.46</v>
      </c>
      <c r="L28" s="5">
        <v>69.17</v>
      </c>
      <c r="M28" s="5">
        <f t="shared" si="2"/>
        <v>122822.66232911394</v>
      </c>
      <c r="N28" s="6">
        <v>1438128.6060000001</v>
      </c>
      <c r="O28" s="5">
        <f t="shared" si="1"/>
        <v>1495653.7502400002</v>
      </c>
    </row>
    <row r="29" spans="1:15">
      <c r="A29" s="4">
        <v>170</v>
      </c>
      <c r="B29" s="3">
        <v>45580</v>
      </c>
      <c r="C29" s="4">
        <v>0</v>
      </c>
      <c r="D29" s="4">
        <v>9</v>
      </c>
      <c r="E29" s="4">
        <v>27</v>
      </c>
      <c r="F29" s="4">
        <v>12</v>
      </c>
      <c r="G29" s="4">
        <f>C29*1</f>
        <v>0</v>
      </c>
      <c r="H29" s="4">
        <f>D29*1</f>
        <v>9</v>
      </c>
      <c r="I29" s="4">
        <f>E29*1</f>
        <v>27</v>
      </c>
      <c r="J29" s="4">
        <f>F29*1</f>
        <v>12</v>
      </c>
      <c r="K29" s="5">
        <f>(G29+H29+I29+J29)*85.98</f>
        <v>4127.04</v>
      </c>
      <c r="L29" s="5">
        <v>79.28</v>
      </c>
      <c r="M29" s="5">
        <f t="shared" si="2"/>
        <v>64225.100962025324</v>
      </c>
      <c r="N29" s="6">
        <v>1239168.0000000002</v>
      </c>
      <c r="O29" s="5">
        <f t="shared" si="1"/>
        <v>1288734.7200000002</v>
      </c>
    </row>
    <row r="30" spans="1:15">
      <c r="A30" s="4">
        <v>120</v>
      </c>
      <c r="B30" s="3">
        <v>45596</v>
      </c>
      <c r="C30" s="4">
        <v>90</v>
      </c>
      <c r="D30" s="4">
        <v>92</v>
      </c>
      <c r="E30" s="4">
        <v>92</v>
      </c>
      <c r="F30" s="4">
        <v>91</v>
      </c>
      <c r="G30" s="4">
        <f>C30*3.5</f>
        <v>315</v>
      </c>
      <c r="H30" s="4">
        <f>D30*3.5</f>
        <v>322</v>
      </c>
      <c r="I30" s="4">
        <f>E30*3.5</f>
        <v>322</v>
      </c>
      <c r="J30" s="4">
        <f>F30*3.5</f>
        <v>318.5</v>
      </c>
      <c r="K30" s="5">
        <f>(G30+H30+I30+J30)*4.72*2</f>
        <v>12059.599999999999</v>
      </c>
      <c r="L30" s="5">
        <v>81.02</v>
      </c>
      <c r="M30" s="5">
        <f t="shared" si="2"/>
        <v>187671.80050632911</v>
      </c>
      <c r="N30" s="6">
        <v>1531408.956</v>
      </c>
      <c r="O30" s="5">
        <f t="shared" si="1"/>
        <v>1592665.31424</v>
      </c>
    </row>
    <row r="31" spans="1:15">
      <c r="A31" s="4">
        <v>850</v>
      </c>
      <c r="B31" s="3">
        <v>45596</v>
      </c>
      <c r="C31" s="4">
        <v>40</v>
      </c>
      <c r="D31" s="4">
        <v>39</v>
      </c>
      <c r="E31" s="4">
        <v>39</v>
      </c>
      <c r="F31" s="4">
        <v>39</v>
      </c>
      <c r="G31" s="4">
        <f t="shared" ref="G31:G32" si="6">C31*1</f>
        <v>40</v>
      </c>
      <c r="H31" s="4">
        <f t="shared" ref="H31:H32" si="7">D31*1</f>
        <v>39</v>
      </c>
      <c r="I31" s="4">
        <f t="shared" ref="I31:I32" si="8">E31*1</f>
        <v>39</v>
      </c>
      <c r="J31" s="4">
        <f t="shared" ref="J31:J32" si="9">F31*1</f>
        <v>39</v>
      </c>
      <c r="K31" s="5">
        <f>(G31+H31+I31+J31)*105.2*2</f>
        <v>33032.800000000003</v>
      </c>
      <c r="L31" s="5">
        <v>50</v>
      </c>
      <c r="M31" s="5">
        <f t="shared" si="2"/>
        <v>514057.2698734178</v>
      </c>
      <c r="N31" s="5">
        <v>3378737.8560000001</v>
      </c>
      <c r="O31" s="5">
        <f t="shared" si="1"/>
        <v>3513887.3702400001</v>
      </c>
    </row>
    <row r="32" spans="1:15">
      <c r="A32" s="4">
        <v>623</v>
      </c>
      <c r="B32" s="3">
        <v>45626</v>
      </c>
      <c r="C32" s="4">
        <v>90</v>
      </c>
      <c r="D32" s="4">
        <v>92</v>
      </c>
      <c r="E32" s="4">
        <v>92</v>
      </c>
      <c r="F32" s="4">
        <v>91</v>
      </c>
      <c r="G32" s="4">
        <f t="shared" si="6"/>
        <v>90</v>
      </c>
      <c r="H32" s="4">
        <f t="shared" si="7"/>
        <v>92</v>
      </c>
      <c r="I32" s="4">
        <f t="shared" si="8"/>
        <v>92</v>
      </c>
      <c r="J32" s="4">
        <f t="shared" si="9"/>
        <v>91</v>
      </c>
      <c r="K32" s="5">
        <f>(G32+H32+I32+J32)*387.9*2</f>
        <v>283167</v>
      </c>
      <c r="L32" s="5">
        <v>0</v>
      </c>
      <c r="M32" s="5">
        <f t="shared" si="2"/>
        <v>4406652.0227848105</v>
      </c>
      <c r="N32" s="5">
        <v>0</v>
      </c>
      <c r="O32" s="5">
        <f t="shared" si="1"/>
        <v>0</v>
      </c>
    </row>
    <row r="33" spans="1:15">
      <c r="A33" s="4">
        <v>976</v>
      </c>
      <c r="B33" s="3">
        <v>45626</v>
      </c>
      <c r="C33" s="4">
        <v>90</v>
      </c>
      <c r="D33" s="4">
        <v>92</v>
      </c>
      <c r="E33" s="4">
        <v>92</v>
      </c>
      <c r="F33" s="4">
        <v>91</v>
      </c>
      <c r="G33" s="4">
        <f>(66*3)+(24*2)</f>
        <v>246</v>
      </c>
      <c r="H33" s="4">
        <f>(65*3)+(27*2)</f>
        <v>249</v>
      </c>
      <c r="I33" s="4">
        <f>(65*3)+(27*2)</f>
        <v>249</v>
      </c>
      <c r="J33" s="4">
        <f>(65*3)+(26*2)</f>
        <v>247</v>
      </c>
      <c r="K33" s="5">
        <f>(G33+H33+I33+J33)*79.45*2</f>
        <v>157469.9</v>
      </c>
      <c r="L33" s="5">
        <v>20.52</v>
      </c>
      <c r="M33" s="5">
        <f t="shared" si="2"/>
        <v>2450550.5703797471</v>
      </c>
      <c r="N33" s="5">
        <v>0</v>
      </c>
      <c r="O33" s="5">
        <f t="shared" si="1"/>
        <v>0</v>
      </c>
    </row>
    <row r="34" spans="1:15">
      <c r="A34" s="4">
        <v>507</v>
      </c>
      <c r="B34" s="3">
        <v>45630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5">
        <f t="shared" ref="K34:K35" si="10">(G34+H34+I34+J34)</f>
        <v>0</v>
      </c>
      <c r="L34" s="5">
        <v>0.14000000000000001</v>
      </c>
      <c r="M34" s="5">
        <f t="shared" si="2"/>
        <v>0</v>
      </c>
      <c r="N34" s="5">
        <v>0</v>
      </c>
      <c r="O34" s="5">
        <f t="shared" si="1"/>
        <v>0</v>
      </c>
    </row>
    <row r="35" spans="1:15">
      <c r="A35" s="4">
        <v>521</v>
      </c>
      <c r="B35" s="3">
        <v>45630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5">
        <f t="shared" si="10"/>
        <v>0</v>
      </c>
      <c r="L35" s="5">
        <v>0.08</v>
      </c>
      <c r="M35" s="5">
        <f t="shared" si="2"/>
        <v>0</v>
      </c>
      <c r="N35" s="5">
        <v>0</v>
      </c>
      <c r="O35" s="5">
        <f t="shared" si="1"/>
        <v>0</v>
      </c>
    </row>
    <row r="36" spans="1:15">
      <c r="A36" s="4">
        <v>607</v>
      </c>
      <c r="B36" s="3">
        <v>45630</v>
      </c>
      <c r="C36" s="4">
        <v>90</v>
      </c>
      <c r="D36" s="4">
        <v>92</v>
      </c>
      <c r="E36" s="4">
        <v>92</v>
      </c>
      <c r="F36" s="4">
        <v>91</v>
      </c>
      <c r="G36" s="4">
        <f t="shared" ref="G36:G47" si="11">C36*1</f>
        <v>90</v>
      </c>
      <c r="H36" s="4">
        <f t="shared" ref="H36:H47" si="12">D36*1</f>
        <v>92</v>
      </c>
      <c r="I36" s="4">
        <f t="shared" ref="I36:I47" si="13">E36*1</f>
        <v>92</v>
      </c>
      <c r="J36" s="4">
        <f t="shared" ref="J36:J47" si="14">F36*1</f>
        <v>91</v>
      </c>
      <c r="K36" s="5">
        <f>(G36+H36+I36+J36)*307*2</f>
        <v>224110</v>
      </c>
      <c r="L36" s="5">
        <v>0.12</v>
      </c>
      <c r="M36" s="5">
        <f t="shared" si="2"/>
        <v>3487605.4936708864</v>
      </c>
      <c r="N36" s="5">
        <v>0</v>
      </c>
      <c r="O36" s="5">
        <f t="shared" si="1"/>
        <v>0</v>
      </c>
    </row>
    <row r="37" spans="1:15">
      <c r="A37" s="4">
        <v>621</v>
      </c>
      <c r="B37" s="3">
        <v>45630</v>
      </c>
      <c r="C37" s="4">
        <v>90</v>
      </c>
      <c r="D37" s="4">
        <v>92</v>
      </c>
      <c r="E37" s="4">
        <v>92</v>
      </c>
      <c r="F37" s="4">
        <v>91</v>
      </c>
      <c r="G37" s="4">
        <f t="shared" si="11"/>
        <v>90</v>
      </c>
      <c r="H37" s="4">
        <f t="shared" si="12"/>
        <v>92</v>
      </c>
      <c r="I37" s="4">
        <f t="shared" si="13"/>
        <v>92</v>
      </c>
      <c r="J37" s="4">
        <f t="shared" si="14"/>
        <v>91</v>
      </c>
      <c r="K37" s="5">
        <f>(G37+H37+I37+J37)*512*2</f>
        <v>373760</v>
      </c>
      <c r="L37" s="5">
        <v>7.0000000000000007E-2</v>
      </c>
      <c r="M37" s="5">
        <f t="shared" si="2"/>
        <v>5816462.5822784817</v>
      </c>
      <c r="N37" s="5">
        <v>0</v>
      </c>
      <c r="O37" s="5">
        <f t="shared" si="1"/>
        <v>0</v>
      </c>
    </row>
    <row r="38" spans="1:15">
      <c r="A38" s="4">
        <v>625</v>
      </c>
      <c r="B38" s="3">
        <v>45630</v>
      </c>
      <c r="C38" s="4">
        <v>90</v>
      </c>
      <c r="D38" s="4">
        <v>92</v>
      </c>
      <c r="E38" s="4">
        <v>92</v>
      </c>
      <c r="F38" s="4">
        <v>91</v>
      </c>
      <c r="G38" s="4">
        <f t="shared" si="11"/>
        <v>90</v>
      </c>
      <c r="H38" s="4">
        <f t="shared" si="12"/>
        <v>92</v>
      </c>
      <c r="I38" s="4">
        <f t="shared" si="13"/>
        <v>92</v>
      </c>
      <c r="J38" s="4">
        <f t="shared" si="14"/>
        <v>91</v>
      </c>
      <c r="K38" s="5">
        <f>(G38+H38+I38+J38)*568*2</f>
        <v>414640</v>
      </c>
      <c r="L38" s="5">
        <v>7.0000000000000007E-2</v>
      </c>
      <c r="M38" s="5">
        <f t="shared" si="2"/>
        <v>6452638.1772151906</v>
      </c>
      <c r="N38" s="5">
        <v>0</v>
      </c>
      <c r="O38" s="5">
        <f t="shared" si="1"/>
        <v>0</v>
      </c>
    </row>
    <row r="39" spans="1:15">
      <c r="A39" s="4">
        <v>511</v>
      </c>
      <c r="B39" s="3">
        <v>45630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5">
        <f>(G39+H39+I39+J39)</f>
        <v>0</v>
      </c>
      <c r="L39" s="5">
        <v>7.0000000000000007E-2</v>
      </c>
      <c r="M39" s="5">
        <f t="shared" si="2"/>
        <v>0</v>
      </c>
      <c r="N39" s="5">
        <v>0</v>
      </c>
      <c r="O39" s="5">
        <f t="shared" si="1"/>
        <v>0</v>
      </c>
    </row>
    <row r="40" spans="1:15">
      <c r="A40" s="4">
        <v>609</v>
      </c>
      <c r="B40" s="3">
        <v>45630</v>
      </c>
      <c r="C40" s="4">
        <v>40</v>
      </c>
      <c r="D40" s="4">
        <v>39</v>
      </c>
      <c r="E40" s="4">
        <v>39</v>
      </c>
      <c r="F40" s="4">
        <v>39</v>
      </c>
      <c r="G40" s="4">
        <f t="shared" si="11"/>
        <v>40</v>
      </c>
      <c r="H40" s="4">
        <f t="shared" si="12"/>
        <v>39</v>
      </c>
      <c r="I40" s="4">
        <f t="shared" si="13"/>
        <v>39</v>
      </c>
      <c r="J40" s="4">
        <f t="shared" si="14"/>
        <v>39</v>
      </c>
      <c r="K40" s="5">
        <f>(G40+H40+I40+J40)*487*2</f>
        <v>152918</v>
      </c>
      <c r="L40" s="5">
        <v>0.09</v>
      </c>
      <c r="M40" s="5">
        <f t="shared" si="2"/>
        <v>2379713.7873417721</v>
      </c>
      <c r="N40" s="6">
        <v>4149.5600000000004</v>
      </c>
      <c r="O40" s="5">
        <f t="shared" si="1"/>
        <v>4315.5424000000003</v>
      </c>
    </row>
    <row r="41" spans="1:15">
      <c r="A41" s="4">
        <v>611</v>
      </c>
      <c r="B41" s="3">
        <v>45630</v>
      </c>
      <c r="C41" s="4">
        <v>90</v>
      </c>
      <c r="D41" s="4">
        <v>92</v>
      </c>
      <c r="E41" s="4">
        <v>92</v>
      </c>
      <c r="F41" s="4">
        <v>91</v>
      </c>
      <c r="G41" s="4">
        <f t="shared" si="11"/>
        <v>90</v>
      </c>
      <c r="H41" s="4">
        <f t="shared" si="12"/>
        <v>92</v>
      </c>
      <c r="I41" s="4">
        <f t="shared" si="13"/>
        <v>92</v>
      </c>
      <c r="J41" s="4">
        <f t="shared" si="14"/>
        <v>91</v>
      </c>
      <c r="K41" s="5">
        <f>(G41+H41+I41+J41)*709.6*2</f>
        <v>518008</v>
      </c>
      <c r="L41" s="5">
        <v>7.0000000000000007E-2</v>
      </c>
      <c r="M41" s="5">
        <f t="shared" si="2"/>
        <v>8061253.6101265829</v>
      </c>
      <c r="N41" s="5">
        <v>0</v>
      </c>
      <c r="O41" s="5">
        <f t="shared" si="1"/>
        <v>0</v>
      </c>
    </row>
    <row r="42" spans="1:15">
      <c r="A42" s="4">
        <v>857</v>
      </c>
      <c r="B42" s="3">
        <v>45630</v>
      </c>
      <c r="C42" s="4">
        <v>40</v>
      </c>
      <c r="D42" s="4">
        <v>48</v>
      </c>
      <c r="E42" s="4">
        <v>79</v>
      </c>
      <c r="F42" s="4">
        <v>52</v>
      </c>
      <c r="G42" s="4">
        <f t="shared" si="11"/>
        <v>40</v>
      </c>
      <c r="H42" s="4">
        <f t="shared" si="12"/>
        <v>48</v>
      </c>
      <c r="I42" s="4">
        <f t="shared" si="13"/>
        <v>79</v>
      </c>
      <c r="J42" s="4">
        <f t="shared" si="14"/>
        <v>52</v>
      </c>
      <c r="K42" s="5">
        <f>(G42+H42+I42+J42)*195*2</f>
        <v>85410</v>
      </c>
      <c r="L42" s="5">
        <v>0.23</v>
      </c>
      <c r="M42" s="5">
        <f t="shared" si="2"/>
        <v>1329152.5822784812</v>
      </c>
      <c r="N42" s="5">
        <v>0</v>
      </c>
      <c r="O42" s="5">
        <f t="shared" ref="O42:O95" si="15">N42*1.04</f>
        <v>0</v>
      </c>
    </row>
    <row r="43" spans="1:15">
      <c r="A43" s="4">
        <v>509</v>
      </c>
      <c r="B43" s="3">
        <v>45630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5">
        <f t="shared" ref="K43:K46" si="16">(G43+H43+I43+J43)</f>
        <v>0</v>
      </c>
      <c r="L43" s="5">
        <v>0</v>
      </c>
      <c r="M43" s="5">
        <f t="shared" si="2"/>
        <v>0</v>
      </c>
      <c r="N43" s="5">
        <v>0</v>
      </c>
      <c r="O43" s="5">
        <f t="shared" si="15"/>
        <v>0</v>
      </c>
    </row>
    <row r="44" spans="1:15">
      <c r="A44" s="4">
        <v>501</v>
      </c>
      <c r="B44" s="3">
        <v>45630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5">
        <f t="shared" si="16"/>
        <v>0</v>
      </c>
      <c r="L44" s="5">
        <v>0.27</v>
      </c>
      <c r="M44" s="5">
        <f t="shared" si="2"/>
        <v>0</v>
      </c>
      <c r="N44" s="5">
        <v>0</v>
      </c>
      <c r="O44" s="5">
        <f t="shared" si="15"/>
        <v>0</v>
      </c>
    </row>
    <row r="45" spans="1:15">
      <c r="A45" s="4">
        <v>503</v>
      </c>
      <c r="B45" s="3">
        <v>45630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5">
        <f t="shared" si="16"/>
        <v>0</v>
      </c>
      <c r="L45" s="5">
        <v>0.27</v>
      </c>
      <c r="M45" s="5">
        <f t="shared" si="2"/>
        <v>0</v>
      </c>
      <c r="N45" s="5">
        <v>0</v>
      </c>
      <c r="O45" s="5">
        <f t="shared" si="15"/>
        <v>0</v>
      </c>
    </row>
    <row r="46" spans="1:15">
      <c r="A46" s="4">
        <v>525</v>
      </c>
      <c r="B46" s="3">
        <v>45630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5">
        <f t="shared" si="16"/>
        <v>0</v>
      </c>
      <c r="L46" s="5">
        <v>0.27</v>
      </c>
      <c r="M46" s="5">
        <f t="shared" si="2"/>
        <v>0</v>
      </c>
      <c r="N46" s="5">
        <v>0</v>
      </c>
      <c r="O46" s="5">
        <f t="shared" si="15"/>
        <v>0</v>
      </c>
    </row>
    <row r="47" spans="1:15">
      <c r="A47" s="4">
        <v>601</v>
      </c>
      <c r="B47" s="3">
        <v>45630</v>
      </c>
      <c r="C47" s="4">
        <v>90</v>
      </c>
      <c r="D47" s="4">
        <v>92</v>
      </c>
      <c r="E47" s="4">
        <v>92</v>
      </c>
      <c r="F47" s="4">
        <v>91</v>
      </c>
      <c r="G47" s="4">
        <f t="shared" si="11"/>
        <v>90</v>
      </c>
      <c r="H47" s="4">
        <f t="shared" si="12"/>
        <v>92</v>
      </c>
      <c r="I47" s="4">
        <f t="shared" si="13"/>
        <v>92</v>
      </c>
      <c r="J47" s="4">
        <f t="shared" si="14"/>
        <v>91</v>
      </c>
      <c r="K47" s="5">
        <f>(G47+H47+I47+J47)*425*2</f>
        <v>310250</v>
      </c>
      <c r="L47" s="5">
        <v>0.27</v>
      </c>
      <c r="M47" s="5">
        <f t="shared" si="2"/>
        <v>4828118.3544303803</v>
      </c>
      <c r="N47" s="5">
        <v>0</v>
      </c>
      <c r="O47" s="5">
        <f t="shared" si="15"/>
        <v>0</v>
      </c>
    </row>
    <row r="48" spans="1:15">
      <c r="A48" s="4">
        <v>603</v>
      </c>
      <c r="B48" s="3">
        <v>45630</v>
      </c>
      <c r="C48" s="4">
        <v>90</v>
      </c>
      <c r="D48" s="4">
        <v>92</v>
      </c>
      <c r="E48" s="4">
        <v>92</v>
      </c>
      <c r="F48" s="4">
        <v>91</v>
      </c>
      <c r="G48" s="4">
        <f>C48*2</f>
        <v>180</v>
      </c>
      <c r="H48" s="4">
        <f>D48*2</f>
        <v>184</v>
      </c>
      <c r="I48" s="4">
        <f>E48*2</f>
        <v>184</v>
      </c>
      <c r="J48" s="4">
        <f>F48*2</f>
        <v>182</v>
      </c>
      <c r="K48" s="5">
        <f>(G48+H48+I48+J48)*212.7*2</f>
        <v>310542</v>
      </c>
      <c r="L48" s="5">
        <v>0.27</v>
      </c>
      <c r="M48" s="5">
        <f t="shared" si="2"/>
        <v>4832662.4658227852</v>
      </c>
      <c r="N48" s="5">
        <v>0</v>
      </c>
      <c r="O48" s="5">
        <f t="shared" si="15"/>
        <v>0</v>
      </c>
    </row>
    <row r="49" spans="1:15">
      <c r="A49" s="4">
        <v>108</v>
      </c>
      <c r="B49" s="3">
        <v>45644</v>
      </c>
      <c r="C49" s="4">
        <v>90</v>
      </c>
      <c r="D49" s="4">
        <v>92</v>
      </c>
      <c r="E49" s="4">
        <v>92</v>
      </c>
      <c r="F49" s="4">
        <v>91</v>
      </c>
      <c r="G49" s="4">
        <f>C49*18</f>
        <v>1620</v>
      </c>
      <c r="H49" s="4">
        <f>D49*18</f>
        <v>1656</v>
      </c>
      <c r="I49" s="4">
        <f>E49*18</f>
        <v>1656</v>
      </c>
      <c r="J49" s="4">
        <f>F49*18</f>
        <v>1638</v>
      </c>
      <c r="K49" s="5">
        <f>(G49+H49+I49+J49)*42.2*2</f>
        <v>554508</v>
      </c>
      <c r="L49" s="5">
        <v>0</v>
      </c>
      <c r="M49" s="5">
        <f t="shared" si="2"/>
        <v>8629267.5341772158</v>
      </c>
      <c r="N49" s="5">
        <v>0</v>
      </c>
      <c r="O49" s="5">
        <f t="shared" si="15"/>
        <v>0</v>
      </c>
    </row>
    <row r="50" spans="1:15">
      <c r="A50" s="4">
        <v>111</v>
      </c>
      <c r="B50" s="3">
        <v>45644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5">
        <f t="shared" ref="K50:K51" si="17">(G50+H50+I50+J50)</f>
        <v>0</v>
      </c>
      <c r="L50" s="5">
        <v>0</v>
      </c>
      <c r="M50" s="5">
        <f t="shared" si="2"/>
        <v>0</v>
      </c>
      <c r="N50" s="5">
        <v>0</v>
      </c>
      <c r="O50" s="5">
        <f t="shared" si="15"/>
        <v>0</v>
      </c>
    </row>
    <row r="51" spans="1:15">
      <c r="A51" s="4">
        <v>113</v>
      </c>
      <c r="B51" s="3">
        <v>45644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5">
        <f t="shared" si="17"/>
        <v>0</v>
      </c>
      <c r="L51" s="5">
        <v>0</v>
      </c>
      <c r="M51" s="5">
        <f t="shared" si="2"/>
        <v>0</v>
      </c>
      <c r="N51" s="5">
        <v>0</v>
      </c>
      <c r="O51" s="5">
        <f t="shared" si="15"/>
        <v>0</v>
      </c>
    </row>
    <row r="52" spans="1:15">
      <c r="A52" s="4">
        <v>512</v>
      </c>
      <c r="B52" s="3">
        <v>45644</v>
      </c>
      <c r="C52" s="4">
        <v>90</v>
      </c>
      <c r="D52" s="4">
        <v>92</v>
      </c>
      <c r="E52" s="4">
        <v>92</v>
      </c>
      <c r="F52" s="4">
        <v>91</v>
      </c>
      <c r="G52" s="4">
        <f>C52*1</f>
        <v>90</v>
      </c>
      <c r="H52" s="4">
        <f>D52*1</f>
        <v>92</v>
      </c>
      <c r="I52" s="4">
        <f>E52*1</f>
        <v>92</v>
      </c>
      <c r="J52" s="4">
        <f>F52*1</f>
        <v>91</v>
      </c>
      <c r="K52" s="5">
        <f>(G52+H52+I52+J52)*(84+26)*2</f>
        <v>80300</v>
      </c>
      <c r="L52" s="5">
        <v>0</v>
      </c>
      <c r="M52" s="5">
        <f t="shared" si="2"/>
        <v>1249630.6329113925</v>
      </c>
      <c r="N52" s="5">
        <v>0</v>
      </c>
      <c r="O52" s="5">
        <f t="shared" si="15"/>
        <v>0</v>
      </c>
    </row>
    <row r="53" spans="1:15">
      <c r="A53" s="4">
        <v>513</v>
      </c>
      <c r="B53" s="3">
        <v>45644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5">
        <f>(G53+H53+I53+J53)</f>
        <v>0</v>
      </c>
      <c r="L53" s="5">
        <v>0</v>
      </c>
      <c r="M53" s="5">
        <f t="shared" si="2"/>
        <v>0</v>
      </c>
      <c r="N53" s="5">
        <v>0</v>
      </c>
      <c r="O53" s="5">
        <f t="shared" si="15"/>
        <v>0</v>
      </c>
    </row>
    <row r="54" spans="1:15">
      <c r="A54" s="4">
        <v>321</v>
      </c>
      <c r="B54" s="3">
        <v>45651</v>
      </c>
      <c r="C54" s="4">
        <v>90</v>
      </c>
      <c r="D54" s="4">
        <v>92</v>
      </c>
      <c r="E54" s="4">
        <v>92</v>
      </c>
      <c r="F54" s="4">
        <v>91</v>
      </c>
      <c r="G54" s="4">
        <f>C54*8</f>
        <v>720</v>
      </c>
      <c r="H54" s="4">
        <f>D54*8</f>
        <v>736</v>
      </c>
      <c r="I54" s="4">
        <f>E54*8</f>
        <v>736</v>
      </c>
      <c r="J54" s="4">
        <f>F54*8</f>
        <v>728</v>
      </c>
      <c r="K54" s="5">
        <f>(G54+H54+I54+J54)*33.44*2</f>
        <v>195289.59999999998</v>
      </c>
      <c r="L54" s="5">
        <v>0.02</v>
      </c>
      <c r="M54" s="5">
        <f t="shared" si="2"/>
        <v>3039101.6992405062</v>
      </c>
      <c r="N54" s="5">
        <v>0</v>
      </c>
      <c r="O54" s="5">
        <f t="shared" si="15"/>
        <v>0</v>
      </c>
    </row>
    <row r="55" spans="1:15">
      <c r="A55" s="4">
        <v>355</v>
      </c>
      <c r="B55" s="3">
        <v>45651</v>
      </c>
      <c r="C55" s="4">
        <v>90</v>
      </c>
      <c r="D55" s="4">
        <v>92</v>
      </c>
      <c r="E55" s="4">
        <v>92</v>
      </c>
      <c r="F55" s="4">
        <v>91</v>
      </c>
      <c r="G55" s="4">
        <f>C55*20</f>
        <v>1800</v>
      </c>
      <c r="H55" s="4">
        <f>D55*20</f>
        <v>1840</v>
      </c>
      <c r="I55" s="4">
        <f>E55*20</f>
        <v>1840</v>
      </c>
      <c r="J55" s="4">
        <f>F55*20</f>
        <v>1820</v>
      </c>
      <c r="K55" s="5">
        <f>(G55+H55+I55+J55)*37.5*2</f>
        <v>547500</v>
      </c>
      <c r="L55" s="5">
        <v>0.02</v>
      </c>
      <c r="M55" s="5">
        <f t="shared" si="2"/>
        <v>8520208.8607594948</v>
      </c>
      <c r="N55" s="5">
        <v>0</v>
      </c>
      <c r="O55" s="5">
        <f t="shared" si="15"/>
        <v>0</v>
      </c>
    </row>
    <row r="56" spans="1:15">
      <c r="A56" s="4">
        <v>844</v>
      </c>
      <c r="B56" s="3">
        <v>45651</v>
      </c>
      <c r="C56" s="4">
        <v>90</v>
      </c>
      <c r="D56" s="4">
        <v>92</v>
      </c>
      <c r="E56" s="4">
        <v>92</v>
      </c>
      <c r="F56" s="4">
        <v>91</v>
      </c>
      <c r="G56" s="4">
        <f>C56*9</f>
        <v>810</v>
      </c>
      <c r="H56" s="4">
        <f>D56*9</f>
        <v>828</v>
      </c>
      <c r="I56" s="4">
        <f>E56*9</f>
        <v>828</v>
      </c>
      <c r="J56" s="4">
        <f>F56*9</f>
        <v>819</v>
      </c>
      <c r="K56" s="5">
        <f>(G56+H56+I56+J56)*69.5*2</f>
        <v>456615</v>
      </c>
      <c r="L56" s="5">
        <v>0.01</v>
      </c>
      <c r="M56" s="5">
        <f t="shared" si="2"/>
        <v>7105854.1898734178</v>
      </c>
      <c r="N56" s="5">
        <v>0</v>
      </c>
      <c r="O56" s="5">
        <f t="shared" si="15"/>
        <v>0</v>
      </c>
    </row>
    <row r="57" spans="1:15">
      <c r="A57" s="4">
        <v>849</v>
      </c>
      <c r="B57" s="3">
        <v>45657</v>
      </c>
      <c r="C57" s="4">
        <v>90</v>
      </c>
      <c r="D57" s="4">
        <v>92</v>
      </c>
      <c r="E57" s="4">
        <v>92</v>
      </c>
      <c r="F57" s="4">
        <v>91</v>
      </c>
      <c r="G57" s="4">
        <f>C57*3</f>
        <v>270</v>
      </c>
      <c r="H57" s="4">
        <f>D57*3</f>
        <v>276</v>
      </c>
      <c r="I57" s="4">
        <f>E57*3</f>
        <v>276</v>
      </c>
      <c r="J57" s="4">
        <f>F57*3</f>
        <v>273</v>
      </c>
      <c r="K57" s="5">
        <f>(G57+H57+I57+J57)*105.4*2</f>
        <v>230826</v>
      </c>
      <c r="L57" s="5">
        <v>27.36</v>
      </c>
      <c r="M57" s="5">
        <f t="shared" si="2"/>
        <v>3592120.0556962029</v>
      </c>
      <c r="N57" s="5">
        <v>0</v>
      </c>
      <c r="O57" s="5">
        <f t="shared" si="15"/>
        <v>0</v>
      </c>
    </row>
    <row r="58" spans="1:15">
      <c r="A58" s="4">
        <v>869</v>
      </c>
      <c r="B58" s="3">
        <v>45657</v>
      </c>
      <c r="C58" s="4">
        <v>90</v>
      </c>
      <c r="D58" s="4">
        <v>92</v>
      </c>
      <c r="E58" s="4">
        <v>92</v>
      </c>
      <c r="F58" s="4">
        <v>91</v>
      </c>
      <c r="G58" s="4">
        <f>C58*2</f>
        <v>180</v>
      </c>
      <c r="H58" s="4">
        <f>D58*2</f>
        <v>184</v>
      </c>
      <c r="I58" s="4">
        <f>E58*2</f>
        <v>184</v>
      </c>
      <c r="J58" s="4">
        <f>F58*2</f>
        <v>182</v>
      </c>
      <c r="K58" s="5">
        <f>(G58+H58+I58+J58)*68.2*2</f>
        <v>99572</v>
      </c>
      <c r="L58" s="5">
        <v>27.36</v>
      </c>
      <c r="M58" s="5">
        <f t="shared" si="2"/>
        <v>1549541.9848101267</v>
      </c>
      <c r="N58" s="5">
        <v>0</v>
      </c>
      <c r="O58" s="5">
        <f t="shared" si="15"/>
        <v>0</v>
      </c>
    </row>
    <row r="59" spans="1:15">
      <c r="A59" s="4">
        <v>104</v>
      </c>
      <c r="B59" s="3">
        <v>45657</v>
      </c>
      <c r="C59" s="4">
        <v>90</v>
      </c>
      <c r="D59" s="4">
        <v>92</v>
      </c>
      <c r="E59" s="4">
        <v>92</v>
      </c>
      <c r="F59" s="4">
        <v>91</v>
      </c>
      <c r="G59" s="4">
        <f>C59*30</f>
        <v>2700</v>
      </c>
      <c r="H59" s="4">
        <f>D59*30</f>
        <v>2760</v>
      </c>
      <c r="I59" s="4">
        <f>E59*30</f>
        <v>2760</v>
      </c>
      <c r="J59" s="4">
        <f>F59*30</f>
        <v>2730</v>
      </c>
      <c r="K59" s="5">
        <f>(G59+H59+I59+J59)*62.53</f>
        <v>684703.5</v>
      </c>
      <c r="L59" s="5">
        <v>49.18</v>
      </c>
      <c r="M59" s="5">
        <f t="shared" si="2"/>
        <v>10655373.201265823</v>
      </c>
      <c r="N59" s="7">
        <v>33438727.355228722</v>
      </c>
      <c r="O59" s="5">
        <f t="shared" si="15"/>
        <v>34776276.449437872</v>
      </c>
    </row>
    <row r="60" spans="1:15">
      <c r="A60" s="4">
        <v>362</v>
      </c>
      <c r="B60" s="3">
        <v>45747</v>
      </c>
      <c r="C60" s="4">
        <v>31</v>
      </c>
      <c r="D60" s="4">
        <v>61</v>
      </c>
      <c r="E60" s="4">
        <v>92</v>
      </c>
      <c r="F60" s="4">
        <v>91</v>
      </c>
      <c r="G60" s="4">
        <f>(23*7)+(8*5)</f>
        <v>201</v>
      </c>
      <c r="H60" s="4">
        <f>(22*7)+(8*5)+(19*8)+(12*7)</f>
        <v>430</v>
      </c>
      <c r="I60" s="4">
        <f>(63*8)+(29*7)</f>
        <v>707</v>
      </c>
      <c r="J60" s="4">
        <f>(22*8)+(8*7)+(42*7)+(19*5)</f>
        <v>621</v>
      </c>
      <c r="K60" s="5">
        <f>(G60+H60+I60+J60)*14.6*2</f>
        <v>57202.799999999996</v>
      </c>
      <c r="L60" s="5">
        <v>0.01</v>
      </c>
      <c r="M60" s="5">
        <f t="shared" si="2"/>
        <v>890191.42177215195</v>
      </c>
      <c r="N60" s="6">
        <v>0</v>
      </c>
      <c r="O60" s="5">
        <f t="shared" si="15"/>
        <v>0</v>
      </c>
    </row>
    <row r="61" spans="1:15">
      <c r="A61" s="4">
        <v>363</v>
      </c>
      <c r="B61" s="3">
        <v>45747</v>
      </c>
      <c r="C61" s="4">
        <v>31</v>
      </c>
      <c r="D61" s="4">
        <v>61</v>
      </c>
      <c r="E61" s="4">
        <v>92</v>
      </c>
      <c r="F61" s="4">
        <v>91</v>
      </c>
      <c r="G61" s="4">
        <f t="shared" ref="G61:G62" si="18">C61*3</f>
        <v>93</v>
      </c>
      <c r="H61" s="4">
        <f>(30*3)+(31*4)</f>
        <v>214</v>
      </c>
      <c r="I61" s="4">
        <f>E61*4</f>
        <v>368</v>
      </c>
      <c r="J61" s="4">
        <f t="shared" ref="J61:J62" si="19">F61*3</f>
        <v>273</v>
      </c>
      <c r="K61" s="5">
        <f>(G61+H61+I61+J61)*19.2*2</f>
        <v>36403.199999999997</v>
      </c>
      <c r="L61" s="5">
        <v>18.89</v>
      </c>
      <c r="M61" s="5">
        <f t="shared" si="2"/>
        <v>566507.52000000002</v>
      </c>
      <c r="N61" s="6">
        <v>3758420.7359999996</v>
      </c>
      <c r="O61" s="5">
        <f t="shared" si="15"/>
        <v>3908757.5654399996</v>
      </c>
    </row>
    <row r="62" spans="1:15">
      <c r="A62" s="4">
        <v>364</v>
      </c>
      <c r="B62" s="3">
        <v>45747</v>
      </c>
      <c r="C62" s="4">
        <v>31</v>
      </c>
      <c r="D62" s="4">
        <v>61</v>
      </c>
      <c r="E62" s="4">
        <v>92</v>
      </c>
      <c r="F62" s="4">
        <v>91</v>
      </c>
      <c r="G62" s="4">
        <f t="shared" si="18"/>
        <v>93</v>
      </c>
      <c r="H62" s="4">
        <f>(30*3)+(14*19)+(17*23)</f>
        <v>747</v>
      </c>
      <c r="I62" s="4">
        <f>(76*23)+(16*19)</f>
        <v>2052</v>
      </c>
      <c r="J62" s="4">
        <f t="shared" si="19"/>
        <v>273</v>
      </c>
      <c r="K62" s="5">
        <f>(G62+H62+I62+J62)*13.4*2</f>
        <v>84822</v>
      </c>
      <c r="L62" s="5">
        <v>19.190000000000001</v>
      </c>
      <c r="M62" s="5">
        <f t="shared" si="2"/>
        <v>1320002.1113924051</v>
      </c>
      <c r="N62" s="7">
        <v>9554491.5839999989</v>
      </c>
      <c r="O62" s="5">
        <f t="shared" si="15"/>
        <v>9936671.2473599985</v>
      </c>
    </row>
    <row r="63" spans="1:15">
      <c r="A63" s="4">
        <v>369</v>
      </c>
      <c r="B63" s="3">
        <v>45747</v>
      </c>
      <c r="C63" s="4">
        <v>0</v>
      </c>
      <c r="D63" s="4">
        <v>31</v>
      </c>
      <c r="E63" s="4">
        <v>92</v>
      </c>
      <c r="F63" s="4">
        <v>0</v>
      </c>
      <c r="G63" s="4">
        <v>0</v>
      </c>
      <c r="H63" s="4">
        <f>(4*2)+(9*1)</f>
        <v>17</v>
      </c>
      <c r="I63" s="4">
        <f>(13*2)+(27*1)</f>
        <v>53</v>
      </c>
      <c r="J63" s="4">
        <v>0</v>
      </c>
      <c r="K63" s="5">
        <f>(G63+H63+I63+J63)*30.5*2</f>
        <v>4270</v>
      </c>
      <c r="L63" s="5">
        <v>172.01</v>
      </c>
      <c r="M63" s="5">
        <f t="shared" si="2"/>
        <v>66449.84810126583</v>
      </c>
      <c r="N63" s="6">
        <v>861085.76</v>
      </c>
      <c r="O63" s="5">
        <f t="shared" si="15"/>
        <v>895529.19040000008</v>
      </c>
    </row>
    <row r="64" spans="1:15">
      <c r="A64" s="4">
        <v>305</v>
      </c>
      <c r="B64" s="3">
        <v>45747</v>
      </c>
      <c r="C64" s="4">
        <v>31</v>
      </c>
      <c r="D64" s="4">
        <v>61</v>
      </c>
      <c r="E64" s="4">
        <v>92</v>
      </c>
      <c r="F64" s="4">
        <v>91</v>
      </c>
      <c r="G64" s="4">
        <f>(27*2)+(4*3)</f>
        <v>66</v>
      </c>
      <c r="H64" s="4">
        <f>(52*2)+(9*3)</f>
        <v>131</v>
      </c>
      <c r="I64" s="4">
        <f>(14*2)+(78*3)</f>
        <v>262</v>
      </c>
      <c r="J64" s="4">
        <f>(78*2)+(19*3)</f>
        <v>213</v>
      </c>
      <c r="K64" s="5">
        <f>(G64+H64+I64+J64)*29.3*2</f>
        <v>39379.200000000004</v>
      </c>
      <c r="L64" s="5">
        <v>30.21</v>
      </c>
      <c r="M64" s="5">
        <f t="shared" si="2"/>
        <v>612820.10734177229</v>
      </c>
      <c r="N64" s="6">
        <v>5721276.2199999997</v>
      </c>
      <c r="O64" s="5">
        <f t="shared" si="15"/>
        <v>5950127.2687999997</v>
      </c>
    </row>
    <row r="65" spans="1:15">
      <c r="A65" s="4">
        <v>352</v>
      </c>
      <c r="B65" s="3">
        <v>45747</v>
      </c>
      <c r="C65" s="4">
        <v>31</v>
      </c>
      <c r="D65" s="4">
        <v>61</v>
      </c>
      <c r="E65" s="4">
        <v>92</v>
      </c>
      <c r="F65" s="4">
        <v>91</v>
      </c>
      <c r="G65" s="4">
        <f>C65*3</f>
        <v>93</v>
      </c>
      <c r="H65" s="4">
        <f>D65*3</f>
        <v>183</v>
      </c>
      <c r="I65" s="4">
        <f>E65*3</f>
        <v>276</v>
      </c>
      <c r="J65" s="4">
        <f>F65*3</f>
        <v>273</v>
      </c>
      <c r="K65" s="5">
        <f>(G65+H65+I65+J65)*41.91*2</f>
        <v>69151.5</v>
      </c>
      <c r="L65" s="5">
        <v>27.24</v>
      </c>
      <c r="M65" s="5">
        <f t="shared" si="2"/>
        <v>1076137.3936708861</v>
      </c>
      <c r="N65" s="6">
        <v>8669812.7339999992</v>
      </c>
      <c r="O65" s="5">
        <f t="shared" si="15"/>
        <v>9016605.2433599997</v>
      </c>
    </row>
    <row r="66" spans="1:15">
      <c r="A66" s="4">
        <v>821</v>
      </c>
      <c r="B66" s="3">
        <v>45747</v>
      </c>
      <c r="C66" s="4">
        <v>31</v>
      </c>
      <c r="D66" s="4">
        <v>61</v>
      </c>
      <c r="E66" s="4">
        <v>92</v>
      </c>
      <c r="F66" s="4">
        <v>91</v>
      </c>
      <c r="G66" s="4">
        <f>C66*1</f>
        <v>31</v>
      </c>
      <c r="H66" s="4">
        <f>D66*1</f>
        <v>61</v>
      </c>
      <c r="I66" s="4">
        <f>E66*1</f>
        <v>92</v>
      </c>
      <c r="J66" s="4">
        <f>F66*1</f>
        <v>91</v>
      </c>
      <c r="K66" s="5">
        <f>(G66+H66+I66+J66)*70.87*2</f>
        <v>38978.5</v>
      </c>
      <c r="L66" s="5">
        <v>41.6</v>
      </c>
      <c r="M66" s="5">
        <f t="shared" si="2"/>
        <v>606584.4037974684</v>
      </c>
      <c r="N66" s="6">
        <v>7106333.3360000011</v>
      </c>
      <c r="O66" s="5">
        <f t="shared" si="15"/>
        <v>7390586.6694400012</v>
      </c>
    </row>
    <row r="67" spans="1:15">
      <c r="A67" s="4">
        <v>835</v>
      </c>
      <c r="B67" s="3">
        <v>45747</v>
      </c>
      <c r="C67" s="4">
        <v>31</v>
      </c>
      <c r="D67" s="4">
        <v>61</v>
      </c>
      <c r="E67" s="4">
        <v>92</v>
      </c>
      <c r="F67" s="4">
        <v>91</v>
      </c>
      <c r="G67" s="4">
        <f>(27*2)+(4*3)</f>
        <v>66</v>
      </c>
      <c r="H67" s="4">
        <f>(12*2)+(2*3)+(47*3)</f>
        <v>171</v>
      </c>
      <c r="I67" s="4">
        <f>E67*3</f>
        <v>276</v>
      </c>
      <c r="J67" s="4">
        <f>(44*3)+(9*3)+(38*2)</f>
        <v>235</v>
      </c>
      <c r="K67" s="5">
        <f>(G67+H67+I67+J67)*57.2*2</f>
        <v>85571.199999999997</v>
      </c>
      <c r="L67" s="5">
        <v>35.85</v>
      </c>
      <c r="M67" s="5">
        <f t="shared" si="2"/>
        <v>1331661.1807594937</v>
      </c>
      <c r="N67" s="7">
        <v>7763359.0319999997</v>
      </c>
      <c r="O67" s="5">
        <f t="shared" si="15"/>
        <v>8073893.3932799995</v>
      </c>
    </row>
    <row r="68" spans="1:15">
      <c r="A68" s="4">
        <v>360</v>
      </c>
      <c r="B68" s="3">
        <v>45777</v>
      </c>
      <c r="C68" s="4">
        <v>0</v>
      </c>
      <c r="D68" s="4">
        <v>31</v>
      </c>
      <c r="E68" s="4">
        <v>29</v>
      </c>
      <c r="F68" s="4">
        <v>12</v>
      </c>
      <c r="G68" s="4">
        <f t="shared" ref="G68:G70" si="20">C68*2</f>
        <v>0</v>
      </c>
      <c r="H68" s="4">
        <f t="shared" ref="H68:H69" si="21">D68*2</f>
        <v>62</v>
      </c>
      <c r="I68" s="4">
        <f>E68*2</f>
        <v>58</v>
      </c>
      <c r="J68" s="4">
        <f>F68*2</f>
        <v>24</v>
      </c>
      <c r="K68" s="5">
        <f>(G68+H68+I68+J68)*26.6*2</f>
        <v>7660.8</v>
      </c>
      <c r="L68" s="5">
        <v>29.09</v>
      </c>
      <c r="M68" s="5">
        <f t="shared" si="2"/>
        <v>119217.5635443038</v>
      </c>
      <c r="N68" s="6">
        <v>2689249.36</v>
      </c>
      <c r="O68" s="5">
        <f t="shared" si="15"/>
        <v>2796819.3344000001</v>
      </c>
    </row>
    <row r="69" spans="1:15">
      <c r="A69" s="4">
        <v>368</v>
      </c>
      <c r="B69" s="3">
        <v>45777</v>
      </c>
      <c r="C69" s="4">
        <v>90</v>
      </c>
      <c r="D69" s="4">
        <v>61</v>
      </c>
      <c r="E69" s="4">
        <v>92</v>
      </c>
      <c r="F69" s="4">
        <v>61</v>
      </c>
      <c r="G69" s="4">
        <f t="shared" si="20"/>
        <v>180</v>
      </c>
      <c r="H69" s="4">
        <f t="shared" si="21"/>
        <v>122</v>
      </c>
      <c r="I69" s="4">
        <f>E69*3</f>
        <v>276</v>
      </c>
      <c r="J69" s="4">
        <f>F69*3</f>
        <v>183</v>
      </c>
      <c r="K69" s="5">
        <f>(G69+H69+I69+J69)*23*2</f>
        <v>35006</v>
      </c>
      <c r="L69" s="5">
        <v>29.09</v>
      </c>
      <c r="M69" s="5">
        <f t="shared" si="2"/>
        <v>544764.2582278481</v>
      </c>
      <c r="N69" s="6">
        <v>5509223.1200000001</v>
      </c>
      <c r="O69" s="5">
        <f t="shared" si="15"/>
        <v>5729592.0448000003</v>
      </c>
    </row>
    <row r="70" spans="1:15">
      <c r="A70" s="15">
        <v>516</v>
      </c>
      <c r="B70" s="3">
        <v>45838</v>
      </c>
      <c r="C70" s="4">
        <v>12</v>
      </c>
      <c r="D70" s="4">
        <v>0</v>
      </c>
      <c r="E70" s="4">
        <v>62</v>
      </c>
      <c r="F70" s="4">
        <v>57</v>
      </c>
      <c r="G70" s="4">
        <f t="shared" si="20"/>
        <v>24</v>
      </c>
      <c r="H70" s="4">
        <v>0</v>
      </c>
      <c r="I70" s="4">
        <f>E70*2</f>
        <v>124</v>
      </c>
      <c r="J70" s="4">
        <f>F70*2</f>
        <v>114</v>
      </c>
      <c r="K70" s="5">
        <f>(G70+H70+I70+J70)*104.2*2</f>
        <v>54600.800000000003</v>
      </c>
      <c r="L70" s="5">
        <v>35.409999999999997</v>
      </c>
      <c r="M70" s="5">
        <f t="shared" si="2"/>
        <v>849699.03189873428</v>
      </c>
      <c r="N70" s="5">
        <v>1</v>
      </c>
      <c r="O70" s="5">
        <f t="shared" si="15"/>
        <v>1.04</v>
      </c>
    </row>
    <row r="71" spans="1:15">
      <c r="A71" s="4">
        <v>144</v>
      </c>
      <c r="B71" s="3">
        <v>45901</v>
      </c>
      <c r="C71" s="4">
        <v>31</v>
      </c>
      <c r="D71" s="4">
        <v>0</v>
      </c>
      <c r="E71" s="4">
        <v>0</v>
      </c>
      <c r="F71" s="4">
        <v>91</v>
      </c>
      <c r="G71" s="4">
        <f>(27*55)+(4*54.5)</f>
        <v>1703</v>
      </c>
      <c r="H71" s="4">
        <v>0</v>
      </c>
      <c r="I71" s="4">
        <v>0</v>
      </c>
      <c r="J71" s="4">
        <f>(78*55)+(13*54.5)</f>
        <v>4998.5</v>
      </c>
      <c r="K71" s="5">
        <f>(G71+H71+I71+J71)*29.9*2</f>
        <v>400749.69999999995</v>
      </c>
      <c r="L71" s="5">
        <v>0</v>
      </c>
      <c r="M71" s="5">
        <f t="shared" si="2"/>
        <v>6236476.9769620253</v>
      </c>
      <c r="N71" s="5">
        <v>0</v>
      </c>
      <c r="O71" s="5">
        <f t="shared" si="15"/>
        <v>0</v>
      </c>
    </row>
    <row r="72" spans="1:15">
      <c r="A72" s="4">
        <v>145</v>
      </c>
      <c r="B72" s="3">
        <v>45901</v>
      </c>
      <c r="C72" s="4">
        <v>27</v>
      </c>
      <c r="D72" s="4">
        <v>0</v>
      </c>
      <c r="E72" s="4">
        <v>0</v>
      </c>
      <c r="F72" s="4">
        <v>78</v>
      </c>
      <c r="G72" s="4">
        <f>C72*4</f>
        <v>108</v>
      </c>
      <c r="H72" s="4">
        <v>0</v>
      </c>
      <c r="I72" s="4">
        <v>0</v>
      </c>
      <c r="J72" s="4">
        <f>F72*4</f>
        <v>312</v>
      </c>
      <c r="K72" s="5">
        <f>(G72+H72+I72+J72)*37.2*2</f>
        <v>31248.000000000004</v>
      </c>
      <c r="L72" s="5">
        <v>0</v>
      </c>
      <c r="M72" s="5">
        <f t="shared" si="2"/>
        <v>486282.16708860768</v>
      </c>
      <c r="N72" s="5">
        <v>0</v>
      </c>
      <c r="O72" s="5">
        <f t="shared" si="15"/>
        <v>0</v>
      </c>
    </row>
    <row r="73" spans="1:15">
      <c r="A73" s="4" t="s">
        <v>8</v>
      </c>
      <c r="B73" s="3">
        <v>45901</v>
      </c>
      <c r="C73" s="4">
        <v>31</v>
      </c>
      <c r="D73" s="4">
        <v>0</v>
      </c>
      <c r="E73" s="4">
        <v>0</v>
      </c>
      <c r="F73" s="4">
        <v>91</v>
      </c>
      <c r="G73" s="4">
        <f>(23*52)+(4*50)+(4*45)</f>
        <v>1576</v>
      </c>
      <c r="H73" s="4">
        <v>0</v>
      </c>
      <c r="I73" s="4">
        <v>0</v>
      </c>
      <c r="J73" s="4">
        <f>(65*52)+(13*50)+(13*45)</f>
        <v>4615</v>
      </c>
      <c r="K73" s="5">
        <f>(G73+H73+I73+J73)*28.2*2</f>
        <v>349172.39999999997</v>
      </c>
      <c r="L73" s="5">
        <v>0</v>
      </c>
      <c r="M73" s="5">
        <f t="shared" si="2"/>
        <v>5433829.728607595</v>
      </c>
      <c r="N73" s="5">
        <v>0</v>
      </c>
      <c r="O73" s="5">
        <f t="shared" si="15"/>
        <v>0</v>
      </c>
    </row>
    <row r="74" spans="1:15">
      <c r="A74" s="4">
        <v>260</v>
      </c>
      <c r="B74" s="3">
        <v>45901</v>
      </c>
      <c r="C74" s="4">
        <v>31</v>
      </c>
      <c r="D74" s="4">
        <v>0</v>
      </c>
      <c r="E74" s="4">
        <v>0</v>
      </c>
      <c r="F74" s="4">
        <v>91</v>
      </c>
      <c r="G74" s="4">
        <f>C74*5</f>
        <v>155</v>
      </c>
      <c r="H74" s="4">
        <f>D74*5</f>
        <v>0</v>
      </c>
      <c r="I74" s="4">
        <f>E74*5</f>
        <v>0</v>
      </c>
      <c r="J74" s="4">
        <f>F74*5</f>
        <v>455</v>
      </c>
      <c r="K74" s="5">
        <f>(G74+H74+I74+J74)*14.15*2</f>
        <v>17263</v>
      </c>
      <c r="L74" s="5">
        <v>0</v>
      </c>
      <c r="M74" s="5">
        <f t="shared" si="2"/>
        <v>268647.24303797469</v>
      </c>
      <c r="N74" s="5">
        <v>0</v>
      </c>
      <c r="O74" s="5">
        <f t="shared" si="15"/>
        <v>0</v>
      </c>
    </row>
    <row r="75" spans="1:15">
      <c r="A75" s="4">
        <v>262</v>
      </c>
      <c r="B75" s="3">
        <v>45901</v>
      </c>
      <c r="C75" s="4">
        <v>12</v>
      </c>
      <c r="D75" s="4">
        <v>0</v>
      </c>
      <c r="E75" s="4">
        <v>0</v>
      </c>
      <c r="F75" s="4">
        <v>57</v>
      </c>
      <c r="G75" s="4">
        <f>C75*2</f>
        <v>24</v>
      </c>
      <c r="H75" s="4">
        <v>0</v>
      </c>
      <c r="I75" s="4">
        <v>0</v>
      </c>
      <c r="J75" s="4">
        <f>(22*3)+(4*4)+(4*4)+(27*2)</f>
        <v>152</v>
      </c>
      <c r="K75" s="5">
        <f>(G75+H75+I75+J75)*22*2</f>
        <v>7744</v>
      </c>
      <c r="L75" s="5">
        <v>0</v>
      </c>
      <c r="M75" s="5">
        <f t="shared" si="2"/>
        <v>120512.32405063292</v>
      </c>
      <c r="N75" s="5">
        <v>0</v>
      </c>
      <c r="O75" s="5">
        <f t="shared" si="15"/>
        <v>0</v>
      </c>
    </row>
    <row r="76" spans="1:15">
      <c r="A76" s="4">
        <v>153</v>
      </c>
      <c r="B76" s="8">
        <v>45930</v>
      </c>
      <c r="C76" s="9">
        <v>31</v>
      </c>
      <c r="D76" s="9">
        <v>0</v>
      </c>
      <c r="E76" s="9">
        <v>0</v>
      </c>
      <c r="F76" s="9">
        <v>61</v>
      </c>
      <c r="G76" s="9">
        <f>C76*4</f>
        <v>124</v>
      </c>
      <c r="H76" s="9">
        <f>D76*4</f>
        <v>0</v>
      </c>
      <c r="I76" s="9">
        <f>E76*4</f>
        <v>0</v>
      </c>
      <c r="J76" s="9">
        <f>F76*4</f>
        <v>244</v>
      </c>
      <c r="K76" s="5">
        <f>(G76+H76+I76+J76)*59.5*2</f>
        <v>43792</v>
      </c>
      <c r="L76" s="7">
        <v>22.91</v>
      </c>
      <c r="M76" s="5">
        <f t="shared" si="2"/>
        <v>681492.21265822789</v>
      </c>
      <c r="N76" s="6">
        <v>9248224</v>
      </c>
      <c r="O76" s="5">
        <f t="shared" si="15"/>
        <v>9618152.9600000009</v>
      </c>
    </row>
    <row r="77" spans="1:15">
      <c r="A77" s="4">
        <v>163</v>
      </c>
      <c r="B77" s="8">
        <v>45930</v>
      </c>
      <c r="C77" s="9">
        <v>31</v>
      </c>
      <c r="D77" s="9">
        <v>0</v>
      </c>
      <c r="E77" s="9">
        <v>0</v>
      </c>
      <c r="F77" s="9">
        <v>61</v>
      </c>
      <c r="G77" s="9">
        <f>C77*3</f>
        <v>93</v>
      </c>
      <c r="H77" s="9">
        <f>D77*3</f>
        <v>0</v>
      </c>
      <c r="I77" s="9">
        <f>E77*3</f>
        <v>0</v>
      </c>
      <c r="J77" s="9">
        <f>F77*3</f>
        <v>183</v>
      </c>
      <c r="K77" s="5">
        <f>(G77+H77+I77+J77)*41*2</f>
        <v>22632</v>
      </c>
      <c r="L77" s="7">
        <v>22.32</v>
      </c>
      <c r="M77" s="5">
        <f t="shared" si="2"/>
        <v>352199.75696202536</v>
      </c>
      <c r="N77" s="6">
        <v>5014771.5</v>
      </c>
      <c r="O77" s="5">
        <f t="shared" si="15"/>
        <v>5215362.3600000003</v>
      </c>
    </row>
    <row r="78" spans="1:15">
      <c r="A78" s="4">
        <v>515</v>
      </c>
      <c r="B78" s="8">
        <v>45930</v>
      </c>
      <c r="C78" s="9">
        <v>31</v>
      </c>
      <c r="D78" s="9">
        <v>0</v>
      </c>
      <c r="E78" s="9">
        <v>0</v>
      </c>
      <c r="F78" s="9">
        <v>61</v>
      </c>
      <c r="G78" s="9">
        <f>C78*2</f>
        <v>62</v>
      </c>
      <c r="H78" s="9">
        <f>D78*2</f>
        <v>0</v>
      </c>
      <c r="I78" s="9">
        <f>E78*2</f>
        <v>0</v>
      </c>
      <c r="J78" s="9">
        <f>F78*2</f>
        <v>122</v>
      </c>
      <c r="K78" s="5">
        <f>(G78+H78+I78+J78)</f>
        <v>184</v>
      </c>
      <c r="L78" s="7">
        <v>25.76</v>
      </c>
      <c r="M78" s="5">
        <f t="shared" si="2"/>
        <v>2863.4126582278482</v>
      </c>
      <c r="N78" s="6">
        <v>1693.6000000000001</v>
      </c>
      <c r="O78" s="5">
        <f t="shared" si="15"/>
        <v>1761.3440000000003</v>
      </c>
    </row>
    <row r="79" spans="1:15">
      <c r="A79" s="4">
        <v>530</v>
      </c>
      <c r="B79" s="8">
        <v>45930</v>
      </c>
      <c r="C79" s="9">
        <v>17</v>
      </c>
      <c r="D79" s="9">
        <v>0</v>
      </c>
      <c r="E79" s="9">
        <v>0</v>
      </c>
      <c r="F79" s="9">
        <v>35</v>
      </c>
      <c r="G79" s="9">
        <f>C79*1</f>
        <v>17</v>
      </c>
      <c r="H79" s="9">
        <f>D79*1</f>
        <v>0</v>
      </c>
      <c r="I79" s="9">
        <f>E79*1</f>
        <v>0</v>
      </c>
      <c r="J79" s="9">
        <f>F79*1</f>
        <v>35</v>
      </c>
      <c r="K79" s="5">
        <f>(G79+H79+I79+J79)*220*2</f>
        <v>22880</v>
      </c>
      <c r="L79" s="7">
        <v>21.47</v>
      </c>
      <c r="M79" s="5">
        <f t="shared" ref="M79:M88" si="22">K79*$L$96</f>
        <v>356059.13924050634</v>
      </c>
      <c r="N79" s="6">
        <v>919.6</v>
      </c>
      <c r="O79" s="5">
        <f t="shared" si="15"/>
        <v>956.38400000000001</v>
      </c>
    </row>
    <row r="80" spans="1:15">
      <c r="A80" s="4">
        <v>317</v>
      </c>
      <c r="B80" s="3">
        <v>45961</v>
      </c>
      <c r="C80" s="4">
        <v>31</v>
      </c>
      <c r="D80" s="4">
        <v>0</v>
      </c>
      <c r="E80" s="4">
        <v>0</v>
      </c>
      <c r="F80" s="4">
        <v>30</v>
      </c>
      <c r="G80" s="4">
        <f>C80*9</f>
        <v>279</v>
      </c>
      <c r="H80" s="4">
        <f>D80*9</f>
        <v>0</v>
      </c>
      <c r="I80" s="4">
        <f>E80*9</f>
        <v>0</v>
      </c>
      <c r="J80" s="4">
        <f>F80*9</f>
        <v>270</v>
      </c>
      <c r="K80" s="5">
        <f>(G80+H80+I80+J80)*46.2</f>
        <v>25363.800000000003</v>
      </c>
      <c r="L80" s="5">
        <v>0</v>
      </c>
      <c r="M80" s="5">
        <f t="shared" si="22"/>
        <v>394712.09772151907</v>
      </c>
      <c r="N80" s="5">
        <v>0</v>
      </c>
      <c r="O80" s="5">
        <f t="shared" si="15"/>
        <v>0</v>
      </c>
    </row>
    <row r="81" spans="1:15">
      <c r="A81" s="4">
        <v>318</v>
      </c>
      <c r="B81" s="3">
        <v>45961</v>
      </c>
      <c r="C81" s="4">
        <v>23</v>
      </c>
      <c r="D81" s="4">
        <v>0</v>
      </c>
      <c r="E81" s="4">
        <v>0</v>
      </c>
      <c r="F81" s="4">
        <v>20</v>
      </c>
      <c r="G81" s="4">
        <f>C81*2</f>
        <v>46</v>
      </c>
      <c r="H81" s="4">
        <f>D81*2</f>
        <v>0</v>
      </c>
      <c r="I81" s="4">
        <f>E81*2</f>
        <v>0</v>
      </c>
      <c r="J81" s="4">
        <f>F81*2</f>
        <v>40</v>
      </c>
      <c r="K81" s="5">
        <f>(G81+H81+I81+J81)*42.1*2</f>
        <v>7241.2</v>
      </c>
      <c r="L81" s="5">
        <v>0</v>
      </c>
      <c r="M81" s="5">
        <f t="shared" si="22"/>
        <v>112687.73772151899</v>
      </c>
      <c r="N81" s="5">
        <v>0</v>
      </c>
      <c r="O81" s="5">
        <f t="shared" si="15"/>
        <v>0</v>
      </c>
    </row>
    <row r="82" spans="1:15">
      <c r="A82" s="4">
        <v>312</v>
      </c>
      <c r="B82" s="3">
        <v>46022</v>
      </c>
      <c r="C82" s="4">
        <v>0</v>
      </c>
      <c r="D82" s="4">
        <v>61</v>
      </c>
      <c r="E82" s="4">
        <v>92</v>
      </c>
      <c r="F82" s="4">
        <v>61</v>
      </c>
      <c r="G82" s="4">
        <v>0</v>
      </c>
      <c r="H82" s="4">
        <f>(41*3)+(20*4)</f>
        <v>203</v>
      </c>
      <c r="I82" s="4">
        <f>(63*3)+(29*4)</f>
        <v>305</v>
      </c>
      <c r="J82" s="4">
        <f>(45*3)+(16*4)</f>
        <v>199</v>
      </c>
      <c r="K82" s="5">
        <f>(G82+H82+I82+J82)*17.7*2</f>
        <v>25027.8</v>
      </c>
      <c r="L82" s="5">
        <v>0.01</v>
      </c>
      <c r="M82" s="5">
        <f t="shared" si="22"/>
        <v>389483.25721518986</v>
      </c>
      <c r="N82" s="5">
        <v>0</v>
      </c>
      <c r="O82" s="5">
        <f t="shared" si="15"/>
        <v>0</v>
      </c>
    </row>
    <row r="83" spans="1:15">
      <c r="A83" s="4">
        <v>314</v>
      </c>
      <c r="B83" s="3">
        <v>46022</v>
      </c>
      <c r="C83" s="4">
        <v>0</v>
      </c>
      <c r="D83" s="4">
        <v>31</v>
      </c>
      <c r="E83" s="4">
        <v>92</v>
      </c>
      <c r="F83" s="4">
        <v>31</v>
      </c>
      <c r="G83" s="4">
        <f>C83*6</f>
        <v>0</v>
      </c>
      <c r="H83" s="4">
        <f>D83*6</f>
        <v>186</v>
      </c>
      <c r="I83" s="4">
        <f>E83*6</f>
        <v>552</v>
      </c>
      <c r="J83" s="4">
        <f>F83*6</f>
        <v>186</v>
      </c>
      <c r="K83" s="5">
        <f>(G83+H83+I83+J83)*14.5*2</f>
        <v>26796</v>
      </c>
      <c r="L83" s="5">
        <v>0.01</v>
      </c>
      <c r="M83" s="5">
        <f t="shared" si="22"/>
        <v>417000.03037974687</v>
      </c>
      <c r="N83" s="5">
        <v>0</v>
      </c>
      <c r="O83" s="5">
        <f t="shared" si="15"/>
        <v>0</v>
      </c>
    </row>
    <row r="84" spans="1:15">
      <c r="A84" s="4">
        <v>315</v>
      </c>
      <c r="B84" s="3">
        <v>46022</v>
      </c>
      <c r="C84" s="4">
        <v>0</v>
      </c>
      <c r="D84" s="4">
        <v>31</v>
      </c>
      <c r="E84" s="4">
        <v>92</v>
      </c>
      <c r="F84" s="4">
        <v>31</v>
      </c>
      <c r="G84" s="4">
        <f>C84*4</f>
        <v>0</v>
      </c>
      <c r="H84" s="4">
        <f>D84*4</f>
        <v>124</v>
      </c>
      <c r="I84" s="4">
        <f>E84*4</f>
        <v>368</v>
      </c>
      <c r="J84" s="4">
        <f>F84*4</f>
        <v>124</v>
      </c>
      <c r="K84" s="5">
        <f>(G84+H84+I84+J84)*19.1*2</f>
        <v>23531.200000000001</v>
      </c>
      <c r="L84" s="5">
        <v>0.01</v>
      </c>
      <c r="M84" s="5">
        <f t="shared" si="22"/>
        <v>366193.13012658234</v>
      </c>
      <c r="N84" s="5">
        <v>0</v>
      </c>
      <c r="O84" s="5">
        <f t="shared" si="15"/>
        <v>0</v>
      </c>
    </row>
    <row r="85" spans="1:15">
      <c r="A85" s="4">
        <v>322</v>
      </c>
      <c r="B85" s="3">
        <v>46022</v>
      </c>
      <c r="C85" s="4">
        <v>0</v>
      </c>
      <c r="D85" s="4">
        <v>61</v>
      </c>
      <c r="E85" s="4">
        <v>92</v>
      </c>
      <c r="F85" s="4">
        <v>61</v>
      </c>
      <c r="G85" s="4">
        <f>C85*3</f>
        <v>0</v>
      </c>
      <c r="H85" s="4">
        <f>D85*3</f>
        <v>183</v>
      </c>
      <c r="I85" s="4">
        <f>E85*3</f>
        <v>276</v>
      </c>
      <c r="J85" s="4">
        <f>F85*3</f>
        <v>183</v>
      </c>
      <c r="K85" s="5">
        <f>(G85+H85+I85+J85)*21.12*2</f>
        <v>27118.080000000002</v>
      </c>
      <c r="L85" s="5">
        <v>0.01</v>
      </c>
      <c r="M85" s="5">
        <f t="shared" si="22"/>
        <v>422012.24749367096</v>
      </c>
      <c r="N85" s="5">
        <v>0</v>
      </c>
      <c r="O85" s="5">
        <f t="shared" si="15"/>
        <v>0</v>
      </c>
    </row>
    <row r="86" spans="1:15">
      <c r="A86" s="4">
        <v>502</v>
      </c>
      <c r="B86" s="3">
        <v>46101</v>
      </c>
      <c r="C86" s="4">
        <v>90</v>
      </c>
      <c r="D86" s="4">
        <v>92</v>
      </c>
      <c r="E86" s="4">
        <v>92</v>
      </c>
      <c r="F86" s="4">
        <v>91</v>
      </c>
      <c r="G86" s="4">
        <f>(37*6)+(53*5)</f>
        <v>487</v>
      </c>
      <c r="H86" s="4">
        <f>(40*6)+(52*5)</f>
        <v>500</v>
      </c>
      <c r="I86" s="4">
        <f>(40*6)+(52*5)</f>
        <v>500</v>
      </c>
      <c r="J86" s="4">
        <f>(39*6)+(52*5)</f>
        <v>494</v>
      </c>
      <c r="K86" s="5">
        <f>(G86+H86+I86+J86)*96.5*2</f>
        <v>382333</v>
      </c>
      <c r="L86" s="5">
        <v>0</v>
      </c>
      <c r="M86" s="5">
        <f t="shared" si="22"/>
        <v>5949875.8253164561</v>
      </c>
      <c r="N86" s="5">
        <v>0</v>
      </c>
      <c r="O86" s="5">
        <f t="shared" si="15"/>
        <v>0</v>
      </c>
    </row>
    <row r="87" spans="1:15">
      <c r="A87" s="4">
        <v>524</v>
      </c>
      <c r="B87" s="3">
        <v>46101</v>
      </c>
      <c r="C87" s="4">
        <v>90</v>
      </c>
      <c r="D87" s="4">
        <v>92</v>
      </c>
      <c r="E87" s="4">
        <v>92</v>
      </c>
      <c r="F87" s="4">
        <v>91</v>
      </c>
      <c r="G87" s="4">
        <f>C87*4</f>
        <v>360</v>
      </c>
      <c r="H87" s="4">
        <f>D87*4</f>
        <v>368</v>
      </c>
      <c r="I87" s="4">
        <f>E87*4</f>
        <v>368</v>
      </c>
      <c r="J87" s="4">
        <f>F87*4</f>
        <v>364</v>
      </c>
      <c r="K87" s="5">
        <f>(G87+H87+I87+J87)*77.1*2</f>
        <v>225131.99999999997</v>
      </c>
      <c r="L87" s="5">
        <v>0</v>
      </c>
      <c r="M87" s="5">
        <f t="shared" si="22"/>
        <v>3503509.8835443035</v>
      </c>
      <c r="N87" s="5">
        <v>0</v>
      </c>
      <c r="O87" s="5">
        <f t="shared" si="15"/>
        <v>0</v>
      </c>
    </row>
    <row r="88" spans="1:15">
      <c r="A88" s="4">
        <v>602</v>
      </c>
      <c r="B88" s="3">
        <v>46101</v>
      </c>
      <c r="C88" s="4">
        <v>21</v>
      </c>
      <c r="D88" s="4">
        <v>31</v>
      </c>
      <c r="E88" s="4">
        <v>40</v>
      </c>
      <c r="F88" s="4">
        <v>34</v>
      </c>
      <c r="G88" s="4">
        <f>C88*1</f>
        <v>21</v>
      </c>
      <c r="H88" s="4">
        <f>D88*1</f>
        <v>31</v>
      </c>
      <c r="I88" s="4">
        <f>E88*1</f>
        <v>40</v>
      </c>
      <c r="J88" s="4">
        <f>F88*1</f>
        <v>34</v>
      </c>
      <c r="K88" s="5">
        <f>(G88+H88+I88+J88)*137.6*2</f>
        <v>34675.199999999997</v>
      </c>
      <c r="L88" s="5">
        <v>0</v>
      </c>
      <c r="M88" s="5">
        <f t="shared" si="22"/>
        <v>539616.34025316453</v>
      </c>
      <c r="N88" s="5">
        <v>0</v>
      </c>
      <c r="O88" s="5">
        <f t="shared" si="15"/>
        <v>0</v>
      </c>
    </row>
    <row r="89" spans="1:15">
      <c r="A89" s="4">
        <v>115</v>
      </c>
      <c r="B89" s="3"/>
      <c r="C89" s="4"/>
      <c r="D89" s="4"/>
      <c r="E89" s="4"/>
      <c r="F89" s="4"/>
      <c r="G89" s="4"/>
      <c r="H89" s="4"/>
      <c r="I89" s="4"/>
      <c r="J89" s="4"/>
      <c r="K89" s="5"/>
      <c r="L89" s="5">
        <v>0.01</v>
      </c>
      <c r="M89" s="5">
        <v>0</v>
      </c>
      <c r="N89" s="5">
        <v>1</v>
      </c>
      <c r="O89" s="5">
        <f t="shared" si="15"/>
        <v>1.04</v>
      </c>
    </row>
    <row r="90" spans="1:15">
      <c r="A90" s="16">
        <v>401</v>
      </c>
      <c r="B90" s="3"/>
      <c r="C90" s="4"/>
      <c r="D90" s="4"/>
      <c r="E90" s="4"/>
      <c r="F90" s="4"/>
      <c r="G90" s="4"/>
      <c r="H90" s="4"/>
      <c r="I90" s="4"/>
      <c r="J90" s="4"/>
      <c r="K90" s="5"/>
      <c r="L90" s="5">
        <v>0.01</v>
      </c>
      <c r="M90" s="5">
        <v>0</v>
      </c>
      <c r="N90" s="5">
        <v>1</v>
      </c>
      <c r="O90" s="5">
        <f t="shared" si="15"/>
        <v>1.04</v>
      </c>
    </row>
    <row r="91" spans="1:15">
      <c r="A91" s="16">
        <v>402</v>
      </c>
      <c r="B91" s="3"/>
      <c r="C91" s="4"/>
      <c r="D91" s="4"/>
      <c r="E91" s="4"/>
      <c r="F91" s="4"/>
      <c r="G91" s="4"/>
      <c r="H91" s="4"/>
      <c r="I91" s="4"/>
      <c r="J91" s="4"/>
      <c r="K91" s="5"/>
      <c r="L91" s="5">
        <v>0.01</v>
      </c>
      <c r="M91" s="5">
        <v>0</v>
      </c>
      <c r="N91" s="5">
        <v>1</v>
      </c>
      <c r="O91" s="5">
        <f t="shared" si="15"/>
        <v>1.04</v>
      </c>
    </row>
    <row r="92" spans="1:15">
      <c r="A92" s="16">
        <v>403</v>
      </c>
      <c r="B92" s="3"/>
      <c r="C92" s="4"/>
      <c r="D92" s="4"/>
      <c r="E92" s="4"/>
      <c r="F92" s="4"/>
      <c r="G92" s="4"/>
      <c r="H92" s="4"/>
      <c r="I92" s="4"/>
      <c r="J92" s="4"/>
      <c r="K92" s="5"/>
      <c r="L92" s="5">
        <v>0.01</v>
      </c>
      <c r="M92" s="5">
        <v>0</v>
      </c>
      <c r="N92" s="5">
        <v>1</v>
      </c>
      <c r="O92" s="5">
        <f t="shared" si="15"/>
        <v>1.04</v>
      </c>
    </row>
    <row r="93" spans="1:15">
      <c r="A93" s="16">
        <v>404</v>
      </c>
      <c r="B93" s="3"/>
      <c r="C93" s="4"/>
      <c r="D93" s="4"/>
      <c r="E93" s="4"/>
      <c r="F93" s="4"/>
      <c r="G93" s="4"/>
      <c r="H93" s="4"/>
      <c r="I93" s="4"/>
      <c r="J93" s="4"/>
      <c r="K93" s="5"/>
      <c r="L93" s="5">
        <v>0.01</v>
      </c>
      <c r="M93" s="5">
        <v>0</v>
      </c>
      <c r="N93" s="5">
        <v>1</v>
      </c>
      <c r="O93" s="5">
        <f t="shared" si="15"/>
        <v>1.04</v>
      </c>
    </row>
    <row r="94" spans="1:15">
      <c r="A94" s="16">
        <v>265</v>
      </c>
      <c r="B94" s="3"/>
      <c r="C94" s="4"/>
      <c r="D94" s="4"/>
      <c r="E94" s="4"/>
      <c r="F94" s="4"/>
      <c r="G94" s="4"/>
      <c r="H94" s="4"/>
      <c r="I94" s="4"/>
      <c r="J94" s="4"/>
      <c r="K94" s="5"/>
      <c r="L94" s="5">
        <v>39.21</v>
      </c>
      <c r="M94" s="5">
        <v>0</v>
      </c>
      <c r="N94" s="5">
        <v>7475493.1500000004</v>
      </c>
      <c r="O94" s="5">
        <f t="shared" si="15"/>
        <v>7774512.8760000011</v>
      </c>
    </row>
    <row r="95" spans="1:15">
      <c r="A95" s="16">
        <v>267</v>
      </c>
      <c r="B95" s="3"/>
      <c r="C95" s="4"/>
      <c r="D95" s="4"/>
      <c r="E95" s="4"/>
      <c r="F95" s="4"/>
      <c r="G95" s="4"/>
      <c r="H95" s="4"/>
      <c r="I95" s="4"/>
      <c r="J95" s="4"/>
      <c r="K95" s="5"/>
      <c r="L95" s="5">
        <v>986.88</v>
      </c>
      <c r="M95" s="5">
        <v>0</v>
      </c>
      <c r="N95" s="5">
        <v>1530295.6</v>
      </c>
      <c r="O95" s="5">
        <f t="shared" si="15"/>
        <v>1591507.4240000001</v>
      </c>
    </row>
    <row r="96" spans="1:15" ht="24" customHeight="1">
      <c r="A96" s="14" t="s">
        <v>15</v>
      </c>
      <c r="B96" s="14"/>
      <c r="C96" s="14"/>
      <c r="D96" s="14"/>
      <c r="E96" s="14"/>
      <c r="F96" s="14"/>
      <c r="G96" s="14"/>
      <c r="H96" s="14"/>
      <c r="I96" s="14"/>
      <c r="J96" s="14"/>
      <c r="K96" s="17">
        <f>SUM(K7:K88)</f>
        <v>10337091.039999999</v>
      </c>
      <c r="L96" s="17">
        <f>AVERAGE(L10:L88)</f>
        <v>15.562025316455697</v>
      </c>
      <c r="M96" s="17">
        <f>SUM(M10:M88)</f>
        <v>160865901.28070891</v>
      </c>
      <c r="N96" s="17">
        <f>SUM(N10:N95)</f>
        <v>119691265.21262874</v>
      </c>
      <c r="O96" s="17">
        <f>SUM(O10:O95)</f>
        <v>124478915.82113394</v>
      </c>
    </row>
    <row r="97" spans="1:1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1"/>
      <c r="L97" s="11"/>
      <c r="M97" s="11"/>
      <c r="N97" s="11"/>
      <c r="O97" s="11"/>
    </row>
    <row r="98" spans="1:15">
      <c r="N98" s="12"/>
    </row>
    <row r="99" spans="1:15">
      <c r="N99" s="13"/>
    </row>
  </sheetData>
  <mergeCells count="10">
    <mergeCell ref="A6:O6"/>
    <mergeCell ref="A7:A8"/>
    <mergeCell ref="B7:B8"/>
    <mergeCell ref="C7:F7"/>
    <mergeCell ref="G7:J7"/>
    <mergeCell ref="K7:K8"/>
    <mergeCell ref="L7:L8"/>
    <mergeCell ref="M7:M8"/>
    <mergeCell ref="N7:N8"/>
    <mergeCell ref="O7:O8"/>
  </mergeCells>
  <pageMargins left="0.70866141732283472" right="0.70866141732283472" top="0.74803149606299213" bottom="0.74803149606299213" header="0.31496062992125984" footer="0.31496062992125984"/>
  <pageSetup paperSize="9" scale="67" fitToWidth="0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Сводный план 2025</vt:lpstr>
      <vt:lpstr>'Сводный план 2025'!Print_Titles</vt:lpstr>
      <vt:lpstr>'Сводный план 2025'!Заголовки_для_печати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telicina</dc:creator>
  <cp:lastModifiedBy>minfin user</cp:lastModifiedBy>
  <cp:revision>11</cp:revision>
  <cp:lastPrinted>2024-10-30T08:38:33Z</cp:lastPrinted>
  <dcterms:created xsi:type="dcterms:W3CDTF">2024-10-19T08:49:21Z</dcterms:created>
  <dcterms:modified xsi:type="dcterms:W3CDTF">2024-10-30T08:38:36Z</dcterms:modified>
</cp:coreProperties>
</file>