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8800" windowHeight="12435"/>
  </bookViews>
  <sheets>
    <sheet name=" 2025-2027" sheetId="1" r:id="rId1"/>
  </sheets>
  <definedNames>
    <definedName name="_xlnm.Print_Titles" localSheetId="0">' 2025-2027'!$A:$A,' 2025-2027'!$5:$7</definedName>
    <definedName name="_xlnm.Print_Area" localSheetId="0">' 2025-2027'!$A$1:$AH$35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35" i="1"/>
  <c r="U35"/>
  <c r="L51" l="1"/>
  <c r="AF47"/>
  <c r="AF50" s="1"/>
  <c r="V47"/>
  <c r="G35"/>
  <c r="F35"/>
  <c r="D35"/>
  <c r="Q34"/>
  <c r="O33"/>
  <c r="L33"/>
  <c r="H33"/>
  <c r="N33" s="1"/>
  <c r="O32"/>
  <c r="J32"/>
  <c r="L32" s="1"/>
  <c r="H32"/>
  <c r="O31"/>
  <c r="J31"/>
  <c r="L31" s="1"/>
  <c r="H31"/>
  <c r="O30"/>
  <c r="L30"/>
  <c r="H30"/>
  <c r="N30" s="1"/>
  <c r="O29"/>
  <c r="H29"/>
  <c r="N29" s="1"/>
  <c r="O28"/>
  <c r="J28"/>
  <c r="L28" s="1"/>
  <c r="H28"/>
  <c r="N28" s="1"/>
  <c r="O27"/>
  <c r="L27"/>
  <c r="H27"/>
  <c r="N27" s="1"/>
  <c r="O26"/>
  <c r="J26"/>
  <c r="L26" s="1"/>
  <c r="H26"/>
  <c r="N26" s="1"/>
  <c r="O25"/>
  <c r="J25"/>
  <c r="L25" s="1"/>
  <c r="H25"/>
  <c r="N25" s="1"/>
  <c r="O24"/>
  <c r="J24"/>
  <c r="L24" s="1"/>
  <c r="H24"/>
  <c r="K24" s="1"/>
  <c r="O23"/>
  <c r="L23"/>
  <c r="H23"/>
  <c r="K23" s="1"/>
  <c r="O22"/>
  <c r="L22"/>
  <c r="H22"/>
  <c r="N22" s="1"/>
  <c r="O21"/>
  <c r="L21"/>
  <c r="H21"/>
  <c r="K21" s="1"/>
  <c r="O20"/>
  <c r="L20"/>
  <c r="H20"/>
  <c r="N20" s="1"/>
  <c r="O19"/>
  <c r="L19"/>
  <c r="H19"/>
  <c r="N19" s="1"/>
  <c r="O18"/>
  <c r="L18"/>
  <c r="H18"/>
  <c r="N18" s="1"/>
  <c r="O17"/>
  <c r="L17"/>
  <c r="H17"/>
  <c r="K17" s="1"/>
  <c r="O16"/>
  <c r="J16"/>
  <c r="L16" s="1"/>
  <c r="H16"/>
  <c r="N16" s="1"/>
  <c r="O15"/>
  <c r="L15"/>
  <c r="H15"/>
  <c r="N15" s="1"/>
  <c r="O14"/>
  <c r="J14"/>
  <c r="L14" s="1"/>
  <c r="H14"/>
  <c r="O13"/>
  <c r="L13"/>
  <c r="H13"/>
  <c r="N13" s="1"/>
  <c r="O12"/>
  <c r="L12"/>
  <c r="H12"/>
  <c r="N12" s="1"/>
  <c r="O11"/>
  <c r="L11"/>
  <c r="H11"/>
  <c r="N11" s="1"/>
  <c r="O10"/>
  <c r="L10"/>
  <c r="H10"/>
  <c r="N10" s="1"/>
  <c r="O9"/>
  <c r="J9"/>
  <c r="L9" s="1"/>
  <c r="H9"/>
  <c r="N9" s="1"/>
  <c r="K33" l="1"/>
  <c r="K11"/>
  <c r="L35"/>
  <c r="M47" s="1"/>
  <c r="M48" s="1"/>
  <c r="K13"/>
  <c r="K15"/>
  <c r="K19"/>
  <c r="N23"/>
  <c r="K25"/>
  <c r="K27"/>
  <c r="N17"/>
  <c r="K10"/>
  <c r="K12"/>
  <c r="K18"/>
  <c r="K16"/>
  <c r="K29"/>
  <c r="N24"/>
  <c r="K28"/>
  <c r="K30"/>
  <c r="AG47"/>
  <c r="AG50" s="1"/>
  <c r="N14"/>
  <c r="K14"/>
  <c r="O35"/>
  <c r="H35"/>
  <c r="N32"/>
  <c r="K32"/>
  <c r="K9"/>
  <c r="N21"/>
  <c r="K20"/>
  <c r="K26"/>
  <c r="N31"/>
  <c r="K31"/>
  <c r="K22"/>
  <c r="W47"/>
  <c r="K35" l="1"/>
  <c r="P32" s="1"/>
  <c r="N35"/>
  <c r="P36"/>
  <c r="T31" l="1"/>
  <c r="AD31"/>
  <c r="AD32"/>
  <c r="AD28"/>
  <c r="AD23"/>
  <c r="AD13"/>
  <c r="T13"/>
  <c r="T28"/>
  <c r="P26"/>
  <c r="T22"/>
  <c r="P13"/>
  <c r="T29"/>
  <c r="AD26"/>
  <c r="P22"/>
  <c r="T19"/>
  <c r="T11"/>
  <c r="AD10"/>
  <c r="AD15"/>
  <c r="AD33"/>
  <c r="P27"/>
  <c r="T24"/>
  <c r="P18"/>
  <c r="P30"/>
  <c r="P28"/>
  <c r="AD18"/>
  <c r="P24"/>
  <c r="T17"/>
  <c r="T23"/>
  <c r="P10"/>
  <c r="T10"/>
  <c r="T15"/>
  <c r="AD12"/>
  <c r="T33"/>
  <c r="P17"/>
  <c r="T27"/>
  <c r="AD19"/>
  <c r="P19"/>
  <c r="AD25"/>
  <c r="P23"/>
  <c r="AD9"/>
  <c r="T12"/>
  <c r="AD20"/>
  <c r="AD27"/>
  <c r="AD24"/>
  <c r="P11"/>
  <c r="AD17"/>
  <c r="P25"/>
  <c r="AD22"/>
  <c r="P15"/>
  <c r="T9"/>
  <c r="T20"/>
  <c r="P33"/>
  <c r="T18"/>
  <c r="T16"/>
  <c r="AD30"/>
  <c r="T25"/>
  <c r="AD11"/>
  <c r="AD16"/>
  <c r="P20"/>
  <c r="AD29"/>
  <c r="P9"/>
  <c r="T26"/>
  <c r="P12"/>
  <c r="P29"/>
  <c r="T30"/>
  <c r="P16"/>
  <c r="P31"/>
  <c r="AD14"/>
  <c r="T14"/>
  <c r="AD21"/>
  <c r="P14"/>
  <c r="P21"/>
  <c r="T32"/>
  <c r="T21"/>
  <c r="AD35" l="1"/>
  <c r="T35"/>
  <c r="P35"/>
  <c r="Q35" l="1"/>
  <c r="Q49" s="1"/>
  <c r="S35"/>
  <c r="T38"/>
  <c r="P37"/>
  <c r="P39"/>
  <c r="V36"/>
  <c r="T50" l="1"/>
  <c r="Y9"/>
  <c r="R35"/>
  <c r="R37" s="1"/>
  <c r="Y34" l="1"/>
  <c r="Y32"/>
  <c r="Y23"/>
  <c r="Y24"/>
  <c r="Y31"/>
  <c r="Y11"/>
  <c r="Y19"/>
  <c r="Y26"/>
  <c r="Y27"/>
  <c r="Y13"/>
  <c r="Y20"/>
  <c r="Y25"/>
  <c r="Y33"/>
  <c r="Y12"/>
  <c r="Y28"/>
  <c r="Y22"/>
  <c r="Y14"/>
  <c r="Y16"/>
  <c r="Y30"/>
  <c r="Y18"/>
  <c r="Y10"/>
  <c r="Y17"/>
  <c r="Y29"/>
  <c r="Y21"/>
  <c r="Y15"/>
  <c r="AA9"/>
  <c r="Z9"/>
  <c r="AI9"/>
  <c r="Y35" l="1"/>
  <c r="S48"/>
  <c r="AF9"/>
  <c r="AG9" s="1"/>
  <c r="AI18"/>
  <c r="AF18" s="1"/>
  <c r="AG18" s="1"/>
  <c r="Z18"/>
  <c r="X18" s="1"/>
  <c r="AH18" s="1"/>
  <c r="AA18"/>
  <c r="V18" s="1"/>
  <c r="W18" s="1"/>
  <c r="AA25"/>
  <c r="V25" s="1"/>
  <c r="W25" s="1"/>
  <c r="Z25"/>
  <c r="X25" s="1"/>
  <c r="AH25" s="1"/>
  <c r="AI25"/>
  <c r="AF25" s="1"/>
  <c r="AG25" s="1"/>
  <c r="AI24"/>
  <c r="AF24" s="1"/>
  <c r="AG24" s="1"/>
  <c r="AA24"/>
  <c r="V24" s="1"/>
  <c r="W24" s="1"/>
  <c r="Z24"/>
  <c r="X24" s="1"/>
  <c r="AH24" s="1"/>
  <c r="AA13"/>
  <c r="V13" s="1"/>
  <c r="W13" s="1"/>
  <c r="AI13"/>
  <c r="AF13" s="1"/>
  <c r="AG13" s="1"/>
  <c r="Z13"/>
  <c r="X13" s="1"/>
  <c r="AH13" s="1"/>
  <c r="Z23"/>
  <c r="X23" s="1"/>
  <c r="AH23" s="1"/>
  <c r="AI23"/>
  <c r="AF23" s="1"/>
  <c r="AG23" s="1"/>
  <c r="AA23"/>
  <c r="V23" s="1"/>
  <c r="W23" s="1"/>
  <c r="AI32"/>
  <c r="AF32" s="1"/>
  <c r="AG32" s="1"/>
  <c r="Z32"/>
  <c r="X32" s="1"/>
  <c r="AH32" s="1"/>
  <c r="AA32"/>
  <c r="V32" s="1"/>
  <c r="W32" s="1"/>
  <c r="AA15"/>
  <c r="V15" s="1"/>
  <c r="W15" s="1"/>
  <c r="AI15"/>
  <c r="AF15" s="1"/>
  <c r="AG15" s="1"/>
  <c r="Z15"/>
  <c r="X15" s="1"/>
  <c r="AH15" s="1"/>
  <c r="AA14"/>
  <c r="V14" s="1"/>
  <c r="W14" s="1"/>
  <c r="AI14"/>
  <c r="AF14" s="1"/>
  <c r="AG14" s="1"/>
  <c r="Z14"/>
  <c r="X14" s="1"/>
  <c r="AH14" s="1"/>
  <c r="AI27"/>
  <c r="AF27" s="1"/>
  <c r="AG27" s="1"/>
  <c r="Z27"/>
  <c r="X27" s="1"/>
  <c r="AH27" s="1"/>
  <c r="AA27"/>
  <c r="V27" s="1"/>
  <c r="W27" s="1"/>
  <c r="Z34"/>
  <c r="X34" s="1"/>
  <c r="AH34" s="1"/>
  <c r="AI34"/>
  <c r="AF34" s="1"/>
  <c r="AG34" s="1"/>
  <c r="AA34"/>
  <c r="V34" s="1"/>
  <c r="W34" s="1"/>
  <c r="X9"/>
  <c r="AI22"/>
  <c r="AF22" s="1"/>
  <c r="AG22" s="1"/>
  <c r="Z22"/>
  <c r="X22" s="1"/>
  <c r="AH22" s="1"/>
  <c r="AA22"/>
  <c r="V22" s="1"/>
  <c r="W22" s="1"/>
  <c r="AI26"/>
  <c r="AF26" s="1"/>
  <c r="AG26" s="1"/>
  <c r="Z26"/>
  <c r="X26" s="1"/>
  <c r="AH26" s="1"/>
  <c r="AA26"/>
  <c r="V26" s="1"/>
  <c r="W26" s="1"/>
  <c r="Z20"/>
  <c r="X20" s="1"/>
  <c r="AH20" s="1"/>
  <c r="AI20"/>
  <c r="AF20" s="1"/>
  <c r="AG20" s="1"/>
  <c r="AA20"/>
  <c r="V20" s="1"/>
  <c r="W20" s="1"/>
  <c r="V9"/>
  <c r="Z21"/>
  <c r="X21" s="1"/>
  <c r="AH21" s="1"/>
  <c r="AI21"/>
  <c r="AF21" s="1"/>
  <c r="AG21" s="1"/>
  <c r="AA21"/>
  <c r="V21" s="1"/>
  <c r="W21" s="1"/>
  <c r="AI29"/>
  <c r="AF29" s="1"/>
  <c r="AG29" s="1"/>
  <c r="Z29"/>
  <c r="X29" s="1"/>
  <c r="AH29" s="1"/>
  <c r="AA29"/>
  <c r="V29" s="1"/>
  <c r="W29" s="1"/>
  <c r="AI28"/>
  <c r="AF28" s="1"/>
  <c r="AG28" s="1"/>
  <c r="Z28"/>
  <c r="X28" s="1"/>
  <c r="AH28" s="1"/>
  <c r="AA28"/>
  <c r="V28" s="1"/>
  <c r="W28" s="1"/>
  <c r="AA19"/>
  <c r="V19" s="1"/>
  <c r="W19" s="1"/>
  <c r="Z19"/>
  <c r="X19" s="1"/>
  <c r="AH19" s="1"/>
  <c r="AI19"/>
  <c r="AF19" s="1"/>
  <c r="AG19" s="1"/>
  <c r="AI30"/>
  <c r="AF30" s="1"/>
  <c r="AG30" s="1"/>
  <c r="Z30"/>
  <c r="X30" s="1"/>
  <c r="AH30" s="1"/>
  <c r="AA30"/>
  <c r="V30" s="1"/>
  <c r="W30" s="1"/>
  <c r="AA16"/>
  <c r="V16" s="1"/>
  <c r="W16" s="1"/>
  <c r="AI16"/>
  <c r="AF16" s="1"/>
  <c r="AG16" s="1"/>
  <c r="Z16"/>
  <c r="X16" s="1"/>
  <c r="AH16" s="1"/>
  <c r="AI17"/>
  <c r="AF17" s="1"/>
  <c r="AG17" s="1"/>
  <c r="Z17"/>
  <c r="X17" s="1"/>
  <c r="AH17" s="1"/>
  <c r="AA17"/>
  <c r="V17" s="1"/>
  <c r="W17" s="1"/>
  <c r="AA12"/>
  <c r="V12" s="1"/>
  <c r="W12" s="1"/>
  <c r="Z12"/>
  <c r="X12" s="1"/>
  <c r="AH12" s="1"/>
  <c r="AI12"/>
  <c r="AF12" s="1"/>
  <c r="AG12" s="1"/>
  <c r="AA11"/>
  <c r="V11" s="1"/>
  <c r="W11" s="1"/>
  <c r="Z11"/>
  <c r="X11" s="1"/>
  <c r="AH11" s="1"/>
  <c r="AI11"/>
  <c r="AF11" s="1"/>
  <c r="AG11" s="1"/>
  <c r="AA10"/>
  <c r="V10" s="1"/>
  <c r="W10" s="1"/>
  <c r="AI10"/>
  <c r="AF10" s="1"/>
  <c r="AG10" s="1"/>
  <c r="Z10"/>
  <c r="X10" s="1"/>
  <c r="AH10" s="1"/>
  <c r="AI33"/>
  <c r="AF33" s="1"/>
  <c r="AG33" s="1"/>
  <c r="Z33"/>
  <c r="X33" s="1"/>
  <c r="AH33" s="1"/>
  <c r="AA33"/>
  <c r="V33" s="1"/>
  <c r="W33" s="1"/>
  <c r="AI31"/>
  <c r="AF31" s="1"/>
  <c r="AG31" s="1"/>
  <c r="Z31"/>
  <c r="X31" s="1"/>
  <c r="AH31" s="1"/>
  <c r="AA31"/>
  <c r="V31" s="1"/>
  <c r="W31" s="1"/>
  <c r="AB12" l="1"/>
  <c r="AC12" s="1"/>
  <c r="AJ24"/>
  <c r="AK24" s="1"/>
  <c r="AJ21"/>
  <c r="AK21" s="1"/>
  <c r="AJ20"/>
  <c r="AK20" s="1"/>
  <c r="AB18"/>
  <c r="AC18" s="1"/>
  <c r="AA35"/>
  <c r="Z35"/>
  <c r="AJ31"/>
  <c r="AK31" s="1"/>
  <c r="AB23"/>
  <c r="AC23" s="1"/>
  <c r="AB16"/>
  <c r="AC16" s="1"/>
  <c r="AB13"/>
  <c r="AC13" s="1"/>
  <c r="AJ30"/>
  <c r="AK30" s="1"/>
  <c r="AB14"/>
  <c r="AC14" s="1"/>
  <c r="AB15"/>
  <c r="AC15" s="1"/>
  <c r="AB25"/>
  <c r="AC25" s="1"/>
  <c r="AB17"/>
  <c r="AC17" s="1"/>
  <c r="AB19"/>
  <c r="AC19" s="1"/>
  <c r="AJ11"/>
  <c r="AK11" s="1"/>
  <c r="AJ29"/>
  <c r="AK29" s="1"/>
  <c r="AB29"/>
  <c r="AC29" s="1"/>
  <c r="AJ12"/>
  <c r="AK12" s="1"/>
  <c r="AB22"/>
  <c r="AC22" s="1"/>
  <c r="AJ22"/>
  <c r="AK22" s="1"/>
  <c r="V35"/>
  <c r="W9"/>
  <c r="AB28"/>
  <c r="AC28" s="1"/>
  <c r="AJ28"/>
  <c r="AK28" s="1"/>
  <c r="AF35"/>
  <c r="AJ10"/>
  <c r="AK10" s="1"/>
  <c r="AB10"/>
  <c r="AC10" s="1"/>
  <c r="AI35"/>
  <c r="X35"/>
  <c r="X37" s="1"/>
  <c r="AH9"/>
  <c r="AH35" s="1"/>
  <c r="AH50" s="1"/>
  <c r="AB27"/>
  <c r="AC27" s="1"/>
  <c r="AJ27"/>
  <c r="AK27" s="1"/>
  <c r="AB33" l="1"/>
  <c r="AC33" s="1"/>
  <c r="AB24"/>
  <c r="AC24" s="1"/>
  <c r="AB11"/>
  <c r="AC11" s="1"/>
  <c r="AB30"/>
  <c r="AC30" s="1"/>
  <c r="AJ34"/>
  <c r="AK34" s="1"/>
  <c r="AJ14"/>
  <c r="AK14" s="1"/>
  <c r="AB32"/>
  <c r="AC32" s="1"/>
  <c r="AB21"/>
  <c r="AC21" s="1"/>
  <c r="AJ18"/>
  <c r="AK18" s="1"/>
  <c r="AB20"/>
  <c r="AC20" s="1"/>
  <c r="AB31"/>
  <c r="AC31" s="1"/>
  <c r="AB34"/>
  <c r="AC34" s="1"/>
  <c r="AJ32"/>
  <c r="AK32" s="1"/>
  <c r="AB26"/>
  <c r="AC26" s="1"/>
  <c r="AJ26"/>
  <c r="AK26" s="1"/>
  <c r="AJ15"/>
  <c r="AK15" s="1"/>
  <c r="AJ23"/>
  <c r="AK23" s="1"/>
  <c r="AJ25"/>
  <c r="AK25" s="1"/>
  <c r="AJ33"/>
  <c r="AK33" s="1"/>
  <c r="AJ17"/>
  <c r="AK17" s="1"/>
  <c r="AJ16"/>
  <c r="AK16" s="1"/>
  <c r="AJ13"/>
  <c r="AK13" s="1"/>
  <c r="AJ19"/>
  <c r="AK19" s="1"/>
  <c r="W35"/>
  <c r="AJ9"/>
  <c r="AK9" s="1"/>
  <c r="AB9"/>
  <c r="AG35"/>
  <c r="AB35" l="1"/>
  <c r="AB38" s="1"/>
  <c r="AK35"/>
  <c r="AJ35"/>
  <c r="AC9"/>
  <c r="AC35" s="1"/>
  <c r="W37"/>
  <c r="AB37" l="1"/>
</calcChain>
</file>

<file path=xl/sharedStrings.xml><?xml version="1.0" encoding="utf-8"?>
<sst xmlns="http://schemas.openxmlformats.org/spreadsheetml/2006/main" count="101" uniqueCount="96">
  <si>
    <t>На 2027 год</t>
  </si>
  <si>
    <t>КБК 1004 03306Л8770 КЦ 23-О017-0000-00000 регкласс 200000 (код МБТ 3.18)</t>
  </si>
  <si>
    <t>Суммарная стоимость жилого помещения на всех нуждающихся (руб.)</t>
  </si>
  <si>
    <t>Социальная норма общей площади жилья на 1 чел., кв. м.</t>
  </si>
  <si>
    <t>Объем средств для детей-сирот, у которых право на получение жилого помещения возникло, но не реализовано (обратившихся в органы ОМСУ с заявлениями о предоставлении жилого помещения) на 2025-2027  год</t>
  </si>
  <si>
    <r>
      <t xml:space="preserve">Объем средств на одно жилое помещение исходя из рыночной стоимости 1 кв.м. на вторичном рынке жилья, рублей </t>
    </r>
    <r>
      <rPr>
        <b/>
        <sz val="10"/>
        <rFont val="Arial"/>
        <family val="2"/>
        <charset val="204"/>
      </rPr>
      <t/>
    </r>
  </si>
  <si>
    <t>2025 год</t>
  </si>
  <si>
    <t>на 2026 год</t>
  </si>
  <si>
    <t>на 2027 год</t>
  </si>
  <si>
    <t xml:space="preserve"> по договорам специализированных жилых помещений за счет средств областного бюджета</t>
  </si>
  <si>
    <t>ВСЕГО обл и федеральные</t>
  </si>
  <si>
    <t xml:space="preserve">Распределение остатка предусмотренных средств на 2025 год </t>
  </si>
  <si>
    <t xml:space="preserve"> по договорам специализированных жилых помещений за счет средств областного бюджета в рамках соглашения с Минборнауки РФ</t>
  </si>
  <si>
    <t>требуемый процент софинансирования за счет средств ФБ</t>
  </si>
  <si>
    <t>гр.1</t>
  </si>
  <si>
    <t>гр.2</t>
  </si>
  <si>
    <t>гр.3</t>
  </si>
  <si>
    <t>гр.3а=гр.2-гр.3</t>
  </si>
  <si>
    <t>гр.4</t>
  </si>
  <si>
    <t>гр.5</t>
  </si>
  <si>
    <t>гр.6=гр. 3а х гр.4</t>
  </si>
  <si>
    <t>гр.7=гр.3 х гр. 5</t>
  </si>
  <si>
    <t>гр.8</t>
  </si>
  <si>
    <t>гр.9=(гр.3а х гр.3 х гр.5)</t>
  </si>
  <si>
    <t>гр.10=(гр.4 х гр.8)</t>
  </si>
  <si>
    <t>гр.11=гр.9 х (105254831,44 -(гр.8 х SUM гр.4)/гр.8 х SUM гр.6)</t>
  </si>
  <si>
    <t>гр.28=гр.29+гр.30</t>
  </si>
  <si>
    <t>гр.29=гр.28*13%</t>
  </si>
  <si>
    <t>гр.30 (87%)</t>
  </si>
  <si>
    <t>гр.31=гр.25А</t>
  </si>
  <si>
    <t>гр.32=гр.7+гр.29+гр.30+гр.31</t>
  </si>
  <si>
    <t>гр.33=гр.9 х (109478823,53-(гр.8 х SUM гр.4)/гр.8 х SUM гр.6)</t>
  </si>
  <si>
    <t>гр.34=гр.35+гр.36</t>
  </si>
  <si>
    <t>гр.35=гр.34*15%</t>
  </si>
  <si>
    <t>гр.36 (85%)</t>
  </si>
  <si>
    <t>гр.37=гр.25А</t>
  </si>
  <si>
    <t>гр.38=гр.7+гр.35+гр.36+гр.37</t>
  </si>
  <si>
    <t>Нераспределенный остаток</t>
  </si>
  <si>
    <t>Итого муниципальные образования Архангельской области</t>
  </si>
  <si>
    <t>исп: Орехова Е.А. 20-09-69</t>
  </si>
  <si>
    <t xml:space="preserve">расчет </t>
  </si>
  <si>
    <t>ФБ</t>
  </si>
  <si>
    <t xml:space="preserve">сценарн.условия </t>
  </si>
  <si>
    <t xml:space="preserve">доп.потребность </t>
  </si>
  <si>
    <t xml:space="preserve">Субвенции бюджетам муниципальных районов, муниципальных округов и городских округов Архангельской области на обеспечение детей-сирот и детей, оставшихся без попечения родителей, лиц из числа детей-сирот и детей, оставшихся без попечения родителей, жилыми помещениями в рамках соглашения между Министерством строительства и жилищно-коммунального хозяйства Российской Федерации и Правительством Архангельской области </t>
  </si>
  <si>
    <t>в том числе за счет средств:</t>
  </si>
  <si>
    <t>Вельский муниципальный район Архангельской области</t>
  </si>
  <si>
    <t>Верхнетоемский муниципальный округ Архангельской области</t>
  </si>
  <si>
    <t>Вилегодский муниципальный округ Архангельской области</t>
  </si>
  <si>
    <t>Виноградовский муниципальный округ Архангельской области</t>
  </si>
  <si>
    <t>Каргопольский муниципальный округ Архангельской области</t>
  </si>
  <si>
    <t>Коношский муниципальный район Архангельской области</t>
  </si>
  <si>
    <t>Котласский муниципальный район Архангельской области</t>
  </si>
  <si>
    <t>Красноборский муниципальный округ Архангельской области</t>
  </si>
  <si>
    <t>Ленский муниципальный район Архангельской области</t>
  </si>
  <si>
    <t>Лешуконский муниципальный округ Архангельской области</t>
  </si>
  <si>
    <t>Мезенский муниципальный округ Архангельской области</t>
  </si>
  <si>
    <t>Няндомский муниципальный округ Архангельской области</t>
  </si>
  <si>
    <t>Онежский муниципальный округ Архангельской области</t>
  </si>
  <si>
    <t>Пинежский муниципальный округ Архангельской области</t>
  </si>
  <si>
    <t>Плесецкий муниципальный округ Архангельской области</t>
  </si>
  <si>
    <t>Приморский муниципальный округ Архангельской области</t>
  </si>
  <si>
    <t>Устьянский муниципальный округ Архангельской области</t>
  </si>
  <si>
    <t>Холмогорский муниципальный округ Архангельской области</t>
  </si>
  <si>
    <t>Шенкурский муниципальный округ Архангельской области</t>
  </si>
  <si>
    <t>Городской округ "Город Архангельск"</t>
  </si>
  <si>
    <t>Городской округ Архангельской области "Северодвинск"</t>
  </si>
  <si>
    <t>Городской округ Архангельской области "Котлас"</t>
  </si>
  <si>
    <t>Городской округ Архангельской области "Город Новодвинск"</t>
  </si>
  <si>
    <t>Городской округ Архангельской области "Город Коряжма"</t>
  </si>
  <si>
    <t>Городской округ Архангельской области "Мирный"</t>
  </si>
  <si>
    <t xml:space="preserve"> Субвенции бюджетам муниципальных районов, муниципальных округов и городских округов Архангельской области на осуществление государственных полномочий по предоставлению жилых помещений детям-сиротам и детям, оставшимся без попечения родителей, лицам из их числа по договорам найма специализированных жилых помещений за счет средств областного бюджета</t>
  </si>
  <si>
    <t xml:space="preserve"> Субвенции бюджетам муниципальных районов, муниципальных округов и городских округов Архангельской области на осуществление государственных полномочий по предоставлению жилых помещений детям-сиротам и детям, оставшимся без попечения родителей, лицам из их числа по договорам найма специализированных жилых помещений за счет средств областного бюджета </t>
  </si>
  <si>
    <r>
      <rPr>
        <b/>
        <sz val="16"/>
        <rFont val="Times New Roman"/>
        <family val="1"/>
        <charset val="204"/>
      </rPr>
      <t>Объем средств федерального бюджета и областного бюждета в рамках предоставления субсидии из федерального бюджета без учета объема средств на одно жилое помещение</t>
    </r>
    <r>
      <rPr>
        <sz val="16"/>
        <rFont val="Times New Roman"/>
        <family val="1"/>
        <charset val="204"/>
      </rPr>
      <t>, рублей</t>
    </r>
  </si>
  <si>
    <t>Наименование МО</t>
  </si>
  <si>
    <t>Прогнозная численность  детей-сирот, у которых право на получение жилого помещения возникло, но не реализовано (обратившихся в органы ОМСУ с заявлениями о предоставлении жилого помещения), чел. (Ni)</t>
  </si>
  <si>
    <t>Прогнозная численность  лиц, достигших возраста  23 лет,  у которых право на получение жилого помещения возникло, но не реализовано (обратившихся в органы ОМСУ с заявлениями о предоставлении жилого помещения), чел. (Ni)</t>
  </si>
  <si>
    <t>Прогнозная численность  детей-сирот, у которых право на получение жилого помещения возникло, но не реализовано (обратившихся в органы ОМСУ с заявлениями о предоставлении жилого помещения)  за минусом лиц достигших возраста  23 лет, чел. (Ni)</t>
  </si>
  <si>
    <t>Размер социальной выплаты согласно п. 6 ст. 25.1 закона АО от 17.12.2012 № 591-36-ОЗ и норматива стоимости 1 кв.м. согласно приказа Минстроя России от 18.06.2024 № 390/пр (расчет исходя из: 
(109 835*33 м² = 3 624 555 рублей (без учета Арктической зоны); 121199*33 м² = 3999567 рублей (Арктическая зона), для численности лиц старше 23 лет, указанных в гр. 3</t>
  </si>
  <si>
    <t>Субвенции бюджетам муниципальных районов, муниципальных округов и городских округов Архангельской области на предоставление детям-сиротам и детям, оставшимся без попечения родителей, лицам из числа детей-сирот и детей, оставшихся без попечения родителей, выплат на приобретение благоустроенного жилого помещения в собственность или для полного погашения кредита (займа) по договору, обязательства заемщика по которому обеспечены ипотекой, на 2025-2027 год</t>
  </si>
  <si>
    <r>
      <t>Субвенции бюджетам муниципальных районов, муниципальных округов и городских округов Архангельской области на обеспечение детей-сирот и детей, оставшихся без попечения родителей, лиц из числа детей-сирот и детей, оставшихся без попечения родителей, жилыми помещениями</t>
    </r>
    <r>
      <rPr>
        <i/>
        <sz val="16"/>
        <rFont val="Times New Roman"/>
        <family val="1"/>
        <charset val="204"/>
      </rPr>
      <t xml:space="preserve"> в рамках соглашения </t>
    </r>
    <r>
      <rPr>
        <sz val="16"/>
        <rFont val="Times New Roman"/>
        <family val="1"/>
        <charset val="204"/>
      </rPr>
      <t>между Министерством строительства и жилищно-коммунального хозяйства Российской Федерации и Правительством Архангельской области, всего</t>
    </r>
  </si>
  <si>
    <t>гр.12=гр.16+гр.20</t>
  </si>
  <si>
    <t>Областного бюджета (софинансирование в размере 11 %)</t>
  </si>
  <si>
    <t>Федерального бюджета (софинансирование в размере 89 %)</t>
  </si>
  <si>
    <t>гр.20</t>
  </si>
  <si>
    <t>гр.16</t>
  </si>
  <si>
    <t>Областного бюджета (софинансирование в размере 13 %)</t>
  </si>
  <si>
    <t>Федерального бюджета (софинансирование в размере 87 %)</t>
  </si>
  <si>
    <t>Областного бюджета (софинансирование в размере 15 %)</t>
  </si>
  <si>
    <t>Федерального бюджета (софинансирование в размере 85 %)</t>
  </si>
  <si>
    <t>гр.23=гр.9 х (287419130,7-37745598/(гр.8 х SUM гр.6)</t>
  </si>
  <si>
    <t>гр. 24</t>
  </si>
  <si>
    <t>гр. 31</t>
  </si>
  <si>
    <t>на 2025 год</t>
  </si>
  <si>
    <t xml:space="preserve">Расчет субвенций бюджетам муниципальных образований Архангельской области  на осуществление государственных полномочий по обеспечению детей-сирот и детей, оставшихся без попечения родителей, а также лиц из их числа жилыми помещениями на 2025-2027 годы </t>
  </si>
  <si>
    <t xml:space="preserve"> Средняя рыночная стоимость 1 кв. м. общей площади жилого помещения согласно постановления Правительства Архангельской области от 30.10.2024                   № 905-пп, рублей</t>
  </si>
</sst>
</file>

<file path=xl/styles.xml><?xml version="1.0" encoding="utf-8"?>
<styleSheet xmlns="http://schemas.openxmlformats.org/spreadsheetml/2006/main">
  <numFmts count="22">
    <numFmt numFmtId="41" formatCode="_-* #,##0\ _₽_-;\-* #,##0\ _₽_-;_-* &quot;-&quot;\ _₽_-;_-@_-"/>
    <numFmt numFmtId="43" formatCode="_-* #,##0.00\ _₽_-;\-* #,##0.00\ _₽_-;_-* &quot;-&quot;??\ _₽_-;_-@_-"/>
    <numFmt numFmtId="164" formatCode="_-* #,##0.0\ _₽_-;\-* #,##0.0\ _₽_-;_-* &quot;-&quot;\ _₽_-;_-@_-"/>
    <numFmt numFmtId="165" formatCode="_(* #,##0.00_);_(* \(#,##0.00\);_(* &quot;-&quot;??_);_(@_)"/>
    <numFmt numFmtId="166" formatCode="_(* #,##0_);_(* \(#,##0\);_(* &quot;-&quot;??_);_(@_)"/>
    <numFmt numFmtId="167" formatCode="_-* #,##0.000_р_._-;\-* #,##0.000_р_._-;_-* &quot;-&quot;?_р_._-;_-@_-"/>
    <numFmt numFmtId="168" formatCode="_(* #,##0.000_);_(* \(#,##0.000\);_(* &quot;-&quot;??_);_(@_)"/>
    <numFmt numFmtId="169" formatCode="_-* #,##0.00_р_._-;\-* #,##0.00_р_._-;_-* &quot;-&quot;?_р_._-;_-@_-"/>
    <numFmt numFmtId="170" formatCode="#,##0.0"/>
    <numFmt numFmtId="171" formatCode="0.0"/>
    <numFmt numFmtId="172" formatCode="_(* #,##0.0_);_(* \(#,##0.0\);_(* &quot;-&quot;??_);_(@_)"/>
    <numFmt numFmtId="173" formatCode="_(* #,##0.000000_);_(* \(#,##0.000000\);_(* &quot;-&quot;??_);_(@_)"/>
    <numFmt numFmtId="174" formatCode="_-* #,##0.0000000\ _₽_-;\-* #,##0.0000000\ _₽_-;_-* &quot;-&quot;??\ _₽_-;_-@_-"/>
    <numFmt numFmtId="175" formatCode="_-* #,##0.000000\ _₽_-;\-* #,##0.000000\ _₽_-;_-* &quot;-&quot;??????\ _₽_-;_-@_-"/>
    <numFmt numFmtId="176" formatCode="_-* #,##0.0000000\ _₽_-;\-* #,##0.0000000\ _₽_-;_-* &quot;-&quot;???????\ _₽_-;_-@_-"/>
    <numFmt numFmtId="177" formatCode="_-* #,##0.00000\ _₽_-;\-* #,##0.00000\ _₽_-;_-* &quot;-&quot;??\ _₽_-;_-@_-"/>
    <numFmt numFmtId="178" formatCode="_-* #,##0.0\ _₽_-;\-* #,##0.0\ _₽_-;_-* &quot;-&quot;?\ _₽_-;_-@_-"/>
    <numFmt numFmtId="179" formatCode="_-* #,##0.00000\ _₽_-;\-* #,##0.00000\ _₽_-;_-* &quot;-&quot;?????\ _₽_-;_-@_-"/>
    <numFmt numFmtId="180" formatCode="0.000000"/>
    <numFmt numFmtId="181" formatCode="_-* #,##0.0_р_._-;\-* #,##0.0_р_._-;_-* &quot;-&quot;?_р_._-;_-@_-"/>
    <numFmt numFmtId="182" formatCode="0.000"/>
    <numFmt numFmtId="183" formatCode="_-* #,##0.000\ _₽_-;\-* #,##0.000\ _₽_-;_-* &quot;-&quot;???\ _₽_-;_-@_-"/>
  </numFmts>
  <fonts count="22">
    <font>
      <sz val="10"/>
      <name val="Arial"/>
    </font>
    <font>
      <sz val="10"/>
      <color indexed="9"/>
      <name val="Arial"/>
      <family val="2"/>
      <charset val="204"/>
    </font>
    <font>
      <sz val="10"/>
      <name val="Arial"/>
      <family val="2"/>
      <charset val="204"/>
    </font>
    <font>
      <sz val="16"/>
      <name val="Arial"/>
      <family val="2"/>
      <charset val="204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14"/>
      <name val="Arial Cyr"/>
      <family val="2"/>
      <charset val="204"/>
    </font>
    <font>
      <sz val="14"/>
      <name val="Times New Roman"/>
      <family val="1"/>
      <charset val="204"/>
    </font>
    <font>
      <sz val="16"/>
      <name val="Times New Roman"/>
      <family val="1"/>
      <charset val="204"/>
    </font>
    <font>
      <sz val="10"/>
      <name val="Arial Cyr"/>
      <family val="2"/>
      <charset val="204"/>
    </font>
    <font>
      <b/>
      <sz val="14"/>
      <name val="Arial Cyr"/>
      <family val="2"/>
      <charset val="204"/>
    </font>
    <font>
      <b/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9"/>
      <name val="Arial Cyr"/>
      <charset val="204"/>
    </font>
    <font>
      <b/>
      <sz val="16"/>
      <name val="Arial"/>
      <family val="2"/>
      <charset val="204"/>
    </font>
    <font>
      <sz val="14"/>
      <name val="Arial"/>
      <family val="2"/>
      <charset val="204"/>
    </font>
    <font>
      <sz val="14"/>
      <color rgb="FFFF0000"/>
      <name val="Arial"/>
      <family val="2"/>
      <charset val="204"/>
    </font>
    <font>
      <sz val="11"/>
      <name val="Calibri"/>
      <family val="2"/>
      <scheme val="minor"/>
    </font>
    <font>
      <sz val="16"/>
      <color rgb="FF000000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name val="Arial Cyr"/>
      <family val="2"/>
      <charset val="204"/>
    </font>
    <font>
      <i/>
      <sz val="16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5" fontId="2" fillId="0" borderId="0" applyFont="0" applyFill="0" applyBorder="0" applyAlignment="0" applyProtection="0"/>
    <xf numFmtId="4" fontId="17" fillId="0" borderId="0"/>
  </cellStyleXfs>
  <cellXfs count="125">
    <xf numFmtId="0" fontId="0" fillId="0" borderId="0" xfId="0"/>
    <xf numFmtId="0" fontId="0" fillId="2" borderId="0" xfId="0" applyFill="1"/>
    <xf numFmtId="0" fontId="0" fillId="3" borderId="0" xfId="0" applyFill="1"/>
    <xf numFmtId="0" fontId="0" fillId="0" borderId="0" xfId="0" applyFill="1"/>
    <xf numFmtId="0" fontId="0" fillId="0" borderId="0" xfId="0" applyAlignment="1">
      <alignment wrapText="1"/>
    </xf>
    <xf numFmtId="0" fontId="3" fillId="0" borderId="0" xfId="0" applyFont="1" applyFill="1" applyAlignment="1">
      <alignment wrapText="1"/>
    </xf>
    <xf numFmtId="0" fontId="0" fillId="0" borderId="0" xfId="0" applyFill="1" applyAlignment="1">
      <alignment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1" fontId="7" fillId="0" borderId="1" xfId="0" applyNumberFormat="1" applyFont="1" applyFill="1" applyBorder="1" applyAlignment="1">
      <alignment horizontal="right" wrapText="1" indent="1"/>
    </xf>
    <xf numFmtId="165" fontId="8" fillId="0" borderId="1" xfId="1" applyNumberFormat="1" applyFont="1" applyFill="1" applyBorder="1" applyAlignment="1">
      <alignment horizontal="center"/>
    </xf>
    <xf numFmtId="165" fontId="12" fillId="0" borderId="1" xfId="1" applyNumberFormat="1" applyFont="1" applyFill="1" applyBorder="1" applyAlignment="1">
      <alignment horizontal="center" vertical="center"/>
    </xf>
    <xf numFmtId="0" fontId="13" fillId="0" borderId="0" xfId="0" applyFont="1" applyBorder="1" applyAlignment="1">
      <alignment horizontal="left" vertical="center" wrapText="1"/>
    </xf>
    <xf numFmtId="166" fontId="14" fillId="0" borderId="0" xfId="1" applyNumberFormat="1" applyFont="1" applyBorder="1" applyAlignment="1">
      <alignment horizontal="center"/>
    </xf>
    <xf numFmtId="171" fontId="14" fillId="0" borderId="0" xfId="0" applyNumberFormat="1" applyFont="1" applyBorder="1" applyAlignment="1">
      <alignment horizontal="center"/>
    </xf>
    <xf numFmtId="171" fontId="14" fillId="2" borderId="0" xfId="0" applyNumberFormat="1" applyFont="1" applyFill="1" applyBorder="1" applyAlignment="1">
      <alignment horizontal="center"/>
    </xf>
    <xf numFmtId="0" fontId="14" fillId="0" borderId="0" xfId="0" applyFont="1" applyBorder="1" applyAlignment="1">
      <alignment horizontal="center"/>
    </xf>
    <xf numFmtId="172" fontId="14" fillId="0" borderId="0" xfId="1" applyNumberFormat="1" applyFont="1" applyBorder="1" applyAlignment="1">
      <alignment horizontal="center"/>
    </xf>
    <xf numFmtId="173" fontId="14" fillId="3" borderId="1" xfId="1" applyNumberFormat="1" applyFont="1" applyFill="1" applyBorder="1" applyAlignment="1">
      <alignment horizontal="center"/>
    </xf>
    <xf numFmtId="173" fontId="14" fillId="3" borderId="0" xfId="1" applyNumberFormat="1" applyFont="1" applyFill="1" applyBorder="1" applyAlignment="1">
      <alignment horizontal="center"/>
    </xf>
    <xf numFmtId="165" fontId="14" fillId="3" borderId="0" xfId="1" applyNumberFormat="1" applyFont="1" applyFill="1" applyBorder="1" applyAlignment="1">
      <alignment horizontal="center"/>
    </xf>
    <xf numFmtId="0" fontId="3" fillId="2" borderId="0" xfId="0" applyFont="1" applyFill="1"/>
    <xf numFmtId="174" fontId="3" fillId="0" borderId="0" xfId="0" applyNumberFormat="1" applyFont="1"/>
    <xf numFmtId="175" fontId="3" fillId="0" borderId="0" xfId="0" applyNumberFormat="1" applyFont="1"/>
    <xf numFmtId="0" fontId="3" fillId="0" borderId="0" xfId="0" applyFont="1"/>
    <xf numFmtId="176" fontId="3" fillId="0" borderId="0" xfId="0" applyNumberFormat="1" applyFont="1"/>
    <xf numFmtId="175" fontId="3" fillId="3" borderId="0" xfId="0" applyNumberFormat="1" applyFont="1" applyFill="1"/>
    <xf numFmtId="177" fontId="3" fillId="0" borderId="0" xfId="0" applyNumberFormat="1" applyFont="1"/>
    <xf numFmtId="178" fontId="3" fillId="0" borderId="0" xfId="0" applyNumberFormat="1" applyFont="1"/>
    <xf numFmtId="176" fontId="3" fillId="3" borderId="0" xfId="0" applyNumberFormat="1" applyFont="1" applyFill="1"/>
    <xf numFmtId="179" fontId="3" fillId="0" borderId="0" xfId="0" applyNumberFormat="1" applyFont="1"/>
    <xf numFmtId="180" fontId="3" fillId="0" borderId="0" xfId="0" applyNumberFormat="1" applyFont="1"/>
    <xf numFmtId="0" fontId="3" fillId="3" borderId="0" xfId="0" applyFont="1" applyFill="1"/>
    <xf numFmtId="172" fontId="3" fillId="0" borderId="0" xfId="1" applyNumberFormat="1" applyFont="1" applyBorder="1" applyAlignment="1">
      <alignment horizontal="center"/>
    </xf>
    <xf numFmtId="181" fontId="3" fillId="0" borderId="0" xfId="0" applyNumberFormat="1" applyFont="1"/>
    <xf numFmtId="4" fontId="0" fillId="0" borderId="0" xfId="0" applyNumberFormat="1"/>
    <xf numFmtId="43" fontId="3" fillId="2" borderId="0" xfId="0" applyNumberFormat="1" applyFont="1" applyFill="1"/>
    <xf numFmtId="43" fontId="3" fillId="0" borderId="0" xfId="0" applyNumberFormat="1" applyFont="1"/>
    <xf numFmtId="43" fontId="15" fillId="0" borderId="0" xfId="0" applyNumberFormat="1" applyFont="1"/>
    <xf numFmtId="0" fontId="15" fillId="0" borderId="0" xfId="0" applyFont="1"/>
    <xf numFmtId="43" fontId="15" fillId="0" borderId="0" xfId="0" applyNumberFormat="1" applyFont="1" applyAlignment="1">
      <alignment horizontal="right"/>
    </xf>
    <xf numFmtId="165" fontId="15" fillId="0" borderId="0" xfId="1" applyFont="1" applyAlignment="1">
      <alignment horizontal="right"/>
    </xf>
    <xf numFmtId="165" fontId="15" fillId="0" borderId="0" xfId="1" applyFont="1"/>
    <xf numFmtId="182" fontId="15" fillId="0" borderId="0" xfId="0" applyNumberFormat="1" applyFont="1" applyAlignment="1">
      <alignment horizontal="right"/>
    </xf>
    <xf numFmtId="168" fontId="15" fillId="0" borderId="0" xfId="0" applyNumberFormat="1" applyFont="1"/>
    <xf numFmtId="182" fontId="15" fillId="0" borderId="0" xfId="0" applyNumberFormat="1" applyFont="1"/>
    <xf numFmtId="183" fontId="3" fillId="0" borderId="0" xfId="0" applyNumberFormat="1" applyFont="1"/>
    <xf numFmtId="0" fontId="7" fillId="0" borderId="0" xfId="0" applyFont="1" applyAlignment="1">
      <alignment horizontal="right"/>
    </xf>
    <xf numFmtId="4" fontId="7" fillId="2" borderId="0" xfId="0" applyNumberFormat="1" applyFont="1" applyFill="1" applyAlignment="1">
      <alignment horizontal="center"/>
    </xf>
    <xf numFmtId="43" fontId="0" fillId="0" borderId="0" xfId="0" applyNumberFormat="1"/>
    <xf numFmtId="0" fontId="7" fillId="0" borderId="0" xfId="0" applyFont="1" applyFill="1" applyAlignment="1">
      <alignment horizontal="right"/>
    </xf>
    <xf numFmtId="0" fontId="15" fillId="0" borderId="0" xfId="0" applyFont="1" applyAlignment="1">
      <alignment vertical="center"/>
    </xf>
    <xf numFmtId="43" fontId="15" fillId="0" borderId="0" xfId="0" applyNumberFormat="1" applyFont="1" applyAlignment="1">
      <alignment horizontal="center" vertical="center"/>
    </xf>
    <xf numFmtId="4" fontId="15" fillId="0" borderId="0" xfId="0" applyNumberFormat="1" applyFont="1" applyAlignment="1">
      <alignment horizontal="center" vertical="center"/>
    </xf>
    <xf numFmtId="4" fontId="7" fillId="0" borderId="0" xfId="0" applyNumberFormat="1" applyFont="1" applyAlignment="1">
      <alignment horizontal="center" vertical="center"/>
    </xf>
    <xf numFmtId="183" fontId="15" fillId="0" borderId="0" xfId="0" applyNumberFormat="1" applyFont="1" applyAlignment="1">
      <alignment horizontal="center" vertical="center"/>
    </xf>
    <xf numFmtId="43" fontId="15" fillId="3" borderId="0" xfId="0" applyNumberFormat="1" applyFont="1" applyFill="1"/>
    <xf numFmtId="43" fontId="7" fillId="0" borderId="0" xfId="0" applyNumberFormat="1" applyFont="1"/>
    <xf numFmtId="165" fontId="0" fillId="0" borderId="0" xfId="1" applyFont="1"/>
    <xf numFmtId="183" fontId="0" fillId="0" borderId="0" xfId="0" applyNumberFormat="1"/>
    <xf numFmtId="183" fontId="16" fillId="0" borderId="0" xfId="0" applyNumberFormat="1" applyFont="1" applyAlignment="1">
      <alignment horizontal="center" vertical="center"/>
    </xf>
    <xf numFmtId="43" fontId="7" fillId="0" borderId="0" xfId="0" applyNumberFormat="1" applyFont="1" applyAlignment="1">
      <alignment horizontal="center"/>
    </xf>
    <xf numFmtId="43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43" fontId="0" fillId="0" borderId="0" xfId="0" applyNumberFormat="1" applyFill="1"/>
    <xf numFmtId="4" fontId="17" fillId="0" borderId="0" xfId="2"/>
    <xf numFmtId="165" fontId="2" fillId="4" borderId="0" xfId="1" applyFont="1" applyFill="1"/>
    <xf numFmtId="0" fontId="6" fillId="0" borderId="1" xfId="0" applyFont="1" applyFill="1" applyBorder="1"/>
    <xf numFmtId="165" fontId="8" fillId="0" borderId="1" xfId="0" applyNumberFormat="1" applyFont="1" applyFill="1" applyBorder="1"/>
    <xf numFmtId="165" fontId="8" fillId="0" borderId="1" xfId="0" applyNumberFormat="1" applyFont="1" applyFill="1" applyBorder="1" applyAlignment="1">
      <alignment horizontal="center"/>
    </xf>
    <xf numFmtId="0" fontId="2" fillId="0" borderId="0" xfId="0" applyFont="1" applyFill="1"/>
    <xf numFmtId="0" fontId="5" fillId="0" borderId="1" xfId="0" applyFont="1" applyFill="1" applyBorder="1" applyAlignment="1">
      <alignment horizontal="center" vertical="center"/>
    </xf>
    <xf numFmtId="0" fontId="9" fillId="0" borderId="1" xfId="0" applyFont="1" applyFill="1" applyBorder="1"/>
    <xf numFmtId="171" fontId="8" fillId="0" borderId="1" xfId="0" applyNumberFormat="1" applyFont="1" applyFill="1" applyBorder="1" applyAlignment="1">
      <alignment horizontal="center"/>
    </xf>
    <xf numFmtId="172" fontId="8" fillId="0" borderId="1" xfId="1" applyNumberFormat="1" applyFont="1" applyFill="1" applyBorder="1" applyAlignment="1">
      <alignment horizontal="center"/>
    </xf>
    <xf numFmtId="0" fontId="10" fillId="0" borderId="1" xfId="0" applyFont="1" applyFill="1" applyBorder="1" applyAlignment="1">
      <alignment horizontal="left" vertical="center" wrapText="1"/>
    </xf>
    <xf numFmtId="166" fontId="11" fillId="0" borderId="1" xfId="1" applyNumberFormat="1" applyFont="1" applyFill="1" applyBorder="1" applyAlignment="1">
      <alignment horizontal="center" vertical="center"/>
    </xf>
    <xf numFmtId="166" fontId="12" fillId="0" borderId="1" xfId="1" applyNumberFormat="1" applyFont="1" applyFill="1" applyBorder="1" applyAlignment="1">
      <alignment horizontal="center" vertical="center"/>
    </xf>
    <xf numFmtId="172" fontId="12" fillId="0" borderId="1" xfId="1" applyNumberFormat="1" applyFont="1" applyFill="1" applyBorder="1" applyAlignment="1">
      <alignment horizontal="center" vertical="center"/>
    </xf>
    <xf numFmtId="166" fontId="12" fillId="0" borderId="1" xfId="0" applyNumberFormat="1" applyFont="1" applyFill="1" applyBorder="1" applyAlignment="1">
      <alignment horizontal="center" vertical="center"/>
    </xf>
    <xf numFmtId="165" fontId="12" fillId="5" borderId="1" xfId="1" applyNumberFormat="1" applyFont="1" applyFill="1" applyBorder="1" applyAlignment="1">
      <alignment horizontal="center" vertical="center"/>
    </xf>
    <xf numFmtId="0" fontId="0" fillId="0" borderId="0" xfId="0" applyFill="1" applyAlignment="1"/>
    <xf numFmtId="165" fontId="0" fillId="0" borderId="0" xfId="0" applyNumberFormat="1"/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164" fontId="8" fillId="0" borderId="1" xfId="0" applyNumberFormat="1" applyFont="1" applyFill="1" applyBorder="1" applyAlignment="1">
      <alignment horizontal="right" vertical="center"/>
    </xf>
    <xf numFmtId="0" fontId="8" fillId="0" borderId="1" xfId="0" applyFont="1" applyFill="1" applyBorder="1" applyAlignment="1">
      <alignment horizontal="right" vertical="center"/>
    </xf>
    <xf numFmtId="165" fontId="8" fillId="0" borderId="1" xfId="1" applyNumberFormat="1" applyFont="1" applyFill="1" applyBorder="1" applyAlignment="1">
      <alignment horizontal="center" vertical="center"/>
    </xf>
    <xf numFmtId="172" fontId="8" fillId="0" borderId="1" xfId="1" applyNumberFormat="1" applyFont="1" applyFill="1" applyBorder="1" applyAlignment="1">
      <alignment horizontal="center" vertical="center"/>
    </xf>
    <xf numFmtId="167" fontId="8" fillId="0" borderId="1" xfId="0" applyNumberFormat="1" applyFont="1" applyFill="1" applyBorder="1" applyAlignment="1">
      <alignment horizontal="center" vertical="center"/>
    </xf>
    <xf numFmtId="169" fontId="8" fillId="0" borderId="1" xfId="0" applyNumberFormat="1" applyFont="1" applyFill="1" applyBorder="1" applyAlignment="1">
      <alignment horizontal="center" vertical="center"/>
    </xf>
    <xf numFmtId="165" fontId="8" fillId="0" borderId="1" xfId="0" applyNumberFormat="1" applyFont="1" applyFill="1" applyBorder="1" applyAlignment="1">
      <alignment vertical="center"/>
    </xf>
    <xf numFmtId="165" fontId="8" fillId="0" borderId="1" xfId="0" applyNumberFormat="1" applyFont="1" applyFill="1" applyBorder="1" applyAlignment="1">
      <alignment horizontal="center" vertical="center"/>
    </xf>
    <xf numFmtId="3" fontId="18" fillId="0" borderId="1" xfId="0" applyNumberFormat="1" applyFont="1" applyFill="1" applyBorder="1" applyAlignment="1">
      <alignment horizontal="center" vertical="center" wrapText="1"/>
    </xf>
    <xf numFmtId="43" fontId="8" fillId="0" borderId="1" xfId="0" applyNumberFormat="1" applyFont="1" applyFill="1" applyBorder="1" applyAlignment="1">
      <alignment horizontal="right" vertical="center"/>
    </xf>
    <xf numFmtId="41" fontId="8" fillId="0" borderId="1" xfId="0" applyNumberFormat="1" applyFont="1" applyFill="1" applyBorder="1" applyAlignment="1">
      <alignment horizontal="right" vertical="center"/>
    </xf>
    <xf numFmtId="43" fontId="19" fillId="0" borderId="1" xfId="0" applyNumberFormat="1" applyFont="1" applyFill="1" applyBorder="1" applyAlignment="1">
      <alignment horizontal="right" vertical="center"/>
    </xf>
    <xf numFmtId="165" fontId="12" fillId="0" borderId="1" xfId="1" applyNumberFormat="1" applyFont="1" applyFill="1" applyBorder="1" applyAlignment="1">
      <alignment horizontal="right" vertical="center"/>
    </xf>
    <xf numFmtId="170" fontId="8" fillId="0" borderId="1" xfId="0" applyNumberFormat="1" applyFont="1" applyFill="1" applyBorder="1" applyAlignment="1">
      <alignment horizontal="right" vertical="center"/>
    </xf>
    <xf numFmtId="171" fontId="8" fillId="0" borderId="1" xfId="0" applyNumberFormat="1" applyFont="1" applyFill="1" applyBorder="1" applyAlignment="1">
      <alignment horizontal="right" vertical="center"/>
    </xf>
    <xf numFmtId="0" fontId="20" fillId="0" borderId="1" xfId="0" applyFont="1" applyFill="1" applyBorder="1" applyAlignment="1">
      <alignment horizontal="left" vertical="center"/>
    </xf>
    <xf numFmtId="0" fontId="12" fillId="0" borderId="0" xfId="0" applyFont="1" applyFill="1" applyAlignment="1">
      <alignment horizontal="center" vertical="center" wrapText="1"/>
    </xf>
    <xf numFmtId="0" fontId="8" fillId="0" borderId="0" xfId="0" applyFont="1" applyAlignment="1">
      <alignment wrapText="1"/>
    </xf>
    <xf numFmtId="0" fontId="12" fillId="0" borderId="1" xfId="0" applyFont="1" applyFill="1" applyBorder="1" applyAlignment="1">
      <alignment horizontal="left" vertical="center" wrapText="1"/>
    </xf>
    <xf numFmtId="3" fontId="18" fillId="0" borderId="1" xfId="0" applyNumberFormat="1" applyFont="1" applyFill="1" applyBorder="1" applyAlignment="1">
      <alignment horizontal="right" vertical="center" wrapText="1"/>
    </xf>
    <xf numFmtId="0" fontId="8" fillId="0" borderId="1" xfId="0" applyFont="1" applyFill="1" applyBorder="1" applyAlignment="1">
      <alignment horizontal="center" vertical="center" wrapText="1"/>
    </xf>
    <xf numFmtId="183" fontId="0" fillId="0" borderId="0" xfId="0" applyNumberFormat="1" applyFill="1" applyAlignment="1">
      <alignment wrapText="1"/>
    </xf>
    <xf numFmtId="0" fontId="12" fillId="0" borderId="0" xfId="0" applyFont="1" applyFill="1" applyAlignment="1">
      <alignment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0" fillId="0" borderId="0" xfId="0" applyAlignment="1"/>
    <xf numFmtId="0" fontId="1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wrapText="1"/>
    </xf>
    <xf numFmtId="0" fontId="8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</cellXfs>
  <cellStyles count="3">
    <cellStyle name="(Табликс4):0:8" xfId="2"/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K79"/>
  <sheetViews>
    <sheetView tabSelected="1" view="pageBreakPreview" zoomScale="59" zoomScaleNormal="100" zoomScaleSheetLayoutView="59" workbookViewId="0">
      <pane xSplit="8" ySplit="8" topLeftCell="I9" activePane="bottomRight" state="frozen"/>
      <selection pane="topRight" activeCell="I1" sqref="I1"/>
      <selection pane="bottomLeft" activeCell="A9" sqref="A9"/>
      <selection pane="bottomRight" activeCell="A9" sqref="A9"/>
    </sheetView>
  </sheetViews>
  <sheetFormatPr defaultRowHeight="7.5" customHeight="1"/>
  <cols>
    <col min="1" max="1" width="88.7109375" customWidth="1"/>
    <col min="2" max="3" width="37.85546875" hidden="1" customWidth="1"/>
    <col min="4" max="5" width="26" hidden="1" customWidth="1"/>
    <col min="6" max="6" width="30.7109375" customWidth="1"/>
    <col min="7" max="7" width="29.85546875" customWidth="1"/>
    <col min="8" max="8" width="35.5703125" customWidth="1"/>
    <col min="9" max="9" width="23.42578125" customWidth="1"/>
    <col min="10" max="10" width="31.42578125" customWidth="1"/>
    <col min="11" max="11" width="27.85546875" customWidth="1"/>
    <col min="12" max="12" width="45.85546875" style="1" customWidth="1"/>
    <col min="13" max="13" width="29.140625" customWidth="1"/>
    <col min="14" max="14" width="26.28515625" hidden="1" customWidth="1"/>
    <col min="15" max="15" width="22" style="2" hidden="1" customWidth="1"/>
    <col min="16" max="16" width="23.42578125" hidden="1" customWidth="1"/>
    <col min="17" max="17" width="51.28515625" customWidth="1"/>
    <col min="18" max="18" width="31" customWidth="1"/>
    <col min="19" max="19" width="36.5703125" customWidth="1"/>
    <col min="20" max="20" width="47.85546875" customWidth="1"/>
    <col min="21" max="21" width="52.42578125" customWidth="1"/>
    <col min="22" max="22" width="67.28515625" customWidth="1"/>
    <col min="23" max="23" width="29.7109375" customWidth="1"/>
    <col min="24" max="24" width="33.140625" customWidth="1"/>
    <col min="25" max="28" width="27.28515625" hidden="1" customWidth="1"/>
    <col min="29" max="29" width="26.28515625" hidden="1" customWidth="1"/>
    <col min="30" max="30" width="23.85546875" hidden="1" customWidth="1"/>
    <col min="31" max="31" width="50.7109375" customWidth="1"/>
    <col min="32" max="32" width="65.140625" customWidth="1"/>
    <col min="33" max="33" width="28.42578125" customWidth="1"/>
    <col min="34" max="34" width="32" customWidth="1"/>
    <col min="35" max="35" width="23.42578125" hidden="1" customWidth="1"/>
    <col min="36" max="36" width="29.28515625" hidden="1" customWidth="1"/>
    <col min="37" max="37" width="26.42578125" hidden="1" customWidth="1"/>
  </cols>
  <sheetData>
    <row r="1" spans="1:37" ht="13.9" customHeight="1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119"/>
      <c r="O1" s="119"/>
      <c r="P1" s="119"/>
      <c r="Q1" s="119"/>
      <c r="R1" s="119"/>
      <c r="S1" s="119"/>
      <c r="T1" s="119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</row>
    <row r="2" spans="1:37" ht="93" customHeight="1">
      <c r="B2" s="104"/>
      <c r="C2" s="104"/>
      <c r="D2" s="104"/>
      <c r="E2" s="104"/>
      <c r="F2" s="118" t="s">
        <v>94</v>
      </c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118"/>
      <c r="T2" s="110"/>
      <c r="U2" s="105"/>
      <c r="V2" s="105"/>
      <c r="W2" s="105"/>
      <c r="X2" s="105"/>
      <c r="Y2" s="105"/>
      <c r="Z2" s="105"/>
      <c r="AF2" s="81"/>
      <c r="AG2" s="3"/>
      <c r="AH2" s="3"/>
      <c r="AI2" s="3"/>
      <c r="AJ2" s="3"/>
      <c r="AK2" s="3"/>
    </row>
    <row r="3" spans="1:37" ht="14.25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70"/>
      <c r="X3" s="70"/>
      <c r="Y3" s="3"/>
      <c r="Z3" s="3"/>
      <c r="AA3" s="3"/>
      <c r="AB3" s="70"/>
      <c r="AC3" s="3"/>
      <c r="AD3" s="3"/>
      <c r="AE3" s="3"/>
      <c r="AF3" s="3"/>
      <c r="AG3" s="70"/>
      <c r="AH3" s="70"/>
      <c r="AI3" s="3"/>
      <c r="AJ3" s="70" t="s">
        <v>0</v>
      </c>
      <c r="AK3" s="3"/>
    </row>
    <row r="4" spans="1:37" s="4" customFormat="1" ht="39.75">
      <c r="A4" s="6"/>
      <c r="B4" s="6"/>
      <c r="C4" s="6"/>
      <c r="D4" s="6"/>
      <c r="E4" s="6"/>
      <c r="F4" s="6"/>
      <c r="G4" s="6"/>
      <c r="H4" s="6"/>
      <c r="I4" s="5"/>
      <c r="J4" s="6"/>
      <c r="K4" s="6"/>
      <c r="L4" s="6"/>
      <c r="M4" s="6"/>
      <c r="N4" s="6"/>
      <c r="O4" s="6"/>
      <c r="P4" s="6"/>
      <c r="Q4" s="6"/>
      <c r="R4" s="109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 t="s">
        <v>1</v>
      </c>
      <c r="AK4" s="6"/>
    </row>
    <row r="5" spans="1:37" ht="21" customHeight="1">
      <c r="A5" s="120" t="s">
        <v>74</v>
      </c>
      <c r="B5" s="83"/>
      <c r="C5" s="83"/>
      <c r="D5" s="83"/>
      <c r="E5" s="83"/>
      <c r="F5" s="111" t="s">
        <v>75</v>
      </c>
      <c r="G5" s="111" t="s">
        <v>76</v>
      </c>
      <c r="H5" s="111" t="s">
        <v>77</v>
      </c>
      <c r="I5" s="111" t="s">
        <v>95</v>
      </c>
      <c r="J5" s="121" t="s">
        <v>78</v>
      </c>
      <c r="K5" s="112" t="s">
        <v>2</v>
      </c>
      <c r="L5" s="112" t="s">
        <v>79</v>
      </c>
      <c r="M5" s="111" t="s">
        <v>3</v>
      </c>
      <c r="N5" s="112" t="s">
        <v>4</v>
      </c>
      <c r="O5" s="112" t="s">
        <v>5</v>
      </c>
      <c r="P5" s="112" t="s">
        <v>73</v>
      </c>
      <c r="Q5" s="84" t="s">
        <v>6</v>
      </c>
      <c r="R5" s="111" t="s">
        <v>93</v>
      </c>
      <c r="S5" s="111"/>
      <c r="T5" s="111"/>
      <c r="U5" s="111" t="s">
        <v>7</v>
      </c>
      <c r="V5" s="111"/>
      <c r="W5" s="111"/>
      <c r="X5" s="111"/>
      <c r="Y5" s="111"/>
      <c r="Z5" s="111"/>
      <c r="AA5" s="111"/>
      <c r="AB5" s="111"/>
      <c r="AC5" s="111"/>
      <c r="AD5" s="111" t="s">
        <v>8</v>
      </c>
      <c r="AE5" s="111"/>
      <c r="AF5" s="111"/>
      <c r="AG5" s="111"/>
      <c r="AH5" s="111"/>
      <c r="AI5" s="111"/>
      <c r="AJ5" s="111"/>
      <c r="AK5" s="111"/>
    </row>
    <row r="6" spans="1:37" ht="21" customHeight="1">
      <c r="A6" s="120"/>
      <c r="B6" s="83"/>
      <c r="C6" s="83"/>
      <c r="D6" s="83"/>
      <c r="E6" s="83"/>
      <c r="F6" s="111"/>
      <c r="G6" s="111"/>
      <c r="H6" s="111"/>
      <c r="I6" s="111"/>
      <c r="J6" s="122"/>
      <c r="K6" s="124"/>
      <c r="L6" s="124"/>
      <c r="M6" s="111"/>
      <c r="N6" s="124"/>
      <c r="O6" s="124"/>
      <c r="P6" s="124"/>
      <c r="Q6" s="112" t="s">
        <v>80</v>
      </c>
      <c r="R6" s="111"/>
      <c r="S6" s="111"/>
      <c r="T6" s="111" t="s">
        <v>71</v>
      </c>
      <c r="U6" s="111" t="s">
        <v>72</v>
      </c>
      <c r="V6" s="112" t="s">
        <v>44</v>
      </c>
      <c r="W6" s="114" t="s">
        <v>45</v>
      </c>
      <c r="X6" s="115"/>
      <c r="Y6" s="85"/>
      <c r="Z6" s="85"/>
      <c r="AA6" s="85"/>
      <c r="AB6" s="111" t="s">
        <v>9</v>
      </c>
      <c r="AC6" s="111" t="s">
        <v>10</v>
      </c>
      <c r="AD6" s="111" t="s">
        <v>11</v>
      </c>
      <c r="AE6" s="111" t="s">
        <v>72</v>
      </c>
      <c r="AF6" s="111" t="s">
        <v>44</v>
      </c>
      <c r="AG6" s="111" t="s">
        <v>45</v>
      </c>
      <c r="AH6" s="111"/>
      <c r="AI6" s="84"/>
      <c r="AJ6" s="111" t="s">
        <v>9</v>
      </c>
      <c r="AK6" s="111" t="s">
        <v>10</v>
      </c>
    </row>
    <row r="7" spans="1:37" ht="291" customHeight="1">
      <c r="A7" s="120"/>
      <c r="B7" s="83"/>
      <c r="C7" s="83"/>
      <c r="D7" s="83"/>
      <c r="E7" s="83"/>
      <c r="F7" s="111"/>
      <c r="G7" s="111"/>
      <c r="H7" s="111"/>
      <c r="I7" s="111"/>
      <c r="J7" s="123"/>
      <c r="K7" s="113"/>
      <c r="L7" s="113"/>
      <c r="M7" s="111"/>
      <c r="N7" s="113"/>
      <c r="O7" s="113"/>
      <c r="P7" s="113"/>
      <c r="Q7" s="113"/>
      <c r="R7" s="108" t="s">
        <v>82</v>
      </c>
      <c r="S7" s="108" t="s">
        <v>83</v>
      </c>
      <c r="T7" s="111"/>
      <c r="U7" s="111"/>
      <c r="V7" s="113"/>
      <c r="W7" s="108" t="s">
        <v>86</v>
      </c>
      <c r="X7" s="108" t="s">
        <v>87</v>
      </c>
      <c r="Y7" s="84" t="s">
        <v>12</v>
      </c>
      <c r="Z7" s="86" t="s">
        <v>13</v>
      </c>
      <c r="AA7" s="84" t="s">
        <v>41</v>
      </c>
      <c r="AB7" s="111"/>
      <c r="AC7" s="111"/>
      <c r="AD7" s="111"/>
      <c r="AE7" s="111"/>
      <c r="AF7" s="111"/>
      <c r="AG7" s="108" t="s">
        <v>88</v>
      </c>
      <c r="AH7" s="108" t="s">
        <v>89</v>
      </c>
      <c r="AI7" s="84"/>
      <c r="AJ7" s="111"/>
      <c r="AK7" s="111"/>
    </row>
    <row r="8" spans="1:37" ht="54" customHeight="1">
      <c r="A8" s="8" t="s">
        <v>14</v>
      </c>
      <c r="B8" s="8"/>
      <c r="C8" s="8"/>
      <c r="D8" s="8"/>
      <c r="E8" s="8"/>
      <c r="F8" s="8" t="s">
        <v>15</v>
      </c>
      <c r="G8" s="8" t="s">
        <v>16</v>
      </c>
      <c r="H8" s="8" t="s">
        <v>17</v>
      </c>
      <c r="I8" s="8" t="s">
        <v>18</v>
      </c>
      <c r="J8" s="8" t="s">
        <v>19</v>
      </c>
      <c r="K8" s="8" t="s">
        <v>20</v>
      </c>
      <c r="L8" s="8" t="s">
        <v>21</v>
      </c>
      <c r="M8" s="8" t="s">
        <v>22</v>
      </c>
      <c r="N8" s="8" t="s">
        <v>23</v>
      </c>
      <c r="O8" s="8" t="s">
        <v>24</v>
      </c>
      <c r="P8" s="8" t="s">
        <v>25</v>
      </c>
      <c r="Q8" s="7" t="s">
        <v>81</v>
      </c>
      <c r="R8" s="8" t="s">
        <v>85</v>
      </c>
      <c r="S8" s="8" t="s">
        <v>84</v>
      </c>
      <c r="T8" s="8" t="s">
        <v>90</v>
      </c>
      <c r="U8" s="7" t="s">
        <v>91</v>
      </c>
      <c r="V8" s="7" t="s">
        <v>26</v>
      </c>
      <c r="W8" s="7" t="s">
        <v>27</v>
      </c>
      <c r="X8" s="7" t="s">
        <v>28</v>
      </c>
      <c r="Y8" s="7"/>
      <c r="Z8" s="7"/>
      <c r="AA8" s="7"/>
      <c r="AB8" s="8" t="s">
        <v>29</v>
      </c>
      <c r="AC8" s="8" t="s">
        <v>30</v>
      </c>
      <c r="AD8" s="8" t="s">
        <v>31</v>
      </c>
      <c r="AE8" s="8" t="s">
        <v>92</v>
      </c>
      <c r="AF8" s="8" t="s">
        <v>32</v>
      </c>
      <c r="AG8" s="8" t="s">
        <v>33</v>
      </c>
      <c r="AH8" s="8" t="s">
        <v>34</v>
      </c>
      <c r="AI8" s="8"/>
      <c r="AJ8" s="8" t="s">
        <v>35</v>
      </c>
      <c r="AK8" s="71" t="s">
        <v>36</v>
      </c>
    </row>
    <row r="9" spans="1:37" ht="45.75" customHeight="1">
      <c r="A9" s="87" t="s">
        <v>46</v>
      </c>
      <c r="B9" s="67"/>
      <c r="C9" s="67"/>
      <c r="D9" s="9">
        <v>187</v>
      </c>
      <c r="E9" s="9"/>
      <c r="F9" s="107">
        <v>21</v>
      </c>
      <c r="G9" s="107">
        <v>1</v>
      </c>
      <c r="H9" s="107">
        <f>F9-G9</f>
        <v>20</v>
      </c>
      <c r="I9" s="97">
        <v>88598</v>
      </c>
      <c r="J9" s="98">
        <f>(109835*33)</f>
        <v>3624555</v>
      </c>
      <c r="K9" s="97">
        <f>ROUND(H9*I9,2)</f>
        <v>1771960</v>
      </c>
      <c r="L9" s="88">
        <f>G9*J9</f>
        <v>3624555</v>
      </c>
      <c r="M9" s="89">
        <v>33</v>
      </c>
      <c r="N9" s="10">
        <f>ROUND(H9*I9*M9,2)</f>
        <v>58474680</v>
      </c>
      <c r="O9" s="10">
        <f>ROUND(I9*M9,2)</f>
        <v>2923734</v>
      </c>
      <c r="P9" s="10">
        <f>ROUND((N9*(105254831.46-M9*$I$35)/(M9*$K$35)),2)</f>
        <v>3270872.07</v>
      </c>
      <c r="Q9" s="90">
        <v>4114087.62</v>
      </c>
      <c r="R9" s="92">
        <v>452549.64</v>
      </c>
      <c r="S9" s="93">
        <v>3661537.98</v>
      </c>
      <c r="T9" s="90">
        <f>ROUND(N9*(287419130.7-37745598)/(M9*$K$35),2)+0.08</f>
        <v>7758790.5600000005</v>
      </c>
      <c r="U9" s="90">
        <v>7758790.5600000005</v>
      </c>
      <c r="V9" s="95">
        <f>AA9</f>
        <v>4180818.27</v>
      </c>
      <c r="W9" s="95">
        <f>ROUND(V9*0.13,2)+0.02</f>
        <v>543506.4</v>
      </c>
      <c r="X9" s="95">
        <f>Z9</f>
        <v>3637311.89</v>
      </c>
      <c r="Y9" s="95">
        <f t="shared" ref="Y9:Y34" si="0">S9/$S$35*100</f>
        <v>3.9086924190407872</v>
      </c>
      <c r="Z9" s="95">
        <f>ROUND($X$47*Y9/100,2)-0.01</f>
        <v>3637311.89</v>
      </c>
      <c r="AA9" s="95">
        <f>ROUND($V$47*Y9/100,2)-0.01</f>
        <v>4180818.27</v>
      </c>
      <c r="AB9" s="90" t="e">
        <f>#REF!</f>
        <v>#REF!</v>
      </c>
      <c r="AC9" s="94" t="e">
        <f t="shared" ref="AC9:AC34" si="1">L9+W9+X9+AB9</f>
        <v>#REF!</v>
      </c>
      <c r="AD9" s="90">
        <f>ROUND((N9*(109478823.53-M9*$I$35)/(M9*$K$35)),2)</f>
        <v>3402135.76</v>
      </c>
      <c r="AE9" s="90">
        <v>7758790.5600000005</v>
      </c>
      <c r="AF9" s="95">
        <f>AI9</f>
        <v>4279190.4800000004</v>
      </c>
      <c r="AG9" s="95">
        <f>ROUND(AF9*0.15,2)+0.02</f>
        <v>641878.59</v>
      </c>
      <c r="AH9" s="95">
        <f>X9</f>
        <v>3637311.89</v>
      </c>
      <c r="AI9" s="69">
        <f>ROUND($AF$47*Y9/100,2)</f>
        <v>4279190.4800000004</v>
      </c>
      <c r="AJ9" s="10" t="e">
        <f>#REF!</f>
        <v>#REF!</v>
      </c>
      <c r="AK9" s="68" t="e">
        <f t="shared" ref="AK9:AK34" si="2">L9+AG9+AH9+AJ9</f>
        <v>#REF!</v>
      </c>
    </row>
    <row r="10" spans="1:37" s="3" customFormat="1" ht="41.25" customHeight="1">
      <c r="A10" s="87" t="s">
        <v>47</v>
      </c>
      <c r="B10" s="67"/>
      <c r="C10" s="67"/>
      <c r="D10" s="9">
        <v>27</v>
      </c>
      <c r="E10" s="9"/>
      <c r="F10" s="107">
        <v>0</v>
      </c>
      <c r="G10" s="107">
        <v>0</v>
      </c>
      <c r="H10" s="107">
        <f>F10-G10</f>
        <v>0</v>
      </c>
      <c r="I10" s="97"/>
      <c r="J10" s="98"/>
      <c r="K10" s="97">
        <f t="shared" ref="K10:K33" si="3">ROUND(H10*I10,2)</f>
        <v>0</v>
      </c>
      <c r="L10" s="88">
        <f t="shared" ref="L10:L33" si="4">G10*J10</f>
        <v>0</v>
      </c>
      <c r="M10" s="89">
        <v>33</v>
      </c>
      <c r="N10" s="10">
        <f>ROUND(H10*I10*M10,2)</f>
        <v>0</v>
      </c>
      <c r="O10" s="10">
        <f>ROUND(I10*M10,2)</f>
        <v>0</v>
      </c>
      <c r="P10" s="10">
        <f>ROUND((N10*(105254831.46-M10*$I$35)/(M10*$K$35)),2)</f>
        <v>0</v>
      </c>
      <c r="Q10" s="90">
        <v>0</v>
      </c>
      <c r="R10" s="92">
        <v>0</v>
      </c>
      <c r="S10" s="93">
        <v>0</v>
      </c>
      <c r="T10" s="90">
        <f t="shared" ref="T10:T33" si="5">ROUND(N10*(287419130.7-37745598)/(M10*$K$35),2)</f>
        <v>0</v>
      </c>
      <c r="U10" s="90">
        <v>0</v>
      </c>
      <c r="V10" s="95">
        <f t="shared" ref="V10:V34" si="6">AA10</f>
        <v>0</v>
      </c>
      <c r="W10" s="95">
        <f t="shared" ref="W10:W34" si="7">ROUND(V10*0.13,2)</f>
        <v>0</v>
      </c>
      <c r="X10" s="95">
        <f t="shared" ref="X10:X34" si="8">Z10</f>
        <v>0</v>
      </c>
      <c r="Y10" s="95">
        <f t="shared" si="0"/>
        <v>0</v>
      </c>
      <c r="Z10" s="95">
        <f t="shared" ref="Z10:Z34" si="9">ROUND($X$47*Y10/100,2)</f>
        <v>0</v>
      </c>
      <c r="AA10" s="95">
        <f t="shared" ref="AA10:AA34" si="10">ROUND($V$47*Y10/100,2)</f>
        <v>0</v>
      </c>
      <c r="AB10" s="90" t="e">
        <f>#REF!</f>
        <v>#REF!</v>
      </c>
      <c r="AC10" s="94" t="e">
        <f t="shared" si="1"/>
        <v>#REF!</v>
      </c>
      <c r="AD10" s="90">
        <f t="shared" ref="AD10:AD33" si="11">ROUND((N10*(109478823.53-M10*$I$35)/(M10*$K$35)),2)</f>
        <v>0</v>
      </c>
      <c r="AE10" s="90">
        <v>0</v>
      </c>
      <c r="AF10" s="95">
        <f t="shared" ref="AF10:AF34" si="12">AI10</f>
        <v>0</v>
      </c>
      <c r="AG10" s="95">
        <f t="shared" ref="AG10:AG34" si="13">ROUND(AF10*0.15,2)</f>
        <v>0</v>
      </c>
      <c r="AH10" s="95">
        <f t="shared" ref="AH10:AH34" si="14">X10</f>
        <v>0</v>
      </c>
      <c r="AI10" s="69">
        <f t="shared" ref="AI10:AI34" si="15">ROUND($AF$47*Y10/100,2)</f>
        <v>0</v>
      </c>
      <c r="AJ10" s="10" t="e">
        <f>#REF!</f>
        <v>#REF!</v>
      </c>
      <c r="AK10" s="68" t="e">
        <f t="shared" si="2"/>
        <v>#REF!</v>
      </c>
    </row>
    <row r="11" spans="1:37" ht="39" customHeight="1">
      <c r="A11" s="87" t="s">
        <v>48</v>
      </c>
      <c r="B11" s="67"/>
      <c r="C11" s="67"/>
      <c r="D11" s="9">
        <v>31</v>
      </c>
      <c r="E11" s="9"/>
      <c r="F11" s="107">
        <v>2</v>
      </c>
      <c r="G11" s="107">
        <v>0</v>
      </c>
      <c r="H11" s="107">
        <f t="shared" ref="H11:H33" si="16">F11-G11</f>
        <v>2</v>
      </c>
      <c r="I11" s="97">
        <v>75639.084999999992</v>
      </c>
      <c r="J11" s="98"/>
      <c r="K11" s="97">
        <f>ROUND(H11*I11,2)</f>
        <v>151278.17000000001</v>
      </c>
      <c r="L11" s="88">
        <f t="shared" si="4"/>
        <v>0</v>
      </c>
      <c r="M11" s="89">
        <v>33</v>
      </c>
      <c r="N11" s="10">
        <f>ROUND(H11*I11*M11,2)</f>
        <v>4992179.6100000003</v>
      </c>
      <c r="O11" s="10">
        <f>ROUND(I11*M11,2)</f>
        <v>2496089.81</v>
      </c>
      <c r="P11" s="10">
        <f t="shared" ref="P11:P32" si="17">ROUND((N11*(105254831.46-M11*$I$35)/(M11*$K$35)),2)</f>
        <v>279245.32</v>
      </c>
      <c r="Q11" s="90">
        <v>2597714.2999999998</v>
      </c>
      <c r="R11" s="92">
        <v>285748.57</v>
      </c>
      <c r="S11" s="93">
        <v>2311965.73</v>
      </c>
      <c r="T11" s="90">
        <f>ROUND(N11*(287419130.7-37745598)/(M11*$K$35),2)</f>
        <v>662393.97</v>
      </c>
      <c r="U11" s="90">
        <v>662393.97</v>
      </c>
      <c r="V11" s="95">
        <f t="shared" si="6"/>
        <v>2639849.33</v>
      </c>
      <c r="W11" s="95">
        <f t="shared" si="7"/>
        <v>343180.41</v>
      </c>
      <c r="X11" s="95">
        <f t="shared" si="8"/>
        <v>2296668.92</v>
      </c>
      <c r="Y11" s="95">
        <f t="shared" si="0"/>
        <v>2.4680238116588096</v>
      </c>
      <c r="Z11" s="95">
        <f t="shared" si="9"/>
        <v>2296668.92</v>
      </c>
      <c r="AA11" s="95">
        <f t="shared" si="10"/>
        <v>2639849.33</v>
      </c>
      <c r="AB11" s="90" t="e">
        <f>#REF!</f>
        <v>#REF!</v>
      </c>
      <c r="AC11" s="94" t="e">
        <f t="shared" si="1"/>
        <v>#REF!</v>
      </c>
      <c r="AD11" s="90">
        <f t="shared" si="11"/>
        <v>290451.74</v>
      </c>
      <c r="AE11" s="90">
        <v>662393.97</v>
      </c>
      <c r="AF11" s="95">
        <f t="shared" si="12"/>
        <v>2701963.43</v>
      </c>
      <c r="AG11" s="95">
        <f t="shared" si="13"/>
        <v>405294.51</v>
      </c>
      <c r="AH11" s="95">
        <f t="shared" si="14"/>
        <v>2296668.92</v>
      </c>
      <c r="AI11" s="69">
        <f t="shared" si="15"/>
        <v>2701963.43</v>
      </c>
      <c r="AJ11" s="10" t="e">
        <f>#REF!</f>
        <v>#REF!</v>
      </c>
      <c r="AK11" s="68" t="e">
        <f t="shared" si="2"/>
        <v>#REF!</v>
      </c>
    </row>
    <row r="12" spans="1:37" ht="43.5" customHeight="1">
      <c r="A12" s="87" t="s">
        <v>49</v>
      </c>
      <c r="B12" s="67"/>
      <c r="C12" s="67"/>
      <c r="D12" s="9">
        <v>34</v>
      </c>
      <c r="E12" s="9"/>
      <c r="F12" s="107">
        <v>4</v>
      </c>
      <c r="G12" s="107">
        <v>0</v>
      </c>
      <c r="H12" s="107">
        <f t="shared" si="16"/>
        <v>4</v>
      </c>
      <c r="I12" s="97">
        <v>78153.8</v>
      </c>
      <c r="J12" s="98"/>
      <c r="K12" s="97">
        <f t="shared" si="3"/>
        <v>312615.2</v>
      </c>
      <c r="L12" s="88">
        <f t="shared" si="4"/>
        <v>0</v>
      </c>
      <c r="M12" s="89">
        <v>33</v>
      </c>
      <c r="N12" s="10">
        <f t="shared" ref="N12:N33" si="18">ROUND(H12*I12*M12,2)</f>
        <v>10316301.6</v>
      </c>
      <c r="O12" s="10">
        <f t="shared" ref="O12:O33" si="19">ROUND(I12*M12,2)</f>
        <v>2579075.4</v>
      </c>
      <c r="P12" s="10">
        <f t="shared" si="17"/>
        <v>577058.36</v>
      </c>
      <c r="Q12" s="90">
        <v>2789081.64</v>
      </c>
      <c r="R12" s="92">
        <v>306798.98</v>
      </c>
      <c r="S12" s="93">
        <v>2482282.66</v>
      </c>
      <c r="T12" s="90">
        <f t="shared" si="5"/>
        <v>1368832.16</v>
      </c>
      <c r="U12" s="90">
        <v>1368832.16</v>
      </c>
      <c r="V12" s="95">
        <f t="shared" si="6"/>
        <v>2834320.65</v>
      </c>
      <c r="W12" s="95">
        <f t="shared" si="7"/>
        <v>368461.68</v>
      </c>
      <c r="X12" s="95">
        <f t="shared" si="8"/>
        <v>2465858.9700000002</v>
      </c>
      <c r="Y12" s="95">
        <f t="shared" si="0"/>
        <v>2.6498371635239466</v>
      </c>
      <c r="Z12" s="95">
        <f t="shared" si="9"/>
        <v>2465858.9700000002</v>
      </c>
      <c r="AA12" s="95">
        <f t="shared" si="10"/>
        <v>2834320.65</v>
      </c>
      <c r="AB12" s="90" t="e">
        <f>#REF!</f>
        <v>#REF!</v>
      </c>
      <c r="AC12" s="94" t="e">
        <f t="shared" si="1"/>
        <v>#REF!</v>
      </c>
      <c r="AD12" s="90">
        <f t="shared" si="11"/>
        <v>600216.34</v>
      </c>
      <c r="AE12" s="90">
        <v>1368832.16</v>
      </c>
      <c r="AF12" s="95">
        <f t="shared" si="12"/>
        <v>2901010.55</v>
      </c>
      <c r="AG12" s="95">
        <f t="shared" si="13"/>
        <v>435151.58</v>
      </c>
      <c r="AH12" s="95">
        <f t="shared" si="14"/>
        <v>2465858.9700000002</v>
      </c>
      <c r="AI12" s="69">
        <f t="shared" si="15"/>
        <v>2901010.55</v>
      </c>
      <c r="AJ12" s="10" t="e">
        <f>#REF!</f>
        <v>#REF!</v>
      </c>
      <c r="AK12" s="68" t="e">
        <f t="shared" si="2"/>
        <v>#REF!</v>
      </c>
    </row>
    <row r="13" spans="1:37" ht="45.75" customHeight="1">
      <c r="A13" s="87" t="s">
        <v>50</v>
      </c>
      <c r="B13" s="67"/>
      <c r="C13" s="67"/>
      <c r="D13" s="9">
        <v>53</v>
      </c>
      <c r="E13" s="9"/>
      <c r="F13" s="107">
        <v>13</v>
      </c>
      <c r="G13" s="107">
        <v>0</v>
      </c>
      <c r="H13" s="107">
        <f t="shared" si="16"/>
        <v>13</v>
      </c>
      <c r="I13" s="97">
        <v>76396.255000000005</v>
      </c>
      <c r="J13" s="98"/>
      <c r="K13" s="97">
        <f t="shared" si="3"/>
        <v>993151.32</v>
      </c>
      <c r="L13" s="88">
        <f t="shared" si="4"/>
        <v>0</v>
      </c>
      <c r="M13" s="89">
        <v>33</v>
      </c>
      <c r="N13" s="10">
        <f t="shared" si="18"/>
        <v>32773993.399999999</v>
      </c>
      <c r="O13" s="10">
        <f t="shared" si="19"/>
        <v>2521076.42</v>
      </c>
      <c r="P13" s="10">
        <f t="shared" si="17"/>
        <v>1833264.24</v>
      </c>
      <c r="Q13" s="90">
        <v>3188247.97</v>
      </c>
      <c r="R13" s="92">
        <v>350707.28</v>
      </c>
      <c r="S13" s="93">
        <v>2837540.69</v>
      </c>
      <c r="T13" s="90">
        <f t="shared" si="5"/>
        <v>4348660.79</v>
      </c>
      <c r="U13" s="90">
        <v>4348660.79</v>
      </c>
      <c r="V13" s="95">
        <f t="shared" si="6"/>
        <v>3239961.47</v>
      </c>
      <c r="W13" s="95">
        <f t="shared" si="7"/>
        <v>421194.99</v>
      </c>
      <c r="X13" s="95">
        <f>Z13</f>
        <v>2818766.48</v>
      </c>
      <c r="Y13" s="95">
        <f t="shared" si="0"/>
        <v>3.029075171227027</v>
      </c>
      <c r="Z13" s="95">
        <f t="shared" si="9"/>
        <v>2818766.48</v>
      </c>
      <c r="AA13" s="95">
        <f t="shared" si="10"/>
        <v>3239961.47</v>
      </c>
      <c r="AB13" s="90" t="e">
        <f>#REF!</f>
        <v>#REF!</v>
      </c>
      <c r="AC13" s="94" t="e">
        <f t="shared" si="1"/>
        <v>#REF!</v>
      </c>
      <c r="AD13" s="90">
        <f t="shared" si="11"/>
        <v>1906835.15</v>
      </c>
      <c r="AE13" s="90">
        <v>4348660.79</v>
      </c>
      <c r="AF13" s="95">
        <f t="shared" si="12"/>
        <v>3316195.86</v>
      </c>
      <c r="AG13" s="95">
        <f t="shared" si="13"/>
        <v>497429.38</v>
      </c>
      <c r="AH13" s="95">
        <f t="shared" si="14"/>
        <v>2818766.48</v>
      </c>
      <c r="AI13" s="69">
        <f t="shared" si="15"/>
        <v>3316195.86</v>
      </c>
      <c r="AJ13" s="10" t="e">
        <f>#REF!</f>
        <v>#REF!</v>
      </c>
      <c r="AK13" s="68" t="e">
        <f t="shared" si="2"/>
        <v>#REF!</v>
      </c>
    </row>
    <row r="14" spans="1:37" ht="45.75" customHeight="1">
      <c r="A14" s="87" t="s">
        <v>51</v>
      </c>
      <c r="B14" s="67"/>
      <c r="C14" s="67"/>
      <c r="D14" s="9">
        <v>44</v>
      </c>
      <c r="E14" s="9"/>
      <c r="F14" s="107">
        <v>5</v>
      </c>
      <c r="G14" s="107">
        <v>1</v>
      </c>
      <c r="H14" s="107">
        <f t="shared" si="16"/>
        <v>4</v>
      </c>
      <c r="I14" s="97">
        <v>82545.2</v>
      </c>
      <c r="J14" s="98">
        <f>(109835*33)</f>
        <v>3624555</v>
      </c>
      <c r="K14" s="97">
        <f t="shared" si="3"/>
        <v>330180.8</v>
      </c>
      <c r="L14" s="88">
        <f t="shared" si="4"/>
        <v>3624555</v>
      </c>
      <c r="M14" s="89">
        <v>33</v>
      </c>
      <c r="N14" s="10">
        <f t="shared" si="18"/>
        <v>10895966.4</v>
      </c>
      <c r="O14" s="10">
        <f t="shared" si="19"/>
        <v>2723991.6</v>
      </c>
      <c r="P14" s="10">
        <f t="shared" si="17"/>
        <v>609482.81000000006</v>
      </c>
      <c r="Q14" s="90">
        <v>2945797.92</v>
      </c>
      <c r="R14" s="92">
        <v>324037.77</v>
      </c>
      <c r="S14" s="93">
        <v>2621760.15</v>
      </c>
      <c r="T14" s="90">
        <f t="shared" si="5"/>
        <v>1445745.76</v>
      </c>
      <c r="U14" s="90">
        <v>1445745.76</v>
      </c>
      <c r="V14" s="95">
        <f t="shared" si="6"/>
        <v>2993578.88</v>
      </c>
      <c r="W14" s="95">
        <f t="shared" si="7"/>
        <v>389165.25</v>
      </c>
      <c r="X14" s="95">
        <f t="shared" si="8"/>
        <v>2604413.63</v>
      </c>
      <c r="Y14" s="95">
        <f t="shared" si="0"/>
        <v>2.7987294079217051</v>
      </c>
      <c r="Z14" s="95">
        <f t="shared" si="9"/>
        <v>2604413.63</v>
      </c>
      <c r="AA14" s="95">
        <f t="shared" si="10"/>
        <v>2993578.88</v>
      </c>
      <c r="AB14" s="90" t="e">
        <f>#REF!</f>
        <v>#REF!</v>
      </c>
      <c r="AC14" s="94" t="e">
        <f t="shared" si="1"/>
        <v>#REF!</v>
      </c>
      <c r="AD14" s="90">
        <f t="shared" si="11"/>
        <v>633942.02</v>
      </c>
      <c r="AE14" s="90">
        <v>1445745.76</v>
      </c>
      <c r="AF14" s="95">
        <f t="shared" si="12"/>
        <v>3064016.03</v>
      </c>
      <c r="AG14" s="95">
        <f t="shared" si="13"/>
        <v>459602.4</v>
      </c>
      <c r="AH14" s="95">
        <f t="shared" si="14"/>
        <v>2604413.63</v>
      </c>
      <c r="AI14" s="69">
        <f t="shared" si="15"/>
        <v>3064016.03</v>
      </c>
      <c r="AJ14" s="10" t="e">
        <f>#REF!</f>
        <v>#REF!</v>
      </c>
      <c r="AK14" s="68" t="e">
        <f t="shared" si="2"/>
        <v>#REF!</v>
      </c>
    </row>
    <row r="15" spans="1:37" ht="45" customHeight="1">
      <c r="A15" s="87" t="s">
        <v>52</v>
      </c>
      <c r="B15" s="67"/>
      <c r="C15" s="67"/>
      <c r="D15" s="9">
        <v>53</v>
      </c>
      <c r="E15" s="9"/>
      <c r="F15" s="107">
        <v>15</v>
      </c>
      <c r="G15" s="107">
        <v>0</v>
      </c>
      <c r="H15" s="107">
        <f>F15-G15</f>
        <v>15</v>
      </c>
      <c r="I15" s="97">
        <v>75145.895000000004</v>
      </c>
      <c r="J15" s="98"/>
      <c r="K15" s="97">
        <f t="shared" si="3"/>
        <v>1127188.43</v>
      </c>
      <c r="L15" s="88">
        <f t="shared" si="4"/>
        <v>0</v>
      </c>
      <c r="M15" s="89">
        <v>33</v>
      </c>
      <c r="N15" s="10">
        <f t="shared" si="18"/>
        <v>37197218.030000001</v>
      </c>
      <c r="O15" s="10">
        <f t="shared" si="19"/>
        <v>2479814.54</v>
      </c>
      <c r="P15" s="10">
        <f t="shared" si="17"/>
        <v>2080684.18</v>
      </c>
      <c r="Q15" s="90">
        <v>3237028.51</v>
      </c>
      <c r="R15" s="92">
        <v>356073.14</v>
      </c>
      <c r="S15" s="93">
        <v>2880955.37</v>
      </c>
      <c r="T15" s="90">
        <f t="shared" si="5"/>
        <v>4935562.22</v>
      </c>
      <c r="U15" s="90">
        <v>4935562.22</v>
      </c>
      <c r="V15" s="95">
        <f t="shared" si="6"/>
        <v>3289533.24</v>
      </c>
      <c r="W15" s="95">
        <f t="shared" si="7"/>
        <v>427639.32</v>
      </c>
      <c r="X15" s="95">
        <f t="shared" si="8"/>
        <v>2861893.91</v>
      </c>
      <c r="Y15" s="95">
        <f t="shared" si="0"/>
        <v>3.0754203495422563</v>
      </c>
      <c r="Z15" s="95">
        <f t="shared" si="9"/>
        <v>2861893.91</v>
      </c>
      <c r="AA15" s="95">
        <f t="shared" si="10"/>
        <v>3289533.24</v>
      </c>
      <c r="AB15" s="90" t="e">
        <f>#REF!</f>
        <v>#REF!</v>
      </c>
      <c r="AC15" s="94" t="e">
        <f t="shared" si="1"/>
        <v>#REF!</v>
      </c>
      <c r="AD15" s="90">
        <f t="shared" si="11"/>
        <v>2164184.3199999998</v>
      </c>
      <c r="AE15" s="90">
        <v>4935562.22</v>
      </c>
      <c r="AF15" s="95">
        <f t="shared" si="12"/>
        <v>3366934.02</v>
      </c>
      <c r="AG15" s="95">
        <f t="shared" si="13"/>
        <v>505040.1</v>
      </c>
      <c r="AH15" s="95">
        <f t="shared" si="14"/>
        <v>2861893.91</v>
      </c>
      <c r="AI15" s="69">
        <f t="shared" si="15"/>
        <v>3366934.02</v>
      </c>
      <c r="AJ15" s="10" t="e">
        <f>#REF!</f>
        <v>#REF!</v>
      </c>
      <c r="AK15" s="68" t="e">
        <f t="shared" si="2"/>
        <v>#REF!</v>
      </c>
    </row>
    <row r="16" spans="1:37" ht="42.75" customHeight="1">
      <c r="A16" s="87" t="s">
        <v>53</v>
      </c>
      <c r="B16" s="67"/>
      <c r="C16" s="67"/>
      <c r="D16" s="9">
        <v>40</v>
      </c>
      <c r="E16" s="9"/>
      <c r="F16" s="107">
        <v>12</v>
      </c>
      <c r="G16" s="107">
        <v>1</v>
      </c>
      <c r="H16" s="107">
        <f t="shared" si="16"/>
        <v>11</v>
      </c>
      <c r="I16" s="97">
        <v>78652.625</v>
      </c>
      <c r="J16" s="98">
        <f>(109835*33)</f>
        <v>3624555</v>
      </c>
      <c r="K16" s="97">
        <f t="shared" si="3"/>
        <v>865178.88</v>
      </c>
      <c r="L16" s="88">
        <f t="shared" si="4"/>
        <v>3624555</v>
      </c>
      <c r="M16" s="89">
        <v>33</v>
      </c>
      <c r="N16" s="10">
        <f t="shared" si="18"/>
        <v>28550902.879999999</v>
      </c>
      <c r="O16" s="10">
        <f t="shared" si="19"/>
        <v>2595536.63</v>
      </c>
      <c r="P16" s="10">
        <f t="shared" si="17"/>
        <v>1597039.11</v>
      </c>
      <c r="Q16" s="90">
        <v>3176739.84</v>
      </c>
      <c r="R16" s="92">
        <v>349441.38</v>
      </c>
      <c r="S16" s="93">
        <v>2827298.46</v>
      </c>
      <c r="T16" s="90">
        <f t="shared" si="5"/>
        <v>3788314.42</v>
      </c>
      <c r="U16" s="90">
        <v>3788314.42</v>
      </c>
      <c r="V16" s="95">
        <f t="shared" si="6"/>
        <v>3228266.69</v>
      </c>
      <c r="W16" s="95">
        <f t="shared" si="7"/>
        <v>419674.67</v>
      </c>
      <c r="X16" s="95">
        <f t="shared" si="8"/>
        <v>2808592.02</v>
      </c>
      <c r="Y16" s="95">
        <f t="shared" si="0"/>
        <v>3.0181415889526542</v>
      </c>
      <c r="Z16" s="95">
        <f t="shared" si="9"/>
        <v>2808592.02</v>
      </c>
      <c r="AA16" s="95">
        <f t="shared" si="10"/>
        <v>3228266.69</v>
      </c>
      <c r="AB16" s="90" t="e">
        <f>#REF!</f>
        <v>#REF!</v>
      </c>
      <c r="AC16" s="94" t="e">
        <f t="shared" si="1"/>
        <v>#REF!</v>
      </c>
      <c r="AD16" s="90">
        <f t="shared" si="11"/>
        <v>1661130.04</v>
      </c>
      <c r="AE16" s="90">
        <v>3788314.42</v>
      </c>
      <c r="AF16" s="95">
        <f t="shared" si="12"/>
        <v>3304225.9</v>
      </c>
      <c r="AG16" s="95">
        <f t="shared" si="13"/>
        <v>495633.89</v>
      </c>
      <c r="AH16" s="95">
        <f t="shared" si="14"/>
        <v>2808592.02</v>
      </c>
      <c r="AI16" s="69">
        <f t="shared" si="15"/>
        <v>3304225.9</v>
      </c>
      <c r="AJ16" s="10" t="e">
        <f>#REF!</f>
        <v>#REF!</v>
      </c>
      <c r="AK16" s="68" t="e">
        <f t="shared" si="2"/>
        <v>#REF!</v>
      </c>
    </row>
    <row r="17" spans="1:37" ht="43.5" customHeight="1">
      <c r="A17" s="87" t="s">
        <v>54</v>
      </c>
      <c r="B17" s="67"/>
      <c r="C17" s="67"/>
      <c r="D17" s="9">
        <v>40</v>
      </c>
      <c r="E17" s="9"/>
      <c r="F17" s="107">
        <v>7</v>
      </c>
      <c r="G17" s="107">
        <v>0</v>
      </c>
      <c r="H17" s="107">
        <f t="shared" si="16"/>
        <v>7</v>
      </c>
      <c r="I17" s="97">
        <v>79666.25</v>
      </c>
      <c r="J17" s="98"/>
      <c r="K17" s="97">
        <f t="shared" si="3"/>
        <v>557663.75</v>
      </c>
      <c r="L17" s="88">
        <f t="shared" si="4"/>
        <v>0</v>
      </c>
      <c r="M17" s="89">
        <v>33</v>
      </c>
      <c r="N17" s="10">
        <f t="shared" si="18"/>
        <v>18402903.75</v>
      </c>
      <c r="O17" s="10">
        <f t="shared" si="19"/>
        <v>2628986.25</v>
      </c>
      <c r="P17" s="10">
        <f t="shared" si="17"/>
        <v>1029395.01</v>
      </c>
      <c r="Q17" s="90">
        <v>3003609.32</v>
      </c>
      <c r="R17" s="92">
        <v>330397.03000000003</v>
      </c>
      <c r="S17" s="93">
        <v>2673212.29</v>
      </c>
      <c r="T17" s="90">
        <f t="shared" si="5"/>
        <v>2441813.7000000002</v>
      </c>
      <c r="U17" s="90">
        <v>2441813.7000000002</v>
      </c>
      <c r="V17" s="95">
        <f t="shared" si="6"/>
        <v>3052327.98</v>
      </c>
      <c r="W17" s="95">
        <f t="shared" si="7"/>
        <v>396802.64</v>
      </c>
      <c r="X17" s="95">
        <f t="shared" si="8"/>
        <v>2655525.34</v>
      </c>
      <c r="Y17" s="95">
        <f t="shared" si="0"/>
        <v>2.8536545761597325</v>
      </c>
      <c r="Z17" s="95">
        <f t="shared" si="9"/>
        <v>2655525.34</v>
      </c>
      <c r="AA17" s="95">
        <f t="shared" si="10"/>
        <v>3052327.98</v>
      </c>
      <c r="AB17" s="90" t="e">
        <f>#REF!</f>
        <v>#REF!</v>
      </c>
      <c r="AC17" s="94" t="e">
        <f t="shared" si="1"/>
        <v>#REF!</v>
      </c>
      <c r="AD17" s="90">
        <f t="shared" si="11"/>
        <v>1070705.76</v>
      </c>
      <c r="AE17" s="90">
        <v>2441813.7000000002</v>
      </c>
      <c r="AF17" s="95">
        <f t="shared" si="12"/>
        <v>3124147.46</v>
      </c>
      <c r="AG17" s="95">
        <f t="shared" si="13"/>
        <v>468622.12</v>
      </c>
      <c r="AH17" s="95">
        <f t="shared" si="14"/>
        <v>2655525.34</v>
      </c>
      <c r="AI17" s="69">
        <f t="shared" si="15"/>
        <v>3124147.46</v>
      </c>
      <c r="AJ17" s="10" t="e">
        <f>#REF!</f>
        <v>#REF!</v>
      </c>
      <c r="AK17" s="68" t="e">
        <f t="shared" si="2"/>
        <v>#REF!</v>
      </c>
    </row>
    <row r="18" spans="1:37" ht="45" customHeight="1">
      <c r="A18" s="87" t="s">
        <v>55</v>
      </c>
      <c r="B18" s="67"/>
      <c r="C18" s="67"/>
      <c r="D18" s="9">
        <v>24</v>
      </c>
      <c r="E18" s="9"/>
      <c r="F18" s="107">
        <v>1</v>
      </c>
      <c r="G18" s="107">
        <v>0</v>
      </c>
      <c r="H18" s="107">
        <f t="shared" si="16"/>
        <v>1</v>
      </c>
      <c r="I18" s="97">
        <v>62012.87</v>
      </c>
      <c r="J18" s="98"/>
      <c r="K18" s="97">
        <f t="shared" si="3"/>
        <v>62012.87</v>
      </c>
      <c r="L18" s="88">
        <f t="shared" si="4"/>
        <v>0</v>
      </c>
      <c r="M18" s="89">
        <v>33</v>
      </c>
      <c r="N18" s="10">
        <f t="shared" si="18"/>
        <v>2046424.71</v>
      </c>
      <c r="O18" s="10">
        <f t="shared" si="19"/>
        <v>2046424.71</v>
      </c>
      <c r="P18" s="10">
        <f t="shared" si="17"/>
        <v>114469.95</v>
      </c>
      <c r="Q18" s="90">
        <v>2088083.24</v>
      </c>
      <c r="R18" s="92">
        <v>229689.16</v>
      </c>
      <c r="S18" s="93">
        <v>1858394.08</v>
      </c>
      <c r="T18" s="90">
        <f t="shared" si="5"/>
        <v>271532.58</v>
      </c>
      <c r="U18" s="90">
        <v>271532.58</v>
      </c>
      <c r="V18" s="95">
        <f t="shared" si="6"/>
        <v>2121952.0299999998</v>
      </c>
      <c r="W18" s="95">
        <f t="shared" si="7"/>
        <v>275853.76</v>
      </c>
      <c r="X18" s="95">
        <f t="shared" si="8"/>
        <v>1846098.26</v>
      </c>
      <c r="Y18" s="95">
        <f t="shared" si="0"/>
        <v>1.9838359978137599</v>
      </c>
      <c r="Z18" s="95">
        <f t="shared" si="9"/>
        <v>1846098.26</v>
      </c>
      <c r="AA18" s="95">
        <f t="shared" si="10"/>
        <v>2121952.0299999998</v>
      </c>
      <c r="AB18" s="90" t="e">
        <f>#REF!</f>
        <v>#REF!</v>
      </c>
      <c r="AC18" s="94" t="e">
        <f t="shared" si="1"/>
        <v>#REF!</v>
      </c>
      <c r="AD18" s="90">
        <f t="shared" si="11"/>
        <v>119063.75</v>
      </c>
      <c r="AE18" s="90">
        <v>271532.58</v>
      </c>
      <c r="AF18" s="95">
        <f t="shared" si="12"/>
        <v>2171880.31</v>
      </c>
      <c r="AG18" s="95">
        <f t="shared" si="13"/>
        <v>325782.05</v>
      </c>
      <c r="AH18" s="95">
        <f t="shared" si="14"/>
        <v>1846098.26</v>
      </c>
      <c r="AI18" s="69">
        <f t="shared" si="15"/>
        <v>2171880.31</v>
      </c>
      <c r="AJ18" s="10" t="e">
        <f>#REF!</f>
        <v>#REF!</v>
      </c>
      <c r="AK18" s="68" t="e">
        <f t="shared" si="2"/>
        <v>#REF!</v>
      </c>
    </row>
    <row r="19" spans="1:37" ht="45.75" customHeight="1">
      <c r="A19" s="87" t="s">
        <v>56</v>
      </c>
      <c r="B19" s="67"/>
      <c r="C19" s="67"/>
      <c r="D19" s="9">
        <v>11</v>
      </c>
      <c r="E19" s="9"/>
      <c r="F19" s="107">
        <v>1</v>
      </c>
      <c r="G19" s="107">
        <v>0</v>
      </c>
      <c r="H19" s="107">
        <f t="shared" si="16"/>
        <v>1</v>
      </c>
      <c r="I19" s="97">
        <v>67086</v>
      </c>
      <c r="J19" s="98"/>
      <c r="K19" s="97">
        <f t="shared" si="3"/>
        <v>67086</v>
      </c>
      <c r="L19" s="88">
        <f t="shared" si="4"/>
        <v>0</v>
      </c>
      <c r="M19" s="89">
        <v>33</v>
      </c>
      <c r="N19" s="10">
        <f t="shared" si="18"/>
        <v>2213838</v>
      </c>
      <c r="O19" s="10">
        <f t="shared" si="19"/>
        <v>2213838</v>
      </c>
      <c r="P19" s="10">
        <f t="shared" si="17"/>
        <v>123834.47</v>
      </c>
      <c r="Q19" s="90">
        <v>2258904.52</v>
      </c>
      <c r="R19" s="92">
        <v>248479.5</v>
      </c>
      <c r="S19" s="93">
        <v>2010425.02</v>
      </c>
      <c r="T19" s="90">
        <f t="shared" si="5"/>
        <v>293746.03000000003</v>
      </c>
      <c r="U19" s="90">
        <v>293746.03000000003</v>
      </c>
      <c r="V19" s="95">
        <f t="shared" si="6"/>
        <v>2295544.04</v>
      </c>
      <c r="W19" s="95">
        <f t="shared" si="7"/>
        <v>298420.73</v>
      </c>
      <c r="X19" s="95">
        <f t="shared" si="8"/>
        <v>1997123.31</v>
      </c>
      <c r="Y19" s="95">
        <f t="shared" si="0"/>
        <v>2.1461290522306484</v>
      </c>
      <c r="Z19" s="95">
        <f t="shared" si="9"/>
        <v>1997123.31</v>
      </c>
      <c r="AA19" s="95">
        <f t="shared" si="10"/>
        <v>2295544.04</v>
      </c>
      <c r="AB19" s="90" t="e">
        <f>#REF!</f>
        <v>#REF!</v>
      </c>
      <c r="AC19" s="94" t="e">
        <f t="shared" si="1"/>
        <v>#REF!</v>
      </c>
      <c r="AD19" s="90">
        <f t="shared" si="11"/>
        <v>128804.08</v>
      </c>
      <c r="AE19" s="90">
        <v>293746.03000000003</v>
      </c>
      <c r="AF19" s="95">
        <f t="shared" si="12"/>
        <v>2349556.84</v>
      </c>
      <c r="AG19" s="95">
        <f t="shared" si="13"/>
        <v>352433.53</v>
      </c>
      <c r="AH19" s="95">
        <f t="shared" si="14"/>
        <v>1997123.31</v>
      </c>
      <c r="AI19" s="69">
        <f t="shared" si="15"/>
        <v>2349556.84</v>
      </c>
      <c r="AJ19" s="10" t="e">
        <f>#REF!</f>
        <v>#REF!</v>
      </c>
      <c r="AK19" s="68" t="e">
        <f t="shared" si="2"/>
        <v>#REF!</v>
      </c>
    </row>
    <row r="20" spans="1:37" ht="39" customHeight="1">
      <c r="A20" s="87" t="s">
        <v>57</v>
      </c>
      <c r="B20" s="67"/>
      <c r="C20" s="67"/>
      <c r="D20" s="9">
        <v>63</v>
      </c>
      <c r="E20" s="9"/>
      <c r="F20" s="107">
        <v>3</v>
      </c>
      <c r="G20" s="107">
        <v>0</v>
      </c>
      <c r="H20" s="107">
        <f t="shared" si="16"/>
        <v>3</v>
      </c>
      <c r="I20" s="97">
        <v>92972.904999999999</v>
      </c>
      <c r="J20" s="98"/>
      <c r="K20" s="97">
        <f t="shared" si="3"/>
        <v>278918.71999999997</v>
      </c>
      <c r="L20" s="88">
        <f t="shared" si="4"/>
        <v>0</v>
      </c>
      <c r="M20" s="89">
        <v>33</v>
      </c>
      <c r="N20" s="10">
        <f t="shared" si="18"/>
        <v>9204317.5999999996</v>
      </c>
      <c r="O20" s="10">
        <f t="shared" si="19"/>
        <v>3068105.87</v>
      </c>
      <c r="P20" s="10">
        <f t="shared" si="17"/>
        <v>514857.8</v>
      </c>
      <c r="Q20" s="90">
        <v>3255475.74</v>
      </c>
      <c r="R20" s="92">
        <v>358102.33</v>
      </c>
      <c r="S20" s="93">
        <v>2897373.41</v>
      </c>
      <c r="T20" s="90">
        <f t="shared" si="5"/>
        <v>1221287.0900000001</v>
      </c>
      <c r="U20" s="90">
        <v>1221287.0900000001</v>
      </c>
      <c r="V20" s="95">
        <f t="shared" si="6"/>
        <v>3308279.69</v>
      </c>
      <c r="W20" s="95">
        <f t="shared" si="7"/>
        <v>430076.36</v>
      </c>
      <c r="X20" s="95">
        <f t="shared" si="8"/>
        <v>2878203.33</v>
      </c>
      <c r="Y20" s="95">
        <f t="shared" si="0"/>
        <v>3.0929466100464578</v>
      </c>
      <c r="Z20" s="95">
        <f t="shared" si="9"/>
        <v>2878203.33</v>
      </c>
      <c r="AA20" s="95">
        <f t="shared" si="10"/>
        <v>3308279.69</v>
      </c>
      <c r="AB20" s="90" t="e">
        <f>#REF!</f>
        <v>#REF!</v>
      </c>
      <c r="AC20" s="94" t="e">
        <f t="shared" si="1"/>
        <v>#REF!</v>
      </c>
      <c r="AD20" s="90">
        <f t="shared" si="11"/>
        <v>535519.61</v>
      </c>
      <c r="AE20" s="90">
        <v>1221287.0900000001</v>
      </c>
      <c r="AF20" s="95">
        <f t="shared" si="12"/>
        <v>3386121.56</v>
      </c>
      <c r="AG20" s="95">
        <f t="shared" si="13"/>
        <v>507918.23</v>
      </c>
      <c r="AH20" s="95">
        <f t="shared" si="14"/>
        <v>2878203.33</v>
      </c>
      <c r="AI20" s="69">
        <f t="shared" si="15"/>
        <v>3386121.56</v>
      </c>
      <c r="AJ20" s="10" t="e">
        <f>#REF!</f>
        <v>#REF!</v>
      </c>
      <c r="AK20" s="68" t="e">
        <f t="shared" si="2"/>
        <v>#REF!</v>
      </c>
    </row>
    <row r="21" spans="1:37" s="2" customFormat="1" ht="45" customHeight="1">
      <c r="A21" s="87" t="s">
        <v>58</v>
      </c>
      <c r="B21" s="67"/>
      <c r="C21" s="67"/>
      <c r="D21" s="9">
        <v>140</v>
      </c>
      <c r="E21" s="9"/>
      <c r="F21" s="107">
        <v>42</v>
      </c>
      <c r="G21" s="107">
        <v>0</v>
      </c>
      <c r="H21" s="107">
        <f t="shared" si="16"/>
        <v>42</v>
      </c>
      <c r="I21" s="97">
        <v>99415.804999999993</v>
      </c>
      <c r="J21" s="98"/>
      <c r="K21" s="97">
        <f t="shared" si="3"/>
        <v>4175463.81</v>
      </c>
      <c r="L21" s="88">
        <f t="shared" si="4"/>
        <v>0</v>
      </c>
      <c r="M21" s="89">
        <v>33</v>
      </c>
      <c r="N21" s="10">
        <f t="shared" si="18"/>
        <v>137790305.72999999</v>
      </c>
      <c r="O21" s="10">
        <f t="shared" si="19"/>
        <v>3280721.57</v>
      </c>
      <c r="P21" s="10">
        <f t="shared" si="17"/>
        <v>7707514.8200000003</v>
      </c>
      <c r="Q21" s="90">
        <v>6085682.54</v>
      </c>
      <c r="R21" s="92">
        <v>669425.07999999996</v>
      </c>
      <c r="S21" s="93">
        <v>5416257.46</v>
      </c>
      <c r="T21" s="90">
        <f t="shared" si="5"/>
        <v>18282889.489999998</v>
      </c>
      <c r="U21" s="90">
        <v>18282889.489999998</v>
      </c>
      <c r="V21" s="95">
        <f t="shared" si="6"/>
        <v>6184392.5499999998</v>
      </c>
      <c r="W21" s="95">
        <f t="shared" si="7"/>
        <v>803971.03</v>
      </c>
      <c r="X21" s="95">
        <f t="shared" si="8"/>
        <v>5380421.5199999996</v>
      </c>
      <c r="Y21" s="95">
        <f t="shared" si="0"/>
        <v>5.7818557636469228</v>
      </c>
      <c r="Z21" s="95">
        <f t="shared" si="9"/>
        <v>5380421.5199999996</v>
      </c>
      <c r="AA21" s="95">
        <f t="shared" si="10"/>
        <v>6184392.5499999998</v>
      </c>
      <c r="AB21" s="90" t="e">
        <f>#REF!</f>
        <v>#REF!</v>
      </c>
      <c r="AC21" s="94" t="e">
        <f t="shared" si="1"/>
        <v>#REF!</v>
      </c>
      <c r="AD21" s="90">
        <f t="shared" si="11"/>
        <v>8016825.8600000003</v>
      </c>
      <c r="AE21" s="90">
        <v>18282889.489999998</v>
      </c>
      <c r="AF21" s="95">
        <f t="shared" si="12"/>
        <v>6329907.6699999999</v>
      </c>
      <c r="AG21" s="95">
        <f t="shared" si="13"/>
        <v>949486.15</v>
      </c>
      <c r="AH21" s="95">
        <f t="shared" si="14"/>
        <v>5380421.5199999996</v>
      </c>
      <c r="AI21" s="69">
        <f t="shared" si="15"/>
        <v>6329907.6699999999</v>
      </c>
      <c r="AJ21" s="10" t="e">
        <f>#REF!</f>
        <v>#REF!</v>
      </c>
      <c r="AK21" s="68" t="e">
        <f t="shared" si="2"/>
        <v>#REF!</v>
      </c>
    </row>
    <row r="22" spans="1:37" s="3" customFormat="1" ht="46.5" customHeight="1">
      <c r="A22" s="87" t="s">
        <v>59</v>
      </c>
      <c r="B22" s="67"/>
      <c r="C22" s="67"/>
      <c r="D22" s="9">
        <v>42</v>
      </c>
      <c r="E22" s="9"/>
      <c r="F22" s="107">
        <v>0</v>
      </c>
      <c r="G22" s="107">
        <v>0</v>
      </c>
      <c r="H22" s="107">
        <f t="shared" si="16"/>
        <v>0</v>
      </c>
      <c r="I22" s="97"/>
      <c r="J22" s="98"/>
      <c r="K22" s="97">
        <f t="shared" si="3"/>
        <v>0</v>
      </c>
      <c r="L22" s="88">
        <f t="shared" si="4"/>
        <v>0</v>
      </c>
      <c r="M22" s="89">
        <v>33</v>
      </c>
      <c r="N22" s="10">
        <f t="shared" si="18"/>
        <v>0</v>
      </c>
      <c r="O22" s="10">
        <f t="shared" si="19"/>
        <v>0</v>
      </c>
      <c r="P22" s="10">
        <f t="shared" si="17"/>
        <v>0</v>
      </c>
      <c r="Q22" s="90">
        <v>0</v>
      </c>
      <c r="R22" s="92">
        <v>0</v>
      </c>
      <c r="S22" s="93">
        <v>0</v>
      </c>
      <c r="T22" s="90">
        <f t="shared" si="5"/>
        <v>0</v>
      </c>
      <c r="U22" s="90">
        <v>0</v>
      </c>
      <c r="V22" s="95">
        <f t="shared" si="6"/>
        <v>0</v>
      </c>
      <c r="W22" s="95">
        <f t="shared" si="7"/>
        <v>0</v>
      </c>
      <c r="X22" s="95">
        <f t="shared" si="8"/>
        <v>0</v>
      </c>
      <c r="Y22" s="95">
        <f t="shared" si="0"/>
        <v>0</v>
      </c>
      <c r="Z22" s="95">
        <f t="shared" si="9"/>
        <v>0</v>
      </c>
      <c r="AA22" s="95">
        <f t="shared" si="10"/>
        <v>0</v>
      </c>
      <c r="AB22" s="90" t="e">
        <f>#REF!</f>
        <v>#REF!</v>
      </c>
      <c r="AC22" s="94" t="e">
        <f t="shared" si="1"/>
        <v>#REF!</v>
      </c>
      <c r="AD22" s="90">
        <f t="shared" si="11"/>
        <v>0</v>
      </c>
      <c r="AE22" s="90">
        <v>0</v>
      </c>
      <c r="AF22" s="95">
        <f t="shared" si="12"/>
        <v>0</v>
      </c>
      <c r="AG22" s="95">
        <f t="shared" si="13"/>
        <v>0</v>
      </c>
      <c r="AH22" s="95">
        <f t="shared" si="14"/>
        <v>0</v>
      </c>
      <c r="AI22" s="69">
        <f t="shared" si="15"/>
        <v>0</v>
      </c>
      <c r="AJ22" s="10" t="e">
        <f>#REF!</f>
        <v>#REF!</v>
      </c>
      <c r="AK22" s="68" t="e">
        <f t="shared" si="2"/>
        <v>#REF!</v>
      </c>
    </row>
    <row r="23" spans="1:37" ht="40.5" customHeight="1">
      <c r="A23" s="87" t="s">
        <v>60</v>
      </c>
      <c r="B23" s="67"/>
      <c r="C23" s="67"/>
      <c r="D23" s="9">
        <v>149</v>
      </c>
      <c r="E23" s="9"/>
      <c r="F23" s="107">
        <v>2</v>
      </c>
      <c r="G23" s="107">
        <v>0</v>
      </c>
      <c r="H23" s="107">
        <f t="shared" si="16"/>
        <v>2</v>
      </c>
      <c r="I23" s="97">
        <v>86304.25</v>
      </c>
      <c r="J23" s="98"/>
      <c r="K23" s="97">
        <f t="shared" si="3"/>
        <v>172608.5</v>
      </c>
      <c r="L23" s="88">
        <f t="shared" si="4"/>
        <v>0</v>
      </c>
      <c r="M23" s="89">
        <v>33</v>
      </c>
      <c r="N23" s="10">
        <f t="shared" si="18"/>
        <v>5696080.5</v>
      </c>
      <c r="O23" s="10">
        <f t="shared" si="19"/>
        <v>2848040.25</v>
      </c>
      <c r="P23" s="10">
        <f t="shared" si="17"/>
        <v>318619.11</v>
      </c>
      <c r="Q23" s="90">
        <v>2963993.86</v>
      </c>
      <c r="R23" s="92">
        <v>326039.32</v>
      </c>
      <c r="S23" s="93">
        <v>2637954.54</v>
      </c>
      <c r="T23" s="90">
        <f t="shared" si="5"/>
        <v>755792</v>
      </c>
      <c r="U23" s="90">
        <v>755792</v>
      </c>
      <c r="V23" s="95">
        <f t="shared" si="6"/>
        <v>3012069.96</v>
      </c>
      <c r="W23" s="95">
        <f t="shared" si="7"/>
        <v>391569.09</v>
      </c>
      <c r="X23" s="95">
        <f>Z23</f>
        <v>2620500.87</v>
      </c>
      <c r="Y23" s="95">
        <f t="shared" si="0"/>
        <v>2.8160169220127074</v>
      </c>
      <c r="Z23" s="95">
        <f>ROUND($X$47*Y23/100,2)</f>
        <v>2620500.87</v>
      </c>
      <c r="AA23" s="95">
        <f t="shared" si="10"/>
        <v>3012069.96</v>
      </c>
      <c r="AB23" s="90" t="e">
        <f>#REF!</f>
        <v>#REF!</v>
      </c>
      <c r="AC23" s="94" t="e">
        <f t="shared" si="1"/>
        <v>#REF!</v>
      </c>
      <c r="AD23" s="90">
        <f t="shared" si="11"/>
        <v>331405.65000000002</v>
      </c>
      <c r="AE23" s="90">
        <v>755792</v>
      </c>
      <c r="AF23" s="95">
        <f t="shared" si="12"/>
        <v>3082942.2</v>
      </c>
      <c r="AG23" s="95">
        <f t="shared" si="13"/>
        <v>462441.33</v>
      </c>
      <c r="AH23" s="95">
        <f t="shared" si="14"/>
        <v>2620500.87</v>
      </c>
      <c r="AI23" s="69">
        <f t="shared" si="15"/>
        <v>3082942.2</v>
      </c>
      <c r="AJ23" s="10" t="e">
        <f>#REF!</f>
        <v>#REF!</v>
      </c>
      <c r="AK23" s="68" t="e">
        <f t="shared" si="2"/>
        <v>#REF!</v>
      </c>
    </row>
    <row r="24" spans="1:37" ht="46.5" customHeight="1">
      <c r="A24" s="87" t="s">
        <v>61</v>
      </c>
      <c r="B24" s="67"/>
      <c r="C24" s="67"/>
      <c r="D24" s="9">
        <v>37</v>
      </c>
      <c r="E24" s="9"/>
      <c r="F24" s="107">
        <v>7</v>
      </c>
      <c r="G24" s="107">
        <v>1</v>
      </c>
      <c r="H24" s="107">
        <f t="shared" si="16"/>
        <v>6</v>
      </c>
      <c r="I24" s="97">
        <v>99509.5</v>
      </c>
      <c r="J24" s="98">
        <f>121199*33</f>
        <v>3999567</v>
      </c>
      <c r="K24" s="97">
        <f t="shared" si="3"/>
        <v>597057</v>
      </c>
      <c r="L24" s="88">
        <f t="shared" si="4"/>
        <v>3999567</v>
      </c>
      <c r="M24" s="89">
        <v>33</v>
      </c>
      <c r="N24" s="10">
        <f t="shared" si="18"/>
        <v>19702881</v>
      </c>
      <c r="O24" s="10">
        <f t="shared" si="19"/>
        <v>3283813.5</v>
      </c>
      <c r="P24" s="10">
        <f t="shared" si="17"/>
        <v>1102111.26</v>
      </c>
      <c r="Q24" s="90">
        <v>3684899.86</v>
      </c>
      <c r="R24" s="92">
        <v>405338.98</v>
      </c>
      <c r="S24" s="93">
        <v>3279560.88</v>
      </c>
      <c r="T24" s="90">
        <f t="shared" si="5"/>
        <v>2614302.9</v>
      </c>
      <c r="U24" s="90">
        <v>2614302.9</v>
      </c>
      <c r="V24" s="95">
        <f t="shared" si="6"/>
        <v>3744669.09</v>
      </c>
      <c r="W24" s="95">
        <f t="shared" si="7"/>
        <v>486806.98</v>
      </c>
      <c r="X24" s="95">
        <f t="shared" si="8"/>
        <v>3257862.1</v>
      </c>
      <c r="Y24" s="95">
        <f t="shared" si="0"/>
        <v>3.5009317995490874</v>
      </c>
      <c r="Z24" s="95">
        <f t="shared" si="9"/>
        <v>3257862.1</v>
      </c>
      <c r="AA24" s="95">
        <f t="shared" si="10"/>
        <v>3744669.09</v>
      </c>
      <c r="AB24" s="90" t="e">
        <f>#REF!</f>
        <v>#REF!</v>
      </c>
      <c r="AC24" s="94" t="e">
        <f t="shared" si="1"/>
        <v>#REF!</v>
      </c>
      <c r="AD24" s="90">
        <f t="shared" si="11"/>
        <v>1146340.19</v>
      </c>
      <c r="AE24" s="90">
        <v>2614302.9</v>
      </c>
      <c r="AF24" s="95">
        <f t="shared" si="12"/>
        <v>3832778.95</v>
      </c>
      <c r="AG24" s="95">
        <f t="shared" si="13"/>
        <v>574916.84</v>
      </c>
      <c r="AH24" s="95">
        <f t="shared" si="14"/>
        <v>3257862.1</v>
      </c>
      <c r="AI24" s="69">
        <f t="shared" si="15"/>
        <v>3832778.95</v>
      </c>
      <c r="AJ24" s="10" t="e">
        <f>#REF!</f>
        <v>#REF!</v>
      </c>
      <c r="AK24" s="68" t="e">
        <f t="shared" si="2"/>
        <v>#REF!</v>
      </c>
    </row>
    <row r="25" spans="1:37" s="2" customFormat="1" ht="45" customHeight="1">
      <c r="A25" s="87" t="s">
        <v>62</v>
      </c>
      <c r="B25" s="67"/>
      <c r="C25" s="67"/>
      <c r="D25" s="9">
        <v>119</v>
      </c>
      <c r="E25" s="9"/>
      <c r="F25" s="107">
        <v>68</v>
      </c>
      <c r="G25" s="107">
        <v>1</v>
      </c>
      <c r="H25" s="107">
        <f t="shared" si="16"/>
        <v>67</v>
      </c>
      <c r="I25" s="97">
        <v>92349</v>
      </c>
      <c r="J25" s="98">
        <f>(109835*33)</f>
        <v>3624555</v>
      </c>
      <c r="K25" s="97">
        <f t="shared" si="3"/>
        <v>6187383</v>
      </c>
      <c r="L25" s="88">
        <f t="shared" si="4"/>
        <v>3624555</v>
      </c>
      <c r="M25" s="89">
        <v>33</v>
      </c>
      <c r="N25" s="10">
        <f t="shared" si="18"/>
        <v>204183639</v>
      </c>
      <c r="O25" s="10">
        <f t="shared" si="19"/>
        <v>3047517</v>
      </c>
      <c r="P25" s="10">
        <f t="shared" si="17"/>
        <v>11421329.060000001</v>
      </c>
      <c r="Q25" s="90">
        <v>7204029.5700000003</v>
      </c>
      <c r="R25" s="92">
        <v>792443.25</v>
      </c>
      <c r="S25" s="93">
        <v>6411586.3200000003</v>
      </c>
      <c r="T25" s="90">
        <f t="shared" si="5"/>
        <v>27092376.989999998</v>
      </c>
      <c r="U25" s="90">
        <v>27092376.989999998</v>
      </c>
      <c r="V25" s="95">
        <f t="shared" si="6"/>
        <v>7320879.2199999997</v>
      </c>
      <c r="W25" s="95">
        <f t="shared" si="7"/>
        <v>951714.3</v>
      </c>
      <c r="X25" s="95">
        <f t="shared" si="8"/>
        <v>6369164.9199999999</v>
      </c>
      <c r="Y25" s="95">
        <f t="shared" si="0"/>
        <v>6.8443694916991191</v>
      </c>
      <c r="Z25" s="95">
        <f t="shared" si="9"/>
        <v>6369164.9199999999</v>
      </c>
      <c r="AA25" s="95">
        <f t="shared" si="10"/>
        <v>7320879.2199999997</v>
      </c>
      <c r="AB25" s="90" t="e">
        <f>#REF!</f>
        <v>#REF!</v>
      </c>
      <c r="AC25" s="94" t="e">
        <f t="shared" si="1"/>
        <v>#REF!</v>
      </c>
      <c r="AD25" s="90">
        <f t="shared" si="11"/>
        <v>11879679.550000001</v>
      </c>
      <c r="AE25" s="90">
        <v>27092376.989999998</v>
      </c>
      <c r="AF25" s="95">
        <f t="shared" si="12"/>
        <v>7493135.2000000002</v>
      </c>
      <c r="AG25" s="95">
        <f t="shared" si="13"/>
        <v>1123970.28</v>
      </c>
      <c r="AH25" s="95">
        <f t="shared" si="14"/>
        <v>6369164.9199999999</v>
      </c>
      <c r="AI25" s="69">
        <f t="shared" si="15"/>
        <v>7493135.2000000002</v>
      </c>
      <c r="AJ25" s="10" t="e">
        <f>#REF!</f>
        <v>#REF!</v>
      </c>
      <c r="AK25" s="68" t="e">
        <f t="shared" si="2"/>
        <v>#REF!</v>
      </c>
    </row>
    <row r="26" spans="1:37" s="2" customFormat="1" ht="45" customHeight="1">
      <c r="A26" s="87" t="s">
        <v>63</v>
      </c>
      <c r="B26" s="67"/>
      <c r="C26" s="67"/>
      <c r="D26" s="9">
        <v>34</v>
      </c>
      <c r="E26" s="9"/>
      <c r="F26" s="107">
        <v>2</v>
      </c>
      <c r="G26" s="107">
        <v>1</v>
      </c>
      <c r="H26" s="107">
        <f t="shared" si="16"/>
        <v>1</v>
      </c>
      <c r="I26" s="97">
        <v>80298.69</v>
      </c>
      <c r="J26" s="98">
        <f>(109835*33)</f>
        <v>3624555</v>
      </c>
      <c r="K26" s="97">
        <f t="shared" si="3"/>
        <v>80298.69</v>
      </c>
      <c r="L26" s="88">
        <f t="shared" si="4"/>
        <v>3624555</v>
      </c>
      <c r="M26" s="89">
        <v>33</v>
      </c>
      <c r="N26" s="10">
        <f t="shared" si="18"/>
        <v>2649856.77</v>
      </c>
      <c r="O26" s="10">
        <f t="shared" si="19"/>
        <v>2649856.77</v>
      </c>
      <c r="P26" s="10">
        <f t="shared" si="17"/>
        <v>148223.85999999999</v>
      </c>
      <c r="Q26" s="90">
        <v>2703799.21</v>
      </c>
      <c r="R26" s="92">
        <v>297417.90999999997</v>
      </c>
      <c r="S26" s="93">
        <v>2406381.2999999998</v>
      </c>
      <c r="T26" s="90">
        <f t="shared" si="5"/>
        <v>351599.76</v>
      </c>
      <c r="U26" s="90">
        <v>351599.76</v>
      </c>
      <c r="V26" s="95">
        <f t="shared" si="6"/>
        <v>2747654.94</v>
      </c>
      <c r="W26" s="95">
        <f t="shared" si="7"/>
        <v>357195.14</v>
      </c>
      <c r="X26" s="95">
        <f t="shared" si="8"/>
        <v>2390459.7999999998</v>
      </c>
      <c r="Y26" s="95">
        <f t="shared" si="0"/>
        <v>2.5688124487599917</v>
      </c>
      <c r="Z26" s="95">
        <f t="shared" si="9"/>
        <v>2390459.7999999998</v>
      </c>
      <c r="AA26" s="95">
        <f t="shared" si="10"/>
        <v>2747654.94</v>
      </c>
      <c r="AB26" s="90" t="e">
        <f>#REF!</f>
        <v>#REF!</v>
      </c>
      <c r="AC26" s="94" t="e">
        <f t="shared" si="1"/>
        <v>#REF!</v>
      </c>
      <c r="AD26" s="90">
        <f t="shared" si="11"/>
        <v>154172.24</v>
      </c>
      <c r="AE26" s="90">
        <v>351599.76</v>
      </c>
      <c r="AF26" s="95">
        <f t="shared" si="12"/>
        <v>2812305.65</v>
      </c>
      <c r="AG26" s="95">
        <f t="shared" si="13"/>
        <v>421845.85</v>
      </c>
      <c r="AH26" s="95">
        <f t="shared" si="14"/>
        <v>2390459.7999999998</v>
      </c>
      <c r="AI26" s="69">
        <f t="shared" si="15"/>
        <v>2812305.65</v>
      </c>
      <c r="AJ26" s="10" t="e">
        <f>#REF!</f>
        <v>#REF!</v>
      </c>
      <c r="AK26" s="68" t="e">
        <f t="shared" si="2"/>
        <v>#REF!</v>
      </c>
    </row>
    <row r="27" spans="1:37" s="2" customFormat="1" ht="41.25" customHeight="1">
      <c r="A27" s="87" t="s">
        <v>64</v>
      </c>
      <c r="B27" s="67"/>
      <c r="C27" s="67"/>
      <c r="D27" s="9">
        <v>40</v>
      </c>
      <c r="E27" s="9"/>
      <c r="F27" s="107">
        <v>1</v>
      </c>
      <c r="G27" s="107">
        <v>0</v>
      </c>
      <c r="H27" s="107">
        <f t="shared" si="16"/>
        <v>1</v>
      </c>
      <c r="I27" s="97">
        <v>65851</v>
      </c>
      <c r="J27" s="98"/>
      <c r="K27" s="97">
        <f t="shared" si="3"/>
        <v>65851</v>
      </c>
      <c r="L27" s="88">
        <f t="shared" si="4"/>
        <v>0</v>
      </c>
      <c r="M27" s="89">
        <v>33</v>
      </c>
      <c r="N27" s="10">
        <f t="shared" si="18"/>
        <v>2173083</v>
      </c>
      <c r="O27" s="10">
        <f t="shared" si="19"/>
        <v>2173083</v>
      </c>
      <c r="P27" s="10">
        <f t="shared" si="17"/>
        <v>121554.77</v>
      </c>
      <c r="Q27" s="90">
        <v>2217319.88</v>
      </c>
      <c r="R27" s="92">
        <v>243905.19</v>
      </c>
      <c r="S27" s="93">
        <v>1973414.69</v>
      </c>
      <c r="T27" s="90">
        <f t="shared" si="5"/>
        <v>288338.40000000002</v>
      </c>
      <c r="U27" s="90">
        <v>288338.40000000002</v>
      </c>
      <c r="V27" s="95">
        <f t="shared" si="6"/>
        <v>2253284.89</v>
      </c>
      <c r="W27" s="95">
        <f t="shared" si="7"/>
        <v>292927.03999999998</v>
      </c>
      <c r="X27" s="95">
        <f t="shared" si="8"/>
        <v>1960357.86</v>
      </c>
      <c r="Y27" s="95">
        <f t="shared" si="0"/>
        <v>2.1066205186342826</v>
      </c>
      <c r="Z27" s="95">
        <f t="shared" si="9"/>
        <v>1960357.86</v>
      </c>
      <c r="AA27" s="95">
        <f t="shared" si="10"/>
        <v>2253284.89</v>
      </c>
      <c r="AB27" s="90" t="e">
        <f>#REF!</f>
        <v>#REF!</v>
      </c>
      <c r="AC27" s="94" t="e">
        <f t="shared" si="1"/>
        <v>#REF!</v>
      </c>
      <c r="AD27" s="90">
        <f t="shared" si="11"/>
        <v>126432.9</v>
      </c>
      <c r="AE27" s="90">
        <v>288338.40000000002</v>
      </c>
      <c r="AF27" s="95">
        <f t="shared" si="12"/>
        <v>2306303.36</v>
      </c>
      <c r="AG27" s="95">
        <f t="shared" si="13"/>
        <v>345945.5</v>
      </c>
      <c r="AH27" s="95">
        <f t="shared" si="14"/>
        <v>1960357.86</v>
      </c>
      <c r="AI27" s="69">
        <f t="shared" si="15"/>
        <v>2306303.36</v>
      </c>
      <c r="AJ27" s="10" t="e">
        <f>#REF!</f>
        <v>#REF!</v>
      </c>
      <c r="AK27" s="68" t="e">
        <f t="shared" si="2"/>
        <v>#REF!</v>
      </c>
    </row>
    <row r="28" spans="1:37" s="2" customFormat="1" ht="27.75" customHeight="1">
      <c r="A28" s="87" t="s">
        <v>65</v>
      </c>
      <c r="B28" s="67"/>
      <c r="C28" s="67"/>
      <c r="D28" s="9">
        <v>757</v>
      </c>
      <c r="E28" s="9"/>
      <c r="F28" s="107">
        <v>149</v>
      </c>
      <c r="G28" s="107">
        <v>1</v>
      </c>
      <c r="H28" s="107">
        <f t="shared" si="16"/>
        <v>148</v>
      </c>
      <c r="I28" s="99">
        <v>149561.07500000001</v>
      </c>
      <c r="J28" s="98">
        <f>121199*33</f>
        <v>3999567</v>
      </c>
      <c r="K28" s="97">
        <f t="shared" si="3"/>
        <v>22135039.100000001</v>
      </c>
      <c r="L28" s="88">
        <f>G28*J28</f>
        <v>3999567</v>
      </c>
      <c r="M28" s="89">
        <v>33</v>
      </c>
      <c r="N28" s="10">
        <f>ROUND(H28*I28*M28,2)</f>
        <v>730456290.29999995</v>
      </c>
      <c r="O28" s="10">
        <f t="shared" si="19"/>
        <v>4935515.4800000004</v>
      </c>
      <c r="P28" s="10">
        <f t="shared" si="17"/>
        <v>40859207.399999999</v>
      </c>
      <c r="Q28" s="90">
        <v>19805221.829999998</v>
      </c>
      <c r="R28" s="92">
        <v>2178574.4</v>
      </c>
      <c r="S28" s="93">
        <v>17626647.43</v>
      </c>
      <c r="T28" s="90">
        <f t="shared" si="5"/>
        <v>96921561.829999998</v>
      </c>
      <c r="U28" s="90">
        <v>98242238.760000005</v>
      </c>
      <c r="V28" s="95">
        <f t="shared" si="6"/>
        <v>20126463.309999999</v>
      </c>
      <c r="W28" s="95">
        <f t="shared" si="7"/>
        <v>2616440.23</v>
      </c>
      <c r="X28" s="95">
        <f t="shared" si="8"/>
        <v>17510023.079999998</v>
      </c>
      <c r="Y28" s="95">
        <f t="shared" si="0"/>
        <v>18.816449142156863</v>
      </c>
      <c r="Z28" s="95">
        <f t="shared" si="9"/>
        <v>17510023.079999998</v>
      </c>
      <c r="AA28" s="95">
        <f t="shared" si="10"/>
        <v>20126463.309999999</v>
      </c>
      <c r="AB28" s="90" t="e">
        <f>#REF!</f>
        <v>#REF!</v>
      </c>
      <c r="AC28" s="94" t="e">
        <f t="shared" si="1"/>
        <v>#REF!</v>
      </c>
      <c r="AD28" s="90">
        <f t="shared" si="11"/>
        <v>42498932.299999997</v>
      </c>
      <c r="AE28" s="90">
        <v>98363528.140000001</v>
      </c>
      <c r="AF28" s="95">
        <f t="shared" si="12"/>
        <v>20600027.149999999</v>
      </c>
      <c r="AG28" s="95">
        <f t="shared" si="13"/>
        <v>3090004.07</v>
      </c>
      <c r="AH28" s="95">
        <f t="shared" si="14"/>
        <v>17510023.079999998</v>
      </c>
      <c r="AI28" s="69">
        <f t="shared" si="15"/>
        <v>20600027.149999999</v>
      </c>
      <c r="AJ28" s="10" t="e">
        <f>#REF!</f>
        <v>#REF!</v>
      </c>
      <c r="AK28" s="68" t="e">
        <f t="shared" si="2"/>
        <v>#REF!</v>
      </c>
    </row>
    <row r="29" spans="1:37" ht="42.75" customHeight="1">
      <c r="A29" s="87" t="s">
        <v>66</v>
      </c>
      <c r="B29" s="67"/>
      <c r="C29" s="67"/>
      <c r="D29" s="9">
        <v>319</v>
      </c>
      <c r="E29" s="9"/>
      <c r="F29" s="107">
        <v>93</v>
      </c>
      <c r="G29" s="107">
        <v>1</v>
      </c>
      <c r="H29" s="107">
        <f t="shared" si="16"/>
        <v>92</v>
      </c>
      <c r="I29" s="97">
        <v>125203.91</v>
      </c>
      <c r="J29" s="98"/>
      <c r="K29" s="97">
        <f t="shared" si="3"/>
        <v>11518759.720000001</v>
      </c>
      <c r="L29" s="88">
        <v>3999567</v>
      </c>
      <c r="M29" s="89">
        <v>33</v>
      </c>
      <c r="N29" s="10">
        <f t="shared" si="18"/>
        <v>380119070.75999999</v>
      </c>
      <c r="O29" s="10">
        <f>ROUND(I29*M29,2)</f>
        <v>4131729.03</v>
      </c>
      <c r="P29" s="10">
        <f>ROUND((N29*(105254831.46-M29*$I$35)/(M29*$K$35)),2)</f>
        <v>21262550.760000002</v>
      </c>
      <c r="Q29" s="90">
        <v>11869712.859999999</v>
      </c>
      <c r="R29" s="92">
        <v>1305668.4099999999</v>
      </c>
      <c r="S29" s="93">
        <v>10564044.449999999</v>
      </c>
      <c r="T29" s="90">
        <f t="shared" si="5"/>
        <v>50436603.130000003</v>
      </c>
      <c r="U29" s="90">
        <v>50436603.130000003</v>
      </c>
      <c r="V29" s="95">
        <f t="shared" si="6"/>
        <v>12062240.08</v>
      </c>
      <c r="W29" s="95">
        <f t="shared" si="7"/>
        <v>1568091.21</v>
      </c>
      <c r="X29" s="95">
        <f t="shared" si="8"/>
        <v>10494148.859999999</v>
      </c>
      <c r="Y29" s="95">
        <f t="shared" si="0"/>
        <v>11.27711925471408</v>
      </c>
      <c r="Z29" s="95">
        <f t="shared" si="9"/>
        <v>10494148.859999999</v>
      </c>
      <c r="AA29" s="95">
        <f t="shared" si="10"/>
        <v>12062240.08</v>
      </c>
      <c r="AB29" s="90" t="e">
        <f>#REF!</f>
        <v>#REF!</v>
      </c>
      <c r="AC29" s="94" t="e">
        <f t="shared" si="1"/>
        <v>#REF!</v>
      </c>
      <c r="AD29" s="90">
        <f t="shared" si="11"/>
        <v>22115840.289999999</v>
      </c>
      <c r="AE29" s="90">
        <v>50436603.130000003</v>
      </c>
      <c r="AF29" s="95">
        <f t="shared" si="12"/>
        <v>12346057.49</v>
      </c>
      <c r="AG29" s="95">
        <f t="shared" si="13"/>
        <v>1851908.62</v>
      </c>
      <c r="AH29" s="95">
        <f t="shared" si="14"/>
        <v>10494148.859999999</v>
      </c>
      <c r="AI29" s="69">
        <f t="shared" si="15"/>
        <v>12346057.49</v>
      </c>
      <c r="AJ29" s="10" t="e">
        <f>#REF!</f>
        <v>#REF!</v>
      </c>
      <c r="AK29" s="68" t="e">
        <f t="shared" si="2"/>
        <v>#REF!</v>
      </c>
    </row>
    <row r="30" spans="1:37" ht="44.25" customHeight="1">
      <c r="A30" s="87" t="s">
        <v>67</v>
      </c>
      <c r="B30" s="67"/>
      <c r="C30" s="67"/>
      <c r="D30" s="9">
        <v>72</v>
      </c>
      <c r="E30" s="9"/>
      <c r="F30" s="107">
        <v>26</v>
      </c>
      <c r="G30" s="107">
        <v>0</v>
      </c>
      <c r="H30" s="107">
        <f t="shared" si="16"/>
        <v>26</v>
      </c>
      <c r="I30" s="97">
        <v>94977.334999999992</v>
      </c>
      <c r="J30" s="98"/>
      <c r="K30" s="97">
        <f t="shared" si="3"/>
        <v>2469410.71</v>
      </c>
      <c r="L30" s="88">
        <f t="shared" si="4"/>
        <v>0</v>
      </c>
      <c r="M30" s="89">
        <v>33</v>
      </c>
      <c r="N30" s="10">
        <f t="shared" si="18"/>
        <v>81490553.430000007</v>
      </c>
      <c r="O30" s="10">
        <f t="shared" si="19"/>
        <v>3134252.06</v>
      </c>
      <c r="P30" s="10">
        <f t="shared" si="17"/>
        <v>4558300.71</v>
      </c>
      <c r="Q30" s="90">
        <v>4793133.8</v>
      </c>
      <c r="R30" s="92">
        <v>527244.72</v>
      </c>
      <c r="S30" s="93">
        <v>4265889.08</v>
      </c>
      <c r="T30" s="90">
        <f t="shared" si="5"/>
        <v>10812682.18</v>
      </c>
      <c r="U30" s="90">
        <v>10812682.18</v>
      </c>
      <c r="V30" s="95">
        <f t="shared" si="6"/>
        <v>4870878.62</v>
      </c>
      <c r="W30" s="95">
        <f t="shared" si="7"/>
        <v>633214.22</v>
      </c>
      <c r="X30" s="95">
        <f t="shared" si="8"/>
        <v>4237664.4000000004</v>
      </c>
      <c r="Y30" s="95">
        <f t="shared" si="0"/>
        <v>4.5538373215139716</v>
      </c>
      <c r="Z30" s="95">
        <f t="shared" si="9"/>
        <v>4237664.4000000004</v>
      </c>
      <c r="AA30" s="95">
        <f t="shared" si="10"/>
        <v>4870878.62</v>
      </c>
      <c r="AB30" s="90" t="e">
        <f>#REF!</f>
        <v>#REF!</v>
      </c>
      <c r="AC30" s="94" t="e">
        <f t="shared" si="1"/>
        <v>#REF!</v>
      </c>
      <c r="AD30" s="90">
        <f t="shared" si="11"/>
        <v>4741230.32</v>
      </c>
      <c r="AE30" s="90">
        <v>10812682.18</v>
      </c>
      <c r="AF30" s="95">
        <f t="shared" si="12"/>
        <v>4985487.53</v>
      </c>
      <c r="AG30" s="95">
        <f t="shared" si="13"/>
        <v>747823.13</v>
      </c>
      <c r="AH30" s="95">
        <f t="shared" si="14"/>
        <v>4237664.4000000004</v>
      </c>
      <c r="AI30" s="69">
        <f t="shared" si="15"/>
        <v>4985487.53</v>
      </c>
      <c r="AJ30" s="10" t="e">
        <f>#REF!</f>
        <v>#REF!</v>
      </c>
      <c r="AK30" s="68" t="e">
        <f t="shared" si="2"/>
        <v>#REF!</v>
      </c>
    </row>
    <row r="31" spans="1:37" ht="39" customHeight="1">
      <c r="A31" s="87" t="s">
        <v>68</v>
      </c>
      <c r="B31" s="67"/>
      <c r="C31" s="67"/>
      <c r="D31" s="9">
        <v>75</v>
      </c>
      <c r="E31" s="9"/>
      <c r="F31" s="107">
        <v>11</v>
      </c>
      <c r="G31" s="107">
        <v>1</v>
      </c>
      <c r="H31" s="107">
        <f t="shared" si="16"/>
        <v>10</v>
      </c>
      <c r="I31" s="97">
        <v>84275.43</v>
      </c>
      <c r="J31" s="98">
        <f>121199*33</f>
        <v>3999567</v>
      </c>
      <c r="K31" s="97">
        <f t="shared" si="3"/>
        <v>842754.3</v>
      </c>
      <c r="L31" s="88">
        <f t="shared" si="4"/>
        <v>3999567</v>
      </c>
      <c r="M31" s="89">
        <v>33</v>
      </c>
      <c r="N31" s="10">
        <f t="shared" si="18"/>
        <v>27810891.899999999</v>
      </c>
      <c r="O31" s="10">
        <f t="shared" si="19"/>
        <v>2781089.19</v>
      </c>
      <c r="P31" s="10">
        <f t="shared" si="17"/>
        <v>1555645.4399999999</v>
      </c>
      <c r="Q31" s="90">
        <v>3347228.19</v>
      </c>
      <c r="R31" s="92">
        <v>368195.1</v>
      </c>
      <c r="S31" s="93">
        <v>2979033.09</v>
      </c>
      <c r="T31" s="90">
        <f t="shared" si="5"/>
        <v>3690125.08</v>
      </c>
      <c r="U31" s="90">
        <v>3690125.08</v>
      </c>
      <c r="V31" s="95">
        <f t="shared" si="6"/>
        <v>3401520.36</v>
      </c>
      <c r="W31" s="95">
        <f t="shared" si="7"/>
        <v>442197.65</v>
      </c>
      <c r="X31" s="95">
        <f>Z31</f>
        <v>2959322.72</v>
      </c>
      <c r="Y31" s="95">
        <f t="shared" si="0"/>
        <v>3.180118332393933</v>
      </c>
      <c r="Z31" s="95">
        <f>ROUND($X$47*Y31/100,2)</f>
        <v>2959322.72</v>
      </c>
      <c r="AA31" s="95">
        <f t="shared" si="10"/>
        <v>3401520.36</v>
      </c>
      <c r="AB31" s="90" t="e">
        <f>#REF!</f>
        <v>#REF!</v>
      </c>
      <c r="AC31" s="94" t="e">
        <f t="shared" si="1"/>
        <v>#REF!</v>
      </c>
      <c r="AD31" s="90">
        <f t="shared" si="11"/>
        <v>1618075.21</v>
      </c>
      <c r="AE31" s="90">
        <v>3690125.08</v>
      </c>
      <c r="AF31" s="95">
        <f t="shared" si="12"/>
        <v>3481556.14</v>
      </c>
      <c r="AG31" s="95">
        <f t="shared" si="13"/>
        <v>522233.42</v>
      </c>
      <c r="AH31" s="95">
        <f t="shared" si="14"/>
        <v>2959322.72</v>
      </c>
      <c r="AI31" s="69">
        <f t="shared" si="15"/>
        <v>3481556.14</v>
      </c>
      <c r="AJ31" s="10" t="e">
        <f>#REF!</f>
        <v>#REF!</v>
      </c>
      <c r="AK31" s="68" t="e">
        <f t="shared" si="2"/>
        <v>#REF!</v>
      </c>
    </row>
    <row r="32" spans="1:37" ht="38.25" customHeight="1">
      <c r="A32" s="87" t="s">
        <v>69</v>
      </c>
      <c r="B32" s="67"/>
      <c r="C32" s="67"/>
      <c r="D32" s="9">
        <v>30</v>
      </c>
      <c r="E32" s="9"/>
      <c r="F32" s="107">
        <v>25</v>
      </c>
      <c r="G32" s="107">
        <v>1</v>
      </c>
      <c r="H32" s="107">
        <f t="shared" si="16"/>
        <v>24</v>
      </c>
      <c r="I32" s="97">
        <v>79824.240000000005</v>
      </c>
      <c r="J32" s="98">
        <f>(109835*33)</f>
        <v>3624555</v>
      </c>
      <c r="K32" s="97">
        <f t="shared" si="3"/>
        <v>1915781.76</v>
      </c>
      <c r="L32" s="88">
        <f t="shared" si="4"/>
        <v>3624555</v>
      </c>
      <c r="M32" s="89">
        <v>33</v>
      </c>
      <c r="N32" s="10">
        <f t="shared" si="18"/>
        <v>63220798.079999998</v>
      </c>
      <c r="O32" s="10">
        <f t="shared" si="19"/>
        <v>2634199.92</v>
      </c>
      <c r="P32" s="10">
        <f t="shared" si="17"/>
        <v>3536353.56</v>
      </c>
      <c r="Q32" s="90">
        <v>3921169.06</v>
      </c>
      <c r="R32" s="92">
        <v>431328.6</v>
      </c>
      <c r="S32" s="93">
        <v>3489840.46</v>
      </c>
      <c r="T32" s="90">
        <f t="shared" si="5"/>
        <v>8388535.46</v>
      </c>
      <c r="U32" s="90">
        <v>8388535.46</v>
      </c>
      <c r="V32" s="95">
        <f t="shared" si="6"/>
        <v>3984770.57</v>
      </c>
      <c r="W32" s="95">
        <f t="shared" si="7"/>
        <v>518020.17</v>
      </c>
      <c r="X32" s="95">
        <f t="shared" si="8"/>
        <v>3466750.4</v>
      </c>
      <c r="Y32" s="95">
        <f t="shared" si="0"/>
        <v>3.725405287114846</v>
      </c>
      <c r="Z32" s="95">
        <f t="shared" si="9"/>
        <v>3466750.4</v>
      </c>
      <c r="AA32" s="95">
        <f t="shared" si="10"/>
        <v>3984770.57</v>
      </c>
      <c r="AB32" s="90" t="e">
        <f>#REF!</f>
        <v>#REF!</v>
      </c>
      <c r="AC32" s="94" t="e">
        <f t="shared" si="1"/>
        <v>#REF!</v>
      </c>
      <c r="AD32" s="90">
        <f t="shared" si="11"/>
        <v>3678271.31</v>
      </c>
      <c r="AE32" s="90">
        <v>8388535.46</v>
      </c>
      <c r="AF32" s="95">
        <f t="shared" si="12"/>
        <v>4078529.88</v>
      </c>
      <c r="AG32" s="95">
        <f t="shared" si="13"/>
        <v>611779.48</v>
      </c>
      <c r="AH32" s="95">
        <f t="shared" si="14"/>
        <v>3466750.4</v>
      </c>
      <c r="AI32" s="69">
        <f t="shared" si="15"/>
        <v>4078529.88</v>
      </c>
      <c r="AJ32" s="10" t="e">
        <f>#REF!</f>
        <v>#REF!</v>
      </c>
      <c r="AK32" s="68" t="e">
        <f t="shared" si="2"/>
        <v>#REF!</v>
      </c>
    </row>
    <row r="33" spans="1:37" ht="41.25" customHeight="1">
      <c r="A33" s="87" t="s">
        <v>70</v>
      </c>
      <c r="B33" s="67"/>
      <c r="C33" s="67"/>
      <c r="D33" s="9">
        <v>15</v>
      </c>
      <c r="E33" s="9"/>
      <c r="F33" s="107">
        <v>3</v>
      </c>
      <c r="G33" s="107">
        <v>0</v>
      </c>
      <c r="H33" s="107">
        <f t="shared" si="16"/>
        <v>3</v>
      </c>
      <c r="I33" s="97">
        <v>114346.25</v>
      </c>
      <c r="J33" s="98"/>
      <c r="K33" s="97">
        <f t="shared" si="3"/>
        <v>343038.75</v>
      </c>
      <c r="L33" s="88">
        <f t="shared" si="4"/>
        <v>0</v>
      </c>
      <c r="M33" s="89">
        <v>33</v>
      </c>
      <c r="N33" s="10">
        <f t="shared" si="18"/>
        <v>11320278.75</v>
      </c>
      <c r="O33" s="10">
        <f t="shared" si="19"/>
        <v>3773426.25</v>
      </c>
      <c r="P33" s="10">
        <f>ROUND((N33*(105254831.46-M33*$I$35)/(M33*$K$35)),2)</f>
        <v>633217.38</v>
      </c>
      <c r="Q33" s="90">
        <v>4003870.18</v>
      </c>
      <c r="R33" s="92">
        <v>440425.72</v>
      </c>
      <c r="S33" s="93">
        <v>3563444.46</v>
      </c>
      <c r="T33" s="90">
        <f t="shared" si="5"/>
        <v>1502046.2</v>
      </c>
      <c r="U33" s="90">
        <v>1502046.2</v>
      </c>
      <c r="V33" s="95">
        <f t="shared" si="6"/>
        <v>4068813.11</v>
      </c>
      <c r="W33" s="95">
        <f t="shared" si="7"/>
        <v>528945.69999999995</v>
      </c>
      <c r="X33" s="95">
        <f t="shared" si="8"/>
        <v>3539867.41</v>
      </c>
      <c r="Y33" s="95">
        <f t="shared" si="0"/>
        <v>3.8039775696864111</v>
      </c>
      <c r="Z33" s="95">
        <f t="shared" si="9"/>
        <v>3539867.41</v>
      </c>
      <c r="AA33" s="95">
        <f t="shared" si="10"/>
        <v>4068813.11</v>
      </c>
      <c r="AB33" s="90" t="e">
        <f>#REF!</f>
        <v>#REF!</v>
      </c>
      <c r="AC33" s="94" t="e">
        <f t="shared" si="1"/>
        <v>#REF!</v>
      </c>
      <c r="AD33" s="90">
        <f t="shared" si="11"/>
        <v>658629.09</v>
      </c>
      <c r="AE33" s="90">
        <v>1502046.2</v>
      </c>
      <c r="AF33" s="95">
        <f t="shared" si="12"/>
        <v>4164549.89</v>
      </c>
      <c r="AG33" s="95">
        <f t="shared" si="13"/>
        <v>624682.48</v>
      </c>
      <c r="AH33" s="95">
        <f t="shared" si="14"/>
        <v>3539867.41</v>
      </c>
      <c r="AI33" s="69">
        <f t="shared" si="15"/>
        <v>4164549.89</v>
      </c>
      <c r="AJ33" s="10" t="e">
        <f>#REF!</f>
        <v>#REF!</v>
      </c>
      <c r="AK33" s="68" t="e">
        <f t="shared" si="2"/>
        <v>#REF!</v>
      </c>
    </row>
    <row r="34" spans="1:37" ht="27.75" hidden="1" customHeight="1">
      <c r="A34" s="103" t="s">
        <v>37</v>
      </c>
      <c r="B34" s="67"/>
      <c r="C34" s="67"/>
      <c r="D34" s="72"/>
      <c r="E34" s="72"/>
      <c r="F34" s="96"/>
      <c r="G34" s="96"/>
      <c r="H34" s="96"/>
      <c r="I34" s="101"/>
      <c r="J34" s="98"/>
      <c r="K34" s="102"/>
      <c r="L34" s="73"/>
      <c r="M34" s="83"/>
      <c r="N34" s="74"/>
      <c r="O34" s="74"/>
      <c r="P34" s="10"/>
      <c r="Q34" s="91">
        <f>O34+P34</f>
        <v>0</v>
      </c>
      <c r="R34" s="91"/>
      <c r="S34" s="91"/>
      <c r="T34" s="90"/>
      <c r="U34" s="90"/>
      <c r="V34" s="95">
        <f t="shared" si="6"/>
        <v>0</v>
      </c>
      <c r="W34" s="95">
        <f t="shared" si="7"/>
        <v>0</v>
      </c>
      <c r="X34" s="95">
        <f t="shared" si="8"/>
        <v>0</v>
      </c>
      <c r="Y34" s="95">
        <f t="shared" si="0"/>
        <v>0</v>
      </c>
      <c r="Z34" s="95">
        <f t="shared" si="9"/>
        <v>0</v>
      </c>
      <c r="AA34" s="95">
        <f t="shared" si="10"/>
        <v>0</v>
      </c>
      <c r="AB34" s="90" t="e">
        <f>#REF!</f>
        <v>#REF!</v>
      </c>
      <c r="AC34" s="94" t="e">
        <f t="shared" si="1"/>
        <v>#REF!</v>
      </c>
      <c r="AD34" s="90"/>
      <c r="AE34" s="90"/>
      <c r="AF34" s="95">
        <f t="shared" si="12"/>
        <v>0</v>
      </c>
      <c r="AG34" s="95">
        <f t="shared" si="13"/>
        <v>0</v>
      </c>
      <c r="AH34" s="95">
        <f t="shared" si="14"/>
        <v>0</v>
      </c>
      <c r="AI34" s="69">
        <f t="shared" si="15"/>
        <v>0</v>
      </c>
      <c r="AJ34" s="10" t="e">
        <f>#REF!</f>
        <v>#REF!</v>
      </c>
      <c r="AK34" s="68" t="e">
        <f t="shared" si="2"/>
        <v>#REF!</v>
      </c>
    </row>
    <row r="35" spans="1:37" s="2" customFormat="1" ht="63.75" customHeight="1">
      <c r="A35" s="106" t="s">
        <v>38</v>
      </c>
      <c r="B35" s="75"/>
      <c r="C35" s="75"/>
      <c r="D35" s="76">
        <f>SUM(D9:D33)</f>
        <v>2436</v>
      </c>
      <c r="E35" s="76"/>
      <c r="F35" s="77">
        <f>SUM(F9:F33)</f>
        <v>513</v>
      </c>
      <c r="G35" s="77">
        <f>SUM(G9:G33)</f>
        <v>10</v>
      </c>
      <c r="H35" s="77">
        <f>SUM(H9:H33)</f>
        <v>503</v>
      </c>
      <c r="I35" s="100"/>
      <c r="J35" s="98"/>
      <c r="K35" s="100">
        <f>SUM(K9:K33)</f>
        <v>57020680.479999997</v>
      </c>
      <c r="L35" s="78">
        <f>SUM(L9:L33)</f>
        <v>37745598</v>
      </c>
      <c r="M35" s="79">
        <v>33</v>
      </c>
      <c r="N35" s="80">
        <f t="shared" ref="N35:T35" si="20">SUM(N9:N33)</f>
        <v>1881682455.2</v>
      </c>
      <c r="O35" s="80">
        <f t="shared" si="20"/>
        <v>66949917.25</v>
      </c>
      <c r="P35" s="80">
        <f t="shared" si="20"/>
        <v>105254831.44999999</v>
      </c>
      <c r="Q35" s="11">
        <f t="shared" si="20"/>
        <v>105254831.46000001</v>
      </c>
      <c r="R35" s="11">
        <f t="shared" si="20"/>
        <v>11578031.460000001</v>
      </c>
      <c r="S35" s="11">
        <f t="shared" si="20"/>
        <v>93676800</v>
      </c>
      <c r="T35" s="11">
        <f t="shared" si="20"/>
        <v>249673532.70000002</v>
      </c>
      <c r="U35" s="11">
        <f t="shared" ref="U35" si="21">SUM(U9:U33)</f>
        <v>250994209.63000003</v>
      </c>
      <c r="V35" s="11">
        <f>SUM(V9:V33)</f>
        <v>106962068.97</v>
      </c>
      <c r="W35" s="11">
        <f t="shared" ref="W35" si="22">SUM(W9:W33)</f>
        <v>13905068.970000001</v>
      </c>
      <c r="X35" s="11">
        <f>SUM(X9:X33)</f>
        <v>93057000</v>
      </c>
      <c r="Y35" s="11">
        <f t="shared" ref="Y35:AE35" si="23">SUM(Y9:Y33)</f>
        <v>99.999999999999986</v>
      </c>
      <c r="Z35" s="11">
        <f t="shared" si="23"/>
        <v>93057000</v>
      </c>
      <c r="AA35" s="11">
        <f t="shared" si="23"/>
        <v>106962068.97</v>
      </c>
      <c r="AB35" s="11" t="e">
        <f t="shared" si="23"/>
        <v>#REF!</v>
      </c>
      <c r="AC35" s="11" t="e">
        <f t="shared" si="23"/>
        <v>#REF!</v>
      </c>
      <c r="AD35" s="11">
        <f t="shared" si="23"/>
        <v>109478823.47999997</v>
      </c>
      <c r="AE35" s="11">
        <f t="shared" si="23"/>
        <v>251115499.01000002</v>
      </c>
      <c r="AF35" s="11">
        <f t="shared" ref="AF35:AJ35" si="24">SUM(AF9:AF33)</f>
        <v>109478823.55</v>
      </c>
      <c r="AG35" s="11">
        <f t="shared" si="24"/>
        <v>16421823.530000005</v>
      </c>
      <c r="AH35" s="11">
        <f t="shared" si="24"/>
        <v>93057000</v>
      </c>
      <c r="AI35" s="11">
        <f t="shared" si="24"/>
        <v>109478823.55</v>
      </c>
      <c r="AJ35" s="11" t="e">
        <f t="shared" si="24"/>
        <v>#REF!</v>
      </c>
      <c r="AK35" s="11" t="e">
        <f>SUM(AK9:AK34)</f>
        <v>#REF!</v>
      </c>
    </row>
    <row r="36" spans="1:37" ht="18.75" hidden="1" customHeight="1">
      <c r="A36" s="12"/>
      <c r="B36" s="12"/>
      <c r="C36" s="12"/>
      <c r="D36" s="12"/>
      <c r="E36" s="12"/>
      <c r="F36" s="13"/>
      <c r="G36" s="13"/>
      <c r="H36" s="13"/>
      <c r="I36" s="14"/>
      <c r="J36" s="14"/>
      <c r="K36" s="14"/>
      <c r="L36" s="15"/>
      <c r="M36" s="16"/>
      <c r="N36" s="17"/>
      <c r="O36" s="18">
        <v>102588.88889</v>
      </c>
      <c r="P36" s="19">
        <f>O36-O35</f>
        <v>-66847328.361110002</v>
      </c>
      <c r="Q36" s="19"/>
      <c r="R36" s="19"/>
      <c r="S36" s="20"/>
      <c r="T36" s="19">
        <v>262474.65000000002</v>
      </c>
      <c r="U36" s="22"/>
      <c r="V36" s="23" t="e">
        <f>#REF!+O35</f>
        <v>#REF!</v>
      </c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  <c r="AH36" s="24"/>
      <c r="AI36" s="24"/>
      <c r="AJ36" s="24"/>
      <c r="AK36" s="24"/>
    </row>
    <row r="37" spans="1:37" ht="15.75" hidden="1" customHeight="1">
      <c r="A37" t="s">
        <v>39</v>
      </c>
      <c r="F37" s="24"/>
      <c r="G37" s="24"/>
      <c r="H37" s="24"/>
      <c r="I37" s="24"/>
      <c r="J37" s="24"/>
      <c r="K37" s="24"/>
      <c r="L37" s="21"/>
      <c r="M37" s="24"/>
      <c r="N37" s="25"/>
      <c r="O37" s="26"/>
      <c r="P37" s="23">
        <f>P35+O35</f>
        <v>172204748.69999999</v>
      </c>
      <c r="Q37" s="23"/>
      <c r="R37" s="23">
        <f>R35-10258.88889</f>
        <v>11567772.571110001</v>
      </c>
      <c r="S37" s="24">
        <v>92342.9</v>
      </c>
      <c r="T37" s="24"/>
      <c r="U37" s="27"/>
      <c r="V37" s="24"/>
      <c r="W37" s="25">
        <f>W35-W38</f>
        <v>13894757.29222</v>
      </c>
      <c r="X37" s="25">
        <f>X35-92818.1</f>
        <v>92964181.900000006</v>
      </c>
      <c r="Y37" s="25"/>
      <c r="Z37" s="25"/>
      <c r="AA37" s="25"/>
      <c r="AB37" s="25" t="e">
        <f>W35+X35+AB35</f>
        <v>#REF!</v>
      </c>
      <c r="AC37" s="24"/>
      <c r="AD37" s="24"/>
      <c r="AE37" s="24"/>
      <c r="AF37" s="24"/>
      <c r="AG37" s="24"/>
      <c r="AH37" s="24"/>
      <c r="AI37" s="24"/>
      <c r="AJ37" s="24"/>
      <c r="AK37" s="24"/>
    </row>
    <row r="38" spans="1:37" ht="21" hidden="1" customHeight="1">
      <c r="F38" s="24"/>
      <c r="G38" s="24"/>
      <c r="H38" s="24"/>
      <c r="I38" s="24"/>
      <c r="J38" s="24"/>
      <c r="K38" s="24"/>
      <c r="L38" s="21"/>
      <c r="M38" s="24"/>
      <c r="N38" s="28"/>
      <c r="O38" s="29"/>
      <c r="P38" s="25"/>
      <c r="Q38" s="25"/>
      <c r="R38" s="25"/>
      <c r="S38" s="24"/>
      <c r="T38" s="25">
        <f>T35-T36</f>
        <v>249411058.05000001</v>
      </c>
      <c r="U38" s="30"/>
      <c r="V38" s="24"/>
      <c r="W38" s="31">
        <v>10311.677779999998</v>
      </c>
      <c r="X38" s="23">
        <v>92805.1</v>
      </c>
      <c r="Y38" s="23"/>
      <c r="Z38" s="23"/>
      <c r="AA38" s="23"/>
      <c r="AB38" s="30" t="e">
        <f>AB35-242474.6</f>
        <v>#REF!</v>
      </c>
      <c r="AC38" s="24"/>
      <c r="AD38" s="24"/>
      <c r="AE38" s="24"/>
      <c r="AF38" s="24"/>
      <c r="AG38" s="24"/>
      <c r="AH38" s="24"/>
      <c r="AI38" s="24"/>
      <c r="AJ38" s="24"/>
      <c r="AK38" s="24"/>
    </row>
    <row r="39" spans="1:37" ht="22.5" hidden="1" customHeight="1">
      <c r="F39" s="24"/>
      <c r="G39" s="24"/>
      <c r="H39" s="24"/>
      <c r="I39" s="24"/>
      <c r="J39" s="24"/>
      <c r="K39" s="24"/>
      <c r="L39" s="21"/>
      <c r="M39" s="24"/>
      <c r="N39" s="24"/>
      <c r="O39" s="32"/>
      <c r="P39" s="25">
        <f>P36-P35</f>
        <v>-172102159.81110999</v>
      </c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  <c r="AH39" s="24"/>
      <c r="AI39" s="24"/>
      <c r="AJ39" s="24"/>
      <c r="AK39" s="24"/>
    </row>
    <row r="40" spans="1:37" ht="30.75" hidden="1" customHeight="1">
      <c r="F40" s="24"/>
      <c r="G40" s="24"/>
      <c r="H40" s="24"/>
      <c r="I40" s="24"/>
      <c r="J40" s="24"/>
      <c r="K40" s="24"/>
      <c r="L40" s="21"/>
      <c r="M40" s="24"/>
      <c r="N40" s="24"/>
      <c r="O40" s="32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  <c r="AH40" s="24"/>
      <c r="AI40" s="24"/>
      <c r="AJ40" s="24"/>
      <c r="AK40" s="24"/>
    </row>
    <row r="41" spans="1:37" ht="7.5" hidden="1" customHeight="1">
      <c r="F41" s="24"/>
      <c r="G41" s="24"/>
      <c r="H41" s="24"/>
      <c r="I41" s="24"/>
      <c r="J41" s="24"/>
      <c r="K41" s="24"/>
      <c r="L41" s="21"/>
      <c r="M41" s="24"/>
      <c r="N41" s="24"/>
      <c r="O41" s="32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  <c r="AH41" s="24"/>
      <c r="AI41" s="24"/>
      <c r="AJ41" s="24"/>
      <c r="AK41" s="24"/>
    </row>
    <row r="42" spans="1:37" ht="18.75" hidden="1" customHeight="1">
      <c r="F42" s="24"/>
      <c r="G42" s="24"/>
      <c r="H42" s="24"/>
      <c r="I42" s="24"/>
      <c r="J42" s="24"/>
      <c r="K42" s="24"/>
      <c r="L42" s="21"/>
      <c r="M42" s="24"/>
      <c r="N42" s="33"/>
      <c r="O42" s="32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24"/>
      <c r="AH42" s="24"/>
      <c r="AI42" s="24"/>
      <c r="AJ42" s="24"/>
      <c r="AK42" s="24"/>
    </row>
    <row r="43" spans="1:37" ht="30.75" hidden="1" customHeight="1">
      <c r="F43" s="24"/>
      <c r="G43" s="24"/>
      <c r="H43" s="24"/>
      <c r="I43" s="24"/>
      <c r="J43" s="24"/>
      <c r="K43" s="24"/>
      <c r="L43" s="21"/>
      <c r="M43" s="24"/>
      <c r="N43" s="34"/>
      <c r="O43" s="32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  <c r="AE43" s="24"/>
      <c r="AF43" s="24"/>
      <c r="AG43" s="24"/>
      <c r="AH43" s="24"/>
      <c r="AI43" s="24"/>
      <c r="AJ43" s="24"/>
      <c r="AK43" s="24"/>
    </row>
    <row r="44" spans="1:37" ht="30.75" hidden="1" customHeight="1">
      <c r="F44" s="34"/>
      <c r="G44" s="34"/>
      <c r="H44" s="34"/>
      <c r="I44" s="24"/>
      <c r="J44" s="24"/>
      <c r="K44" s="24"/>
      <c r="L44" s="21"/>
      <c r="M44" s="24"/>
      <c r="N44" s="34"/>
      <c r="O44" s="32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  <c r="AD44" s="24"/>
      <c r="AE44" s="24"/>
      <c r="AF44" s="24"/>
      <c r="AG44" s="24"/>
      <c r="AH44" s="24"/>
      <c r="AI44" s="24"/>
      <c r="AJ44" s="24"/>
      <c r="AK44" s="24"/>
    </row>
    <row r="45" spans="1:37" ht="30.75" hidden="1" customHeight="1">
      <c r="F45" s="34"/>
      <c r="G45" s="34"/>
      <c r="H45" s="34"/>
      <c r="I45" s="24"/>
      <c r="J45" s="24"/>
      <c r="K45" s="24"/>
      <c r="L45" s="21"/>
      <c r="M45" s="24"/>
      <c r="N45" s="34"/>
      <c r="O45" s="32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24"/>
      <c r="AC45" s="24"/>
      <c r="AD45" s="24"/>
      <c r="AE45" s="24"/>
      <c r="AF45" s="24"/>
      <c r="AG45" s="24"/>
      <c r="AH45" s="24"/>
      <c r="AI45" s="24"/>
      <c r="AJ45" s="24"/>
      <c r="AK45" s="24"/>
    </row>
    <row r="46" spans="1:37" ht="25.5" hidden="1" customHeight="1">
      <c r="F46" s="34"/>
      <c r="G46" s="34"/>
      <c r="H46" s="34"/>
      <c r="I46" s="24"/>
      <c r="J46" s="24"/>
      <c r="K46" s="24"/>
      <c r="L46" s="21"/>
      <c r="M46" s="24"/>
      <c r="N46" s="24"/>
      <c r="O46" s="32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  <c r="AC46" s="24"/>
      <c r="AD46" s="24"/>
      <c r="AE46" s="24"/>
      <c r="AF46" s="24"/>
      <c r="AG46" s="24"/>
      <c r="AH46" s="24"/>
      <c r="AI46" s="24"/>
      <c r="AJ46" s="24"/>
      <c r="AK46" s="24"/>
    </row>
    <row r="47" spans="1:37" ht="45" hidden="1" customHeight="1">
      <c r="A47" s="35"/>
      <c r="F47" s="24"/>
      <c r="G47" s="24"/>
      <c r="H47" s="24"/>
      <c r="I47" s="24"/>
      <c r="J47" s="24"/>
      <c r="K47" s="24"/>
      <c r="L47" s="36">
        <v>31948625</v>
      </c>
      <c r="M47" s="37">
        <f>L35-L47</f>
        <v>5796973</v>
      </c>
      <c r="N47" s="24"/>
      <c r="O47" s="32"/>
      <c r="P47" s="24"/>
      <c r="Q47" s="24"/>
      <c r="R47" s="24"/>
      <c r="S47" s="24"/>
      <c r="T47" s="24"/>
      <c r="U47" s="39"/>
      <c r="V47" s="38">
        <f>ROUND(X47*V48/X48,2)</f>
        <v>106962068.97</v>
      </c>
      <c r="W47" s="40">
        <f>V47*0.13</f>
        <v>13905068.9661</v>
      </c>
      <c r="X47" s="41">
        <v>93057000</v>
      </c>
      <c r="Y47" s="39"/>
      <c r="Z47" s="39"/>
      <c r="AA47" s="39"/>
      <c r="AB47" s="39"/>
      <c r="AC47" s="39"/>
      <c r="AD47" s="39"/>
      <c r="AE47" s="39"/>
      <c r="AF47" s="38">
        <f>ROUND(AH47*AF48/AH48,2)</f>
        <v>109478823.53</v>
      </c>
      <c r="AG47" s="38">
        <f>AF47*0.14</f>
        <v>15327035.294200001</v>
      </c>
      <c r="AH47" s="42">
        <v>93057000</v>
      </c>
      <c r="AI47" s="39"/>
      <c r="AJ47" s="24"/>
      <c r="AK47" s="24"/>
    </row>
    <row r="48" spans="1:37" ht="24" hidden="1" customHeight="1">
      <c r="A48" s="35"/>
      <c r="F48" s="24"/>
      <c r="G48" s="24"/>
      <c r="H48" s="24"/>
      <c r="I48" s="24"/>
      <c r="J48" s="24"/>
      <c r="K48" s="24"/>
      <c r="L48" s="21"/>
      <c r="M48" s="37">
        <f>L47+M47</f>
        <v>37745598</v>
      </c>
      <c r="N48" s="24"/>
      <c r="O48" s="32"/>
      <c r="P48" s="24"/>
      <c r="Q48" s="24"/>
      <c r="R48" s="24"/>
      <c r="S48" s="37" t="e">
        <f>#REF!+#REF!</f>
        <v>#REF!</v>
      </c>
      <c r="T48" s="24"/>
      <c r="U48" s="39"/>
      <c r="V48" s="39">
        <v>100</v>
      </c>
      <c r="W48" s="43">
        <v>13</v>
      </c>
      <c r="X48" s="40">
        <v>87</v>
      </c>
      <c r="Y48" s="38"/>
      <c r="Z48" s="38"/>
      <c r="AA48" s="38"/>
      <c r="AB48" s="38"/>
      <c r="AC48" s="44"/>
      <c r="AD48" s="39"/>
      <c r="AE48" s="39"/>
      <c r="AF48" s="39">
        <v>100</v>
      </c>
      <c r="AG48" s="45">
        <v>15</v>
      </c>
      <c r="AH48" s="38">
        <v>85</v>
      </c>
      <c r="AI48" s="38"/>
      <c r="AJ48" s="46"/>
      <c r="AK48" s="24"/>
    </row>
    <row r="49" spans="1:37" ht="33" hidden="1" customHeight="1">
      <c r="A49" s="35"/>
      <c r="K49" s="47" t="s">
        <v>40</v>
      </c>
      <c r="L49" s="48">
        <v>350336283</v>
      </c>
      <c r="Q49" s="49">
        <f>Q35-Q48</f>
        <v>105254831.46000001</v>
      </c>
      <c r="U49" s="51"/>
      <c r="V49" s="50"/>
      <c r="W49" s="52"/>
      <c r="X49" s="53"/>
      <c r="AA49" s="47"/>
      <c r="AB49" s="54"/>
      <c r="AC49" s="53"/>
      <c r="AF49">
        <v>31948625</v>
      </c>
      <c r="AG49" s="53">
        <v>640397.06000000006</v>
      </c>
      <c r="AH49" s="53">
        <v>5763573.5099999998</v>
      </c>
      <c r="AJ49" s="55"/>
      <c r="AK49" s="56"/>
    </row>
    <row r="50" spans="1:37" ht="25.5" hidden="1" customHeight="1">
      <c r="K50" s="47" t="s">
        <v>42</v>
      </c>
      <c r="L50" s="48">
        <v>34948625</v>
      </c>
      <c r="T50" s="49">
        <f>T35+Q35+L35</f>
        <v>392673962.16000003</v>
      </c>
      <c r="U50" s="51"/>
      <c r="V50" s="50"/>
      <c r="W50" s="52"/>
      <c r="X50" s="53"/>
      <c r="AA50" s="47"/>
      <c r="AB50" s="57"/>
      <c r="AC50" s="58"/>
      <c r="AF50" s="49">
        <f>AF47-AF49</f>
        <v>77530198.530000001</v>
      </c>
      <c r="AG50" s="59">
        <f>AG47-AG49</f>
        <v>14686638.234200001</v>
      </c>
      <c r="AH50" s="49">
        <f>AH35-AH49</f>
        <v>87293426.489999995</v>
      </c>
      <c r="AJ50" s="60"/>
      <c r="AK50" s="38"/>
    </row>
    <row r="51" spans="1:37" ht="20.25" hidden="1" customHeight="1">
      <c r="K51" s="47" t="s">
        <v>43</v>
      </c>
      <c r="L51" s="48">
        <f>L49-L50</f>
        <v>315387658</v>
      </c>
      <c r="V51" s="50"/>
      <c r="W51" s="61"/>
      <c r="X51" s="61"/>
      <c r="AA51" s="47"/>
      <c r="AB51" s="57"/>
      <c r="AC51" s="49"/>
      <c r="AG51" s="59"/>
      <c r="AJ51" s="59"/>
    </row>
    <row r="52" spans="1:37" ht="25.5" hidden="1" customHeight="1">
      <c r="U52" s="116"/>
      <c r="V52" s="117"/>
      <c r="W52" s="62"/>
      <c r="X52" s="63"/>
      <c r="AC52" s="64"/>
      <c r="AJ52" s="65"/>
      <c r="AK52" s="66"/>
    </row>
    <row r="53" spans="1:37" ht="7.5" hidden="1" customHeight="1">
      <c r="V53" s="65"/>
      <c r="W53" s="49"/>
      <c r="AB53" s="49"/>
      <c r="AC53" s="49"/>
      <c r="AG53" s="59"/>
      <c r="AH53" s="59"/>
      <c r="AI53" s="59"/>
      <c r="AJ53" s="65"/>
      <c r="AK53" s="66"/>
    </row>
    <row r="54" spans="1:37" ht="7.5" hidden="1" customHeight="1">
      <c r="V54" s="65"/>
      <c r="W54" s="49"/>
      <c r="AJ54" s="65"/>
      <c r="AK54" s="66"/>
    </row>
    <row r="55" spans="1:37" ht="7.5" customHeight="1">
      <c r="V55" s="65"/>
      <c r="W55" s="49"/>
      <c r="AB55" s="65"/>
      <c r="AC55" s="35"/>
      <c r="AJ55" s="65"/>
      <c r="AK55" s="66"/>
    </row>
    <row r="56" spans="1:37" ht="7.5" customHeight="1">
      <c r="V56" s="65"/>
      <c r="W56" s="49"/>
      <c r="AB56" s="65"/>
      <c r="AC56" s="35"/>
      <c r="AJ56" s="65"/>
      <c r="AK56" s="66"/>
    </row>
    <row r="57" spans="1:37" ht="31.5" customHeight="1">
      <c r="R57" s="82"/>
      <c r="V57" s="65"/>
      <c r="W57" s="49"/>
      <c r="AB57" s="65"/>
      <c r="AC57" s="35"/>
      <c r="AJ57" s="65"/>
      <c r="AK57" s="66"/>
    </row>
    <row r="58" spans="1:37" ht="7.5" customHeight="1">
      <c r="V58" s="65"/>
      <c r="W58" s="49"/>
      <c r="AB58" s="65"/>
      <c r="AC58" s="35"/>
      <c r="AJ58" s="65"/>
      <c r="AK58" s="66"/>
    </row>
    <row r="59" spans="1:37" ht="48" customHeight="1">
      <c r="R59" s="49"/>
      <c r="S59" s="49"/>
      <c r="V59" s="65"/>
      <c r="W59" s="49"/>
      <c r="AB59" s="65"/>
      <c r="AC59" s="35"/>
      <c r="AJ59" s="65"/>
      <c r="AK59" s="66"/>
    </row>
    <row r="60" spans="1:37" ht="7.5" customHeight="1">
      <c r="V60" s="65"/>
      <c r="W60" s="49"/>
      <c r="AB60" s="65"/>
      <c r="AC60" s="35"/>
      <c r="AJ60" s="65"/>
      <c r="AK60" s="66"/>
    </row>
    <row r="61" spans="1:37" ht="7.5" customHeight="1">
      <c r="V61" s="65"/>
      <c r="W61" s="49"/>
      <c r="AB61" s="65"/>
      <c r="AC61" s="35"/>
      <c r="AJ61" s="65"/>
      <c r="AK61" s="66"/>
    </row>
    <row r="62" spans="1:37" ht="7.5" customHeight="1">
      <c r="V62" s="65"/>
      <c r="W62" s="49"/>
      <c r="AB62" s="65"/>
      <c r="AC62" s="35"/>
      <c r="AJ62" s="65"/>
      <c r="AK62" s="66"/>
    </row>
    <row r="63" spans="1:37" ht="7.5" customHeight="1">
      <c r="V63" s="65"/>
      <c r="W63" s="49"/>
      <c r="AB63" s="65"/>
      <c r="AC63" s="35"/>
      <c r="AJ63" s="65"/>
      <c r="AK63" s="66"/>
    </row>
    <row r="64" spans="1:37" ht="7.5" customHeight="1">
      <c r="V64" s="65"/>
      <c r="W64" s="49"/>
      <c r="AB64" s="65"/>
      <c r="AC64" s="35"/>
      <c r="AJ64" s="65"/>
      <c r="AK64" s="66"/>
    </row>
    <row r="65" spans="22:37" ht="7.5" customHeight="1">
      <c r="V65" s="65"/>
      <c r="W65" s="49"/>
      <c r="AB65" s="65"/>
      <c r="AC65" s="35"/>
      <c r="AJ65" s="65"/>
      <c r="AK65" s="66"/>
    </row>
    <row r="66" spans="22:37" ht="7.5" customHeight="1">
      <c r="V66" s="65"/>
      <c r="W66" s="49"/>
      <c r="AB66" s="65"/>
      <c r="AC66" s="35"/>
      <c r="AJ66" s="65"/>
      <c r="AK66" s="66"/>
    </row>
    <row r="67" spans="22:37" ht="7.5" customHeight="1">
      <c r="V67" s="65"/>
      <c r="W67" s="49"/>
      <c r="AB67" s="65"/>
      <c r="AC67" s="35"/>
      <c r="AJ67" s="65"/>
      <c r="AK67" s="66"/>
    </row>
    <row r="68" spans="22:37" ht="7.5" customHeight="1">
      <c r="V68" s="65"/>
      <c r="W68" s="49"/>
      <c r="AB68" s="65"/>
      <c r="AC68" s="35"/>
      <c r="AJ68" s="65"/>
      <c r="AK68" s="66"/>
    </row>
    <row r="69" spans="22:37" ht="7.5" customHeight="1">
      <c r="V69" s="65"/>
      <c r="W69" s="49"/>
      <c r="AB69" s="65"/>
      <c r="AC69" s="35"/>
      <c r="AJ69" s="65"/>
      <c r="AK69" s="66"/>
    </row>
    <row r="70" spans="22:37" ht="7.5" customHeight="1">
      <c r="V70" s="65"/>
      <c r="W70" s="49"/>
      <c r="AB70" s="65"/>
      <c r="AC70" s="35"/>
      <c r="AJ70" s="65"/>
      <c r="AK70" s="66"/>
    </row>
    <row r="71" spans="22:37" ht="7.5" customHeight="1">
      <c r="V71" s="65"/>
      <c r="W71" s="49"/>
      <c r="AB71" s="65"/>
      <c r="AC71" s="35"/>
      <c r="AJ71" s="65"/>
      <c r="AK71" s="66"/>
    </row>
    <row r="72" spans="22:37" ht="7.5" customHeight="1">
      <c r="V72" s="65"/>
      <c r="W72" s="49"/>
      <c r="AB72" s="65"/>
      <c r="AC72" s="35"/>
      <c r="AJ72" s="65"/>
      <c r="AK72" s="66"/>
    </row>
    <row r="73" spans="22:37" ht="7.5" customHeight="1">
      <c r="V73" s="65"/>
      <c r="W73" s="49"/>
      <c r="AB73" s="65"/>
      <c r="AC73" s="35"/>
      <c r="AJ73" s="65"/>
      <c r="AK73" s="66"/>
    </row>
    <row r="74" spans="22:37" ht="7.5" customHeight="1">
      <c r="AB74" s="65"/>
      <c r="AC74" s="35"/>
      <c r="AJ74" s="65"/>
      <c r="AK74" s="66"/>
    </row>
    <row r="75" spans="22:37" ht="7.5" customHeight="1">
      <c r="AB75" s="65"/>
      <c r="AC75" s="35"/>
      <c r="AJ75" s="65"/>
      <c r="AK75" s="66"/>
    </row>
    <row r="76" spans="22:37" ht="7.5" customHeight="1">
      <c r="AB76" s="65"/>
      <c r="AC76" s="35"/>
      <c r="AJ76" s="65"/>
      <c r="AK76" s="66"/>
    </row>
    <row r="77" spans="22:37" ht="7.5" customHeight="1">
      <c r="AB77" s="65"/>
      <c r="AC77" s="35"/>
      <c r="AJ77" s="65"/>
      <c r="AK77" s="66"/>
    </row>
    <row r="78" spans="22:37" ht="7.5" customHeight="1">
      <c r="AB78" s="65"/>
      <c r="AC78" s="35"/>
    </row>
    <row r="79" spans="22:37" ht="7.5" customHeight="1">
      <c r="AB79" s="65"/>
      <c r="AC79" s="35"/>
    </row>
  </sheetData>
  <mergeCells count="32">
    <mergeCell ref="F2:S2"/>
    <mergeCell ref="N1:T1"/>
    <mergeCell ref="A5:A7"/>
    <mergeCell ref="F5:F7"/>
    <mergeCell ref="G5:G7"/>
    <mergeCell ref="H5:H7"/>
    <mergeCell ref="I5:I7"/>
    <mergeCell ref="J5:J7"/>
    <mergeCell ref="K5:K7"/>
    <mergeCell ref="L5:L7"/>
    <mergeCell ref="M5:M7"/>
    <mergeCell ref="N5:N7"/>
    <mergeCell ref="O5:O7"/>
    <mergeCell ref="P5:P7"/>
    <mergeCell ref="Q6:Q7"/>
    <mergeCell ref="U52:V52"/>
    <mergeCell ref="AD6:AD7"/>
    <mergeCell ref="AF6:AF7"/>
    <mergeCell ref="T6:T7"/>
    <mergeCell ref="U6:U7"/>
    <mergeCell ref="AE6:AE7"/>
    <mergeCell ref="AD5:AK5"/>
    <mergeCell ref="R6:S6"/>
    <mergeCell ref="V6:V7"/>
    <mergeCell ref="W6:X6"/>
    <mergeCell ref="AB6:AB7"/>
    <mergeCell ref="AC6:AC7"/>
    <mergeCell ref="AK6:AK7"/>
    <mergeCell ref="R5:T5"/>
    <mergeCell ref="U5:AC5"/>
    <mergeCell ref="AG6:AH6"/>
    <mergeCell ref="AJ6:AJ7"/>
  </mergeCells>
  <pageMargins left="0.35433070866141736" right="0.55118110236220474" top="0.70866141732283472" bottom="0.51181102362204722" header="0.31496062992125984" footer="0.31496062992125984"/>
  <pageSetup paperSize="9" scale="27" fitToWidth="0" fitToHeight="0" orientation="landscape" r:id="rId1"/>
  <headerFooter alignWithMargins="0">
    <oddFooter>&amp;C&amp;P</oddFooter>
  </headerFooter>
  <colBreaks count="1" manualBreakCount="1">
    <brk id="20" max="3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 2025-2027</vt:lpstr>
      <vt:lpstr>' 2025-2027'!Заголовки_для_печати</vt:lpstr>
      <vt:lpstr>' 2025-2027'!Область_печати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Латухин Александр Викторович</dc:creator>
  <cp:lastModifiedBy>minfin user</cp:lastModifiedBy>
  <cp:lastPrinted>2024-10-30T09:08:05Z</cp:lastPrinted>
  <dcterms:created xsi:type="dcterms:W3CDTF">2024-10-25T06:25:59Z</dcterms:created>
  <dcterms:modified xsi:type="dcterms:W3CDTF">2024-10-30T09:08:13Z</dcterms:modified>
</cp:coreProperties>
</file>