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30" yWindow="0" windowWidth="7470" windowHeight="3930"/>
  </bookViews>
  <sheets>
    <sheet name="2025-2027" sheetId="8" r:id="rId1"/>
  </sheets>
  <definedNames>
    <definedName name="_xlnm.Print_Area" localSheetId="0">'2025-2027'!$A$1:$AD$35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8"/>
  <c r="P8" l="1"/>
  <c r="P32"/>
  <c r="S8"/>
  <c r="T8" s="1"/>
  <c r="Q32" l="1"/>
  <c r="R32"/>
  <c r="U8"/>
  <c r="P31"/>
  <c r="S30"/>
  <c r="U30" l="1"/>
  <c r="T30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3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1"/>
  <c r="S32"/>
  <c r="U32" s="1"/>
  <c r="S33"/>
  <c r="U33" s="1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X32" l="1"/>
  <c r="W32"/>
  <c r="X30"/>
  <c r="W30"/>
  <c r="X28"/>
  <c r="W28"/>
  <c r="X26"/>
  <c r="W26"/>
  <c r="X24"/>
  <c r="W24"/>
  <c r="X22"/>
  <c r="W22"/>
  <c r="X20"/>
  <c r="W20"/>
  <c r="X18"/>
  <c r="W18"/>
  <c r="X16"/>
  <c r="W16"/>
  <c r="X14"/>
  <c r="W14"/>
  <c r="X12"/>
  <c r="W12"/>
  <c r="X10"/>
  <c r="W10"/>
  <c r="T33"/>
  <c r="T31"/>
  <c r="U31"/>
  <c r="U28"/>
  <c r="T28"/>
  <c r="U26"/>
  <c r="T26"/>
  <c r="U24"/>
  <c r="T24"/>
  <c r="U22"/>
  <c r="T22"/>
  <c r="U20"/>
  <c r="T20"/>
  <c r="U18"/>
  <c r="T18"/>
  <c r="U16"/>
  <c r="T16"/>
  <c r="U14"/>
  <c r="T14"/>
  <c r="U12"/>
  <c r="T12"/>
  <c r="U10"/>
  <c r="T10"/>
  <c r="X33"/>
  <c r="W33"/>
  <c r="X31"/>
  <c r="W31"/>
  <c r="X29"/>
  <c r="W29"/>
  <c r="X27"/>
  <c r="W27"/>
  <c r="X25"/>
  <c r="W25"/>
  <c r="X23"/>
  <c r="W23"/>
  <c r="X21"/>
  <c r="W21"/>
  <c r="X19"/>
  <c r="W19"/>
  <c r="X17"/>
  <c r="W17"/>
  <c r="X15"/>
  <c r="W15"/>
  <c r="X13"/>
  <c r="W13"/>
  <c r="X11"/>
  <c r="W11"/>
  <c r="X9"/>
  <c r="W9"/>
  <c r="T32"/>
  <c r="T29"/>
  <c r="U29"/>
  <c r="T27"/>
  <c r="U27"/>
  <c r="T25"/>
  <c r="U25"/>
  <c r="T23"/>
  <c r="U23"/>
  <c r="T21"/>
  <c r="U21"/>
  <c r="T19"/>
  <c r="U19"/>
  <c r="T17"/>
  <c r="U17"/>
  <c r="T15"/>
  <c r="U15"/>
  <c r="T13"/>
  <c r="U13"/>
  <c r="T11"/>
  <c r="U11"/>
  <c r="T9"/>
  <c r="U9"/>
  <c r="V8"/>
  <c r="W8" l="1"/>
  <c r="X8"/>
  <c r="F34"/>
  <c r="I34"/>
  <c r="H34"/>
  <c r="G34"/>
  <c r="E34"/>
  <c r="C34"/>
  <c r="B34"/>
  <c r="AB32"/>
  <c r="Y32"/>
  <c r="M32"/>
  <c r="O32" s="1"/>
  <c r="J32"/>
  <c r="D32"/>
  <c r="AB31"/>
  <c r="Y31"/>
  <c r="M31"/>
  <c r="O31" s="1"/>
  <c r="J31"/>
  <c r="D31"/>
  <c r="AB30"/>
  <c r="Y30"/>
  <c r="M30"/>
  <c r="O30" s="1"/>
  <c r="J30"/>
  <c r="D30"/>
  <c r="AB29"/>
  <c r="Y29"/>
  <c r="M29"/>
  <c r="O29" s="1"/>
  <c r="J29"/>
  <c r="D29"/>
  <c r="M28"/>
  <c r="O28" s="1"/>
  <c r="J28"/>
  <c r="D28"/>
  <c r="AB27"/>
  <c r="Y27"/>
  <c r="M27"/>
  <c r="O27" s="1"/>
  <c r="J27"/>
  <c r="D27"/>
  <c r="AB26"/>
  <c r="Y26"/>
  <c r="M26"/>
  <c r="O26" s="1"/>
  <c r="J26"/>
  <c r="D26"/>
  <c r="AB25"/>
  <c r="Y25"/>
  <c r="M25"/>
  <c r="O25" s="1"/>
  <c r="J25"/>
  <c r="D25"/>
  <c r="AB24"/>
  <c r="Y24"/>
  <c r="M24"/>
  <c r="O24" s="1"/>
  <c r="J24"/>
  <c r="D24"/>
  <c r="AB23"/>
  <c r="Y23"/>
  <c r="M23"/>
  <c r="O23" s="1"/>
  <c r="J23"/>
  <c r="D23"/>
  <c r="AB22"/>
  <c r="Y22"/>
  <c r="M22"/>
  <c r="O22" s="1"/>
  <c r="J22"/>
  <c r="D22"/>
  <c r="AB21"/>
  <c r="Y21"/>
  <c r="M21"/>
  <c r="O21" s="1"/>
  <c r="J21"/>
  <c r="D21"/>
  <c r="AB20"/>
  <c r="Y20"/>
  <c r="M20"/>
  <c r="J20"/>
  <c r="D20"/>
  <c r="AB19"/>
  <c r="Y19"/>
  <c r="M19"/>
  <c r="N19" s="1"/>
  <c r="J19"/>
  <c r="D19"/>
  <c r="AB18"/>
  <c r="Y18"/>
  <c r="M18"/>
  <c r="N18" s="1"/>
  <c r="J18"/>
  <c r="D18"/>
  <c r="AB17"/>
  <c r="Y17"/>
  <c r="M17"/>
  <c r="O17" s="1"/>
  <c r="J17"/>
  <c r="D17"/>
  <c r="AB16"/>
  <c r="Y16"/>
  <c r="M16"/>
  <c r="O16" s="1"/>
  <c r="J16"/>
  <c r="D16"/>
  <c r="AB15"/>
  <c r="Y15"/>
  <c r="M15"/>
  <c r="O15" s="1"/>
  <c r="J15"/>
  <c r="D15"/>
  <c r="AB14"/>
  <c r="Y14"/>
  <c r="O14"/>
  <c r="N14"/>
  <c r="J14"/>
  <c r="D14"/>
  <c r="AB13"/>
  <c r="Y13"/>
  <c r="M13"/>
  <c r="O13" s="1"/>
  <c r="J13"/>
  <c r="D13"/>
  <c r="AB12"/>
  <c r="Y12"/>
  <c r="M12"/>
  <c r="O12" s="1"/>
  <c r="J12"/>
  <c r="D12"/>
  <c r="AB11"/>
  <c r="Y11"/>
  <c r="M11"/>
  <c r="O11" s="1"/>
  <c r="J11"/>
  <c r="D11"/>
  <c r="AB10"/>
  <c r="Y10"/>
  <c r="M10"/>
  <c r="O10" s="1"/>
  <c r="J10"/>
  <c r="D10"/>
  <c r="AB9"/>
  <c r="Y9"/>
  <c r="M9"/>
  <c r="O9" s="1"/>
  <c r="J9"/>
  <c r="D9"/>
  <c r="AB8"/>
  <c r="Y8"/>
  <c r="V34"/>
  <c r="M8"/>
  <c r="N8" s="1"/>
  <c r="J8"/>
  <c r="D8"/>
  <c r="AC6"/>
  <c r="AD6" s="1"/>
  <c r="Z6"/>
  <c r="K6"/>
  <c r="J34" l="1"/>
  <c r="J35" s="1"/>
  <c r="Y34"/>
  <c r="Y35" s="1"/>
  <c r="Z13"/>
  <c r="K17"/>
  <c r="L17" s="1"/>
  <c r="AC19"/>
  <c r="AD19" s="1"/>
  <c r="D34"/>
  <c r="M34"/>
  <c r="AB34"/>
  <c r="AB35" s="1"/>
  <c r="S34"/>
  <c r="AA6"/>
  <c r="N16"/>
  <c r="O18"/>
  <c r="N29"/>
  <c r="N30"/>
  <c r="N15"/>
  <c r="N17"/>
  <c r="O19"/>
  <c r="N31"/>
  <c r="N32"/>
  <c r="AA13"/>
  <c r="Q13"/>
  <c r="R13"/>
  <c r="Z8"/>
  <c r="N9"/>
  <c r="Z9"/>
  <c r="AA9" s="1"/>
  <c r="N10"/>
  <c r="Z10"/>
  <c r="AA10" s="1"/>
  <c r="N11"/>
  <c r="Z11"/>
  <c r="AA11" s="1"/>
  <c r="N12"/>
  <c r="Z12"/>
  <c r="AA12" s="1"/>
  <c r="N13"/>
  <c r="AC14"/>
  <c r="AD14" s="1"/>
  <c r="K15"/>
  <c r="L15" s="1"/>
  <c r="AC15"/>
  <c r="AD15" s="1"/>
  <c r="K16"/>
  <c r="L16" s="1"/>
  <c r="AC16"/>
  <c r="AD16" s="1"/>
  <c r="AC17"/>
  <c r="AC18"/>
  <c r="AD18" s="1"/>
  <c r="O20"/>
  <c r="N20"/>
  <c r="K32"/>
  <c r="L32" s="1"/>
  <c r="K31"/>
  <c r="L31" s="1"/>
  <c r="K30"/>
  <c r="L30" s="1"/>
  <c r="K29"/>
  <c r="L29" s="1"/>
  <c r="K28"/>
  <c r="L28" s="1"/>
  <c r="K27"/>
  <c r="L27" s="1"/>
  <c r="K26"/>
  <c r="K25"/>
  <c r="L25" s="1"/>
  <c r="K24"/>
  <c r="L24" s="1"/>
  <c r="K23"/>
  <c r="L23" s="1"/>
  <c r="K22"/>
  <c r="L22" s="1"/>
  <c r="K21"/>
  <c r="L21" s="1"/>
  <c r="L6"/>
  <c r="Z31"/>
  <c r="AA31" s="1"/>
  <c r="Z29"/>
  <c r="Z32"/>
  <c r="AA32" s="1"/>
  <c r="Z30"/>
  <c r="Z27"/>
  <c r="AA27" s="1"/>
  <c r="Z26"/>
  <c r="AA26" s="1"/>
  <c r="Z25"/>
  <c r="AA25" s="1"/>
  <c r="Z24"/>
  <c r="AA24" s="1"/>
  <c r="Z23"/>
  <c r="AA23" s="1"/>
  <c r="Z22"/>
  <c r="AA22" s="1"/>
  <c r="Z21"/>
  <c r="AA21" s="1"/>
  <c r="Z20"/>
  <c r="AA20" s="1"/>
  <c r="Z19"/>
  <c r="AA19" s="1"/>
  <c r="Z18"/>
  <c r="AA18" s="1"/>
  <c r="AC32"/>
  <c r="AD32" s="1"/>
  <c r="AC31"/>
  <c r="AD31" s="1"/>
  <c r="AC30"/>
  <c r="AD30" s="1"/>
  <c r="AC29"/>
  <c r="AD29" s="1"/>
  <c r="AC27"/>
  <c r="AD27" s="1"/>
  <c r="AC26"/>
  <c r="AD26" s="1"/>
  <c r="AC25"/>
  <c r="AD25" s="1"/>
  <c r="AC24"/>
  <c r="AC23"/>
  <c r="AD23" s="1"/>
  <c r="AC22"/>
  <c r="AD22" s="1"/>
  <c r="AC21"/>
  <c r="AD21" s="1"/>
  <c r="AC20"/>
  <c r="AD20" s="1"/>
  <c r="K8"/>
  <c r="O8"/>
  <c r="U34"/>
  <c r="W34"/>
  <c r="AA8"/>
  <c r="AC8"/>
  <c r="K9"/>
  <c r="L9" s="1"/>
  <c r="AC9"/>
  <c r="AD9" s="1"/>
  <c r="K10"/>
  <c r="L10" s="1"/>
  <c r="AC10"/>
  <c r="AD10" s="1"/>
  <c r="K11"/>
  <c r="L11" s="1"/>
  <c r="AC11"/>
  <c r="AD11" s="1"/>
  <c r="K12"/>
  <c r="L12" s="1"/>
  <c r="AC12"/>
  <c r="AD12" s="1"/>
  <c r="K13"/>
  <c r="L13" s="1"/>
  <c r="AC13"/>
  <c r="AD13" s="1"/>
  <c r="K14"/>
  <c r="L14" s="1"/>
  <c r="Z14"/>
  <c r="AA14" s="1"/>
  <c r="Z15"/>
  <c r="AA15" s="1"/>
  <c r="Z16"/>
  <c r="AA16" s="1"/>
  <c r="Z17"/>
  <c r="AA17" s="1"/>
  <c r="AD17"/>
  <c r="K18"/>
  <c r="L18" s="1"/>
  <c r="K19"/>
  <c r="L19" s="1"/>
  <c r="K20"/>
  <c r="L20" s="1"/>
  <c r="AD24"/>
  <c r="L26"/>
  <c r="N21"/>
  <c r="N22"/>
  <c r="N23"/>
  <c r="N24"/>
  <c r="N25"/>
  <c r="N26"/>
  <c r="N27"/>
  <c r="N28"/>
  <c r="AA29"/>
  <c r="AA30"/>
  <c r="W35" l="1"/>
  <c r="U35"/>
  <c r="O34"/>
  <c r="N34"/>
  <c r="T34"/>
  <c r="R17"/>
  <c r="Q17"/>
  <c r="R16"/>
  <c r="Q16"/>
  <c r="R15"/>
  <c r="Q15"/>
  <c r="R14"/>
  <c r="Q14"/>
  <c r="AC34"/>
  <c r="AC35" s="1"/>
  <c r="R18"/>
  <c r="Q18"/>
  <c r="Q20"/>
  <c r="R20"/>
  <c r="Q22"/>
  <c r="R22"/>
  <c r="Q24"/>
  <c r="R24"/>
  <c r="Q26"/>
  <c r="R26"/>
  <c r="Q29"/>
  <c r="R29"/>
  <c r="Q28"/>
  <c r="R28"/>
  <c r="Q12"/>
  <c r="R12"/>
  <c r="Q11"/>
  <c r="R11"/>
  <c r="Q10"/>
  <c r="R10"/>
  <c r="Q9"/>
  <c r="R9"/>
  <c r="AD8"/>
  <c r="X34"/>
  <c r="K34"/>
  <c r="K35" s="1"/>
  <c r="P34"/>
  <c r="Q8"/>
  <c r="R8"/>
  <c r="L8"/>
  <c r="L34" s="1"/>
  <c r="L35" s="1"/>
  <c r="R19"/>
  <c r="Q19"/>
  <c r="Q21"/>
  <c r="R21"/>
  <c r="Q23"/>
  <c r="R23"/>
  <c r="Q25"/>
  <c r="R25"/>
  <c r="Q27"/>
  <c r="R27"/>
  <c r="Q31"/>
  <c r="R31"/>
  <c r="Q30"/>
  <c r="R30"/>
  <c r="R33"/>
  <c r="Q33"/>
  <c r="Z34"/>
  <c r="Z35" s="1"/>
  <c r="X35" l="1"/>
  <c r="T35"/>
  <c r="Q34"/>
  <c r="AD34"/>
  <c r="AD35" s="1"/>
  <c r="AA34"/>
  <c r="AA35" s="1"/>
  <c r="R34"/>
  <c r="R35" l="1"/>
  <c r="Q35"/>
</calcChain>
</file>

<file path=xl/sharedStrings.xml><?xml version="1.0" encoding="utf-8"?>
<sst xmlns="http://schemas.openxmlformats.org/spreadsheetml/2006/main" count="63" uniqueCount="53">
  <si>
    <t>Наименование МО</t>
  </si>
  <si>
    <t xml:space="preserve">город </t>
  </si>
  <si>
    <t xml:space="preserve">село </t>
  </si>
  <si>
    <t>ВСЕГО</t>
  </si>
  <si>
    <t xml:space="preserve"> 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</si>
  <si>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</si>
  <si>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</si>
  <si>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</si>
  <si>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</si>
  <si>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</si>
  <si>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</si>
  <si>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</si>
  <si>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 xml:space="preserve"> МО "Ленский муниципальный район"</t>
  </si>
  <si>
    <t xml:space="preserve"> МО "Лешуконский муниципальный район"</t>
  </si>
  <si>
    <t xml:space="preserve"> МО "Мезенский муниципальный район"</t>
  </si>
  <si>
    <t xml:space="preserve"> МО "Няндомский муниципальный район"</t>
  </si>
  <si>
    <t xml:space="preserve"> МО "Пинежский муниципальный район"</t>
  </si>
  <si>
    <t xml:space="preserve"> МО "Плесецкий муниципальный район"</t>
  </si>
  <si>
    <t xml:space="preserve"> МО "Приморский муниципальный район"</t>
  </si>
  <si>
    <t xml:space="preserve"> МО "Устьянский муниципальный район"</t>
  </si>
  <si>
    <t xml:space="preserve"> МО "Холмогорский муниципальный район"</t>
  </si>
  <si>
    <t xml:space="preserve"> МО "Шенкурский муниципальный район"</t>
  </si>
  <si>
    <t xml:space="preserve"> МО "Город Архангельск"</t>
  </si>
  <si>
    <t xml:space="preserve"> МО "Котлас"</t>
  </si>
  <si>
    <t xml:space="preserve"> МО "Северодвинск"</t>
  </si>
  <si>
    <t>МО "Город Новодвинск"</t>
  </si>
  <si>
    <t>МО "Коряжма"</t>
  </si>
  <si>
    <t>МО " Мирный"</t>
  </si>
  <si>
    <t>ФБ</t>
  </si>
  <si>
    <t>ОБ</t>
  </si>
  <si>
    <t xml:space="preserve">ФБ </t>
  </si>
  <si>
    <t>софинансир.</t>
  </si>
  <si>
    <t>всего</t>
  </si>
  <si>
    <t>2023 год</t>
  </si>
  <si>
    <t>2024 год</t>
  </si>
  <si>
    <t>2025 год</t>
  </si>
  <si>
    <t>нераспределенный</t>
  </si>
  <si>
    <t>Число общеобразовательных организаций (юр.лиц), ед.</t>
  </si>
  <si>
    <t>ФБ (98%)</t>
  </si>
  <si>
    <t>ОБ (2%)</t>
  </si>
  <si>
    <t>справочно</t>
  </si>
  <si>
    <t>12=(61857*гр.7*1,302*12мес.)/2</t>
  </si>
  <si>
    <t>ФБ (85%)</t>
  </si>
  <si>
    <t>ОБ (15%)</t>
  </si>
  <si>
    <t>ФБ (83%)</t>
  </si>
  <si>
    <t>ОБ (17%)</t>
  </si>
  <si>
    <t>15=(61857*гр.8*1,302*12мес.)/2</t>
  </si>
  <si>
    <t>9=(51709*гр.6*1,302*12мес.)/2</t>
  </si>
  <si>
    <t xml:space="preserve"> МО "Онежский муниципальный округ"</t>
  </si>
  <si>
    <t>ИТОГО</t>
  </si>
  <si>
    <t>Количество образовательных организаций, в которых приняты советники, ед.</t>
  </si>
  <si>
    <t>Сумма, рублей</t>
  </si>
  <si>
    <t>Расчет субвенций местным бюджетам на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 Архангельской области на 2025-2027 годы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</si>
</sst>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4" fontId="3" fillId="0" borderId="10" xfId="0" applyNumberFormat="1" applyFont="1" applyFill="1" applyBorder="1"/>
    <xf numFmtId="4" fontId="4" fillId="0" borderId="10" xfId="0" applyNumberFormat="1" applyFont="1" applyFill="1" applyBorder="1"/>
    <xf numFmtId="0" fontId="6" fillId="0" borderId="0" xfId="0" applyFont="1" applyFill="1" applyBorder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2" fillId="0" borderId="10" xfId="0" applyFont="1" applyFill="1" applyBorder="1" applyAlignment="1">
      <alignment wrapText="1"/>
    </xf>
    <xf numFmtId="3" fontId="7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0" xfId="0" applyFont="1" applyFill="1" applyBorder="1" applyAlignment="1">
      <alignment horizontal="center"/>
    </xf>
    <xf numFmtId="3" fontId="7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" fontId="3" fillId="0" borderId="12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/>
    </xf>
    <xf numFmtId="164" fontId="4" fillId="0" borderId="10" xfId="1" applyFont="1" applyFill="1" applyBorder="1"/>
    <xf numFmtId="3" fontId="7" fillId="0" borderId="9" xfId="0" applyNumberFormat="1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 wrapText="1"/>
    </xf>
    <xf numFmtId="3" fontId="8" fillId="0" borderId="10" xfId="1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4" fontId="2" fillId="0" borderId="10" xfId="0" applyNumberFormat="1" applyFont="1" applyFill="1" applyBorder="1" applyAlignment="1">
      <alignment horizontal="right" wrapText="1"/>
    </xf>
    <xf numFmtId="164" fontId="3" fillId="0" borderId="10" xfId="1" applyFont="1" applyFill="1" applyBorder="1" applyAlignment="1">
      <alignment horizontal="center"/>
    </xf>
    <xf numFmtId="165" fontId="3" fillId="0" borderId="10" xfId="1" applyNumberFormat="1" applyFont="1" applyFill="1" applyBorder="1" applyAlignment="1">
      <alignment horizontal="center" vertical="center"/>
    </xf>
    <xf numFmtId="43" fontId="3" fillId="0" borderId="10" xfId="0" applyNumberFormat="1" applyFont="1" applyFill="1" applyBorder="1"/>
    <xf numFmtId="0" fontId="4" fillId="0" borderId="0" xfId="0" applyFont="1" applyFill="1"/>
    <xf numFmtId="4" fontId="4" fillId="0" borderId="0" xfId="0" applyNumberFormat="1" applyFont="1" applyFill="1"/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/>
    <xf numFmtId="10" fontId="3" fillId="0" borderId="0" xfId="0" applyNumberFormat="1" applyFont="1" applyFill="1" applyAlignment="1">
      <alignment horizontal="center"/>
    </xf>
    <xf numFmtId="4" fontId="6" fillId="0" borderId="0" xfId="0" applyNumberFormat="1" applyFont="1" applyFill="1"/>
    <xf numFmtId="4" fontId="3" fillId="0" borderId="0" xfId="0" applyNumberFormat="1" applyFont="1" applyFill="1"/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9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/>
    </xf>
    <xf numFmtId="4" fontId="3" fillId="0" borderId="12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5"/>
  <sheetViews>
    <sheetView tabSelected="1" view="pageBreakPreview" zoomScale="90" zoomScaleNormal="100" zoomScaleSheetLayoutView="90" workbookViewId="0">
      <pane xSplit="15" ySplit="7" topLeftCell="P8" activePane="bottomRight" state="frozen"/>
      <selection pane="topRight" activeCell="P1" sqref="P1"/>
      <selection pane="bottomLeft" activeCell="A8" sqref="A8"/>
      <selection pane="bottomRight" activeCell="P7" sqref="P7"/>
    </sheetView>
  </sheetViews>
  <sheetFormatPr defaultRowHeight="15"/>
  <cols>
    <col min="1" max="1" width="30.28515625" style="15" customWidth="1"/>
    <col min="2" max="2" width="6.5703125" style="15" hidden="1" customWidth="1"/>
    <col min="3" max="3" width="6.85546875" style="15" hidden="1" customWidth="1"/>
    <col min="4" max="4" width="7.140625" style="15" hidden="1" customWidth="1"/>
    <col min="5" max="6" width="7.7109375" style="15" hidden="1" customWidth="1"/>
    <col min="7" max="7" width="7.5703125" style="15" customWidth="1"/>
    <col min="8" max="9" width="7.28515625" style="15" customWidth="1"/>
    <col min="10" max="10" width="15.5703125" style="44" hidden="1" customWidth="1"/>
    <col min="11" max="11" width="14.140625" style="44" hidden="1" customWidth="1"/>
    <col min="12" max="12" width="15" style="44" hidden="1" customWidth="1"/>
    <col min="13" max="15" width="17.7109375" style="15" hidden="1" customWidth="1"/>
    <col min="16" max="18" width="19.42578125" style="15" customWidth="1"/>
    <col min="19" max="21" width="19.5703125" style="15" customWidth="1"/>
    <col min="22" max="23" width="22.5703125" style="15" customWidth="1"/>
    <col min="24" max="24" width="19.5703125" style="15" customWidth="1"/>
    <col min="25" max="25" width="18.28515625" style="15" hidden="1" customWidth="1"/>
    <col min="26" max="26" width="15.7109375" style="15" hidden="1" customWidth="1"/>
    <col min="27" max="27" width="15.140625" style="15" hidden="1" customWidth="1"/>
    <col min="28" max="28" width="19" style="15" hidden="1" customWidth="1"/>
    <col min="29" max="29" width="15" style="15" hidden="1" customWidth="1"/>
    <col min="30" max="30" width="15.28515625" style="15" hidden="1" customWidth="1"/>
    <col min="31" max="16384" width="9.140625" style="15"/>
  </cols>
  <sheetData>
    <row r="1" spans="1:30">
      <c r="A1" s="60" t="s">
        <v>52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30" ht="23.2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30" ht="21" customHeight="1">
      <c r="A3" s="61" t="s">
        <v>0</v>
      </c>
      <c r="B3" s="64" t="s">
        <v>37</v>
      </c>
      <c r="C3" s="65"/>
      <c r="D3" s="66"/>
      <c r="E3" s="72" t="s">
        <v>50</v>
      </c>
      <c r="F3" s="72"/>
      <c r="G3" s="72"/>
      <c r="H3" s="72"/>
      <c r="I3" s="72"/>
      <c r="J3" s="70">
        <v>23112959.18</v>
      </c>
      <c r="K3" s="71"/>
      <c r="L3" s="16"/>
      <c r="M3" s="57" t="s">
        <v>51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8">
        <v>111123367.34999999</v>
      </c>
      <c r="Z3" s="53"/>
      <c r="AA3" s="17"/>
      <c r="AB3" s="53">
        <v>111123367.34999999</v>
      </c>
      <c r="AC3" s="53"/>
    </row>
    <row r="4" spans="1:30" ht="30" customHeight="1">
      <c r="A4" s="62"/>
      <c r="B4" s="67"/>
      <c r="C4" s="68"/>
      <c r="D4" s="69"/>
      <c r="E4" s="72"/>
      <c r="F4" s="72"/>
      <c r="G4" s="72"/>
      <c r="H4" s="72"/>
      <c r="I4" s="72"/>
      <c r="J4" s="18" t="s">
        <v>30</v>
      </c>
      <c r="K4" s="19" t="s">
        <v>31</v>
      </c>
      <c r="L4" s="54" t="s">
        <v>32</v>
      </c>
      <c r="M4" s="51">
        <v>2023</v>
      </c>
      <c r="N4" s="56"/>
      <c r="O4" s="52"/>
      <c r="P4" s="51">
        <v>2025</v>
      </c>
      <c r="Q4" s="56"/>
      <c r="R4" s="52"/>
      <c r="S4" s="51">
        <v>2026</v>
      </c>
      <c r="T4" s="56"/>
      <c r="U4" s="52"/>
      <c r="V4" s="57">
        <v>2027</v>
      </c>
      <c r="W4" s="57"/>
      <c r="X4" s="57"/>
      <c r="Y4" s="19" t="s">
        <v>30</v>
      </c>
      <c r="Z4" s="19" t="s">
        <v>31</v>
      </c>
      <c r="AA4" s="54" t="s">
        <v>32</v>
      </c>
      <c r="AB4" s="19" t="s">
        <v>30</v>
      </c>
      <c r="AC4" s="19" t="s">
        <v>31</v>
      </c>
      <c r="AD4" s="47" t="s">
        <v>32</v>
      </c>
    </row>
    <row r="5" spans="1:30">
      <c r="A5" s="62"/>
      <c r="B5" s="20"/>
      <c r="C5" s="21"/>
      <c r="D5" s="22"/>
      <c r="E5" s="72"/>
      <c r="F5" s="72"/>
      <c r="G5" s="72"/>
      <c r="H5" s="72"/>
      <c r="I5" s="72"/>
      <c r="J5" s="49" t="s">
        <v>33</v>
      </c>
      <c r="K5" s="50"/>
      <c r="L5" s="55"/>
      <c r="M5" s="23" t="s">
        <v>32</v>
      </c>
      <c r="N5" s="23" t="s">
        <v>28</v>
      </c>
      <c r="O5" s="23" t="s">
        <v>29</v>
      </c>
      <c r="P5" s="23" t="s">
        <v>32</v>
      </c>
      <c r="Q5" s="23" t="s">
        <v>38</v>
      </c>
      <c r="R5" s="23" t="s">
        <v>39</v>
      </c>
      <c r="S5" s="23" t="s">
        <v>32</v>
      </c>
      <c r="T5" s="24" t="s">
        <v>42</v>
      </c>
      <c r="U5" s="24" t="s">
        <v>43</v>
      </c>
      <c r="V5" s="23" t="s">
        <v>32</v>
      </c>
      <c r="W5" s="23" t="s">
        <v>44</v>
      </c>
      <c r="X5" s="23" t="s">
        <v>45</v>
      </c>
      <c r="Y5" s="51" t="s">
        <v>34</v>
      </c>
      <c r="Z5" s="52"/>
      <c r="AA5" s="55"/>
      <c r="AB5" s="51" t="s">
        <v>35</v>
      </c>
      <c r="AC5" s="52"/>
      <c r="AD5" s="48"/>
    </row>
    <row r="6" spans="1:30">
      <c r="A6" s="63"/>
      <c r="B6" s="10" t="s">
        <v>1</v>
      </c>
      <c r="C6" s="11" t="s">
        <v>2</v>
      </c>
      <c r="D6" s="25" t="s">
        <v>3</v>
      </c>
      <c r="E6" s="1">
        <v>2023</v>
      </c>
      <c r="F6" s="1">
        <v>2024</v>
      </c>
      <c r="G6" s="1">
        <v>2025</v>
      </c>
      <c r="H6" s="2">
        <v>2026</v>
      </c>
      <c r="I6" s="2">
        <v>2027</v>
      </c>
      <c r="J6" s="26">
        <v>22656700</v>
      </c>
      <c r="K6" s="26">
        <f>J3-J6</f>
        <v>456259.1799999997</v>
      </c>
      <c r="L6" s="26">
        <f>J6+K6</f>
        <v>23112959.18</v>
      </c>
      <c r="M6" s="27">
        <v>51906</v>
      </c>
      <c r="N6" s="27"/>
      <c r="O6" s="27"/>
      <c r="P6" s="27">
        <f>51709</f>
        <v>51709</v>
      </c>
      <c r="Q6" s="27"/>
      <c r="R6" s="27"/>
      <c r="S6" s="27">
        <v>61857</v>
      </c>
      <c r="T6" s="27"/>
      <c r="U6" s="27"/>
      <c r="V6" s="27">
        <v>61857</v>
      </c>
      <c r="W6" s="27"/>
      <c r="X6" s="27"/>
      <c r="Y6" s="3">
        <v>108900900</v>
      </c>
      <c r="Z6" s="3">
        <f>Y3-Y6</f>
        <v>2222467.349999994</v>
      </c>
      <c r="AA6" s="3">
        <f>Y6+Z6</f>
        <v>111123367.34999999</v>
      </c>
      <c r="AB6" s="3">
        <v>108900900</v>
      </c>
      <c r="AC6" s="3">
        <f>AB3-AB6</f>
        <v>2222467.349999994</v>
      </c>
      <c r="AD6" s="3">
        <f>AB6+AC6</f>
        <v>111123367.34999999</v>
      </c>
    </row>
    <row r="7" spans="1:30" s="32" customFormat="1" ht="27.75" customHeight="1">
      <c r="A7" s="28">
        <v>1</v>
      </c>
      <c r="B7" s="8">
        <v>2</v>
      </c>
      <c r="C7" s="8">
        <v>3</v>
      </c>
      <c r="D7" s="8">
        <v>4</v>
      </c>
      <c r="E7" s="73" t="s">
        <v>40</v>
      </c>
      <c r="F7" s="74"/>
      <c r="G7" s="8">
        <v>6</v>
      </c>
      <c r="H7" s="14">
        <v>7</v>
      </c>
      <c r="I7" s="14">
        <v>8</v>
      </c>
      <c r="J7" s="29"/>
      <c r="K7" s="29"/>
      <c r="L7" s="29"/>
      <c r="M7" s="30"/>
      <c r="N7" s="30"/>
      <c r="O7" s="30"/>
      <c r="P7" s="30" t="s">
        <v>47</v>
      </c>
      <c r="Q7" s="30">
        <v>10</v>
      </c>
      <c r="R7" s="30">
        <v>11</v>
      </c>
      <c r="S7" s="30" t="s">
        <v>41</v>
      </c>
      <c r="T7" s="30">
        <v>13</v>
      </c>
      <c r="U7" s="30">
        <v>14</v>
      </c>
      <c r="V7" s="30" t="s">
        <v>46</v>
      </c>
      <c r="W7" s="30">
        <v>16</v>
      </c>
      <c r="X7" s="30">
        <v>17</v>
      </c>
      <c r="Y7" s="31"/>
      <c r="Z7" s="31"/>
      <c r="AA7" s="31"/>
      <c r="AB7" s="31"/>
      <c r="AC7" s="31"/>
      <c r="AD7" s="31"/>
    </row>
    <row r="8" spans="1:30" ht="30">
      <c r="A8" s="7" t="s">
        <v>4</v>
      </c>
      <c r="B8" s="9">
        <v>7</v>
      </c>
      <c r="C8" s="9">
        <v>17</v>
      </c>
      <c r="D8" s="9">
        <f t="shared" ref="D8:D32" si="0">B8+C8</f>
        <v>24</v>
      </c>
      <c r="E8" s="1">
        <v>9</v>
      </c>
      <c r="F8" s="9">
        <v>22</v>
      </c>
      <c r="G8" s="9">
        <v>22</v>
      </c>
      <c r="H8" s="9">
        <v>22</v>
      </c>
      <c r="I8" s="9">
        <v>22</v>
      </c>
      <c r="J8" s="33">
        <f t="shared" ref="J8:J13" si="1">ROUND(E8*$J$6/SUM($E$8:$E$33),0)</f>
        <v>1206570</v>
      </c>
      <c r="K8" s="33">
        <f t="shared" ref="K8:K13" si="2">ROUND(E8*$K$6/SUM($E$8:$E$33),0)</f>
        <v>24298</v>
      </c>
      <c r="L8" s="33">
        <f>J8+K8</f>
        <v>1230868</v>
      </c>
      <c r="M8" s="34">
        <f>ROUND(1.302*($M$6*E8*4)/2,2)</f>
        <v>1216469.02</v>
      </c>
      <c r="N8" s="34">
        <f>M8*98%</f>
        <v>1192139.6396000001</v>
      </c>
      <c r="O8" s="34">
        <f>M8*2%</f>
        <v>24329.380400000002</v>
      </c>
      <c r="P8" s="35">
        <f>ROUND(1.302*($P$6*G8*12)/2,2)</f>
        <v>8886915.5800000001</v>
      </c>
      <c r="Q8" s="35">
        <f>ROUND(P8*98%,2)</f>
        <v>8709177.2699999996</v>
      </c>
      <c r="R8" s="35">
        <f>ROUND(P8*2%,2)</f>
        <v>177738.31</v>
      </c>
      <c r="S8" s="35">
        <f>ROUND(1.302*($S$6*H8*12)/2,2)</f>
        <v>10630991.449999999</v>
      </c>
      <c r="T8" s="35">
        <f>ROUND(S8*85%,2)</f>
        <v>9036342.7300000004</v>
      </c>
      <c r="U8" s="35">
        <f>ROUND(S8*15%,2)</f>
        <v>1594648.72</v>
      </c>
      <c r="V8" s="35">
        <f>ROUND(1.302*($V$6*I8*12)/2,2)</f>
        <v>10630991.449999999</v>
      </c>
      <c r="W8" s="35">
        <f>ROUND(V8*83%,2)</f>
        <v>8823722.9000000004</v>
      </c>
      <c r="X8" s="35">
        <f>ROUND(V8*17%,2)</f>
        <v>1807268.55</v>
      </c>
      <c r="Y8" s="36">
        <f t="shared" ref="Y8:Y13" si="3">ROUND(G8*$Y$6/SUM($G$8:$G$33),0)</f>
        <v>8973108</v>
      </c>
      <c r="Z8" s="36">
        <f t="shared" ref="Z8:Z13" si="4">ROUND(G8*$Z$6/SUM($G$8:$G$33),0)</f>
        <v>183125</v>
      </c>
      <c r="AA8" s="3">
        <f>Y8+Z8</f>
        <v>9156233</v>
      </c>
      <c r="AB8" s="36">
        <f t="shared" ref="AB8:AB13" si="5">ROUND(H8*$AB$6/SUM($H$8:$H$33),0)</f>
        <v>8973108</v>
      </c>
      <c r="AC8" s="36">
        <f t="shared" ref="AC8:AC13" si="6">ROUND(H8*$AC$6/SUM($H$8:$H$33),0)</f>
        <v>183125</v>
      </c>
      <c r="AD8" s="3">
        <f t="shared" ref="AD8:AD34" si="7">AB8+AC8</f>
        <v>9156233</v>
      </c>
    </row>
    <row r="9" spans="1:30" ht="30">
      <c r="A9" s="7" t="s">
        <v>5</v>
      </c>
      <c r="B9" s="9">
        <v>0</v>
      </c>
      <c r="C9" s="9">
        <v>8</v>
      </c>
      <c r="D9" s="9">
        <f t="shared" si="0"/>
        <v>8</v>
      </c>
      <c r="E9" s="1">
        <v>3</v>
      </c>
      <c r="F9" s="9">
        <v>7</v>
      </c>
      <c r="G9" s="9">
        <v>7</v>
      </c>
      <c r="H9" s="9">
        <v>7</v>
      </c>
      <c r="I9" s="9">
        <v>7</v>
      </c>
      <c r="J9" s="33">
        <f t="shared" si="1"/>
        <v>402190</v>
      </c>
      <c r="K9" s="33">
        <f t="shared" si="2"/>
        <v>8099</v>
      </c>
      <c r="L9" s="33">
        <f t="shared" ref="L9:L32" si="8">J9+K9</f>
        <v>410289</v>
      </c>
      <c r="M9" s="34">
        <f>ROUND(1.302*($M$6*E9*4)/2,2)</f>
        <v>405489.67</v>
      </c>
      <c r="N9" s="34">
        <f t="shared" ref="N9:N32" si="9">M9*98%</f>
        <v>397379.87659999996</v>
      </c>
      <c r="O9" s="34">
        <f t="shared" ref="O9:O32" si="10">M9*2%</f>
        <v>8109.7933999999996</v>
      </c>
      <c r="P9" s="35">
        <f t="shared" ref="P9:P33" si="11">ROUND(1.302*($P$6*G9*12)/2,2)</f>
        <v>2827654.96</v>
      </c>
      <c r="Q9" s="35">
        <f t="shared" ref="Q9:Q33" si="12">ROUND(P9*98%,2)</f>
        <v>2771101.86</v>
      </c>
      <c r="R9" s="35">
        <f t="shared" ref="R9:R33" si="13">ROUND(P9*2%,2)</f>
        <v>56553.1</v>
      </c>
      <c r="S9" s="35">
        <f t="shared" ref="S9:S33" si="14">ROUND(1.302*($S$6*H9*12)/2,2)</f>
        <v>3382588.19</v>
      </c>
      <c r="T9" s="35">
        <f t="shared" ref="T9:T33" si="15">ROUND(S9*85%,2)</f>
        <v>2875199.96</v>
      </c>
      <c r="U9" s="35">
        <f t="shared" ref="U9:U31" si="16">ROUND(S9*15%,2)</f>
        <v>507388.23</v>
      </c>
      <c r="V9" s="35">
        <f t="shared" ref="V9:V33" si="17">ROUND(1.302*($V$6*I9*12)/2,2)</f>
        <v>3382588.19</v>
      </c>
      <c r="W9" s="35">
        <f t="shared" ref="W9:W33" si="18">ROUND(V9*83%,2)</f>
        <v>2807548.2</v>
      </c>
      <c r="X9" s="35">
        <f t="shared" ref="X9:X33" si="19">ROUND(V9*17%,2)</f>
        <v>575039.99</v>
      </c>
      <c r="Y9" s="36">
        <f t="shared" si="3"/>
        <v>2855080</v>
      </c>
      <c r="Z9" s="36">
        <f t="shared" si="4"/>
        <v>58267</v>
      </c>
      <c r="AA9" s="3">
        <f t="shared" ref="AA9:AA34" si="20">Y9+Z9</f>
        <v>2913347</v>
      </c>
      <c r="AB9" s="36">
        <f t="shared" si="5"/>
        <v>2855080</v>
      </c>
      <c r="AC9" s="36">
        <f t="shared" si="6"/>
        <v>58267</v>
      </c>
      <c r="AD9" s="3">
        <f t="shared" si="7"/>
        <v>2913347</v>
      </c>
    </row>
    <row r="10" spans="1:30" ht="30">
      <c r="A10" s="7" t="s">
        <v>6</v>
      </c>
      <c r="B10" s="9">
        <v>0</v>
      </c>
      <c r="C10" s="9">
        <v>6</v>
      </c>
      <c r="D10" s="9">
        <f t="shared" si="0"/>
        <v>6</v>
      </c>
      <c r="E10" s="1">
        <v>3</v>
      </c>
      <c r="F10" s="9">
        <v>5</v>
      </c>
      <c r="G10" s="9">
        <v>5</v>
      </c>
      <c r="H10" s="9">
        <v>5</v>
      </c>
      <c r="I10" s="9">
        <v>5</v>
      </c>
      <c r="J10" s="33">
        <f t="shared" si="1"/>
        <v>402190</v>
      </c>
      <c r="K10" s="33">
        <f t="shared" si="2"/>
        <v>8099</v>
      </c>
      <c r="L10" s="33">
        <f t="shared" si="8"/>
        <v>410289</v>
      </c>
      <c r="M10" s="34">
        <f>ROUND(1.302*($M$6*E10*4)/2,2)</f>
        <v>405489.67</v>
      </c>
      <c r="N10" s="34">
        <f t="shared" si="9"/>
        <v>397379.87659999996</v>
      </c>
      <c r="O10" s="34">
        <f t="shared" si="10"/>
        <v>8109.7933999999996</v>
      </c>
      <c r="P10" s="35">
        <f t="shared" si="11"/>
        <v>2019753.54</v>
      </c>
      <c r="Q10" s="35">
        <f t="shared" si="12"/>
        <v>1979358.47</v>
      </c>
      <c r="R10" s="35">
        <f t="shared" si="13"/>
        <v>40395.07</v>
      </c>
      <c r="S10" s="35">
        <f t="shared" si="14"/>
        <v>2416134.42</v>
      </c>
      <c r="T10" s="35">
        <f t="shared" si="15"/>
        <v>2053714.26</v>
      </c>
      <c r="U10" s="35">
        <f t="shared" si="16"/>
        <v>362420.16</v>
      </c>
      <c r="V10" s="35">
        <f t="shared" si="17"/>
        <v>2416134.42</v>
      </c>
      <c r="W10" s="35">
        <f t="shared" si="18"/>
        <v>2005391.57</v>
      </c>
      <c r="X10" s="35">
        <f t="shared" si="19"/>
        <v>410742.85</v>
      </c>
      <c r="Y10" s="36">
        <f t="shared" si="3"/>
        <v>2039343</v>
      </c>
      <c r="Z10" s="36">
        <f t="shared" si="4"/>
        <v>41619</v>
      </c>
      <c r="AA10" s="3">
        <f t="shared" si="20"/>
        <v>2080962</v>
      </c>
      <c r="AB10" s="36">
        <f t="shared" si="5"/>
        <v>2039343</v>
      </c>
      <c r="AC10" s="36">
        <f t="shared" si="6"/>
        <v>41619</v>
      </c>
      <c r="AD10" s="3">
        <f t="shared" si="7"/>
        <v>2080962</v>
      </c>
    </row>
    <row r="11" spans="1:30" ht="30">
      <c r="A11" s="7" t="s">
        <v>7</v>
      </c>
      <c r="B11" s="9">
        <v>0</v>
      </c>
      <c r="C11" s="9">
        <v>7</v>
      </c>
      <c r="D11" s="9">
        <f t="shared" si="0"/>
        <v>7</v>
      </c>
      <c r="E11" s="1">
        <v>3</v>
      </c>
      <c r="F11" s="9">
        <v>7</v>
      </c>
      <c r="G11" s="9">
        <v>7</v>
      </c>
      <c r="H11" s="9">
        <v>7</v>
      </c>
      <c r="I11" s="9">
        <v>7</v>
      </c>
      <c r="J11" s="33">
        <f t="shared" si="1"/>
        <v>402190</v>
      </c>
      <c r="K11" s="33">
        <f t="shared" si="2"/>
        <v>8099</v>
      </c>
      <c r="L11" s="33">
        <f t="shared" si="8"/>
        <v>410289</v>
      </c>
      <c r="M11" s="34">
        <f>ROUND(1.302*($M$6*E11*4)/2,2)</f>
        <v>405489.67</v>
      </c>
      <c r="N11" s="34">
        <f t="shared" si="9"/>
        <v>397379.87659999996</v>
      </c>
      <c r="O11" s="34">
        <f t="shared" si="10"/>
        <v>8109.7933999999996</v>
      </c>
      <c r="P11" s="35">
        <f t="shared" si="11"/>
        <v>2827654.96</v>
      </c>
      <c r="Q11" s="35">
        <f t="shared" si="12"/>
        <v>2771101.86</v>
      </c>
      <c r="R11" s="35">
        <f t="shared" si="13"/>
        <v>56553.1</v>
      </c>
      <c r="S11" s="35">
        <f t="shared" si="14"/>
        <v>3382588.19</v>
      </c>
      <c r="T11" s="35">
        <f t="shared" si="15"/>
        <v>2875199.96</v>
      </c>
      <c r="U11" s="35">
        <f t="shared" si="16"/>
        <v>507388.23</v>
      </c>
      <c r="V11" s="35">
        <f t="shared" si="17"/>
        <v>3382588.19</v>
      </c>
      <c r="W11" s="35">
        <f t="shared" si="18"/>
        <v>2807548.2</v>
      </c>
      <c r="X11" s="35">
        <f t="shared" si="19"/>
        <v>575039.99</v>
      </c>
      <c r="Y11" s="36">
        <f t="shared" si="3"/>
        <v>2855080</v>
      </c>
      <c r="Z11" s="36">
        <f t="shared" si="4"/>
        <v>58267</v>
      </c>
      <c r="AA11" s="3">
        <f t="shared" si="20"/>
        <v>2913347</v>
      </c>
      <c r="AB11" s="36">
        <f t="shared" si="5"/>
        <v>2855080</v>
      </c>
      <c r="AC11" s="36">
        <f t="shared" si="6"/>
        <v>58267</v>
      </c>
      <c r="AD11" s="3">
        <f t="shared" si="7"/>
        <v>2913347</v>
      </c>
    </row>
    <row r="12" spans="1:30" ht="30">
      <c r="A12" s="7" t="s">
        <v>8</v>
      </c>
      <c r="B12" s="9">
        <v>3</v>
      </c>
      <c r="C12" s="9">
        <v>10</v>
      </c>
      <c r="D12" s="9">
        <f t="shared" si="0"/>
        <v>13</v>
      </c>
      <c r="E12" s="1">
        <v>6</v>
      </c>
      <c r="F12" s="9">
        <v>12</v>
      </c>
      <c r="G12" s="9">
        <v>12</v>
      </c>
      <c r="H12" s="9">
        <v>12</v>
      </c>
      <c r="I12" s="9">
        <v>12</v>
      </c>
      <c r="J12" s="33">
        <f t="shared" si="1"/>
        <v>804380</v>
      </c>
      <c r="K12" s="33">
        <f t="shared" si="2"/>
        <v>16199</v>
      </c>
      <c r="L12" s="33">
        <f t="shared" si="8"/>
        <v>820579</v>
      </c>
      <c r="M12" s="34">
        <f>ROUND(1.302*($M$6*E12*4)/2,2)</f>
        <v>810979.34</v>
      </c>
      <c r="N12" s="34">
        <f t="shared" si="9"/>
        <v>794759.75319999992</v>
      </c>
      <c r="O12" s="34">
        <f t="shared" si="10"/>
        <v>16219.586799999999</v>
      </c>
      <c r="P12" s="35">
        <f t="shared" si="11"/>
        <v>4847408.5</v>
      </c>
      <c r="Q12" s="35">
        <f t="shared" si="12"/>
        <v>4750460.33</v>
      </c>
      <c r="R12" s="35">
        <f t="shared" si="13"/>
        <v>96948.17</v>
      </c>
      <c r="S12" s="35">
        <f t="shared" si="14"/>
        <v>5798722.6100000003</v>
      </c>
      <c r="T12" s="35">
        <f t="shared" si="15"/>
        <v>4928914.22</v>
      </c>
      <c r="U12" s="35">
        <f t="shared" si="16"/>
        <v>869808.39</v>
      </c>
      <c r="V12" s="35">
        <f t="shared" si="17"/>
        <v>5798722.6100000003</v>
      </c>
      <c r="W12" s="35">
        <f t="shared" si="18"/>
        <v>4812939.7699999996</v>
      </c>
      <c r="X12" s="35">
        <f t="shared" si="19"/>
        <v>985782.84</v>
      </c>
      <c r="Y12" s="36">
        <f t="shared" si="3"/>
        <v>4894422</v>
      </c>
      <c r="Z12" s="36">
        <f t="shared" si="4"/>
        <v>99886</v>
      </c>
      <c r="AA12" s="3">
        <f t="shared" si="20"/>
        <v>4994308</v>
      </c>
      <c r="AB12" s="36">
        <f t="shared" si="5"/>
        <v>4894422</v>
      </c>
      <c r="AC12" s="36">
        <f t="shared" si="6"/>
        <v>99886</v>
      </c>
      <c r="AD12" s="3">
        <f t="shared" si="7"/>
        <v>4994308</v>
      </c>
    </row>
    <row r="13" spans="1:30" ht="30">
      <c r="A13" s="7" t="s">
        <v>9</v>
      </c>
      <c r="B13" s="9">
        <v>3</v>
      </c>
      <c r="C13" s="9">
        <v>8</v>
      </c>
      <c r="D13" s="9">
        <f t="shared" si="0"/>
        <v>11</v>
      </c>
      <c r="E13" s="1">
        <v>5</v>
      </c>
      <c r="F13" s="9">
        <v>9</v>
      </c>
      <c r="G13" s="9">
        <v>9</v>
      </c>
      <c r="H13" s="9">
        <v>9</v>
      </c>
      <c r="I13" s="9">
        <v>9</v>
      </c>
      <c r="J13" s="33">
        <f t="shared" si="1"/>
        <v>670317</v>
      </c>
      <c r="K13" s="33">
        <f t="shared" si="2"/>
        <v>13499</v>
      </c>
      <c r="L13" s="33">
        <f t="shared" si="8"/>
        <v>683816</v>
      </c>
      <c r="M13" s="34">
        <f>ROUND(1.302*($M$6*E13*4)/2,2)+0.01</f>
        <v>675816.13</v>
      </c>
      <c r="N13" s="34">
        <f t="shared" si="9"/>
        <v>662299.80740000005</v>
      </c>
      <c r="O13" s="34">
        <f t="shared" si="10"/>
        <v>13516.3226</v>
      </c>
      <c r="P13" s="35">
        <f t="shared" si="11"/>
        <v>3635556.37</v>
      </c>
      <c r="Q13" s="35">
        <f t="shared" si="12"/>
        <v>3562845.24</v>
      </c>
      <c r="R13" s="35">
        <f t="shared" si="13"/>
        <v>72711.13</v>
      </c>
      <c r="S13" s="35">
        <f t="shared" si="14"/>
        <v>4349041.96</v>
      </c>
      <c r="T13" s="35">
        <f t="shared" si="15"/>
        <v>3696685.67</v>
      </c>
      <c r="U13" s="35">
        <f t="shared" si="16"/>
        <v>652356.29</v>
      </c>
      <c r="V13" s="35">
        <f t="shared" si="17"/>
        <v>4349041.96</v>
      </c>
      <c r="W13" s="35">
        <f t="shared" si="18"/>
        <v>3609704.83</v>
      </c>
      <c r="X13" s="35">
        <f t="shared" si="19"/>
        <v>739337.13</v>
      </c>
      <c r="Y13" s="36">
        <f t="shared" si="3"/>
        <v>3670817</v>
      </c>
      <c r="Z13" s="36">
        <f t="shared" si="4"/>
        <v>74915</v>
      </c>
      <c r="AA13" s="3">
        <f t="shared" si="20"/>
        <v>3745732</v>
      </c>
      <c r="AB13" s="36">
        <f t="shared" si="5"/>
        <v>3670817</v>
      </c>
      <c r="AC13" s="36">
        <f t="shared" si="6"/>
        <v>74915</v>
      </c>
      <c r="AD13" s="3">
        <f t="shared" si="7"/>
        <v>3745732</v>
      </c>
    </row>
    <row r="14" spans="1:30" ht="30">
      <c r="A14" s="7" t="s">
        <v>10</v>
      </c>
      <c r="B14" s="9">
        <v>3</v>
      </c>
      <c r="C14" s="9">
        <v>6</v>
      </c>
      <c r="D14" s="9">
        <f t="shared" si="0"/>
        <v>9</v>
      </c>
      <c r="E14" s="1">
        <v>4</v>
      </c>
      <c r="F14" s="9">
        <v>4</v>
      </c>
      <c r="G14" s="9">
        <v>4</v>
      </c>
      <c r="H14" s="9">
        <v>4</v>
      </c>
      <c r="I14" s="9">
        <v>4</v>
      </c>
      <c r="J14" s="33">
        <f>ROUND(E14*$J$6/SUM($E$8:$E$33),0)-4</f>
        <v>536249</v>
      </c>
      <c r="K14" s="33">
        <f>ROUND(E14*$K$6/SUM($E$8:$E$33),0)-0.82</f>
        <v>10798.18</v>
      </c>
      <c r="L14" s="33">
        <f t="shared" si="8"/>
        <v>547047.18000000005</v>
      </c>
      <c r="M14" s="34">
        <v>540700.77</v>
      </c>
      <c r="N14" s="34">
        <f>M14*98%+0.01</f>
        <v>529886.76459999999</v>
      </c>
      <c r="O14" s="34">
        <f>M14*2%-0.01</f>
        <v>10814.0054</v>
      </c>
      <c r="P14" s="35">
        <f t="shared" si="11"/>
        <v>1615802.83</v>
      </c>
      <c r="Q14" s="35">
        <f t="shared" si="12"/>
        <v>1583486.77</v>
      </c>
      <c r="R14" s="35">
        <f t="shared" si="13"/>
        <v>32316.06</v>
      </c>
      <c r="S14" s="35">
        <f t="shared" si="14"/>
        <v>1932907.54</v>
      </c>
      <c r="T14" s="35">
        <f t="shared" si="15"/>
        <v>1642971.41</v>
      </c>
      <c r="U14" s="35">
        <f t="shared" si="16"/>
        <v>289936.13</v>
      </c>
      <c r="V14" s="35">
        <f t="shared" si="17"/>
        <v>1932907.54</v>
      </c>
      <c r="W14" s="35">
        <f t="shared" si="18"/>
        <v>1604313.26</v>
      </c>
      <c r="X14" s="35">
        <f t="shared" si="19"/>
        <v>328594.28000000003</v>
      </c>
      <c r="Y14" s="36">
        <f>ROUND(G14*$Y$6/SUM($G$8:$G$33),0)+3</f>
        <v>1631477</v>
      </c>
      <c r="Z14" s="36">
        <f>ROUND(G14*$Z$6/SUM($G$8:$G$33),0)+3.35</f>
        <v>33298.35</v>
      </c>
      <c r="AA14" s="3">
        <f t="shared" si="20"/>
        <v>1664775.35</v>
      </c>
      <c r="AB14" s="36">
        <f>ROUND(H14*$AB$6/SUM($H$8:$H$33),0)+3</f>
        <v>1631477</v>
      </c>
      <c r="AC14" s="36">
        <f>ROUND(H14*$AC$6/SUM($H$8:$H$33),0)+3.35</f>
        <v>33298.35</v>
      </c>
      <c r="AD14" s="3">
        <f t="shared" si="7"/>
        <v>1664775.35</v>
      </c>
    </row>
    <row r="15" spans="1:30" ht="30">
      <c r="A15" s="7" t="s">
        <v>11</v>
      </c>
      <c r="B15" s="9">
        <v>0</v>
      </c>
      <c r="C15" s="9">
        <v>7</v>
      </c>
      <c r="D15" s="9">
        <f t="shared" si="0"/>
        <v>7</v>
      </c>
      <c r="E15" s="1">
        <v>3</v>
      </c>
      <c r="F15" s="9">
        <v>7</v>
      </c>
      <c r="G15" s="9">
        <v>7</v>
      </c>
      <c r="H15" s="9">
        <v>7</v>
      </c>
      <c r="I15" s="9">
        <v>7</v>
      </c>
      <c r="J15" s="33">
        <f t="shared" ref="J15:J32" si="21">ROUND(E15*$J$6/SUM($E$8:$E$33),0)</f>
        <v>402190</v>
      </c>
      <c r="K15" s="33">
        <f t="shared" ref="K15:K32" si="22">ROUND(E15*$K$6/SUM($E$8:$E$33),0)</f>
        <v>8099</v>
      </c>
      <c r="L15" s="33">
        <f t="shared" si="8"/>
        <v>410289</v>
      </c>
      <c r="M15" s="34">
        <f t="shared" ref="M15:M32" si="23">ROUND(1.302*($M$6*E15*4)/2,2)</f>
        <v>405489.67</v>
      </c>
      <c r="N15" s="34">
        <f t="shared" si="9"/>
        <v>397379.87659999996</v>
      </c>
      <c r="O15" s="34">
        <f t="shared" si="10"/>
        <v>8109.7933999999996</v>
      </c>
      <c r="P15" s="35">
        <f t="shared" si="11"/>
        <v>2827654.96</v>
      </c>
      <c r="Q15" s="35">
        <f t="shared" si="12"/>
        <v>2771101.86</v>
      </c>
      <c r="R15" s="35">
        <f t="shared" si="13"/>
        <v>56553.1</v>
      </c>
      <c r="S15" s="35">
        <f t="shared" si="14"/>
        <v>3382588.19</v>
      </c>
      <c r="T15" s="35">
        <f t="shared" si="15"/>
        <v>2875199.96</v>
      </c>
      <c r="U15" s="35">
        <f t="shared" si="16"/>
        <v>507388.23</v>
      </c>
      <c r="V15" s="35">
        <f t="shared" si="17"/>
        <v>3382588.19</v>
      </c>
      <c r="W15" s="35">
        <f t="shared" si="18"/>
        <v>2807548.2</v>
      </c>
      <c r="X15" s="35">
        <f t="shared" si="19"/>
        <v>575039.99</v>
      </c>
      <c r="Y15" s="36">
        <f t="shared" ref="Y15:Y27" si="24">ROUND(G15*$Y$6/SUM($G$8:$G$33),0)</f>
        <v>2855080</v>
      </c>
      <c r="Z15" s="36">
        <f t="shared" ref="Z15:Z27" si="25">ROUND(G15*$Z$6/SUM($G$8:$G$33),0)</f>
        <v>58267</v>
      </c>
      <c r="AA15" s="3">
        <f t="shared" si="20"/>
        <v>2913347</v>
      </c>
      <c r="AB15" s="36">
        <f t="shared" ref="AB15:AB27" si="26">ROUND(H15*$AB$6/SUM($H$8:$H$33),0)</f>
        <v>2855080</v>
      </c>
      <c r="AC15" s="36">
        <f t="shared" ref="AC15:AC27" si="27">ROUND(H15*$AC$6/SUM($H$8:$H$33),0)</f>
        <v>58267</v>
      </c>
      <c r="AD15" s="3">
        <f t="shared" si="7"/>
        <v>2913347</v>
      </c>
    </row>
    <row r="16" spans="1:30" ht="30">
      <c r="A16" s="7" t="s">
        <v>12</v>
      </c>
      <c r="B16" s="9">
        <v>0</v>
      </c>
      <c r="C16" s="9">
        <v>8</v>
      </c>
      <c r="D16" s="9">
        <f t="shared" si="0"/>
        <v>8</v>
      </c>
      <c r="E16" s="1">
        <v>2</v>
      </c>
      <c r="F16" s="9">
        <v>5</v>
      </c>
      <c r="G16" s="9">
        <v>5</v>
      </c>
      <c r="H16" s="9">
        <v>5</v>
      </c>
      <c r="I16" s="9">
        <v>5</v>
      </c>
      <c r="J16" s="33">
        <f t="shared" si="21"/>
        <v>268127</v>
      </c>
      <c r="K16" s="33">
        <f t="shared" si="22"/>
        <v>5400</v>
      </c>
      <c r="L16" s="33">
        <f t="shared" si="8"/>
        <v>273527</v>
      </c>
      <c r="M16" s="34">
        <f t="shared" si="23"/>
        <v>270326.45</v>
      </c>
      <c r="N16" s="34">
        <f t="shared" si="9"/>
        <v>264919.92100000003</v>
      </c>
      <c r="O16" s="34">
        <f t="shared" si="10"/>
        <v>5406.5290000000005</v>
      </c>
      <c r="P16" s="35">
        <f t="shared" si="11"/>
        <v>2019753.54</v>
      </c>
      <c r="Q16" s="35">
        <f t="shared" si="12"/>
        <v>1979358.47</v>
      </c>
      <c r="R16" s="35">
        <f t="shared" si="13"/>
        <v>40395.07</v>
      </c>
      <c r="S16" s="35">
        <f t="shared" si="14"/>
        <v>2416134.42</v>
      </c>
      <c r="T16" s="35">
        <f t="shared" si="15"/>
        <v>2053714.26</v>
      </c>
      <c r="U16" s="35">
        <f t="shared" si="16"/>
        <v>362420.16</v>
      </c>
      <c r="V16" s="35">
        <f t="shared" si="17"/>
        <v>2416134.42</v>
      </c>
      <c r="W16" s="35">
        <f t="shared" si="18"/>
        <v>2005391.57</v>
      </c>
      <c r="X16" s="35">
        <f t="shared" si="19"/>
        <v>410742.85</v>
      </c>
      <c r="Y16" s="36">
        <f t="shared" si="24"/>
        <v>2039343</v>
      </c>
      <c r="Z16" s="36">
        <f t="shared" si="25"/>
        <v>41619</v>
      </c>
      <c r="AA16" s="3">
        <f t="shared" si="20"/>
        <v>2080962</v>
      </c>
      <c r="AB16" s="36">
        <f t="shared" si="26"/>
        <v>2039343</v>
      </c>
      <c r="AC16" s="36">
        <f t="shared" si="27"/>
        <v>41619</v>
      </c>
      <c r="AD16" s="3">
        <f t="shared" si="7"/>
        <v>2080962</v>
      </c>
    </row>
    <row r="17" spans="1:30" ht="30">
      <c r="A17" s="7" t="s">
        <v>13</v>
      </c>
      <c r="B17" s="9">
        <v>0</v>
      </c>
      <c r="C17" s="9">
        <v>4</v>
      </c>
      <c r="D17" s="9">
        <f t="shared" si="0"/>
        <v>4</v>
      </c>
      <c r="E17" s="1">
        <v>2</v>
      </c>
      <c r="F17" s="9">
        <v>4</v>
      </c>
      <c r="G17" s="9">
        <v>4</v>
      </c>
      <c r="H17" s="9">
        <v>4</v>
      </c>
      <c r="I17" s="9">
        <v>4</v>
      </c>
      <c r="J17" s="33">
        <f t="shared" si="21"/>
        <v>268127</v>
      </c>
      <c r="K17" s="33">
        <f t="shared" si="22"/>
        <v>5400</v>
      </c>
      <c r="L17" s="33">
        <f t="shared" si="8"/>
        <v>273527</v>
      </c>
      <c r="M17" s="34">
        <f t="shared" si="23"/>
        <v>270326.45</v>
      </c>
      <c r="N17" s="34">
        <f t="shared" si="9"/>
        <v>264919.92100000003</v>
      </c>
      <c r="O17" s="34">
        <f t="shared" si="10"/>
        <v>5406.5290000000005</v>
      </c>
      <c r="P17" s="35">
        <f t="shared" si="11"/>
        <v>1615802.83</v>
      </c>
      <c r="Q17" s="35">
        <f t="shared" si="12"/>
        <v>1583486.77</v>
      </c>
      <c r="R17" s="35">
        <f t="shared" si="13"/>
        <v>32316.06</v>
      </c>
      <c r="S17" s="35">
        <f t="shared" si="14"/>
        <v>1932907.54</v>
      </c>
      <c r="T17" s="35">
        <f t="shared" si="15"/>
        <v>1642971.41</v>
      </c>
      <c r="U17" s="35">
        <f t="shared" si="16"/>
        <v>289936.13</v>
      </c>
      <c r="V17" s="35">
        <f t="shared" si="17"/>
        <v>1932907.54</v>
      </c>
      <c r="W17" s="35">
        <f t="shared" si="18"/>
        <v>1604313.26</v>
      </c>
      <c r="X17" s="35">
        <f t="shared" si="19"/>
        <v>328594.28000000003</v>
      </c>
      <c r="Y17" s="36">
        <f t="shared" si="24"/>
        <v>1631474</v>
      </c>
      <c r="Z17" s="36">
        <f t="shared" si="25"/>
        <v>33295</v>
      </c>
      <c r="AA17" s="3">
        <f t="shared" si="20"/>
        <v>1664769</v>
      </c>
      <c r="AB17" s="36">
        <f t="shared" si="26"/>
        <v>1631474</v>
      </c>
      <c r="AC17" s="36">
        <f t="shared" si="27"/>
        <v>33295</v>
      </c>
      <c r="AD17" s="3">
        <f t="shared" si="7"/>
        <v>1664769</v>
      </c>
    </row>
    <row r="18" spans="1:30" ht="30">
      <c r="A18" s="7" t="s">
        <v>14</v>
      </c>
      <c r="B18" s="9">
        <v>2</v>
      </c>
      <c r="C18" s="9">
        <v>3</v>
      </c>
      <c r="D18" s="9">
        <f t="shared" si="0"/>
        <v>5</v>
      </c>
      <c r="E18" s="1">
        <v>2</v>
      </c>
      <c r="F18" s="9">
        <v>4</v>
      </c>
      <c r="G18" s="9">
        <v>4</v>
      </c>
      <c r="H18" s="9">
        <v>4</v>
      </c>
      <c r="I18" s="9">
        <v>4</v>
      </c>
      <c r="J18" s="33">
        <f t="shared" si="21"/>
        <v>268127</v>
      </c>
      <c r="K18" s="33">
        <f t="shared" si="22"/>
        <v>5400</v>
      </c>
      <c r="L18" s="33">
        <f t="shared" si="8"/>
        <v>273527</v>
      </c>
      <c r="M18" s="34">
        <f t="shared" si="23"/>
        <v>270326.45</v>
      </c>
      <c r="N18" s="34">
        <f t="shared" si="9"/>
        <v>264919.92100000003</v>
      </c>
      <c r="O18" s="34">
        <f t="shared" si="10"/>
        <v>5406.5290000000005</v>
      </c>
      <c r="P18" s="35">
        <f t="shared" si="11"/>
        <v>1615802.83</v>
      </c>
      <c r="Q18" s="35">
        <f t="shared" si="12"/>
        <v>1583486.77</v>
      </c>
      <c r="R18" s="35">
        <f t="shared" si="13"/>
        <v>32316.06</v>
      </c>
      <c r="S18" s="35">
        <f t="shared" si="14"/>
        <v>1932907.54</v>
      </c>
      <c r="T18" s="35">
        <f t="shared" si="15"/>
        <v>1642971.41</v>
      </c>
      <c r="U18" s="35">
        <f t="shared" si="16"/>
        <v>289936.13</v>
      </c>
      <c r="V18" s="35">
        <f t="shared" si="17"/>
        <v>1932907.54</v>
      </c>
      <c r="W18" s="35">
        <f t="shared" si="18"/>
        <v>1604313.26</v>
      </c>
      <c r="X18" s="35">
        <f t="shared" si="19"/>
        <v>328594.28000000003</v>
      </c>
      <c r="Y18" s="36">
        <f t="shared" si="24"/>
        <v>1631474</v>
      </c>
      <c r="Z18" s="36">
        <f t="shared" si="25"/>
        <v>33295</v>
      </c>
      <c r="AA18" s="3">
        <f t="shared" si="20"/>
        <v>1664769</v>
      </c>
      <c r="AB18" s="36">
        <f t="shared" si="26"/>
        <v>1631474</v>
      </c>
      <c r="AC18" s="36">
        <f t="shared" si="27"/>
        <v>33295</v>
      </c>
      <c r="AD18" s="3">
        <f t="shared" si="7"/>
        <v>1664769</v>
      </c>
    </row>
    <row r="19" spans="1:30" ht="30">
      <c r="A19" s="7" t="s">
        <v>15</v>
      </c>
      <c r="B19" s="9">
        <v>3</v>
      </c>
      <c r="C19" s="9">
        <v>3</v>
      </c>
      <c r="D19" s="9">
        <f t="shared" si="0"/>
        <v>6</v>
      </c>
      <c r="E19" s="1">
        <v>3</v>
      </c>
      <c r="F19" s="9">
        <v>5</v>
      </c>
      <c r="G19" s="9">
        <v>5</v>
      </c>
      <c r="H19" s="9">
        <v>5</v>
      </c>
      <c r="I19" s="9">
        <v>5</v>
      </c>
      <c r="J19" s="33">
        <f t="shared" si="21"/>
        <v>402190</v>
      </c>
      <c r="K19" s="33">
        <f t="shared" si="22"/>
        <v>8099</v>
      </c>
      <c r="L19" s="33">
        <f t="shared" si="8"/>
        <v>410289</v>
      </c>
      <c r="M19" s="34">
        <f t="shared" si="23"/>
        <v>405489.67</v>
      </c>
      <c r="N19" s="34">
        <f t="shared" si="9"/>
        <v>397379.87659999996</v>
      </c>
      <c r="O19" s="34">
        <f t="shared" si="10"/>
        <v>8109.7933999999996</v>
      </c>
      <c r="P19" s="35">
        <f t="shared" si="11"/>
        <v>2019753.54</v>
      </c>
      <c r="Q19" s="35">
        <f t="shared" si="12"/>
        <v>1979358.47</v>
      </c>
      <c r="R19" s="35">
        <f t="shared" si="13"/>
        <v>40395.07</v>
      </c>
      <c r="S19" s="35">
        <f t="shared" si="14"/>
        <v>2416134.42</v>
      </c>
      <c r="T19" s="35">
        <f t="shared" si="15"/>
        <v>2053714.26</v>
      </c>
      <c r="U19" s="35">
        <f t="shared" si="16"/>
        <v>362420.16</v>
      </c>
      <c r="V19" s="35">
        <f t="shared" si="17"/>
        <v>2416134.42</v>
      </c>
      <c r="W19" s="35">
        <f t="shared" si="18"/>
        <v>2005391.57</v>
      </c>
      <c r="X19" s="35">
        <f t="shared" si="19"/>
        <v>410742.85</v>
      </c>
      <c r="Y19" s="36">
        <f t="shared" si="24"/>
        <v>2039343</v>
      </c>
      <c r="Z19" s="36">
        <f t="shared" si="25"/>
        <v>41619</v>
      </c>
      <c r="AA19" s="3">
        <f t="shared" si="20"/>
        <v>2080962</v>
      </c>
      <c r="AB19" s="36">
        <f t="shared" si="26"/>
        <v>2039343</v>
      </c>
      <c r="AC19" s="36">
        <f t="shared" si="27"/>
        <v>41619</v>
      </c>
      <c r="AD19" s="3">
        <f t="shared" si="7"/>
        <v>2080962</v>
      </c>
    </row>
    <row r="20" spans="1:30" ht="30">
      <c r="A20" s="7" t="s">
        <v>48</v>
      </c>
      <c r="B20" s="9">
        <v>5</v>
      </c>
      <c r="C20" s="9">
        <v>7</v>
      </c>
      <c r="D20" s="9">
        <f t="shared" si="0"/>
        <v>12</v>
      </c>
      <c r="E20" s="1">
        <v>5</v>
      </c>
      <c r="F20" s="9">
        <v>11</v>
      </c>
      <c r="G20" s="9">
        <v>11</v>
      </c>
      <c r="H20" s="9">
        <v>11</v>
      </c>
      <c r="I20" s="9">
        <v>11</v>
      </c>
      <c r="J20" s="33">
        <f t="shared" si="21"/>
        <v>670317</v>
      </c>
      <c r="K20" s="33">
        <f t="shared" si="22"/>
        <v>13499</v>
      </c>
      <c r="L20" s="33">
        <f t="shared" si="8"/>
        <v>683816</v>
      </c>
      <c r="M20" s="34">
        <f t="shared" si="23"/>
        <v>675816.12</v>
      </c>
      <c r="N20" s="34">
        <f t="shared" si="9"/>
        <v>662299.79759999993</v>
      </c>
      <c r="O20" s="34">
        <f t="shared" si="10"/>
        <v>13516.322400000001</v>
      </c>
      <c r="P20" s="35">
        <f t="shared" si="11"/>
        <v>4443457.79</v>
      </c>
      <c r="Q20" s="35">
        <f t="shared" si="12"/>
        <v>4354588.63</v>
      </c>
      <c r="R20" s="35">
        <f t="shared" si="13"/>
        <v>88869.16</v>
      </c>
      <c r="S20" s="35">
        <f t="shared" si="14"/>
        <v>5315495.72</v>
      </c>
      <c r="T20" s="35">
        <f t="shared" si="15"/>
        <v>4518171.3600000003</v>
      </c>
      <c r="U20" s="35">
        <f t="shared" si="16"/>
        <v>797324.36</v>
      </c>
      <c r="V20" s="35">
        <f t="shared" si="17"/>
        <v>5315495.72</v>
      </c>
      <c r="W20" s="35">
        <f t="shared" si="18"/>
        <v>4411861.45</v>
      </c>
      <c r="X20" s="35">
        <f t="shared" si="19"/>
        <v>903634.27</v>
      </c>
      <c r="Y20" s="36">
        <f t="shared" si="24"/>
        <v>4486554</v>
      </c>
      <c r="Z20" s="36">
        <f t="shared" si="25"/>
        <v>91562</v>
      </c>
      <c r="AA20" s="3">
        <f t="shared" si="20"/>
        <v>4578116</v>
      </c>
      <c r="AB20" s="36">
        <f t="shared" si="26"/>
        <v>4486554</v>
      </c>
      <c r="AC20" s="36">
        <f t="shared" si="27"/>
        <v>91562</v>
      </c>
      <c r="AD20" s="3">
        <f t="shared" si="7"/>
        <v>4578116</v>
      </c>
    </row>
    <row r="21" spans="1:30" ht="30">
      <c r="A21" s="7" t="s">
        <v>16</v>
      </c>
      <c r="B21" s="9">
        <v>0</v>
      </c>
      <c r="C21" s="9">
        <v>12</v>
      </c>
      <c r="D21" s="9">
        <f t="shared" si="0"/>
        <v>12</v>
      </c>
      <c r="E21" s="1">
        <v>5</v>
      </c>
      <c r="F21" s="9">
        <v>10</v>
      </c>
      <c r="G21" s="9">
        <v>10</v>
      </c>
      <c r="H21" s="9">
        <v>10</v>
      </c>
      <c r="I21" s="9">
        <v>10</v>
      </c>
      <c r="J21" s="33">
        <f t="shared" si="21"/>
        <v>670317</v>
      </c>
      <c r="K21" s="33">
        <f t="shared" si="22"/>
        <v>13499</v>
      </c>
      <c r="L21" s="33">
        <f t="shared" si="8"/>
        <v>683816</v>
      </c>
      <c r="M21" s="34">
        <f t="shared" si="23"/>
        <v>675816.12</v>
      </c>
      <c r="N21" s="34">
        <f t="shared" si="9"/>
        <v>662299.79759999993</v>
      </c>
      <c r="O21" s="34">
        <f t="shared" si="10"/>
        <v>13516.322400000001</v>
      </c>
      <c r="P21" s="35">
        <f t="shared" si="11"/>
        <v>4039507.08</v>
      </c>
      <c r="Q21" s="35">
        <f t="shared" si="12"/>
        <v>3958716.94</v>
      </c>
      <c r="R21" s="35">
        <f t="shared" si="13"/>
        <v>80790.14</v>
      </c>
      <c r="S21" s="35">
        <f t="shared" si="14"/>
        <v>4832268.84</v>
      </c>
      <c r="T21" s="35">
        <f t="shared" si="15"/>
        <v>4107428.51</v>
      </c>
      <c r="U21" s="35">
        <f t="shared" si="16"/>
        <v>724840.33</v>
      </c>
      <c r="V21" s="35">
        <f t="shared" si="17"/>
        <v>4832268.84</v>
      </c>
      <c r="W21" s="35">
        <f t="shared" si="18"/>
        <v>4010783.14</v>
      </c>
      <c r="X21" s="35">
        <f t="shared" si="19"/>
        <v>821485.7</v>
      </c>
      <c r="Y21" s="36">
        <f t="shared" si="24"/>
        <v>4078685</v>
      </c>
      <c r="Z21" s="36">
        <f t="shared" si="25"/>
        <v>83238</v>
      </c>
      <c r="AA21" s="3">
        <f t="shared" si="20"/>
        <v>4161923</v>
      </c>
      <c r="AB21" s="36">
        <f t="shared" si="26"/>
        <v>4078685</v>
      </c>
      <c r="AC21" s="36">
        <f t="shared" si="27"/>
        <v>83238</v>
      </c>
      <c r="AD21" s="3">
        <f t="shared" si="7"/>
        <v>4161923</v>
      </c>
    </row>
    <row r="22" spans="1:30" ht="30">
      <c r="A22" s="7" t="s">
        <v>17</v>
      </c>
      <c r="B22" s="9">
        <v>4</v>
      </c>
      <c r="C22" s="9">
        <v>11</v>
      </c>
      <c r="D22" s="9">
        <f t="shared" si="0"/>
        <v>15</v>
      </c>
      <c r="E22" s="1">
        <v>6</v>
      </c>
      <c r="F22" s="9">
        <v>11</v>
      </c>
      <c r="G22" s="9">
        <v>11</v>
      </c>
      <c r="H22" s="9">
        <v>11</v>
      </c>
      <c r="I22" s="9">
        <v>11</v>
      </c>
      <c r="J22" s="33">
        <f t="shared" si="21"/>
        <v>804380</v>
      </c>
      <c r="K22" s="33">
        <f t="shared" si="22"/>
        <v>16199</v>
      </c>
      <c r="L22" s="33">
        <f t="shared" si="8"/>
        <v>820579</v>
      </c>
      <c r="M22" s="34">
        <f t="shared" si="23"/>
        <v>810979.34</v>
      </c>
      <c r="N22" s="34">
        <f t="shared" si="9"/>
        <v>794759.75319999992</v>
      </c>
      <c r="O22" s="34">
        <f t="shared" si="10"/>
        <v>16219.586799999999</v>
      </c>
      <c r="P22" s="35">
        <f t="shared" si="11"/>
        <v>4443457.79</v>
      </c>
      <c r="Q22" s="35">
        <f t="shared" si="12"/>
        <v>4354588.63</v>
      </c>
      <c r="R22" s="35">
        <f t="shared" si="13"/>
        <v>88869.16</v>
      </c>
      <c r="S22" s="35">
        <f t="shared" si="14"/>
        <v>5315495.72</v>
      </c>
      <c r="T22" s="35">
        <f t="shared" si="15"/>
        <v>4518171.3600000003</v>
      </c>
      <c r="U22" s="35">
        <f t="shared" si="16"/>
        <v>797324.36</v>
      </c>
      <c r="V22" s="35">
        <f t="shared" si="17"/>
        <v>5315495.72</v>
      </c>
      <c r="W22" s="35">
        <f t="shared" si="18"/>
        <v>4411861.45</v>
      </c>
      <c r="X22" s="35">
        <f t="shared" si="19"/>
        <v>903634.27</v>
      </c>
      <c r="Y22" s="36">
        <f t="shared" si="24"/>
        <v>4486554</v>
      </c>
      <c r="Z22" s="36">
        <f t="shared" si="25"/>
        <v>91562</v>
      </c>
      <c r="AA22" s="3">
        <f t="shared" si="20"/>
        <v>4578116</v>
      </c>
      <c r="AB22" s="36">
        <f t="shared" si="26"/>
        <v>4486554</v>
      </c>
      <c r="AC22" s="36">
        <f t="shared" si="27"/>
        <v>91562</v>
      </c>
      <c r="AD22" s="3">
        <f t="shared" si="7"/>
        <v>4578116</v>
      </c>
    </row>
    <row r="23" spans="1:30" ht="30">
      <c r="A23" s="7" t="s">
        <v>18</v>
      </c>
      <c r="B23" s="9">
        <v>0</v>
      </c>
      <c r="C23" s="9">
        <v>11</v>
      </c>
      <c r="D23" s="9">
        <f t="shared" si="0"/>
        <v>11</v>
      </c>
      <c r="E23" s="1">
        <v>5</v>
      </c>
      <c r="F23" s="9">
        <v>8</v>
      </c>
      <c r="G23" s="9">
        <v>8</v>
      </c>
      <c r="H23" s="9">
        <v>8</v>
      </c>
      <c r="I23" s="9">
        <v>8</v>
      </c>
      <c r="J23" s="33">
        <f t="shared" si="21"/>
        <v>670317</v>
      </c>
      <c r="K23" s="33">
        <f t="shared" si="22"/>
        <v>13499</v>
      </c>
      <c r="L23" s="33">
        <f t="shared" si="8"/>
        <v>683816</v>
      </c>
      <c r="M23" s="34">
        <f t="shared" si="23"/>
        <v>675816.12</v>
      </c>
      <c r="N23" s="34">
        <f t="shared" si="9"/>
        <v>662299.79759999993</v>
      </c>
      <c r="O23" s="34">
        <f t="shared" si="10"/>
        <v>13516.322400000001</v>
      </c>
      <c r="P23" s="35">
        <f t="shared" si="11"/>
        <v>3231605.66</v>
      </c>
      <c r="Q23" s="35">
        <f t="shared" si="12"/>
        <v>3166973.55</v>
      </c>
      <c r="R23" s="35">
        <f t="shared" si="13"/>
        <v>64632.11</v>
      </c>
      <c r="S23" s="35">
        <f t="shared" si="14"/>
        <v>3865815.07</v>
      </c>
      <c r="T23" s="35">
        <f t="shared" si="15"/>
        <v>3285942.81</v>
      </c>
      <c r="U23" s="35">
        <f t="shared" si="16"/>
        <v>579872.26</v>
      </c>
      <c r="V23" s="35">
        <f t="shared" si="17"/>
        <v>3865815.07</v>
      </c>
      <c r="W23" s="35">
        <f t="shared" si="18"/>
        <v>3208626.51</v>
      </c>
      <c r="X23" s="35">
        <f t="shared" si="19"/>
        <v>657188.56000000006</v>
      </c>
      <c r="Y23" s="36">
        <f t="shared" si="24"/>
        <v>3262948</v>
      </c>
      <c r="Z23" s="36">
        <f t="shared" si="25"/>
        <v>66591</v>
      </c>
      <c r="AA23" s="3">
        <f t="shared" si="20"/>
        <v>3329539</v>
      </c>
      <c r="AB23" s="36">
        <f t="shared" si="26"/>
        <v>3262948</v>
      </c>
      <c r="AC23" s="36">
        <f t="shared" si="27"/>
        <v>66591</v>
      </c>
      <c r="AD23" s="3">
        <f t="shared" si="7"/>
        <v>3329539</v>
      </c>
    </row>
    <row r="24" spans="1:30" ht="30">
      <c r="A24" s="7" t="s">
        <v>19</v>
      </c>
      <c r="B24" s="9">
        <v>3</v>
      </c>
      <c r="C24" s="9">
        <v>11</v>
      </c>
      <c r="D24" s="9">
        <f t="shared" si="0"/>
        <v>14</v>
      </c>
      <c r="E24" s="1">
        <v>6</v>
      </c>
      <c r="F24" s="9">
        <v>11</v>
      </c>
      <c r="G24" s="9">
        <v>11</v>
      </c>
      <c r="H24" s="9">
        <v>11</v>
      </c>
      <c r="I24" s="9">
        <v>11</v>
      </c>
      <c r="J24" s="33">
        <f t="shared" si="21"/>
        <v>804380</v>
      </c>
      <c r="K24" s="33">
        <f t="shared" si="22"/>
        <v>16199</v>
      </c>
      <c r="L24" s="33">
        <f t="shared" si="8"/>
        <v>820579</v>
      </c>
      <c r="M24" s="34">
        <f t="shared" si="23"/>
        <v>810979.34</v>
      </c>
      <c r="N24" s="34">
        <f t="shared" si="9"/>
        <v>794759.75319999992</v>
      </c>
      <c r="O24" s="34">
        <f t="shared" si="10"/>
        <v>16219.586799999999</v>
      </c>
      <c r="P24" s="35">
        <f t="shared" si="11"/>
        <v>4443457.79</v>
      </c>
      <c r="Q24" s="35">
        <f t="shared" si="12"/>
        <v>4354588.63</v>
      </c>
      <c r="R24" s="35">
        <f t="shared" si="13"/>
        <v>88869.16</v>
      </c>
      <c r="S24" s="35">
        <f t="shared" si="14"/>
        <v>5315495.72</v>
      </c>
      <c r="T24" s="35">
        <f t="shared" si="15"/>
        <v>4518171.3600000003</v>
      </c>
      <c r="U24" s="35">
        <f t="shared" si="16"/>
        <v>797324.36</v>
      </c>
      <c r="V24" s="35">
        <f t="shared" si="17"/>
        <v>5315495.72</v>
      </c>
      <c r="W24" s="35">
        <f t="shared" si="18"/>
        <v>4411861.45</v>
      </c>
      <c r="X24" s="35">
        <f t="shared" si="19"/>
        <v>903634.27</v>
      </c>
      <c r="Y24" s="36">
        <f t="shared" si="24"/>
        <v>4486554</v>
      </c>
      <c r="Z24" s="36">
        <f t="shared" si="25"/>
        <v>91562</v>
      </c>
      <c r="AA24" s="3">
        <f t="shared" si="20"/>
        <v>4578116</v>
      </c>
      <c r="AB24" s="36">
        <f t="shared" si="26"/>
        <v>4486554</v>
      </c>
      <c r="AC24" s="36">
        <f t="shared" si="27"/>
        <v>91562</v>
      </c>
      <c r="AD24" s="3">
        <f t="shared" si="7"/>
        <v>4578116</v>
      </c>
    </row>
    <row r="25" spans="1:30" ht="30">
      <c r="A25" s="7" t="s">
        <v>20</v>
      </c>
      <c r="B25" s="9">
        <v>0</v>
      </c>
      <c r="C25" s="9">
        <v>12</v>
      </c>
      <c r="D25" s="9">
        <f t="shared" si="0"/>
        <v>12</v>
      </c>
      <c r="E25" s="1">
        <v>5</v>
      </c>
      <c r="F25" s="9">
        <v>9</v>
      </c>
      <c r="G25" s="9">
        <v>9</v>
      </c>
      <c r="H25" s="9">
        <v>9</v>
      </c>
      <c r="I25" s="9">
        <v>9</v>
      </c>
      <c r="J25" s="33">
        <f t="shared" si="21"/>
        <v>670317</v>
      </c>
      <c r="K25" s="33">
        <f t="shared" si="22"/>
        <v>13499</v>
      </c>
      <c r="L25" s="33">
        <f t="shared" si="8"/>
        <v>683816</v>
      </c>
      <c r="M25" s="34">
        <f t="shared" si="23"/>
        <v>675816.12</v>
      </c>
      <c r="N25" s="34">
        <f t="shared" si="9"/>
        <v>662299.79759999993</v>
      </c>
      <c r="O25" s="34">
        <f t="shared" si="10"/>
        <v>13516.322400000001</v>
      </c>
      <c r="P25" s="35">
        <f t="shared" si="11"/>
        <v>3635556.37</v>
      </c>
      <c r="Q25" s="35">
        <f t="shared" si="12"/>
        <v>3562845.24</v>
      </c>
      <c r="R25" s="35">
        <f t="shared" si="13"/>
        <v>72711.13</v>
      </c>
      <c r="S25" s="35">
        <f t="shared" si="14"/>
        <v>4349041.96</v>
      </c>
      <c r="T25" s="35">
        <f t="shared" si="15"/>
        <v>3696685.67</v>
      </c>
      <c r="U25" s="35">
        <f t="shared" si="16"/>
        <v>652356.29</v>
      </c>
      <c r="V25" s="35">
        <f t="shared" si="17"/>
        <v>4349041.96</v>
      </c>
      <c r="W25" s="35">
        <f t="shared" si="18"/>
        <v>3609704.83</v>
      </c>
      <c r="X25" s="35">
        <f t="shared" si="19"/>
        <v>739337.13</v>
      </c>
      <c r="Y25" s="36">
        <f t="shared" si="24"/>
        <v>3670817</v>
      </c>
      <c r="Z25" s="36">
        <f t="shared" si="25"/>
        <v>74915</v>
      </c>
      <c r="AA25" s="3">
        <f t="shared" si="20"/>
        <v>3745732</v>
      </c>
      <c r="AB25" s="36">
        <f t="shared" si="26"/>
        <v>3670817</v>
      </c>
      <c r="AC25" s="36">
        <f t="shared" si="27"/>
        <v>74915</v>
      </c>
      <c r="AD25" s="3">
        <f t="shared" si="7"/>
        <v>3745732</v>
      </c>
    </row>
    <row r="26" spans="1:30" ht="30">
      <c r="A26" s="7" t="s">
        <v>21</v>
      </c>
      <c r="B26" s="9">
        <v>1</v>
      </c>
      <c r="C26" s="9">
        <v>5</v>
      </c>
      <c r="D26" s="9">
        <f t="shared" si="0"/>
        <v>6</v>
      </c>
      <c r="E26" s="1">
        <v>3</v>
      </c>
      <c r="F26" s="9">
        <v>6</v>
      </c>
      <c r="G26" s="9">
        <v>6</v>
      </c>
      <c r="H26" s="9">
        <v>6</v>
      </c>
      <c r="I26" s="9">
        <v>6</v>
      </c>
      <c r="J26" s="33">
        <f t="shared" si="21"/>
        <v>402190</v>
      </c>
      <c r="K26" s="33">
        <f t="shared" si="22"/>
        <v>8099</v>
      </c>
      <c r="L26" s="33">
        <f t="shared" si="8"/>
        <v>410289</v>
      </c>
      <c r="M26" s="34">
        <f t="shared" si="23"/>
        <v>405489.67</v>
      </c>
      <c r="N26" s="34">
        <f t="shared" si="9"/>
        <v>397379.87659999996</v>
      </c>
      <c r="O26" s="34">
        <f t="shared" si="10"/>
        <v>8109.7933999999996</v>
      </c>
      <c r="P26" s="35">
        <f t="shared" si="11"/>
        <v>2423704.25</v>
      </c>
      <c r="Q26" s="35">
        <f t="shared" si="12"/>
        <v>2375230.17</v>
      </c>
      <c r="R26" s="35">
        <f t="shared" si="13"/>
        <v>48474.09</v>
      </c>
      <c r="S26" s="35">
        <f t="shared" si="14"/>
        <v>2899361.3</v>
      </c>
      <c r="T26" s="35">
        <f t="shared" si="15"/>
        <v>2464457.11</v>
      </c>
      <c r="U26" s="35">
        <f t="shared" si="16"/>
        <v>434904.2</v>
      </c>
      <c r="V26" s="35">
        <f t="shared" si="17"/>
        <v>2899361.3</v>
      </c>
      <c r="W26" s="35">
        <f t="shared" si="18"/>
        <v>2406469.88</v>
      </c>
      <c r="X26" s="35">
        <f t="shared" si="19"/>
        <v>492891.42</v>
      </c>
      <c r="Y26" s="36">
        <f t="shared" si="24"/>
        <v>2447211</v>
      </c>
      <c r="Z26" s="36">
        <f t="shared" si="25"/>
        <v>49943</v>
      </c>
      <c r="AA26" s="3">
        <f t="shared" si="20"/>
        <v>2497154</v>
      </c>
      <c r="AB26" s="36">
        <f t="shared" si="26"/>
        <v>2447211</v>
      </c>
      <c r="AC26" s="36">
        <f t="shared" si="27"/>
        <v>49943</v>
      </c>
      <c r="AD26" s="3">
        <f t="shared" si="7"/>
        <v>2497154</v>
      </c>
    </row>
    <row r="27" spans="1:30">
      <c r="A27" s="7" t="s">
        <v>22</v>
      </c>
      <c r="B27" s="9">
        <v>48</v>
      </c>
      <c r="C27" s="9">
        <v>2</v>
      </c>
      <c r="D27" s="9">
        <f t="shared" si="0"/>
        <v>50</v>
      </c>
      <c r="E27" s="1">
        <v>50</v>
      </c>
      <c r="F27" s="9">
        <v>51</v>
      </c>
      <c r="G27" s="9">
        <v>51</v>
      </c>
      <c r="H27" s="9">
        <v>51</v>
      </c>
      <c r="I27" s="9">
        <v>51</v>
      </c>
      <c r="J27" s="33">
        <f t="shared" si="21"/>
        <v>6703166</v>
      </c>
      <c r="K27" s="33">
        <f t="shared" si="22"/>
        <v>134988</v>
      </c>
      <c r="L27" s="33">
        <f t="shared" si="8"/>
        <v>6838154</v>
      </c>
      <c r="M27" s="34">
        <f t="shared" si="23"/>
        <v>6758161.2000000002</v>
      </c>
      <c r="N27" s="34">
        <f t="shared" si="9"/>
        <v>6622997.9759999998</v>
      </c>
      <c r="O27" s="34">
        <f t="shared" si="10"/>
        <v>135163.22400000002</v>
      </c>
      <c r="P27" s="35">
        <f t="shared" si="11"/>
        <v>20601486.109999999</v>
      </c>
      <c r="Q27" s="35">
        <f t="shared" si="12"/>
        <v>20189456.390000001</v>
      </c>
      <c r="R27" s="35">
        <f t="shared" si="13"/>
        <v>412029.72</v>
      </c>
      <c r="S27" s="35">
        <f t="shared" si="14"/>
        <v>24644571.079999998</v>
      </c>
      <c r="T27" s="35">
        <f t="shared" si="15"/>
        <v>20947885.420000002</v>
      </c>
      <c r="U27" s="35">
        <f t="shared" si="16"/>
        <v>3696685.66</v>
      </c>
      <c r="V27" s="35">
        <f t="shared" si="17"/>
        <v>24644571.079999998</v>
      </c>
      <c r="W27" s="35">
        <f t="shared" si="18"/>
        <v>20454994</v>
      </c>
      <c r="X27" s="35">
        <f t="shared" si="19"/>
        <v>4189577.08</v>
      </c>
      <c r="Y27" s="36">
        <f t="shared" si="24"/>
        <v>20801296</v>
      </c>
      <c r="Z27" s="36">
        <f t="shared" si="25"/>
        <v>424516</v>
      </c>
      <c r="AA27" s="3">
        <f t="shared" si="20"/>
        <v>21225812</v>
      </c>
      <c r="AB27" s="36">
        <f t="shared" si="26"/>
        <v>20801296</v>
      </c>
      <c r="AC27" s="36">
        <f t="shared" si="27"/>
        <v>424516</v>
      </c>
      <c r="AD27" s="3">
        <f t="shared" si="7"/>
        <v>21225812</v>
      </c>
    </row>
    <row r="28" spans="1:30">
      <c r="A28" s="7" t="s">
        <v>24</v>
      </c>
      <c r="B28" s="9">
        <v>26</v>
      </c>
      <c r="C28" s="9">
        <v>2</v>
      </c>
      <c r="D28" s="9">
        <f>B28+C28</f>
        <v>28</v>
      </c>
      <c r="E28" s="1">
        <v>19</v>
      </c>
      <c r="F28" s="9">
        <v>28</v>
      </c>
      <c r="G28" s="9">
        <v>28</v>
      </c>
      <c r="H28" s="9">
        <v>28</v>
      </c>
      <c r="I28" s="9">
        <v>28</v>
      </c>
      <c r="J28" s="33">
        <f t="shared" si="21"/>
        <v>2547203</v>
      </c>
      <c r="K28" s="33">
        <f t="shared" si="22"/>
        <v>51295</v>
      </c>
      <c r="L28" s="33">
        <f>J28+K28</f>
        <v>2598498</v>
      </c>
      <c r="M28" s="34">
        <f t="shared" si="23"/>
        <v>2568101.2599999998</v>
      </c>
      <c r="N28" s="34">
        <f>M28*98%</f>
        <v>2516739.2347999997</v>
      </c>
      <c r="O28" s="34">
        <f>M28*2%</f>
        <v>51362.025199999996</v>
      </c>
      <c r="P28" s="35">
        <f t="shared" si="11"/>
        <v>11310619.82</v>
      </c>
      <c r="Q28" s="35">
        <f>ROUND(P28*98%,2)</f>
        <v>11084407.42</v>
      </c>
      <c r="R28" s="35">
        <f>ROUND(P28*2%,2)</f>
        <v>226212.4</v>
      </c>
      <c r="S28" s="35">
        <f t="shared" si="14"/>
        <v>13530352.75</v>
      </c>
      <c r="T28" s="35">
        <f t="shared" si="15"/>
        <v>11500799.84</v>
      </c>
      <c r="U28" s="35">
        <f t="shared" si="16"/>
        <v>2029552.91</v>
      </c>
      <c r="V28" s="35">
        <f t="shared" si="17"/>
        <v>13530352.75</v>
      </c>
      <c r="W28" s="35">
        <f t="shared" si="18"/>
        <v>11230192.779999999</v>
      </c>
      <c r="X28" s="35">
        <f t="shared" si="19"/>
        <v>2300159.9700000002</v>
      </c>
      <c r="Y28" s="36"/>
      <c r="Z28" s="36"/>
      <c r="AA28" s="3"/>
      <c r="AB28" s="36"/>
      <c r="AC28" s="36"/>
      <c r="AD28" s="3"/>
    </row>
    <row r="29" spans="1:30">
      <c r="A29" s="7" t="s">
        <v>23</v>
      </c>
      <c r="B29" s="9">
        <v>13</v>
      </c>
      <c r="C29" s="9">
        <v>0</v>
      </c>
      <c r="D29" s="9">
        <f t="shared" si="0"/>
        <v>13</v>
      </c>
      <c r="E29" s="1">
        <v>8</v>
      </c>
      <c r="F29" s="9">
        <v>14</v>
      </c>
      <c r="G29" s="9">
        <v>14</v>
      </c>
      <c r="H29" s="9">
        <v>14</v>
      </c>
      <c r="I29" s="9">
        <v>14</v>
      </c>
      <c r="J29" s="33">
        <f t="shared" si="21"/>
        <v>1072507</v>
      </c>
      <c r="K29" s="33">
        <f t="shared" si="22"/>
        <v>21598</v>
      </c>
      <c r="L29" s="33">
        <f t="shared" si="8"/>
        <v>1094105</v>
      </c>
      <c r="M29" s="34">
        <f t="shared" si="23"/>
        <v>1081305.79</v>
      </c>
      <c r="N29" s="34">
        <f t="shared" si="9"/>
        <v>1059679.6742</v>
      </c>
      <c r="O29" s="34">
        <f t="shared" si="10"/>
        <v>21626.1158</v>
      </c>
      <c r="P29" s="35">
        <f t="shared" si="11"/>
        <v>5655309.9100000001</v>
      </c>
      <c r="Q29" s="35">
        <f t="shared" si="12"/>
        <v>5542203.71</v>
      </c>
      <c r="R29" s="35">
        <f t="shared" si="13"/>
        <v>113106.2</v>
      </c>
      <c r="S29" s="35">
        <f t="shared" si="14"/>
        <v>6765176.3799999999</v>
      </c>
      <c r="T29" s="35">
        <f t="shared" si="15"/>
        <v>5750399.9199999999</v>
      </c>
      <c r="U29" s="35">
        <f t="shared" si="16"/>
        <v>1014776.46</v>
      </c>
      <c r="V29" s="35">
        <f t="shared" si="17"/>
        <v>6765176.3799999999</v>
      </c>
      <c r="W29" s="35">
        <f t="shared" si="18"/>
        <v>5615096.4000000004</v>
      </c>
      <c r="X29" s="35">
        <f t="shared" si="19"/>
        <v>1150079.98</v>
      </c>
      <c r="Y29" s="36">
        <f>ROUND(G29*$Y$6/SUM($G$8:$G$33),0)</f>
        <v>5710160</v>
      </c>
      <c r="Z29" s="36">
        <f>ROUND(G29*$Z$6/SUM($G$8:$G$33),0)</f>
        <v>116534</v>
      </c>
      <c r="AA29" s="3">
        <f t="shared" si="20"/>
        <v>5826694</v>
      </c>
      <c r="AB29" s="36">
        <f>ROUND(H29*$AB$6/SUM($H$8:$H$33),0)</f>
        <v>5710160</v>
      </c>
      <c r="AC29" s="36">
        <f>ROUND(H29*$AC$6/SUM($H$8:$H$33),0)</f>
        <v>116534</v>
      </c>
      <c r="AD29" s="3">
        <f t="shared" si="7"/>
        <v>5826694</v>
      </c>
    </row>
    <row r="30" spans="1:30">
      <c r="A30" s="7" t="s">
        <v>25</v>
      </c>
      <c r="B30" s="9">
        <v>6</v>
      </c>
      <c r="C30" s="9">
        <v>0</v>
      </c>
      <c r="D30" s="9">
        <f t="shared" si="0"/>
        <v>6</v>
      </c>
      <c r="E30" s="1">
        <v>4</v>
      </c>
      <c r="F30" s="9">
        <v>5</v>
      </c>
      <c r="G30" s="9">
        <v>5</v>
      </c>
      <c r="H30" s="9">
        <v>5</v>
      </c>
      <c r="I30" s="9">
        <v>5</v>
      </c>
      <c r="J30" s="33">
        <f t="shared" si="21"/>
        <v>536253</v>
      </c>
      <c r="K30" s="33">
        <f t="shared" si="22"/>
        <v>10799</v>
      </c>
      <c r="L30" s="33">
        <f t="shared" si="8"/>
        <v>547052</v>
      </c>
      <c r="M30" s="34">
        <f t="shared" si="23"/>
        <v>540652.9</v>
      </c>
      <c r="N30" s="34">
        <f t="shared" si="9"/>
        <v>529839.84200000006</v>
      </c>
      <c r="O30" s="34">
        <f t="shared" si="10"/>
        <v>10813.058000000001</v>
      </c>
      <c r="P30" s="35">
        <f t="shared" si="11"/>
        <v>2019753.54</v>
      </c>
      <c r="Q30" s="35">
        <f t="shared" si="12"/>
        <v>1979358.47</v>
      </c>
      <c r="R30" s="35">
        <f t="shared" si="13"/>
        <v>40395.07</v>
      </c>
      <c r="S30" s="35">
        <f>ROUND(1.302*($S$6*H30*12)/2,2)</f>
        <v>2416134.42</v>
      </c>
      <c r="T30" s="35">
        <f t="shared" si="15"/>
        <v>2053714.26</v>
      </c>
      <c r="U30" s="35">
        <f t="shared" si="16"/>
        <v>362420.16</v>
      </c>
      <c r="V30" s="35">
        <f t="shared" si="17"/>
        <v>2416134.42</v>
      </c>
      <c r="W30" s="35">
        <f t="shared" si="18"/>
        <v>2005391.57</v>
      </c>
      <c r="X30" s="35">
        <f t="shared" si="19"/>
        <v>410742.85</v>
      </c>
      <c r="Y30" s="36">
        <f>ROUND(G30*$Y$6/SUM($G$8:$G$33),0)</f>
        <v>2039343</v>
      </c>
      <c r="Z30" s="36">
        <f>ROUND(G30*$Z$6/SUM($G$8:$G$33),0)</f>
        <v>41619</v>
      </c>
      <c r="AA30" s="3">
        <f t="shared" si="20"/>
        <v>2080962</v>
      </c>
      <c r="AB30" s="36">
        <f>ROUND(H30*$AB$6/SUM($H$8:$H$33),0)</f>
        <v>2039343</v>
      </c>
      <c r="AC30" s="36">
        <f>ROUND(H30*$AC$6/SUM($H$8:$H$33),0)</f>
        <v>41619</v>
      </c>
      <c r="AD30" s="3">
        <f t="shared" si="7"/>
        <v>2080962</v>
      </c>
    </row>
    <row r="31" spans="1:30">
      <c r="A31" s="7" t="s">
        <v>26</v>
      </c>
      <c r="B31" s="9">
        <v>7</v>
      </c>
      <c r="C31" s="9">
        <v>0</v>
      </c>
      <c r="D31" s="9">
        <f t="shared" si="0"/>
        <v>7</v>
      </c>
      <c r="E31" s="1">
        <v>6</v>
      </c>
      <c r="F31" s="9">
        <v>7</v>
      </c>
      <c r="G31" s="9">
        <v>7</v>
      </c>
      <c r="H31" s="9">
        <v>7</v>
      </c>
      <c r="I31" s="9">
        <v>7</v>
      </c>
      <c r="J31" s="33">
        <f t="shared" si="21"/>
        <v>804380</v>
      </c>
      <c r="K31" s="33">
        <f t="shared" si="22"/>
        <v>16199</v>
      </c>
      <c r="L31" s="33">
        <f t="shared" si="8"/>
        <v>820579</v>
      </c>
      <c r="M31" s="34">
        <f t="shared" si="23"/>
        <v>810979.34</v>
      </c>
      <c r="N31" s="34">
        <f t="shared" si="9"/>
        <v>794759.75319999992</v>
      </c>
      <c r="O31" s="34">
        <f t="shared" si="10"/>
        <v>16219.586799999999</v>
      </c>
      <c r="P31" s="35">
        <f>ROUND(1.302*($P$6*G31*12)/2,2)</f>
        <v>2827654.96</v>
      </c>
      <c r="Q31" s="35">
        <f t="shared" si="12"/>
        <v>2771101.86</v>
      </c>
      <c r="R31" s="35">
        <f t="shared" si="13"/>
        <v>56553.1</v>
      </c>
      <c r="S31" s="35">
        <f t="shared" si="14"/>
        <v>3382588.19</v>
      </c>
      <c r="T31" s="35">
        <f t="shared" si="15"/>
        <v>2875199.96</v>
      </c>
      <c r="U31" s="35">
        <f t="shared" si="16"/>
        <v>507388.23</v>
      </c>
      <c r="V31" s="35">
        <f t="shared" si="17"/>
        <v>3382588.19</v>
      </c>
      <c r="W31" s="35">
        <f t="shared" si="18"/>
        <v>2807548.2</v>
      </c>
      <c r="X31" s="35">
        <f t="shared" si="19"/>
        <v>575039.99</v>
      </c>
      <c r="Y31" s="36">
        <f>ROUND(G31*$Y$6/SUM($G$8:$G$33),0)</f>
        <v>2855080</v>
      </c>
      <c r="Z31" s="36">
        <f>ROUND(G31*$Z$6/SUM($G$8:$G$33),0)</f>
        <v>58267</v>
      </c>
      <c r="AA31" s="3">
        <f t="shared" si="20"/>
        <v>2913347</v>
      </c>
      <c r="AB31" s="36">
        <f>ROUND(H31*$AB$6/SUM($H$8:$H$33),0)</f>
        <v>2855080</v>
      </c>
      <c r="AC31" s="36">
        <f>ROUND(H31*$AC$6/SUM($H$8:$H$33),0)</f>
        <v>58267</v>
      </c>
      <c r="AD31" s="3">
        <f t="shared" si="7"/>
        <v>2913347</v>
      </c>
    </row>
    <row r="32" spans="1:30">
      <c r="A32" s="7" t="s">
        <v>27</v>
      </c>
      <c r="B32" s="9">
        <v>4</v>
      </c>
      <c r="C32" s="9">
        <v>0</v>
      </c>
      <c r="D32" s="9">
        <f t="shared" si="0"/>
        <v>4</v>
      </c>
      <c r="E32" s="1">
        <v>2</v>
      </c>
      <c r="F32" s="9">
        <v>5</v>
      </c>
      <c r="G32" s="9">
        <v>5</v>
      </c>
      <c r="H32" s="9">
        <v>5</v>
      </c>
      <c r="I32" s="9">
        <v>5</v>
      </c>
      <c r="J32" s="33">
        <f t="shared" si="21"/>
        <v>268127</v>
      </c>
      <c r="K32" s="33">
        <f t="shared" si="22"/>
        <v>5400</v>
      </c>
      <c r="L32" s="33">
        <f t="shared" si="8"/>
        <v>273527</v>
      </c>
      <c r="M32" s="34">
        <f t="shared" si="23"/>
        <v>270326.45</v>
      </c>
      <c r="N32" s="34">
        <f t="shared" si="9"/>
        <v>264919.92100000003</v>
      </c>
      <c r="O32" s="34">
        <f t="shared" si="10"/>
        <v>5406.5290000000005</v>
      </c>
      <c r="P32" s="35">
        <f>ROUND(1.302*($P$6*G32*12)/2,2)</f>
        <v>2019753.54</v>
      </c>
      <c r="Q32" s="35">
        <f>ROUND(P32*98%,2)</f>
        <v>1979358.47</v>
      </c>
      <c r="R32" s="35">
        <f>ROUND(P32*2%,2)-0.01</f>
        <v>40395.06</v>
      </c>
      <c r="S32" s="35">
        <f t="shared" si="14"/>
        <v>2416134.42</v>
      </c>
      <c r="T32" s="35">
        <f t="shared" si="15"/>
        <v>2053714.26</v>
      </c>
      <c r="U32" s="35">
        <f>ROUND(S32*15%,2)-0.01</f>
        <v>362420.14999999997</v>
      </c>
      <c r="V32" s="35">
        <f t="shared" si="17"/>
        <v>2416134.42</v>
      </c>
      <c r="W32" s="35">
        <f t="shared" si="18"/>
        <v>2005391.57</v>
      </c>
      <c r="X32" s="35">
        <f t="shared" si="19"/>
        <v>410742.85</v>
      </c>
      <c r="Y32" s="36">
        <f>ROUND(G32*$Y$6/SUM($G$8:$G$33),0)</f>
        <v>2039343</v>
      </c>
      <c r="Z32" s="36">
        <f>ROUND(G32*$Z$6/SUM($G$8:$G$33),0)</f>
        <v>41619</v>
      </c>
      <c r="AA32" s="3">
        <f t="shared" si="20"/>
        <v>2080962</v>
      </c>
      <c r="AB32" s="36">
        <f>ROUND(H32*$AB$6/SUM($H$8:$H$33),0)</f>
        <v>2039343</v>
      </c>
      <c r="AC32" s="36">
        <f>ROUND(H32*$AC$6/SUM($H$8:$H$33),0)</f>
        <v>41619</v>
      </c>
      <c r="AD32" s="3">
        <f t="shared" si="7"/>
        <v>2080962</v>
      </c>
    </row>
    <row r="33" spans="1:30" hidden="1">
      <c r="A33" s="7" t="s">
        <v>36</v>
      </c>
      <c r="B33" s="9"/>
      <c r="C33" s="9"/>
      <c r="D33" s="9"/>
      <c r="E33" s="1"/>
      <c r="F33" s="9"/>
      <c r="G33" s="9"/>
      <c r="H33" s="9"/>
      <c r="I33" s="9"/>
      <c r="J33" s="33"/>
      <c r="K33" s="33"/>
      <c r="L33" s="33"/>
      <c r="M33" s="34">
        <v>0</v>
      </c>
      <c r="N33" s="34"/>
      <c r="O33" s="34"/>
      <c r="P33" s="35">
        <f t="shared" si="11"/>
        <v>0</v>
      </c>
      <c r="Q33" s="35">
        <f t="shared" si="12"/>
        <v>0</v>
      </c>
      <c r="R33" s="35">
        <f t="shared" si="13"/>
        <v>0</v>
      </c>
      <c r="S33" s="35">
        <f t="shared" si="14"/>
        <v>0</v>
      </c>
      <c r="T33" s="35">
        <f t="shared" si="15"/>
        <v>0</v>
      </c>
      <c r="U33" s="35">
        <f>ROUND(S33*15%,2)</f>
        <v>0</v>
      </c>
      <c r="V33" s="35">
        <f t="shared" si="17"/>
        <v>0</v>
      </c>
      <c r="W33" s="35">
        <f t="shared" si="18"/>
        <v>0</v>
      </c>
      <c r="X33" s="35">
        <f t="shared" si="19"/>
        <v>0</v>
      </c>
      <c r="Y33" s="36"/>
      <c r="Z33" s="36"/>
      <c r="AA33" s="3"/>
      <c r="AB33" s="36"/>
      <c r="AC33" s="36"/>
      <c r="AD33" s="3"/>
    </row>
    <row r="34" spans="1:30" s="37" customFormat="1" ht="21" customHeight="1">
      <c r="A34" s="45" t="s">
        <v>49</v>
      </c>
      <c r="B34" s="46">
        <f t="shared" ref="B34:Z34" si="28">SUM(B8:B33)</f>
        <v>138</v>
      </c>
      <c r="C34" s="46">
        <f t="shared" si="28"/>
        <v>160</v>
      </c>
      <c r="D34" s="46">
        <f t="shared" si="28"/>
        <v>298</v>
      </c>
      <c r="E34" s="13">
        <f t="shared" si="28"/>
        <v>169</v>
      </c>
      <c r="F34" s="13">
        <f t="shared" si="28"/>
        <v>267</v>
      </c>
      <c r="G34" s="13">
        <f t="shared" si="28"/>
        <v>267</v>
      </c>
      <c r="H34" s="13">
        <f t="shared" si="28"/>
        <v>267</v>
      </c>
      <c r="I34" s="13">
        <f t="shared" si="28"/>
        <v>267</v>
      </c>
      <c r="J34" s="38">
        <f t="shared" si="28"/>
        <v>22656701</v>
      </c>
      <c r="K34" s="38">
        <f t="shared" si="28"/>
        <v>456261.18</v>
      </c>
      <c r="L34" s="38">
        <f t="shared" si="28"/>
        <v>23112962.18</v>
      </c>
      <c r="M34" s="39">
        <f t="shared" si="28"/>
        <v>22842632.729999997</v>
      </c>
      <c r="N34" s="39">
        <f t="shared" si="28"/>
        <v>22385780.085399996</v>
      </c>
      <c r="O34" s="39">
        <f t="shared" si="28"/>
        <v>456852.64459999988</v>
      </c>
      <c r="P34" s="40">
        <f t="shared" si="28"/>
        <v>107854839.05</v>
      </c>
      <c r="Q34" s="40">
        <f t="shared" si="28"/>
        <v>105697742.25</v>
      </c>
      <c r="R34" s="40">
        <f t="shared" si="28"/>
        <v>2157096.8000000003</v>
      </c>
      <c r="S34" s="40">
        <f t="shared" si="28"/>
        <v>129021578.03999999</v>
      </c>
      <c r="T34" s="40">
        <f t="shared" si="28"/>
        <v>109668341.34999999</v>
      </c>
      <c r="U34" s="40">
        <f t="shared" si="28"/>
        <v>19353236.690000001</v>
      </c>
      <c r="V34" s="40">
        <f t="shared" si="28"/>
        <v>129021578.03999999</v>
      </c>
      <c r="W34" s="40">
        <f t="shared" si="28"/>
        <v>107087909.82000001</v>
      </c>
      <c r="X34" s="40">
        <f t="shared" si="28"/>
        <v>21933668.219999999</v>
      </c>
      <c r="Y34" s="41">
        <f t="shared" si="28"/>
        <v>97480586</v>
      </c>
      <c r="Z34" s="41">
        <f t="shared" si="28"/>
        <v>1989400.35</v>
      </c>
      <c r="AA34" s="4">
        <f t="shared" si="20"/>
        <v>99469986.349999994</v>
      </c>
      <c r="AB34" s="41">
        <f>SUM(AB8:AB33)</f>
        <v>97480586</v>
      </c>
      <c r="AC34" s="41">
        <f>SUM(AC8:AC33)</f>
        <v>1989400.35</v>
      </c>
      <c r="AD34" s="4">
        <f t="shared" si="7"/>
        <v>99469986.349999994</v>
      </c>
    </row>
    <row r="35" spans="1:30" hidden="1">
      <c r="E35" s="5"/>
      <c r="F35" s="5"/>
      <c r="G35" s="59"/>
      <c r="H35" s="59"/>
      <c r="I35" s="12"/>
      <c r="J35" s="6">
        <f>J6-J34</f>
        <v>-1</v>
      </c>
      <c r="K35" s="6">
        <f>K6-K34</f>
        <v>-2.0000000002910383</v>
      </c>
      <c r="L35" s="6">
        <f>L6-L34</f>
        <v>-3</v>
      </c>
      <c r="M35" s="6">
        <v>23112959.18</v>
      </c>
      <c r="N35" s="6"/>
      <c r="O35" s="6"/>
      <c r="P35" s="6"/>
      <c r="Q35" s="42">
        <f>Q34/P34</f>
        <v>0.97999999982383734</v>
      </c>
      <c r="R35" s="42">
        <f>R34/P34</f>
        <v>2.0000000176162706E-2</v>
      </c>
      <c r="S35" s="6"/>
      <c r="T35" s="42">
        <f>T34/S34</f>
        <v>0.85000000012401022</v>
      </c>
      <c r="U35" s="42">
        <f>U34/S34</f>
        <v>0.14999999987598975</v>
      </c>
      <c r="V35" s="6"/>
      <c r="W35" s="42">
        <f>W34/V34</f>
        <v>0.83000000036273014</v>
      </c>
      <c r="X35" s="42">
        <f>X34/V34</f>
        <v>0.16999999963726997</v>
      </c>
      <c r="Y35" s="43">
        <f t="shared" ref="Y35:AD35" si="29">Y6-Y34</f>
        <v>11420314</v>
      </c>
      <c r="Z35" s="43">
        <f t="shared" si="29"/>
        <v>233066.99999999395</v>
      </c>
      <c r="AA35" s="43">
        <f t="shared" si="29"/>
        <v>11653381</v>
      </c>
      <c r="AB35" s="43">
        <f t="shared" si="29"/>
        <v>11420314</v>
      </c>
      <c r="AC35" s="43">
        <f t="shared" si="29"/>
        <v>233066.99999999395</v>
      </c>
      <c r="AD35" s="43">
        <f t="shared" si="29"/>
        <v>11653381</v>
      </c>
    </row>
  </sheetData>
  <mergeCells count="20">
    <mergeCell ref="G35:H35"/>
    <mergeCell ref="A1:X2"/>
    <mergeCell ref="A3:A6"/>
    <mergeCell ref="B3:D4"/>
    <mergeCell ref="J3:K3"/>
    <mergeCell ref="E3:I5"/>
    <mergeCell ref="M3:X3"/>
    <mergeCell ref="E7:F7"/>
    <mergeCell ref="AD4:AD5"/>
    <mergeCell ref="J5:K5"/>
    <mergeCell ref="Y5:Z5"/>
    <mergeCell ref="AB5:AC5"/>
    <mergeCell ref="AB3:AC3"/>
    <mergeCell ref="L4:L5"/>
    <mergeCell ref="M4:O4"/>
    <mergeCell ref="P4:R4"/>
    <mergeCell ref="S4:U4"/>
    <mergeCell ref="V4:X4"/>
    <mergeCell ref="AA4:AA5"/>
    <mergeCell ref="Y3:Z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24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2025-2027</vt:lpstr>
      <vt:lpstr>'2025-2027'!Область_печати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Петруханова Юлия Борисовна</dc:creator>
  <cp:lastModifiedBy>minfin user</cp:lastModifiedBy>
  <cp:lastPrinted>2024-10-21T11:15:26Z</cp:lastPrinted>
  <dcterms:created xsi:type="dcterms:W3CDTF">2022-08-01T07:31:30Z</dcterms:created>
  <dcterms:modified xsi:type="dcterms:W3CDTF">2024-10-21T11:16:36Z</dcterms:modified>
</cp:coreProperties>
</file>