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5" yWindow="165" windowWidth="14865" windowHeight="10980" tabRatio="602" firstSheet="7" activeTab="7"/>
  </bookViews>
  <sheets>
    <sheet name="по предприятиям" sheetId="1" state="hidden" r:id="rId1"/>
    <sheet name="Лист2" sheetId="2" state="hidden" r:id="rId2"/>
    <sheet name="количество" sheetId="3" state="hidden" r:id="rId3"/>
    <sheet name="по МО" sheetId="4" state="hidden" r:id="rId4"/>
    <sheet name="архангельск" sheetId="5" state="hidden" r:id="rId5"/>
    <sheet name="Северодвинск" sheetId="6" state="hidden" r:id="rId6"/>
    <sheet name="ГВС" sheetId="7" state="hidden" r:id="rId7"/>
    <sheet name="ХВС и ВО" sheetId="12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'по предприятиям'!$A$4:$BB$232</definedName>
    <definedName name="_xlnm._FilterDatabase" localSheetId="7" hidden="1">'ХВС и ВО'!$A$8:$S$33</definedName>
    <definedName name="_xlnm.Print_Area" localSheetId="7">'ХВС и ВО'!$A$3:$O$33</definedName>
  </definedNames>
  <calcPr calcId="125725"/>
</workbook>
</file>

<file path=xl/calcChain.xml><?xml version="1.0" encoding="utf-8"?>
<calcChain xmlns="http://schemas.openxmlformats.org/spreadsheetml/2006/main">
  <c r="AR22" i="1"/>
  <c r="S22"/>
  <c r="T22" s="1"/>
  <c r="K23"/>
  <c r="H23"/>
  <c r="AW50" l="1"/>
  <c r="AT50"/>
  <c r="AR135"/>
  <c r="AF135"/>
  <c r="AI135" s="1"/>
  <c r="V17" l="1"/>
  <c r="S17"/>
  <c r="AU17"/>
  <c r="AR17"/>
  <c r="AE17" l="1"/>
  <c r="BA17"/>
  <c r="AF17"/>
  <c r="AI17" s="1"/>
  <c r="F17"/>
  <c r="I17" s="1"/>
  <c r="V19" l="1"/>
  <c r="S19" l="1"/>
  <c r="AE19" s="1"/>
  <c r="AE126"/>
  <c r="V69"/>
  <c r="W116"/>
  <c r="T116"/>
  <c r="S127"/>
  <c r="F127"/>
  <c r="I127" s="1"/>
  <c r="S119"/>
  <c r="F119"/>
  <c r="I119" s="1"/>
  <c r="W120"/>
  <c r="S120"/>
  <c r="F120"/>
  <c r="I120" s="1"/>
  <c r="AR122"/>
  <c r="AU122" s="1"/>
  <c r="AF122"/>
  <c r="AI122" s="1"/>
  <c r="S122"/>
  <c r="F122"/>
  <c r="I122" s="1"/>
  <c r="S128"/>
  <c r="F128"/>
  <c r="S124"/>
  <c r="F124"/>
  <c r="I124" s="1"/>
  <c r="F116"/>
  <c r="F126"/>
  <c r="I126" s="1"/>
  <c r="S125"/>
  <c r="F125"/>
  <c r="F68"/>
  <c r="AR35"/>
  <c r="AR32" s="1"/>
  <c r="AF35"/>
  <c r="S35"/>
  <c r="S32" s="1"/>
  <c r="F35"/>
  <c r="AR219"/>
  <c r="AF219"/>
  <c r="U220"/>
  <c r="U219"/>
  <c r="S219"/>
  <c r="F219"/>
  <c r="AR207"/>
  <c r="AF207"/>
  <c r="S207"/>
  <c r="F207"/>
  <c r="AR203"/>
  <c r="AF203"/>
  <c r="S203"/>
  <c r="F203"/>
  <c r="F205"/>
  <c r="S204"/>
  <c r="F204"/>
  <c r="S201"/>
  <c r="F201"/>
  <c r="F206"/>
  <c r="S216"/>
  <c r="F216"/>
  <c r="AU97"/>
  <c r="AI97"/>
  <c r="BA114"/>
  <c r="BA112"/>
  <c r="BA111"/>
  <c r="BA110"/>
  <c r="BA109"/>
  <c r="BA107"/>
  <c r="BA103"/>
  <c r="BA101"/>
  <c r="BA100"/>
  <c r="BA99"/>
  <c r="BA98"/>
  <c r="AE99"/>
  <c r="AE100"/>
  <c r="AE103"/>
  <c r="V216" l="1"/>
  <c r="AR15"/>
  <c r="AF15"/>
  <c r="AI15" s="1"/>
  <c r="S15"/>
  <c r="V15" s="1"/>
  <c r="AE15" s="1"/>
  <c r="F15"/>
  <c r="AR13"/>
  <c r="AF13"/>
  <c r="S13"/>
  <c r="F13"/>
  <c r="I13" s="1"/>
  <c r="AR145"/>
  <c r="AF145"/>
  <c r="S145"/>
  <c r="F145"/>
  <c r="S67"/>
  <c r="F67"/>
  <c r="S65"/>
  <c r="F65"/>
  <c r="AR48"/>
  <c r="AF48"/>
  <c r="S48"/>
  <c r="F48"/>
  <c r="AR45"/>
  <c r="AF45"/>
  <c r="F46"/>
  <c r="I46" s="1"/>
  <c r="S45"/>
  <c r="F45"/>
  <c r="AR43"/>
  <c r="AU43" s="1"/>
  <c r="AF43"/>
  <c r="AI43" s="1"/>
  <c r="S43"/>
  <c r="V43" s="1"/>
  <c r="F43"/>
  <c r="I43" s="1"/>
  <c r="F38"/>
  <c r="I38" s="1"/>
  <c r="AR37"/>
  <c r="AU37" s="1"/>
  <c r="AF37"/>
  <c r="S37"/>
  <c r="F37"/>
  <c r="I37" s="1"/>
  <c r="AR222"/>
  <c r="AF222"/>
  <c r="S222"/>
  <c r="V222" s="1"/>
  <c r="F222"/>
  <c r="I222" s="1"/>
  <c r="S220"/>
  <c r="F220"/>
  <c r="AR225"/>
  <c r="AF225"/>
  <c r="AT225"/>
  <c r="S225"/>
  <c r="F225"/>
  <c r="S223"/>
  <c r="F223"/>
  <c r="S212"/>
  <c r="F212"/>
  <c r="S211"/>
  <c r="F211"/>
  <c r="AR209"/>
  <c r="AF209"/>
  <c r="S209"/>
  <c r="F209"/>
  <c r="F213"/>
  <c r="AE227"/>
  <c r="S197"/>
  <c r="S196"/>
  <c r="S195"/>
  <c r="J196"/>
  <c r="AR190"/>
  <c r="AF190"/>
  <c r="AV189"/>
  <c r="AS189"/>
  <c r="F189"/>
  <c r="S189"/>
  <c r="X188"/>
  <c r="U188"/>
  <c r="S188"/>
  <c r="V188" s="1"/>
  <c r="AE188" s="1"/>
  <c r="K188"/>
  <c r="H188"/>
  <c r="F188"/>
  <c r="I188" s="1"/>
  <c r="AR187"/>
  <c r="AF187"/>
  <c r="F187"/>
  <c r="S187"/>
  <c r="S186"/>
  <c r="AS177"/>
  <c r="AV176"/>
  <c r="I174"/>
  <c r="F174"/>
  <c r="AR215" l="1"/>
  <c r="AF215"/>
  <c r="AI37"/>
  <c r="V45"/>
  <c r="V13"/>
  <c r="V37"/>
  <c r="I45"/>
  <c r="AI13"/>
  <c r="AU13"/>
  <c r="BA13" s="1"/>
  <c r="AU15"/>
  <c r="BA15" s="1"/>
  <c r="M188"/>
  <c r="Z188"/>
  <c r="J197"/>
  <c r="AR171"/>
  <c r="C59"/>
  <c r="AE13" l="1"/>
  <c r="S55"/>
  <c r="F55"/>
  <c r="S56"/>
  <c r="F56"/>
  <c r="AR74"/>
  <c r="AF74"/>
  <c r="S74"/>
  <c r="F74"/>
  <c r="F76"/>
  <c r="S76"/>
  <c r="AR75"/>
  <c r="AF75"/>
  <c r="AI75" s="1"/>
  <c r="S75"/>
  <c r="F75"/>
  <c r="K78"/>
  <c r="H78"/>
  <c r="S77"/>
  <c r="F77"/>
  <c r="AR73"/>
  <c r="AF73"/>
  <c r="S73"/>
  <c r="F73"/>
  <c r="I73" s="1"/>
  <c r="S72"/>
  <c r="F72"/>
  <c r="U146"/>
  <c r="S146"/>
  <c r="V146" s="1"/>
  <c r="H146"/>
  <c r="F146"/>
  <c r="I146" s="1"/>
  <c r="S159"/>
  <c r="F159"/>
  <c r="I159" s="1"/>
  <c r="AR158"/>
  <c r="AF158"/>
  <c r="S158"/>
  <c r="V158" s="1"/>
  <c r="F158"/>
  <c r="I158" s="1"/>
  <c r="AR160"/>
  <c r="AF160"/>
  <c r="S160"/>
  <c r="V160" s="1"/>
  <c r="F160"/>
  <c r="I160" s="1"/>
  <c r="AR169"/>
  <c r="AF169"/>
  <c r="AI169" s="1"/>
  <c r="S169"/>
  <c r="V169" s="1"/>
  <c r="F169"/>
  <c r="I169" s="1"/>
  <c r="AR147"/>
  <c r="AF147"/>
  <c r="AI147" s="1"/>
  <c r="AR153"/>
  <c r="AU153" s="1"/>
  <c r="AF153"/>
  <c r="AI153" s="1"/>
  <c r="S153"/>
  <c r="F153"/>
  <c r="I153" s="1"/>
  <c r="AR156"/>
  <c r="AU156" s="1"/>
  <c r="AF156"/>
  <c r="AI156" s="1"/>
  <c r="S156"/>
  <c r="F156"/>
  <c r="I156" s="1"/>
  <c r="AR155"/>
  <c r="AF155"/>
  <c r="AI155" s="1"/>
  <c r="S155"/>
  <c r="F155"/>
  <c r="I155" s="1"/>
  <c r="AR154"/>
  <c r="AU154" s="1"/>
  <c r="AF154"/>
  <c r="AI154" s="1"/>
  <c r="S154"/>
  <c r="V154" s="1"/>
  <c r="F154"/>
  <c r="I154" s="1"/>
  <c r="AR167"/>
  <c r="AU167" s="1"/>
  <c r="AF167"/>
  <c r="S167"/>
  <c r="F167"/>
  <c r="I167" s="1"/>
  <c r="AR166"/>
  <c r="AU166" s="1"/>
  <c r="AF166"/>
  <c r="S166"/>
  <c r="V166" s="1"/>
  <c r="F166"/>
  <c r="I166" s="1"/>
  <c r="AR168"/>
  <c r="AU168" s="1"/>
  <c r="AF168"/>
  <c r="AI168" s="1"/>
  <c r="S168"/>
  <c r="V168" s="1"/>
  <c r="F168"/>
  <c r="I168" s="1"/>
  <c r="AR157"/>
  <c r="AU157" s="1"/>
  <c r="AF157"/>
  <c r="AI157" s="1"/>
  <c r="S157"/>
  <c r="F157"/>
  <c r="I157" s="1"/>
  <c r="AR165"/>
  <c r="AF165"/>
  <c r="AI165" s="1"/>
  <c r="S165"/>
  <c r="V165" s="1"/>
  <c r="F165"/>
  <c r="I165" s="1"/>
  <c r="AR152"/>
  <c r="AU152" s="1"/>
  <c r="AF152"/>
  <c r="AI152" s="1"/>
  <c r="S152"/>
  <c r="F152"/>
  <c r="I152" s="1"/>
  <c r="AR150"/>
  <c r="AU150" s="1"/>
  <c r="AF150"/>
  <c r="S150"/>
  <c r="V150" s="1"/>
  <c r="F150"/>
  <c r="I150" s="1"/>
  <c r="AR151"/>
  <c r="AF151"/>
  <c r="S151"/>
  <c r="F151"/>
  <c r="I151" s="1"/>
  <c r="AU146"/>
  <c r="AU147"/>
  <c r="AU155"/>
  <c r="AU158"/>
  <c r="AU159"/>
  <c r="AU160"/>
  <c r="AU161"/>
  <c r="AU162"/>
  <c r="AU163"/>
  <c r="AU169"/>
  <c r="AI146"/>
  <c r="AI150"/>
  <c r="AI158"/>
  <c r="AI159"/>
  <c r="AI160"/>
  <c r="AI161"/>
  <c r="AI162"/>
  <c r="AI163"/>
  <c r="AI166"/>
  <c r="V152"/>
  <c r="V153"/>
  <c r="V155"/>
  <c r="V156"/>
  <c r="V157"/>
  <c r="V159"/>
  <c r="V161"/>
  <c r="V163"/>
  <c r="V164"/>
  <c r="I163"/>
  <c r="I164"/>
  <c r="AR149"/>
  <c r="AU149" s="1"/>
  <c r="AF149"/>
  <c r="AI149" s="1"/>
  <c r="S149"/>
  <c r="V149" s="1"/>
  <c r="F149"/>
  <c r="I149" s="1"/>
  <c r="AR148"/>
  <c r="AU148" s="1"/>
  <c r="AF148"/>
  <c r="AI148" s="1"/>
  <c r="S148"/>
  <c r="V148" s="1"/>
  <c r="F148"/>
  <c r="I148" s="1"/>
  <c r="AR71" l="1"/>
  <c r="BA146"/>
  <c r="BA159"/>
  <c r="BA161"/>
  <c r="BA162"/>
  <c r="BA164"/>
  <c r="AR144"/>
  <c r="AF144"/>
  <c r="AF143" s="1"/>
  <c r="AE152"/>
  <c r="AE161"/>
  <c r="S144"/>
  <c r="F144"/>
  <c r="AS143" l="1"/>
  <c r="AR143"/>
  <c r="AG143"/>
  <c r="K164"/>
  <c r="H164"/>
  <c r="M164" l="1"/>
  <c r="I41"/>
  <c r="BA92"/>
  <c r="BA88"/>
  <c r="BA86"/>
  <c r="BA85"/>
  <c r="BA82"/>
  <c r="AE86"/>
  <c r="AE85"/>
  <c r="F93"/>
  <c r="H83"/>
  <c r="AU135" l="1"/>
  <c r="AU202"/>
  <c r="AR202" s="1"/>
  <c r="AI202"/>
  <c r="AF202" s="1"/>
  <c r="AU117"/>
  <c r="AR117" s="1"/>
  <c r="AR115" s="1"/>
  <c r="AI117"/>
  <c r="AF117" s="1"/>
  <c r="AF115" s="1"/>
  <c r="AI19"/>
  <c r="AF19" s="1"/>
  <c r="AK29"/>
  <c r="V202" l="1"/>
  <c r="S202" s="1"/>
  <c r="I202"/>
  <c r="F202" s="1"/>
  <c r="V194"/>
  <c r="S194" s="1"/>
  <c r="I194"/>
  <c r="F194" s="1"/>
  <c r="V135"/>
  <c r="I135"/>
  <c r="F135" s="1"/>
  <c r="V117"/>
  <c r="S117" s="1"/>
  <c r="I117"/>
  <c r="F117" s="1"/>
  <c r="I19"/>
  <c r="F19" s="1"/>
  <c r="S135" l="1"/>
  <c r="X146"/>
  <c r="Z146" s="1"/>
  <c r="AE146"/>
  <c r="K146"/>
  <c r="AE160"/>
  <c r="AT160"/>
  <c r="AK160"/>
  <c r="AH160"/>
  <c r="X160"/>
  <c r="U160"/>
  <c r="K160"/>
  <c r="H160"/>
  <c r="X185"/>
  <c r="W114"/>
  <c r="BA158" l="1"/>
  <c r="Z160"/>
  <c r="AM160"/>
  <c r="BA160"/>
  <c r="M160"/>
  <c r="X29"/>
  <c r="AY160" l="1"/>
  <c r="W29"/>
  <c r="X30" l="1"/>
  <c r="AW158" l="1"/>
  <c r="AT158"/>
  <c r="AK158"/>
  <c r="AH158"/>
  <c r="AT152"/>
  <c r="AV152"/>
  <c r="AK152"/>
  <c r="AH152"/>
  <c r="X213"/>
  <c r="U213"/>
  <c r="S213"/>
  <c r="V213" s="1"/>
  <c r="AE213" s="1"/>
  <c r="K213"/>
  <c r="H213"/>
  <c r="AC213"/>
  <c r="AH213"/>
  <c r="AK213"/>
  <c r="I213"/>
  <c r="AM152" l="1"/>
  <c r="AW152"/>
  <c r="BA152"/>
  <c r="AY158"/>
  <c r="AM158"/>
  <c r="Z213"/>
  <c r="M213"/>
  <c r="W70"/>
  <c r="W42"/>
  <c r="AK41" l="1"/>
  <c r="K93"/>
  <c r="AV41"/>
  <c r="AV163"/>
  <c r="AV118"/>
  <c r="W118"/>
  <c r="AV47"/>
  <c r="W41"/>
  <c r="AV30"/>
  <c r="X20"/>
  <c r="W27"/>
  <c r="AV29" l="1"/>
  <c r="AW29" s="1"/>
  <c r="W93"/>
  <c r="C13"/>
  <c r="E13"/>
  <c r="H13"/>
  <c r="K13"/>
  <c r="O13"/>
  <c r="Y13" s="1"/>
  <c r="Q13"/>
  <c r="U13"/>
  <c r="AA13"/>
  <c r="AC13"/>
  <c r="AH13"/>
  <c r="AK13"/>
  <c r="AN13"/>
  <c r="AP13"/>
  <c r="AT13"/>
  <c r="AW13"/>
  <c r="C14"/>
  <c r="E14"/>
  <c r="H14"/>
  <c r="K14"/>
  <c r="Q14"/>
  <c r="W14"/>
  <c r="AC14"/>
  <c r="AH14"/>
  <c r="AK14"/>
  <c r="AP14"/>
  <c r="AT14"/>
  <c r="AV14"/>
  <c r="AW14" s="1"/>
  <c r="C15"/>
  <c r="E15"/>
  <c r="H15"/>
  <c r="K15"/>
  <c r="O15"/>
  <c r="Y15" s="1"/>
  <c r="Q15"/>
  <c r="U15"/>
  <c r="X15"/>
  <c r="AA15"/>
  <c r="AL15" s="1"/>
  <c r="AC15"/>
  <c r="AH15"/>
  <c r="AK15"/>
  <c r="AN15"/>
  <c r="AX15" s="1"/>
  <c r="AP15"/>
  <c r="AT15"/>
  <c r="AW15"/>
  <c r="C16"/>
  <c r="F16" s="1"/>
  <c r="E16"/>
  <c r="H16"/>
  <c r="K16"/>
  <c r="Q16"/>
  <c r="W16"/>
  <c r="AC16"/>
  <c r="AH16"/>
  <c r="AK16"/>
  <c r="AP16"/>
  <c r="AT16"/>
  <c r="AV16"/>
  <c r="AW16" s="1"/>
  <c r="C17"/>
  <c r="E17"/>
  <c r="H17"/>
  <c r="K17"/>
  <c r="O17"/>
  <c r="Q17"/>
  <c r="U17"/>
  <c r="X17"/>
  <c r="AA17"/>
  <c r="AC17"/>
  <c r="AH17"/>
  <c r="AK17"/>
  <c r="AN17"/>
  <c r="AP17"/>
  <c r="AT17"/>
  <c r="AW17"/>
  <c r="C18"/>
  <c r="F18" s="1"/>
  <c r="E18"/>
  <c r="H18"/>
  <c r="K18"/>
  <c r="Q18"/>
  <c r="V18"/>
  <c r="W18"/>
  <c r="AA18"/>
  <c r="AF18" s="1"/>
  <c r="AC18"/>
  <c r="AH18"/>
  <c r="AK18"/>
  <c r="AP18"/>
  <c r="AT18"/>
  <c r="AV18"/>
  <c r="AW18" s="1"/>
  <c r="C19"/>
  <c r="L19" s="1"/>
  <c r="E19"/>
  <c r="H19"/>
  <c r="K19"/>
  <c r="O19"/>
  <c r="Q19"/>
  <c r="U19"/>
  <c r="X19"/>
  <c r="AA19"/>
  <c r="AL19" s="1"/>
  <c r="AC19"/>
  <c r="AH19"/>
  <c r="AK19"/>
  <c r="AP19"/>
  <c r="AT19"/>
  <c r="AV19"/>
  <c r="AW19" s="1"/>
  <c r="C20"/>
  <c r="I20" s="1"/>
  <c r="E20"/>
  <c r="H20"/>
  <c r="K20"/>
  <c r="O20"/>
  <c r="S20" s="1"/>
  <c r="S12" s="1"/>
  <c r="Q20"/>
  <c r="U20"/>
  <c r="AA20"/>
  <c r="AC20"/>
  <c r="AH20"/>
  <c r="AK20"/>
  <c r="AN20"/>
  <c r="AR20" s="1"/>
  <c r="AR12" s="1"/>
  <c r="AP20"/>
  <c r="AT20"/>
  <c r="AW20"/>
  <c r="AX20"/>
  <c r="C21"/>
  <c r="F21" s="1"/>
  <c r="L21" s="1"/>
  <c r="E21"/>
  <c r="H21"/>
  <c r="K21"/>
  <c r="Q21"/>
  <c r="AA21"/>
  <c r="AF21" s="1"/>
  <c r="AC21"/>
  <c r="AE21"/>
  <c r="AH21"/>
  <c r="AK21"/>
  <c r="AP21"/>
  <c r="AT21"/>
  <c r="AW21"/>
  <c r="BA21"/>
  <c r="C23"/>
  <c r="F23" s="1"/>
  <c r="E23"/>
  <c r="Q23"/>
  <c r="AA23"/>
  <c r="AC23"/>
  <c r="AE23"/>
  <c r="AH23"/>
  <c r="AK23"/>
  <c r="AP23"/>
  <c r="AT23"/>
  <c r="AW23"/>
  <c r="BA23"/>
  <c r="F24"/>
  <c r="L24" s="1"/>
  <c r="E24"/>
  <c r="H24"/>
  <c r="K24"/>
  <c r="Q24"/>
  <c r="AA24"/>
  <c r="AF24" s="1"/>
  <c r="AF22" s="1"/>
  <c r="AC24"/>
  <c r="AE24"/>
  <c r="AH24"/>
  <c r="AK24"/>
  <c r="AP24"/>
  <c r="AT24"/>
  <c r="AW24"/>
  <c r="BA24"/>
  <c r="F25"/>
  <c r="L25" s="1"/>
  <c r="E25"/>
  <c r="H25"/>
  <c r="K25"/>
  <c r="Q25"/>
  <c r="AA25"/>
  <c r="AC25"/>
  <c r="AE25"/>
  <c r="AH25"/>
  <c r="AK25"/>
  <c r="AP25"/>
  <c r="AT25"/>
  <c r="AW25"/>
  <c r="BA25"/>
  <c r="C26"/>
  <c r="F26" s="1"/>
  <c r="L26" s="1"/>
  <c r="E26"/>
  <c r="H26"/>
  <c r="K26"/>
  <c r="Q26"/>
  <c r="AC26"/>
  <c r="AE26"/>
  <c r="AH26"/>
  <c r="AK26"/>
  <c r="AP26"/>
  <c r="AT26"/>
  <c r="AW26"/>
  <c r="BA26"/>
  <c r="F27"/>
  <c r="E27"/>
  <c r="H27"/>
  <c r="K27"/>
  <c r="O27"/>
  <c r="O22" s="1"/>
  <c r="Q27"/>
  <c r="U27"/>
  <c r="X27"/>
  <c r="AA27"/>
  <c r="AC27"/>
  <c r="AH27"/>
  <c r="AK27"/>
  <c r="AN27"/>
  <c r="AN22" s="1"/>
  <c r="AO22" s="1"/>
  <c r="AP27"/>
  <c r="AT27"/>
  <c r="AW27"/>
  <c r="C29"/>
  <c r="I29" s="1"/>
  <c r="E29"/>
  <c r="L29"/>
  <c r="H29"/>
  <c r="K29"/>
  <c r="O29"/>
  <c r="S29" s="1"/>
  <c r="Q29"/>
  <c r="U29"/>
  <c r="AA29"/>
  <c r="AC29"/>
  <c r="AH29"/>
  <c r="AN29"/>
  <c r="AR29" s="1"/>
  <c r="AP29"/>
  <c r="AT29"/>
  <c r="AX29"/>
  <c r="C30"/>
  <c r="F30" s="1"/>
  <c r="E30"/>
  <c r="H30"/>
  <c r="K30"/>
  <c r="O30"/>
  <c r="S30" s="1"/>
  <c r="V30" s="1"/>
  <c r="AE30" s="1"/>
  <c r="Q30"/>
  <c r="U30"/>
  <c r="AA30"/>
  <c r="AF30" s="1"/>
  <c r="AC30"/>
  <c r="AH30"/>
  <c r="AK30"/>
  <c r="AN30"/>
  <c r="AR30" s="1"/>
  <c r="AP30"/>
  <c r="AT30"/>
  <c r="AW30"/>
  <c r="AX30"/>
  <c r="E31"/>
  <c r="H31"/>
  <c r="K31"/>
  <c r="Q31"/>
  <c r="U31"/>
  <c r="AA31"/>
  <c r="AF31" s="1"/>
  <c r="AC31"/>
  <c r="AE31"/>
  <c r="AH31"/>
  <c r="AK31"/>
  <c r="AP31"/>
  <c r="AT31"/>
  <c r="AW31"/>
  <c r="BA31"/>
  <c r="C32"/>
  <c r="D32" s="1"/>
  <c r="O32"/>
  <c r="P32" s="1"/>
  <c r="E33"/>
  <c r="F33"/>
  <c r="L33" s="1"/>
  <c r="H33"/>
  <c r="K33"/>
  <c r="Q33"/>
  <c r="U33"/>
  <c r="AC33"/>
  <c r="AE33"/>
  <c r="AF33"/>
  <c r="AH33"/>
  <c r="AK33"/>
  <c r="AP33"/>
  <c r="AT33"/>
  <c r="AW33"/>
  <c r="BA33"/>
  <c r="E34"/>
  <c r="H34"/>
  <c r="I34"/>
  <c r="K34"/>
  <c r="L34"/>
  <c r="Q34"/>
  <c r="U34"/>
  <c r="AC34"/>
  <c r="AE34"/>
  <c r="AH34"/>
  <c r="AI34"/>
  <c r="AK34"/>
  <c r="AP34"/>
  <c r="AT34"/>
  <c r="AW34"/>
  <c r="BA34"/>
  <c r="E35"/>
  <c r="H35"/>
  <c r="K35"/>
  <c r="Q35"/>
  <c r="U35"/>
  <c r="AA35"/>
  <c r="AA32" s="1"/>
  <c r="AB32" s="1"/>
  <c r="AC35"/>
  <c r="AH35"/>
  <c r="AK35"/>
  <c r="AN35"/>
  <c r="AN32" s="1"/>
  <c r="AO32" s="1"/>
  <c r="AP35"/>
  <c r="AT35"/>
  <c r="AW35"/>
  <c r="C37"/>
  <c r="L37" s="1"/>
  <c r="E37"/>
  <c r="H37"/>
  <c r="K37"/>
  <c r="O37"/>
  <c r="Q37"/>
  <c r="U37"/>
  <c r="X37"/>
  <c r="AA37"/>
  <c r="AC37"/>
  <c r="AH37"/>
  <c r="AK37"/>
  <c r="AN37"/>
  <c r="AP37"/>
  <c r="AT37"/>
  <c r="AW37"/>
  <c r="C38"/>
  <c r="L38" s="1"/>
  <c r="E38"/>
  <c r="H38"/>
  <c r="K38"/>
  <c r="Q38"/>
  <c r="U38"/>
  <c r="Y38"/>
  <c r="AC38"/>
  <c r="AE38"/>
  <c r="BA38"/>
  <c r="C39"/>
  <c r="F39" s="1"/>
  <c r="E39"/>
  <c r="H39"/>
  <c r="K39"/>
  <c r="Q39"/>
  <c r="U39"/>
  <c r="AC39"/>
  <c r="AE39"/>
  <c r="BA39"/>
  <c r="C40"/>
  <c r="E40"/>
  <c r="H40"/>
  <c r="K40"/>
  <c r="Q40"/>
  <c r="U40"/>
  <c r="AA40"/>
  <c r="AF40" s="1"/>
  <c r="AC40"/>
  <c r="AE40"/>
  <c r="AH40"/>
  <c r="AK40"/>
  <c r="AP40"/>
  <c r="BA40"/>
  <c r="C41"/>
  <c r="E41"/>
  <c r="H41"/>
  <c r="K41"/>
  <c r="O41"/>
  <c r="Y41" s="1"/>
  <c r="Q41"/>
  <c r="U41"/>
  <c r="X41"/>
  <c r="AA41"/>
  <c r="AC41"/>
  <c r="AH41"/>
  <c r="AN41"/>
  <c r="AP41"/>
  <c r="AT41"/>
  <c r="AW41"/>
  <c r="AX41"/>
  <c r="C42"/>
  <c r="F42" s="1"/>
  <c r="L42" s="1"/>
  <c r="E42"/>
  <c r="H42"/>
  <c r="K42"/>
  <c r="O42"/>
  <c r="S42" s="1"/>
  <c r="S36" s="1"/>
  <c r="Q42"/>
  <c r="U42"/>
  <c r="X42"/>
  <c r="AA42"/>
  <c r="AF42" s="1"/>
  <c r="AC42"/>
  <c r="AH42"/>
  <c r="AK42"/>
  <c r="AN42"/>
  <c r="AR42" s="1"/>
  <c r="AP42"/>
  <c r="AT42"/>
  <c r="AV42"/>
  <c r="AW42" s="1"/>
  <c r="AX42"/>
  <c r="C43"/>
  <c r="L43" s="1"/>
  <c r="E43"/>
  <c r="H43"/>
  <c r="K43"/>
  <c r="O43"/>
  <c r="Y43" s="1"/>
  <c r="Q43"/>
  <c r="U43"/>
  <c r="W43"/>
  <c r="X43" s="1"/>
  <c r="AA43"/>
  <c r="AL43" s="1"/>
  <c r="AC43"/>
  <c r="AH43"/>
  <c r="AK43"/>
  <c r="AN43"/>
  <c r="AP43"/>
  <c r="AT43"/>
  <c r="AV43"/>
  <c r="AW43" s="1"/>
  <c r="C45"/>
  <c r="E45"/>
  <c r="H45"/>
  <c r="K45"/>
  <c r="O45"/>
  <c r="Q45"/>
  <c r="U45"/>
  <c r="AA45"/>
  <c r="AC45"/>
  <c r="AH45"/>
  <c r="AK45"/>
  <c r="AN45"/>
  <c r="AP45"/>
  <c r="AT45"/>
  <c r="AW45"/>
  <c r="C46"/>
  <c r="E46"/>
  <c r="H46"/>
  <c r="K46"/>
  <c r="Q46"/>
  <c r="U46"/>
  <c r="AC46"/>
  <c r="AH46"/>
  <c r="AK46"/>
  <c r="AN46"/>
  <c r="AR46" s="1"/>
  <c r="AP46"/>
  <c r="AT46"/>
  <c r="AW46"/>
  <c r="C47"/>
  <c r="F47" s="1"/>
  <c r="E47"/>
  <c r="H47"/>
  <c r="K47"/>
  <c r="O47"/>
  <c r="S47" s="1"/>
  <c r="Q47"/>
  <c r="U47"/>
  <c r="AA47"/>
  <c r="AF47" s="1"/>
  <c r="AF44" s="1"/>
  <c r="AC47"/>
  <c r="AH47"/>
  <c r="AK47"/>
  <c r="AN47"/>
  <c r="AP47"/>
  <c r="AT47"/>
  <c r="AW47"/>
  <c r="AX47"/>
  <c r="C48"/>
  <c r="I48" s="1"/>
  <c r="E48"/>
  <c r="G48"/>
  <c r="H48" s="1"/>
  <c r="K48"/>
  <c r="O48"/>
  <c r="Y48" s="1"/>
  <c r="Q48"/>
  <c r="U48"/>
  <c r="X48"/>
  <c r="AA48"/>
  <c r="AC48"/>
  <c r="AH48"/>
  <c r="AK48"/>
  <c r="AN48"/>
  <c r="AX48" s="1"/>
  <c r="AP48"/>
  <c r="AT48"/>
  <c r="AW48"/>
  <c r="AV97"/>
  <c r="BA97" s="1"/>
  <c r="AY75"/>
  <c r="AV59"/>
  <c r="AY181"/>
  <c r="AV210"/>
  <c r="AV207"/>
  <c r="AV169"/>
  <c r="AV168"/>
  <c r="AV154"/>
  <c r="AV144"/>
  <c r="AV133"/>
  <c r="AV134"/>
  <c r="AV132"/>
  <c r="X116"/>
  <c r="S116"/>
  <c r="T187"/>
  <c r="W154"/>
  <c r="AF28" l="1"/>
  <c r="S28"/>
  <c r="AF36"/>
  <c r="AU42"/>
  <c r="AR36"/>
  <c r="AR28"/>
  <c r="T12"/>
  <c r="U12"/>
  <c r="Y47"/>
  <c r="S44"/>
  <c r="T44" s="1"/>
  <c r="AL33"/>
  <c r="AF32"/>
  <c r="L23"/>
  <c r="AF12"/>
  <c r="AH12" s="1"/>
  <c r="AY17"/>
  <c r="Z17"/>
  <c r="Z15"/>
  <c r="Z19"/>
  <c r="V116"/>
  <c r="F14"/>
  <c r="L14" s="1"/>
  <c r="M45"/>
  <c r="M19"/>
  <c r="X13"/>
  <c r="Y42"/>
  <c r="AI48"/>
  <c r="AM48" s="1"/>
  <c r="AL48"/>
  <c r="AX45"/>
  <c r="AI33"/>
  <c r="AM33" s="1"/>
  <c r="AE37"/>
  <c r="L40"/>
  <c r="I40"/>
  <c r="M40" s="1"/>
  <c r="L39"/>
  <c r="I39"/>
  <c r="M39" s="1"/>
  <c r="AU20"/>
  <c r="BA20" s="1"/>
  <c r="L17"/>
  <c r="M17"/>
  <c r="AL42"/>
  <c r="AI42"/>
  <c r="AM42" s="1"/>
  <c r="AL17"/>
  <c r="AM17"/>
  <c r="Y20"/>
  <c r="V20"/>
  <c r="AE20" s="1"/>
  <c r="Y19"/>
  <c r="L18"/>
  <c r="I18"/>
  <c r="M18" s="1"/>
  <c r="AX13"/>
  <c r="L41"/>
  <c r="I33"/>
  <c r="M33" s="1"/>
  <c r="E32"/>
  <c r="M43"/>
  <c r="BA16"/>
  <c r="M13"/>
  <c r="AI40"/>
  <c r="AM40" s="1"/>
  <c r="AL40"/>
  <c r="AN44"/>
  <c r="AP44" s="1"/>
  <c r="O44"/>
  <c r="P44" s="1"/>
  <c r="AY43"/>
  <c r="AY37"/>
  <c r="BA37"/>
  <c r="M34"/>
  <c r="AP32"/>
  <c r="BA18"/>
  <c r="I47"/>
  <c r="M47" s="1"/>
  <c r="L47"/>
  <c r="AU46"/>
  <c r="AY46" s="1"/>
  <c r="AX46"/>
  <c r="AU41"/>
  <c r="BA41" s="1"/>
  <c r="AU48"/>
  <c r="AY48" s="1"/>
  <c r="AR47"/>
  <c r="AU47" s="1"/>
  <c r="AY47" s="1"/>
  <c r="V41"/>
  <c r="AE41" s="1"/>
  <c r="AS28"/>
  <c r="AU29"/>
  <c r="BA29" s="1"/>
  <c r="AX17"/>
  <c r="L15"/>
  <c r="I15"/>
  <c r="M15" s="1"/>
  <c r="M48"/>
  <c r="X45"/>
  <c r="V48"/>
  <c r="AE48" s="1"/>
  <c r="I42"/>
  <c r="M42" s="1"/>
  <c r="AU45"/>
  <c r="BA45" s="1"/>
  <c r="AA44"/>
  <c r="AB44" s="1"/>
  <c r="AM43"/>
  <c r="AY42"/>
  <c r="V42"/>
  <c r="AE42" s="1"/>
  <c r="AX35"/>
  <c r="AS32"/>
  <c r="AX32" s="1"/>
  <c r="AU35"/>
  <c r="AU32" s="1"/>
  <c r="AV32" s="1"/>
  <c r="T32"/>
  <c r="Y32" s="1"/>
  <c r="Y35"/>
  <c r="V35"/>
  <c r="V32" s="1"/>
  <c r="W32" s="1"/>
  <c r="Q32"/>
  <c r="L31"/>
  <c r="I31"/>
  <c r="M31" s="1"/>
  <c r="AU30"/>
  <c r="BA30" s="1"/>
  <c r="Y30"/>
  <c r="O28"/>
  <c r="P28" s="1"/>
  <c r="L27"/>
  <c r="I27"/>
  <c r="M27" s="1"/>
  <c r="L20"/>
  <c r="M20"/>
  <c r="AL18"/>
  <c r="AI18"/>
  <c r="AM18" s="1"/>
  <c r="L16"/>
  <c r="I16"/>
  <c r="M16" s="1"/>
  <c r="AE45"/>
  <c r="Z43"/>
  <c r="X35"/>
  <c r="L35"/>
  <c r="I35"/>
  <c r="M35" s="1"/>
  <c r="L30"/>
  <c r="I30"/>
  <c r="M30" s="1"/>
  <c r="AN28"/>
  <c r="AO28" s="1"/>
  <c r="Y17"/>
  <c r="AE43"/>
  <c r="M38"/>
  <c r="AX37"/>
  <c r="Z30"/>
  <c r="C28"/>
  <c r="D28" s="1"/>
  <c r="I26"/>
  <c r="M26" s="1"/>
  <c r="I25"/>
  <c r="M25" s="1"/>
  <c r="I24"/>
  <c r="M24" s="1"/>
  <c r="I23"/>
  <c r="M23" s="1"/>
  <c r="I21"/>
  <c r="M21" s="1"/>
  <c r="BA19"/>
  <c r="AM19"/>
  <c r="BA14"/>
  <c r="O12"/>
  <c r="P12" s="1"/>
  <c r="C12"/>
  <c r="D12" s="1"/>
  <c r="F32"/>
  <c r="H32" s="1"/>
  <c r="AA28"/>
  <c r="AC28" s="1"/>
  <c r="F28"/>
  <c r="G28" s="1"/>
  <c r="AN12"/>
  <c r="AO12" s="1"/>
  <c r="AM15"/>
  <c r="AS12"/>
  <c r="F44"/>
  <c r="G44" s="1"/>
  <c r="L46"/>
  <c r="M46"/>
  <c r="AI47"/>
  <c r="AM47" s="1"/>
  <c r="AL47"/>
  <c r="Q44"/>
  <c r="L48"/>
  <c r="L45"/>
  <c r="BA42"/>
  <c r="AI41"/>
  <c r="AM41" s="1"/>
  <c r="AL41"/>
  <c r="AN36"/>
  <c r="Z37"/>
  <c r="O36"/>
  <c r="C36"/>
  <c r="D36" s="1"/>
  <c r="AC32"/>
  <c r="AI31"/>
  <c r="AM31" s="1"/>
  <c r="AL31"/>
  <c r="P22"/>
  <c r="Q22"/>
  <c r="AI25"/>
  <c r="AM25" s="1"/>
  <c r="AL25"/>
  <c r="AI24"/>
  <c r="AM24" s="1"/>
  <c r="AL24"/>
  <c r="AG22"/>
  <c r="AI23"/>
  <c r="AL23"/>
  <c r="C44"/>
  <c r="E44" s="1"/>
  <c r="AX43"/>
  <c r="BA43"/>
  <c r="F36"/>
  <c r="H36" s="1"/>
  <c r="AA36"/>
  <c r="AB36" s="1"/>
  <c r="M37"/>
  <c r="AI30"/>
  <c r="AM30" s="1"/>
  <c r="AL30"/>
  <c r="AI27"/>
  <c r="AM27" s="1"/>
  <c r="AL27"/>
  <c r="I32"/>
  <c r="J32" s="1"/>
  <c r="M29"/>
  <c r="AP22"/>
  <c r="C22"/>
  <c r="D22" s="1"/>
  <c r="F22"/>
  <c r="H22" s="1"/>
  <c r="AY13"/>
  <c r="AP12"/>
  <c r="AA12"/>
  <c r="AB12" s="1"/>
  <c r="AA22"/>
  <c r="AB22" s="1"/>
  <c r="AI21"/>
  <c r="AM21" s="1"/>
  <c r="AL21"/>
  <c r="AI20"/>
  <c r="AM20" s="1"/>
  <c r="AL20"/>
  <c r="L13"/>
  <c r="F12"/>
  <c r="G12" s="1"/>
  <c r="W190"/>
  <c r="W189"/>
  <c r="Z163"/>
  <c r="U163"/>
  <c r="W169"/>
  <c r="W168"/>
  <c r="W133"/>
  <c r="W134"/>
  <c r="W132"/>
  <c r="Z76"/>
  <c r="W159"/>
  <c r="W158"/>
  <c r="W144"/>
  <c r="W59"/>
  <c r="AR44" l="1"/>
  <c r="Z41"/>
  <c r="H28"/>
  <c r="H12"/>
  <c r="V12"/>
  <c r="U44"/>
  <c r="H44"/>
  <c r="AW32"/>
  <c r="AC44"/>
  <c r="E12"/>
  <c r="Z35"/>
  <c r="G32"/>
  <c r="L32" s="1"/>
  <c r="AY29"/>
  <c r="I14"/>
  <c r="M14" s="1"/>
  <c r="X32"/>
  <c r="E36"/>
  <c r="AY45"/>
  <c r="V36"/>
  <c r="W36" s="1"/>
  <c r="AU36"/>
  <c r="AV36" s="1"/>
  <c r="Z20"/>
  <c r="AY41"/>
  <c r="AT32"/>
  <c r="AE35"/>
  <c r="AE32" s="1"/>
  <c r="AT12"/>
  <c r="I36"/>
  <c r="J36" s="1"/>
  <c r="Q12"/>
  <c r="AB28"/>
  <c r="AY20"/>
  <c r="AU12"/>
  <c r="AE12"/>
  <c r="Z32"/>
  <c r="E28"/>
  <c r="AO44"/>
  <c r="M41"/>
  <c r="Z13"/>
  <c r="AT28"/>
  <c r="Y12"/>
  <c r="BA12"/>
  <c r="Q28"/>
  <c r="U32"/>
  <c r="AY30"/>
  <c r="AY35"/>
  <c r="AC12"/>
  <c r="AI36"/>
  <c r="AJ36" s="1"/>
  <c r="BA35"/>
  <c r="BA32" s="1"/>
  <c r="AP28"/>
  <c r="BA28"/>
  <c r="BA36"/>
  <c r="L28"/>
  <c r="AX28"/>
  <c r="V44"/>
  <c r="W44" s="1"/>
  <c r="AL22"/>
  <c r="AH22"/>
  <c r="I22"/>
  <c r="D44"/>
  <c r="L44" s="1"/>
  <c r="I44"/>
  <c r="J44" s="1"/>
  <c r="M44" s="1"/>
  <c r="AX12"/>
  <c r="AY15"/>
  <c r="AY32"/>
  <c r="Z42"/>
  <c r="AE36"/>
  <c r="I28"/>
  <c r="BA48"/>
  <c r="BA44" s="1"/>
  <c r="AC22"/>
  <c r="AU27"/>
  <c r="AX27"/>
  <c r="AU28"/>
  <c r="AU44"/>
  <c r="Z48"/>
  <c r="Y27"/>
  <c r="V27"/>
  <c r="V29"/>
  <c r="Y29"/>
  <c r="X47"/>
  <c r="AE47"/>
  <c r="AE44" s="1"/>
  <c r="L12"/>
  <c r="AL13"/>
  <c r="E22"/>
  <c r="G22"/>
  <c r="L22" s="1"/>
  <c r="AH28"/>
  <c r="AI29"/>
  <c r="AL29"/>
  <c r="K32"/>
  <c r="R32" s="1"/>
  <c r="AI35"/>
  <c r="AL35"/>
  <c r="AL37"/>
  <c r="AM37"/>
  <c r="AI22"/>
  <c r="AM23"/>
  <c r="Y37"/>
  <c r="AO36"/>
  <c r="AP36"/>
  <c r="AS36"/>
  <c r="AT36"/>
  <c r="AI45"/>
  <c r="AL45"/>
  <c r="G36"/>
  <c r="L36" s="1"/>
  <c r="Q36"/>
  <c r="P36"/>
  <c r="AC36"/>
  <c r="Y45"/>
  <c r="Z45"/>
  <c r="AW36" l="1"/>
  <c r="AZ32"/>
  <c r="AZ36"/>
  <c r="M32"/>
  <c r="X12"/>
  <c r="AD12" s="1"/>
  <c r="W12"/>
  <c r="Z12" s="1"/>
  <c r="I12"/>
  <c r="K12" s="1"/>
  <c r="R12" s="1"/>
  <c r="AD32"/>
  <c r="AK36"/>
  <c r="X36"/>
  <c r="K44"/>
  <c r="R44" s="1"/>
  <c r="K36"/>
  <c r="R36" s="1"/>
  <c r="AV12"/>
  <c r="AY12" s="1"/>
  <c r="AW12"/>
  <c r="AZ12" s="1"/>
  <c r="AS44"/>
  <c r="AX44" s="1"/>
  <c r="AT44"/>
  <c r="AE29"/>
  <c r="AE28" s="1"/>
  <c r="Z29"/>
  <c r="V28"/>
  <c r="AU22"/>
  <c r="AY27"/>
  <c r="U22"/>
  <c r="Y22"/>
  <c r="AX36"/>
  <c r="AY36"/>
  <c r="AE27"/>
  <c r="AE22" s="1"/>
  <c r="V22"/>
  <c r="Z27"/>
  <c r="AS22"/>
  <c r="AX22" s="1"/>
  <c r="AT22"/>
  <c r="K28"/>
  <c r="R28" s="1"/>
  <c r="J28"/>
  <c r="M28" s="1"/>
  <c r="K22"/>
  <c r="R22" s="1"/>
  <c r="J22"/>
  <c r="M22" s="1"/>
  <c r="Z47"/>
  <c r="X44"/>
  <c r="AD44" s="1"/>
  <c r="AV44"/>
  <c r="AW44"/>
  <c r="AZ44" s="1"/>
  <c r="U28"/>
  <c r="T28"/>
  <c r="Y28" s="1"/>
  <c r="AV28"/>
  <c r="AY28" s="1"/>
  <c r="AW28"/>
  <c r="AZ28" s="1"/>
  <c r="BA27"/>
  <c r="BA22" s="1"/>
  <c r="AI44"/>
  <c r="AM45"/>
  <c r="AJ22"/>
  <c r="AM22" s="1"/>
  <c r="AK22"/>
  <c r="AQ22" s="1"/>
  <c r="AM35"/>
  <c r="AI32"/>
  <c r="AG28"/>
  <c r="AL28" s="1"/>
  <c r="AM13"/>
  <c r="AI12"/>
  <c r="AH44"/>
  <c r="AG44"/>
  <c r="AL44" s="1"/>
  <c r="T36"/>
  <c r="Y36" s="1"/>
  <c r="U36"/>
  <c r="M36"/>
  <c r="AM29"/>
  <c r="AI28"/>
  <c r="AJ28" s="1"/>
  <c r="AG12"/>
  <c r="AL12" s="1"/>
  <c r="AG32"/>
  <c r="AL32" s="1"/>
  <c r="AH32"/>
  <c r="AG36"/>
  <c r="AL36" s="1"/>
  <c r="AH36"/>
  <c r="K185"/>
  <c r="J12" l="1"/>
  <c r="M12" s="1"/>
  <c r="AY44"/>
  <c r="AD36"/>
  <c r="AQ36"/>
  <c r="AK28"/>
  <c r="AQ28" s="1"/>
  <c r="Z36"/>
  <c r="AM28"/>
  <c r="W28"/>
  <c r="Z28" s="1"/>
  <c r="X28"/>
  <c r="AD28" s="1"/>
  <c r="X22"/>
  <c r="AD22" s="1"/>
  <c r="W22"/>
  <c r="Z22" s="1"/>
  <c r="AV22"/>
  <c r="AY22" s="1"/>
  <c r="AW22"/>
  <c r="AZ22" s="1"/>
  <c r="AJ44"/>
  <c r="AM44" s="1"/>
  <c r="AK44"/>
  <c r="AQ44" s="1"/>
  <c r="AM36"/>
  <c r="Y44"/>
  <c r="Z44"/>
  <c r="AJ12"/>
  <c r="AM12" s="1"/>
  <c r="AK12"/>
  <c r="AQ12" s="1"/>
  <c r="AK32"/>
  <c r="AQ32" s="1"/>
  <c r="AJ32"/>
  <c r="AM32" s="1"/>
  <c r="AC219"/>
  <c r="E219"/>
  <c r="X214" l="1"/>
  <c r="U214"/>
  <c r="S214"/>
  <c r="V214" s="1"/>
  <c r="AE214" s="1"/>
  <c r="K214"/>
  <c r="C214"/>
  <c r="F214" s="1"/>
  <c r="I214" s="1"/>
  <c r="AC214"/>
  <c r="AH214"/>
  <c r="AK214"/>
  <c r="H214"/>
  <c r="AE163"/>
  <c r="Z214" l="1"/>
  <c r="M214"/>
  <c r="W50" l="1"/>
  <c r="M174" l="1"/>
  <c r="W94"/>
  <c r="K94"/>
  <c r="AW97" l="1"/>
  <c r="AT97"/>
  <c r="AK97"/>
  <c r="AH97"/>
  <c r="AM97" l="1"/>
  <c r="AY97"/>
  <c r="AV108"/>
  <c r="AV106"/>
  <c r="AV104"/>
  <c r="AW104" s="1"/>
  <c r="AI137"/>
  <c r="Z152"/>
  <c r="M152"/>
  <c r="K152"/>
  <c r="W181"/>
  <c r="W230"/>
  <c r="W111"/>
  <c r="W106"/>
  <c r="W104"/>
  <c r="AK86" l="1"/>
  <c r="AF86"/>
  <c r="AI86" s="1"/>
  <c r="AF85"/>
  <c r="AI85" s="1"/>
  <c r="AH86"/>
  <c r="AM86" l="1"/>
  <c r="Z69" l="1"/>
  <c r="AV193" l="1"/>
  <c r="AR193"/>
  <c r="AR191" s="1"/>
  <c r="AF193"/>
  <c r="AU193"/>
  <c r="AI193"/>
  <c r="S192"/>
  <c r="S191" s="1"/>
  <c r="F192"/>
  <c r="X173"/>
  <c r="M173"/>
  <c r="W174"/>
  <c r="AV166" l="1"/>
  <c r="AV167"/>
  <c r="AV165"/>
  <c r="AV149"/>
  <c r="AV150"/>
  <c r="AV151"/>
  <c r="AV153"/>
  <c r="AV155"/>
  <c r="AV156"/>
  <c r="BA183" l="1"/>
  <c r="AV203"/>
  <c r="AV225"/>
  <c r="AV171"/>
  <c r="AV137"/>
  <c r="AV142"/>
  <c r="AV117"/>
  <c r="AV105"/>
  <c r="AV93"/>
  <c r="AV74"/>
  <c r="BA62"/>
  <c r="BA63"/>
  <c r="BA65"/>
  <c r="BA64" s="1"/>
  <c r="BA67"/>
  <c r="BA68"/>
  <c r="BA69"/>
  <c r="BA70"/>
  <c r="BA72"/>
  <c r="BA76"/>
  <c r="BA77"/>
  <c r="BA78"/>
  <c r="BA116"/>
  <c r="BA119"/>
  <c r="BA120"/>
  <c r="BA121"/>
  <c r="BA123"/>
  <c r="BA124"/>
  <c r="BA125"/>
  <c r="BA126"/>
  <c r="BA127"/>
  <c r="BA128"/>
  <c r="BA138"/>
  <c r="BA139"/>
  <c r="BA140"/>
  <c r="BA178"/>
  <c r="BA182"/>
  <c r="BA194"/>
  <c r="BA228"/>
  <c r="BA229"/>
  <c r="BA230"/>
  <c r="BA231"/>
  <c r="AV227"/>
  <c r="W222"/>
  <c r="X222" s="1"/>
  <c r="W225"/>
  <c r="W218"/>
  <c r="W219"/>
  <c r="W195"/>
  <c r="W197"/>
  <c r="W192"/>
  <c r="W211"/>
  <c r="W199"/>
  <c r="W200"/>
  <c r="W201"/>
  <c r="W206"/>
  <c r="W183"/>
  <c r="W172"/>
  <c r="W148"/>
  <c r="W149"/>
  <c r="W153"/>
  <c r="W155"/>
  <c r="W156"/>
  <c r="W165"/>
  <c r="W166"/>
  <c r="W167"/>
  <c r="W142"/>
  <c r="W139"/>
  <c r="W138"/>
  <c r="W137"/>
  <c r="W123"/>
  <c r="W107"/>
  <c r="W110"/>
  <c r="W77"/>
  <c r="W72"/>
  <c r="W68"/>
  <c r="W65"/>
  <c r="W62"/>
  <c r="W63"/>
  <c r="W105" l="1"/>
  <c r="W108"/>
  <c r="BA66"/>
  <c r="W61" l="1"/>
  <c r="AE176"/>
  <c r="AE177"/>
  <c r="AE178"/>
  <c r="AE179"/>
  <c r="AE182"/>
  <c r="AE183"/>
  <c r="AE184"/>
  <c r="AE175" l="1"/>
  <c r="V125" l="1"/>
  <c r="AE125" s="1"/>
  <c r="V104"/>
  <c r="AE104" s="1"/>
  <c r="V105"/>
  <c r="AE105" s="1"/>
  <c r="V106"/>
  <c r="AE106" s="1"/>
  <c r="V107"/>
  <c r="AE107" s="1"/>
  <c r="V108"/>
  <c r="AE108" s="1"/>
  <c r="V111"/>
  <c r="AE111" s="1"/>
  <c r="O107"/>
  <c r="AX133" l="1"/>
  <c r="AX132"/>
  <c r="AX108"/>
  <c r="AX105"/>
  <c r="AX106"/>
  <c r="AX104"/>
  <c r="AC194"/>
  <c r="AH194"/>
  <c r="AK194"/>
  <c r="F208"/>
  <c r="I208" s="1"/>
  <c r="O73"/>
  <c r="O74"/>
  <c r="O75"/>
  <c r="O76"/>
  <c r="O77"/>
  <c r="O78"/>
  <c r="S78" s="1"/>
  <c r="S71" s="1"/>
  <c r="T71" s="1"/>
  <c r="AR181"/>
  <c r="AF181"/>
  <c r="F181"/>
  <c r="AN202"/>
  <c r="BA202" s="1"/>
  <c r="AA202"/>
  <c r="U202"/>
  <c r="X202"/>
  <c r="Q202"/>
  <c r="O202"/>
  <c r="Y202" s="1"/>
  <c r="K202"/>
  <c r="H202"/>
  <c r="E202"/>
  <c r="C202"/>
  <c r="AC202"/>
  <c r="AH202"/>
  <c r="AK202"/>
  <c r="AP202"/>
  <c r="AT202"/>
  <c r="AW202"/>
  <c r="X194"/>
  <c r="U194"/>
  <c r="Q194"/>
  <c r="K194"/>
  <c r="H194"/>
  <c r="E194"/>
  <c r="O194"/>
  <c r="C194"/>
  <c r="AX135"/>
  <c r="AW135"/>
  <c r="AT135"/>
  <c r="AP135"/>
  <c r="AL135"/>
  <c r="AK135"/>
  <c r="AH135"/>
  <c r="AC135"/>
  <c r="AN135"/>
  <c r="AA135"/>
  <c r="X135"/>
  <c r="U135"/>
  <c r="Q135"/>
  <c r="K135"/>
  <c r="H135"/>
  <c r="E135"/>
  <c r="O135"/>
  <c r="AE135" s="1"/>
  <c r="C135"/>
  <c r="AX117"/>
  <c r="AW117"/>
  <c r="AT117"/>
  <c r="AP117"/>
  <c r="AN117"/>
  <c r="AK117"/>
  <c r="AH117"/>
  <c r="AC117"/>
  <c r="AA117"/>
  <c r="C117"/>
  <c r="S181"/>
  <c r="C107"/>
  <c r="C109"/>
  <c r="C110"/>
  <c r="C111"/>
  <c r="C112"/>
  <c r="C108"/>
  <c r="C99"/>
  <c r="BA181" l="1"/>
  <c r="O181"/>
  <c r="AE181" s="1"/>
  <c r="AA181"/>
  <c r="AL181" s="1"/>
  <c r="Z135"/>
  <c r="AL202"/>
  <c r="Y194"/>
  <c r="AE194"/>
  <c r="AX202"/>
  <c r="AM202"/>
  <c r="BA135"/>
  <c r="AL117"/>
  <c r="AY202"/>
  <c r="M202"/>
  <c r="L208"/>
  <c r="L194"/>
  <c r="L202"/>
  <c r="Y135"/>
  <c r="L135"/>
  <c r="AM135"/>
  <c r="C97"/>
  <c r="C98" s="1"/>
  <c r="E97"/>
  <c r="E98"/>
  <c r="I69"/>
  <c r="C69"/>
  <c r="L69" s="1"/>
  <c r="C68"/>
  <c r="X117"/>
  <c r="Q117"/>
  <c r="U117"/>
  <c r="O117"/>
  <c r="Y117" s="1"/>
  <c r="K117"/>
  <c r="H117"/>
  <c r="L117"/>
  <c r="E117"/>
  <c r="AU51"/>
  <c r="BA51" s="1"/>
  <c r="AU52"/>
  <c r="BA52" s="1"/>
  <c r="AU53"/>
  <c r="BA53" s="1"/>
  <c r="AU54"/>
  <c r="BA54" s="1"/>
  <c r="AU55"/>
  <c r="BA55" s="1"/>
  <c r="AU56"/>
  <c r="BA56" s="1"/>
  <c r="AU57"/>
  <c r="BA57" s="1"/>
  <c r="AI51"/>
  <c r="AI52"/>
  <c r="AI53"/>
  <c r="AI54"/>
  <c r="AI55"/>
  <c r="AI56"/>
  <c r="AI57"/>
  <c r="AJ50"/>
  <c r="C197"/>
  <c r="F197" s="1"/>
  <c r="C196"/>
  <c r="F196" s="1"/>
  <c r="AU195"/>
  <c r="BA195" s="1"/>
  <c r="AU196"/>
  <c r="BA196" s="1"/>
  <c r="AU197"/>
  <c r="BA197" s="1"/>
  <c r="I190"/>
  <c r="Z117" l="1"/>
  <c r="M117"/>
  <c r="AY135"/>
  <c r="M194"/>
  <c r="AY117"/>
  <c r="BA117"/>
  <c r="Z202"/>
  <c r="AE202"/>
  <c r="Z194"/>
  <c r="AM117"/>
  <c r="M135"/>
  <c r="L68"/>
  <c r="I68"/>
  <c r="F98"/>
  <c r="L98" s="1"/>
  <c r="F97"/>
  <c r="L97" s="1"/>
  <c r="L196"/>
  <c r="I196"/>
  <c r="L197"/>
  <c r="I197"/>
  <c r="K179"/>
  <c r="K178"/>
  <c r="K177"/>
  <c r="K176"/>
  <c r="AE117" l="1"/>
  <c r="O231"/>
  <c r="C231"/>
  <c r="X230"/>
  <c r="O230"/>
  <c r="S230" s="1"/>
  <c r="C230"/>
  <c r="F230" s="1"/>
  <c r="I230" s="1"/>
  <c r="AW229"/>
  <c r="AW230"/>
  <c r="AT229"/>
  <c r="AT230"/>
  <c r="AP229"/>
  <c r="AP230"/>
  <c r="AK229"/>
  <c r="AK230"/>
  <c r="AH229"/>
  <c r="AH230"/>
  <c r="AC229"/>
  <c r="AC230"/>
  <c r="O229"/>
  <c r="S229" s="1"/>
  <c r="X229"/>
  <c r="U229"/>
  <c r="U230"/>
  <c r="Q230"/>
  <c r="Q229"/>
  <c r="K229"/>
  <c r="K230"/>
  <c r="H229"/>
  <c r="H230"/>
  <c r="E229"/>
  <c r="E230"/>
  <c r="C229"/>
  <c r="F229" s="1"/>
  <c r="I229" s="1"/>
  <c r="AN232"/>
  <c r="AA232"/>
  <c r="O232"/>
  <c r="C232"/>
  <c r="AN207"/>
  <c r="AA207"/>
  <c r="C207"/>
  <c r="V200"/>
  <c r="AA219"/>
  <c r="AC225"/>
  <c r="AX142"/>
  <c r="AW142"/>
  <c r="AU142"/>
  <c r="AT142"/>
  <c r="AP142"/>
  <c r="AN142"/>
  <c r="AR142" s="1"/>
  <c r="AL142"/>
  <c r="AK142"/>
  <c r="AI142"/>
  <c r="AH142"/>
  <c r="AC142"/>
  <c r="AA142"/>
  <c r="AF142" s="1"/>
  <c r="Y142"/>
  <c r="X142"/>
  <c r="V142"/>
  <c r="U142"/>
  <c r="Q142"/>
  <c r="O142"/>
  <c r="S142" s="1"/>
  <c r="K142"/>
  <c r="I142"/>
  <c r="H142"/>
  <c r="E142"/>
  <c r="C142"/>
  <c r="F142" s="1"/>
  <c r="AW140"/>
  <c r="AT140"/>
  <c r="AP140"/>
  <c r="AK140"/>
  <c r="AH140"/>
  <c r="AC140"/>
  <c r="X140"/>
  <c r="V140"/>
  <c r="U140"/>
  <c r="Q140"/>
  <c r="O140"/>
  <c r="S140" s="1"/>
  <c r="Y140" s="1"/>
  <c r="K140"/>
  <c r="I140"/>
  <c r="H140"/>
  <c r="E140"/>
  <c r="C140"/>
  <c r="F140" s="1"/>
  <c r="L140" s="1"/>
  <c r="AW139"/>
  <c r="AT139"/>
  <c r="AP139"/>
  <c r="AK139"/>
  <c r="AH139"/>
  <c r="AC139"/>
  <c r="X139"/>
  <c r="V139"/>
  <c r="U139"/>
  <c r="Q139"/>
  <c r="O139"/>
  <c r="S139" s="1"/>
  <c r="Y139" s="1"/>
  <c r="K139"/>
  <c r="I139"/>
  <c r="H139"/>
  <c r="E139"/>
  <c r="C139"/>
  <c r="F139" s="1"/>
  <c r="L139" s="1"/>
  <c r="AW138"/>
  <c r="AT138"/>
  <c r="AP138"/>
  <c r="AK138"/>
  <c r="AH138"/>
  <c r="AC138"/>
  <c r="X138"/>
  <c r="V138"/>
  <c r="U138"/>
  <c r="Q138"/>
  <c r="O138"/>
  <c r="S138" s="1"/>
  <c r="Y138" s="1"/>
  <c r="K138"/>
  <c r="I138"/>
  <c r="H138"/>
  <c r="E138"/>
  <c r="C138"/>
  <c r="F138" s="1"/>
  <c r="L138" s="1"/>
  <c r="AX137"/>
  <c r="AW137"/>
  <c r="AU137"/>
  <c r="AR137" s="1"/>
  <c r="AT137"/>
  <c r="AP137"/>
  <c r="AN137"/>
  <c r="AL137"/>
  <c r="AK137"/>
  <c r="AH137"/>
  <c r="AC137"/>
  <c r="AA137"/>
  <c r="AF137" s="1"/>
  <c r="AF136" s="1"/>
  <c r="Y137"/>
  <c r="X137"/>
  <c r="V137"/>
  <c r="U137"/>
  <c r="Q137"/>
  <c r="O137"/>
  <c r="S137" s="1"/>
  <c r="K137"/>
  <c r="I137"/>
  <c r="H137"/>
  <c r="E137"/>
  <c r="C137"/>
  <c r="F137" s="1"/>
  <c r="AX134"/>
  <c r="AW134"/>
  <c r="AU134"/>
  <c r="AT134"/>
  <c r="AP134"/>
  <c r="AN134"/>
  <c r="AR134" s="1"/>
  <c r="AL134"/>
  <c r="AK134"/>
  <c r="AI134"/>
  <c r="AH134"/>
  <c r="AC134"/>
  <c r="AA134"/>
  <c r="AF134" s="1"/>
  <c r="X134"/>
  <c r="V134"/>
  <c r="U134"/>
  <c r="Q134"/>
  <c r="O134"/>
  <c r="S134" s="1"/>
  <c r="Y134" s="1"/>
  <c r="K134"/>
  <c r="I134"/>
  <c r="H134"/>
  <c r="E134"/>
  <c r="C134"/>
  <c r="F134" s="1"/>
  <c r="L134" s="1"/>
  <c r="AW133"/>
  <c r="AU133"/>
  <c r="AT133"/>
  <c r="AR133"/>
  <c r="AP133"/>
  <c r="AK133"/>
  <c r="AI133"/>
  <c r="AH133"/>
  <c r="AF133"/>
  <c r="AC133"/>
  <c r="X133"/>
  <c r="V133"/>
  <c r="U133"/>
  <c r="Q133"/>
  <c r="O133"/>
  <c r="K133"/>
  <c r="H133"/>
  <c r="E133"/>
  <c r="C133"/>
  <c r="L133" s="1"/>
  <c r="AW132"/>
  <c r="AU132"/>
  <c r="AT132"/>
  <c r="AR132"/>
  <c r="AP132"/>
  <c r="AK132"/>
  <c r="AI132"/>
  <c r="AH132"/>
  <c r="AF132"/>
  <c r="AF129" s="1"/>
  <c r="AC132"/>
  <c r="X132"/>
  <c r="V132"/>
  <c r="U132"/>
  <c r="Q132"/>
  <c r="O132"/>
  <c r="S132" s="1"/>
  <c r="Y132" s="1"/>
  <c r="K132"/>
  <c r="I132"/>
  <c r="H132"/>
  <c r="E132"/>
  <c r="C132"/>
  <c r="F132" s="1"/>
  <c r="L132" s="1"/>
  <c r="AC131"/>
  <c r="E131"/>
  <c r="AC130"/>
  <c r="X130"/>
  <c r="V130"/>
  <c r="U130"/>
  <c r="Q130"/>
  <c r="O130"/>
  <c r="S130" s="1"/>
  <c r="K130"/>
  <c r="I130"/>
  <c r="H130"/>
  <c r="E130"/>
  <c r="C130"/>
  <c r="F130" s="1"/>
  <c r="AW128"/>
  <c r="AT128"/>
  <c r="AP128"/>
  <c r="AK128"/>
  <c r="AH128"/>
  <c r="AC128"/>
  <c r="X128"/>
  <c r="U128"/>
  <c r="Q128"/>
  <c r="O128"/>
  <c r="K128"/>
  <c r="I128"/>
  <c r="H128"/>
  <c r="E128"/>
  <c r="C128"/>
  <c r="L128" s="1"/>
  <c r="AW127"/>
  <c r="AT127"/>
  <c r="AP127"/>
  <c r="AK127"/>
  <c r="AH127"/>
  <c r="AC127"/>
  <c r="X127"/>
  <c r="U127"/>
  <c r="Q127"/>
  <c r="O127"/>
  <c r="K127"/>
  <c r="H127"/>
  <c r="E127"/>
  <c r="C127"/>
  <c r="L127" s="1"/>
  <c r="AW126"/>
  <c r="AT126"/>
  <c r="AP126"/>
  <c r="AK126"/>
  <c r="AH126"/>
  <c r="AC126"/>
  <c r="U126"/>
  <c r="Q126"/>
  <c r="K126"/>
  <c r="H126"/>
  <c r="E126"/>
  <c r="C126"/>
  <c r="L126" s="1"/>
  <c r="AW125"/>
  <c r="AT125"/>
  <c r="AP125"/>
  <c r="AK125"/>
  <c r="AH125"/>
  <c r="AC125"/>
  <c r="X125"/>
  <c r="U125"/>
  <c r="Y125"/>
  <c r="Q125"/>
  <c r="K125"/>
  <c r="I125"/>
  <c r="H125"/>
  <c r="E125"/>
  <c r="C125"/>
  <c r="L125" s="1"/>
  <c r="AW124"/>
  <c r="AT124"/>
  <c r="AP124"/>
  <c r="AK124"/>
  <c r="AH124"/>
  <c r="AC124"/>
  <c r="X124"/>
  <c r="U124"/>
  <c r="Q124"/>
  <c r="O124"/>
  <c r="K124"/>
  <c r="H124"/>
  <c r="E124"/>
  <c r="C124"/>
  <c r="L124" s="1"/>
  <c r="AW123"/>
  <c r="AT123"/>
  <c r="AP123"/>
  <c r="AK123"/>
  <c r="AH123"/>
  <c r="AC123"/>
  <c r="X123"/>
  <c r="U123"/>
  <c r="Q123"/>
  <c r="O123"/>
  <c r="S123" s="1"/>
  <c r="K123"/>
  <c r="I123"/>
  <c r="H123"/>
  <c r="E123"/>
  <c r="C123"/>
  <c r="F123" s="1"/>
  <c r="L123" s="1"/>
  <c r="AO122"/>
  <c r="AP122" s="1"/>
  <c r="AN122"/>
  <c r="AK122"/>
  <c r="AH122"/>
  <c r="AC122"/>
  <c r="AA122"/>
  <c r="AL122" s="1"/>
  <c r="P122"/>
  <c r="Q122" s="1"/>
  <c r="O122"/>
  <c r="V122" s="1"/>
  <c r="AE122" s="1"/>
  <c r="K122"/>
  <c r="H122"/>
  <c r="E122"/>
  <c r="C122"/>
  <c r="L122" s="1"/>
  <c r="AW121"/>
  <c r="AT121"/>
  <c r="AP121"/>
  <c r="AK121"/>
  <c r="AH121"/>
  <c r="AC121"/>
  <c r="X121"/>
  <c r="U121"/>
  <c r="Q121"/>
  <c r="O121"/>
  <c r="S121" s="1"/>
  <c r="K121"/>
  <c r="I121"/>
  <c r="H121"/>
  <c r="E121"/>
  <c r="C121"/>
  <c r="F121" s="1"/>
  <c r="AW120"/>
  <c r="AT120"/>
  <c r="AP120"/>
  <c r="AK120"/>
  <c r="AH120"/>
  <c r="AC120"/>
  <c r="X120"/>
  <c r="U120"/>
  <c r="Q120"/>
  <c r="O120"/>
  <c r="K120"/>
  <c r="H120"/>
  <c r="E120"/>
  <c r="C120"/>
  <c r="L120" s="1"/>
  <c r="AW119"/>
  <c r="AT119"/>
  <c r="AP119"/>
  <c r="AK119"/>
  <c r="AH119"/>
  <c r="AC119"/>
  <c r="X119"/>
  <c r="U119"/>
  <c r="Q119"/>
  <c r="O119"/>
  <c r="K119"/>
  <c r="H119"/>
  <c r="E119"/>
  <c r="C119"/>
  <c r="L119" s="1"/>
  <c r="AX118"/>
  <c r="AT118"/>
  <c r="AP118"/>
  <c r="AN118"/>
  <c r="AK118"/>
  <c r="AH118"/>
  <c r="AC118"/>
  <c r="AA118"/>
  <c r="X118"/>
  <c r="U118"/>
  <c r="Q118"/>
  <c r="O118"/>
  <c r="K118"/>
  <c r="H118"/>
  <c r="E118"/>
  <c r="C118"/>
  <c r="AW116"/>
  <c r="AT116"/>
  <c r="AP116"/>
  <c r="AK116"/>
  <c r="AH116"/>
  <c r="U116"/>
  <c r="Z116" s="1"/>
  <c r="Q116"/>
  <c r="K116"/>
  <c r="I116"/>
  <c r="H116"/>
  <c r="E116"/>
  <c r="C116"/>
  <c r="L116" s="1"/>
  <c r="V129" l="1"/>
  <c r="AI129"/>
  <c r="AR129"/>
  <c r="BA137"/>
  <c r="BA136" s="1"/>
  <c r="AR136"/>
  <c r="S136"/>
  <c r="X129"/>
  <c r="W129"/>
  <c r="S115"/>
  <c r="T115" s="1"/>
  <c r="I136"/>
  <c r="K136"/>
  <c r="J136"/>
  <c r="L130"/>
  <c r="F129"/>
  <c r="AK129"/>
  <c r="AJ129"/>
  <c r="L137"/>
  <c r="F136"/>
  <c r="G136"/>
  <c r="H136"/>
  <c r="AG129"/>
  <c r="AH129"/>
  <c r="L142"/>
  <c r="F141"/>
  <c r="I129"/>
  <c r="AU129"/>
  <c r="Y130"/>
  <c r="L121"/>
  <c r="F115"/>
  <c r="H115" s="1"/>
  <c r="V136"/>
  <c r="W136" s="1"/>
  <c r="Y229"/>
  <c r="Y230"/>
  <c r="BA133"/>
  <c r="BA132"/>
  <c r="AE138"/>
  <c r="BA134"/>
  <c r="BA142"/>
  <c r="BA141" s="1"/>
  <c r="AU118"/>
  <c r="AE132"/>
  <c r="AE134"/>
  <c r="AE130"/>
  <c r="S133"/>
  <c r="S129" s="1"/>
  <c r="AE133"/>
  <c r="AE137"/>
  <c r="AE139"/>
  <c r="U122"/>
  <c r="BA122"/>
  <c r="AE142"/>
  <c r="AE141" s="1"/>
  <c r="AE140"/>
  <c r="Y120"/>
  <c r="V120"/>
  <c r="AE120" s="1"/>
  <c r="Y127"/>
  <c r="V127"/>
  <c r="AE127" s="1"/>
  <c r="Y119"/>
  <c r="V119"/>
  <c r="AE119" s="1"/>
  <c r="Y121"/>
  <c r="V121"/>
  <c r="AE121" s="1"/>
  <c r="Y123"/>
  <c r="V123"/>
  <c r="AE123" s="1"/>
  <c r="Y124"/>
  <c r="V124"/>
  <c r="AE124" s="1"/>
  <c r="Y128"/>
  <c r="V128"/>
  <c r="AE128" s="1"/>
  <c r="Y118"/>
  <c r="V118"/>
  <c r="AL118"/>
  <c r="AI118"/>
  <c r="AM118" s="1"/>
  <c r="L118"/>
  <c r="I118"/>
  <c r="M118" s="1"/>
  <c r="AX122"/>
  <c r="Y122"/>
  <c r="M230"/>
  <c r="V229"/>
  <c r="AE229" s="1"/>
  <c r="V230"/>
  <c r="AE230" s="1"/>
  <c r="M121"/>
  <c r="AM132"/>
  <c r="L230"/>
  <c r="M229"/>
  <c r="L229"/>
  <c r="AM133"/>
  <c r="Z125"/>
  <c r="AY132"/>
  <c r="AY133"/>
  <c r="M142"/>
  <c r="Z142"/>
  <c r="AM142"/>
  <c r="AY142"/>
  <c r="M137"/>
  <c r="Z138"/>
  <c r="Z139"/>
  <c r="Z140"/>
  <c r="Z137"/>
  <c r="AM137"/>
  <c r="AY137"/>
  <c r="M138"/>
  <c r="M139"/>
  <c r="M140"/>
  <c r="Z130"/>
  <c r="Z132"/>
  <c r="Z134"/>
  <c r="M130"/>
  <c r="M132"/>
  <c r="M133"/>
  <c r="M134"/>
  <c r="AM134"/>
  <c r="AY134"/>
  <c r="M116"/>
  <c r="M119"/>
  <c r="M120"/>
  <c r="M122"/>
  <c r="AM122"/>
  <c r="M123"/>
  <c r="M124"/>
  <c r="M125"/>
  <c r="M126"/>
  <c r="M127"/>
  <c r="M128"/>
  <c r="AT122"/>
  <c r="BA129" l="1"/>
  <c r="AM129"/>
  <c r="AQ129"/>
  <c r="U129"/>
  <c r="T129"/>
  <c r="K129"/>
  <c r="J129"/>
  <c r="R136"/>
  <c r="AW129"/>
  <c r="AV129"/>
  <c r="G129"/>
  <c r="H129"/>
  <c r="AT129"/>
  <c r="AS129"/>
  <c r="AD129"/>
  <c r="Z133"/>
  <c r="Z119"/>
  <c r="AE136"/>
  <c r="AE118"/>
  <c r="AE115" s="1"/>
  <c r="I115"/>
  <c r="Z127"/>
  <c r="Z123"/>
  <c r="Z128"/>
  <c r="Z124"/>
  <c r="Z118"/>
  <c r="Y133"/>
  <c r="X122"/>
  <c r="Z122" s="1"/>
  <c r="AE129"/>
  <c r="Z230"/>
  <c r="Z120"/>
  <c r="Z121"/>
  <c r="Z229"/>
  <c r="AW122"/>
  <c r="AY122" s="1"/>
  <c r="AC114"/>
  <c r="X114"/>
  <c r="U114"/>
  <c r="Q114"/>
  <c r="O114"/>
  <c r="S114" s="1"/>
  <c r="K114"/>
  <c r="H114"/>
  <c r="E114"/>
  <c r="C114"/>
  <c r="F114" s="1"/>
  <c r="AX113"/>
  <c r="AW113"/>
  <c r="AT113"/>
  <c r="AP113"/>
  <c r="AN113"/>
  <c r="AR113" s="1"/>
  <c r="AK113"/>
  <c r="AH113"/>
  <c r="AC113"/>
  <c r="AA113"/>
  <c r="AF113" s="1"/>
  <c r="X113"/>
  <c r="U113"/>
  <c r="Q113"/>
  <c r="O113"/>
  <c r="K113"/>
  <c r="H113"/>
  <c r="E113"/>
  <c r="C113"/>
  <c r="AW112"/>
  <c r="AT112"/>
  <c r="AP112"/>
  <c r="AK112"/>
  <c r="AH112"/>
  <c r="AC112"/>
  <c r="T112"/>
  <c r="Q112"/>
  <c r="O112"/>
  <c r="S112" s="1"/>
  <c r="V112" s="1"/>
  <c r="K112"/>
  <c r="H112"/>
  <c r="F112"/>
  <c r="L112" s="1"/>
  <c r="E112"/>
  <c r="AW111"/>
  <c r="AT111"/>
  <c r="AP111"/>
  <c r="AK111"/>
  <c r="AH111"/>
  <c r="AC111"/>
  <c r="X111"/>
  <c r="U111"/>
  <c r="Q111"/>
  <c r="O111"/>
  <c r="K111"/>
  <c r="H111"/>
  <c r="F111"/>
  <c r="L111" s="1"/>
  <c r="E111"/>
  <c r="AW110"/>
  <c r="AT110"/>
  <c r="AP110"/>
  <c r="AK110"/>
  <c r="AH110"/>
  <c r="AC110"/>
  <c r="X110"/>
  <c r="U110"/>
  <c r="Q110"/>
  <c r="O110"/>
  <c r="S110" s="1"/>
  <c r="K110"/>
  <c r="H110"/>
  <c r="F110"/>
  <c r="L110" s="1"/>
  <c r="E110"/>
  <c r="AW109"/>
  <c r="AT109"/>
  <c r="AP109"/>
  <c r="AK109"/>
  <c r="AH109"/>
  <c r="AC109"/>
  <c r="X109"/>
  <c r="U109"/>
  <c r="Q109"/>
  <c r="O109"/>
  <c r="S109" s="1"/>
  <c r="K109"/>
  <c r="H109"/>
  <c r="F109"/>
  <c r="E109"/>
  <c r="AW108"/>
  <c r="AT108"/>
  <c r="AP108"/>
  <c r="AN108"/>
  <c r="AK108"/>
  <c r="AH108"/>
  <c r="AC108"/>
  <c r="AA108"/>
  <c r="AF108" s="1"/>
  <c r="X108"/>
  <c r="U108"/>
  <c r="Q108"/>
  <c r="O108"/>
  <c r="K108"/>
  <c r="H108"/>
  <c r="F108"/>
  <c r="L108" s="1"/>
  <c r="E108"/>
  <c r="AW107"/>
  <c r="AT107"/>
  <c r="AP107"/>
  <c r="AK107"/>
  <c r="AH107"/>
  <c r="AC107"/>
  <c r="X107"/>
  <c r="U107"/>
  <c r="Q107"/>
  <c r="Y107"/>
  <c r="K107"/>
  <c r="H107"/>
  <c r="F107"/>
  <c r="L107" s="1"/>
  <c r="E107"/>
  <c r="AW106"/>
  <c r="AU106"/>
  <c r="AR106" s="1"/>
  <c r="BA106" s="1"/>
  <c r="AT106"/>
  <c r="AP106"/>
  <c r="AN106"/>
  <c r="AK106"/>
  <c r="AH106"/>
  <c r="AC106"/>
  <c r="AA106"/>
  <c r="X106"/>
  <c r="U106"/>
  <c r="Q106"/>
  <c r="O106"/>
  <c r="K106"/>
  <c r="H106"/>
  <c r="E106"/>
  <c r="C106"/>
  <c r="F106" s="1"/>
  <c r="AW105"/>
  <c r="AU105"/>
  <c r="AR105" s="1"/>
  <c r="BA105" s="1"/>
  <c r="AT105"/>
  <c r="AP105"/>
  <c r="AN105"/>
  <c r="AK105"/>
  <c r="AH105"/>
  <c r="AC105"/>
  <c r="AA105"/>
  <c r="X105"/>
  <c r="U105"/>
  <c r="Q105"/>
  <c r="O105"/>
  <c r="K105"/>
  <c r="H105"/>
  <c r="E105"/>
  <c r="C105"/>
  <c r="F105" s="1"/>
  <c r="AU104"/>
  <c r="AR104" s="1"/>
  <c r="AT104"/>
  <c r="AP104"/>
  <c r="AN104"/>
  <c r="AK104"/>
  <c r="AH104"/>
  <c r="AC104"/>
  <c r="AA104"/>
  <c r="X104"/>
  <c r="U104"/>
  <c r="Q104"/>
  <c r="O104"/>
  <c r="K104"/>
  <c r="H104"/>
  <c r="E104"/>
  <c r="C104"/>
  <c r="F104" s="1"/>
  <c r="AW103"/>
  <c r="AT103"/>
  <c r="AP103"/>
  <c r="AK103"/>
  <c r="AC103"/>
  <c r="U103"/>
  <c r="Q103"/>
  <c r="E103"/>
  <c r="AX102"/>
  <c r="AW102"/>
  <c r="AT102"/>
  <c r="AP102"/>
  <c r="AN102"/>
  <c r="AK102"/>
  <c r="AH102"/>
  <c r="AC102"/>
  <c r="AA102"/>
  <c r="X102"/>
  <c r="U102"/>
  <c r="Q102"/>
  <c r="O102"/>
  <c r="V102" s="1"/>
  <c r="AE102" s="1"/>
  <c r="K102"/>
  <c r="H102"/>
  <c r="E102"/>
  <c r="C102"/>
  <c r="AW101"/>
  <c r="AT101"/>
  <c r="AP101"/>
  <c r="AK101"/>
  <c r="AH101"/>
  <c r="AC101"/>
  <c r="X101"/>
  <c r="U101"/>
  <c r="Q101"/>
  <c r="O101"/>
  <c r="S101" s="1"/>
  <c r="K101"/>
  <c r="H101"/>
  <c r="E101"/>
  <c r="C101"/>
  <c r="F101" s="1"/>
  <c r="L101" s="1"/>
  <c r="AW100"/>
  <c r="AT100"/>
  <c r="AP100"/>
  <c r="AK100"/>
  <c r="AH100"/>
  <c r="AC100"/>
  <c r="U100"/>
  <c r="Q100"/>
  <c r="K100"/>
  <c r="H100"/>
  <c r="E100"/>
  <c r="AW99"/>
  <c r="AT99"/>
  <c r="AP99"/>
  <c r="AK99"/>
  <c r="AH99"/>
  <c r="AC99"/>
  <c r="U99"/>
  <c r="Q99"/>
  <c r="K99"/>
  <c r="H99"/>
  <c r="F99"/>
  <c r="E99"/>
  <c r="T98"/>
  <c r="AE98" s="1"/>
  <c r="P98"/>
  <c r="Q98" s="1"/>
  <c r="O98"/>
  <c r="K98"/>
  <c r="H98"/>
  <c r="P97"/>
  <c r="T97" s="1"/>
  <c r="AE97" s="1"/>
  <c r="O97"/>
  <c r="K97"/>
  <c r="H97"/>
  <c r="AC96"/>
  <c r="AA96"/>
  <c r="AW69"/>
  <c r="AT69"/>
  <c r="AP69"/>
  <c r="AK69"/>
  <c r="AH69"/>
  <c r="AC69"/>
  <c r="X69"/>
  <c r="U69"/>
  <c r="Q69"/>
  <c r="O69"/>
  <c r="S69" s="1"/>
  <c r="K69"/>
  <c r="M69" s="1"/>
  <c r="E69"/>
  <c r="AW68"/>
  <c r="AT68"/>
  <c r="AP68"/>
  <c r="AK68"/>
  <c r="AH68"/>
  <c r="AC68"/>
  <c r="X68"/>
  <c r="U68"/>
  <c r="Q68"/>
  <c r="O68"/>
  <c r="S68" s="1"/>
  <c r="K68"/>
  <c r="M68" s="1"/>
  <c r="E68"/>
  <c r="AZ129" l="1"/>
  <c r="M129"/>
  <c r="BA104"/>
  <c r="S95"/>
  <c r="AF95"/>
  <c r="AY129"/>
  <c r="R129"/>
  <c r="T95"/>
  <c r="V101"/>
  <c r="AE101" s="1"/>
  <c r="V109"/>
  <c r="AE109" s="1"/>
  <c r="X112"/>
  <c r="AE112"/>
  <c r="V114"/>
  <c r="AE114" s="1"/>
  <c r="V113"/>
  <c r="AE113" s="1"/>
  <c r="U98"/>
  <c r="Y104"/>
  <c r="Y106"/>
  <c r="Y111"/>
  <c r="AU113"/>
  <c r="BA113" s="1"/>
  <c r="AW118"/>
  <c r="AY118" s="1"/>
  <c r="BA118"/>
  <c r="BA115" s="1"/>
  <c r="X97"/>
  <c r="AU102"/>
  <c r="BA102" s="1"/>
  <c r="Y105"/>
  <c r="Y108"/>
  <c r="Y110"/>
  <c r="V110"/>
  <c r="AE110" s="1"/>
  <c r="AI108"/>
  <c r="AM108" s="1"/>
  <c r="AL108"/>
  <c r="AR108"/>
  <c r="AR95" s="1"/>
  <c r="AU108"/>
  <c r="AM106"/>
  <c r="AL106"/>
  <c r="AL105"/>
  <c r="I109"/>
  <c r="M109" s="1"/>
  <c r="L109"/>
  <c r="U112"/>
  <c r="Y112"/>
  <c r="M97"/>
  <c r="I99"/>
  <c r="M99" s="1"/>
  <c r="L99"/>
  <c r="M98"/>
  <c r="M112"/>
  <c r="M108"/>
  <c r="M111"/>
  <c r="Q97"/>
  <c r="AM105"/>
  <c r="M110"/>
  <c r="M107"/>
  <c r="Y97"/>
  <c r="U97"/>
  <c r="Y101"/>
  <c r="Z101"/>
  <c r="L102"/>
  <c r="I102"/>
  <c r="M102" s="1"/>
  <c r="Y102"/>
  <c r="AL102"/>
  <c r="AI102"/>
  <c r="AM102" s="1"/>
  <c r="L113"/>
  <c r="I113"/>
  <c r="M113" s="1"/>
  <c r="Y113"/>
  <c r="Z113"/>
  <c r="AL113"/>
  <c r="AI113"/>
  <c r="AM113" s="1"/>
  <c r="AY104"/>
  <c r="AY105"/>
  <c r="AY106"/>
  <c r="Z107"/>
  <c r="Z108"/>
  <c r="L105"/>
  <c r="M105"/>
  <c r="L106"/>
  <c r="M106"/>
  <c r="Y109"/>
  <c r="Z109"/>
  <c r="L114"/>
  <c r="I114"/>
  <c r="M114" s="1"/>
  <c r="Y114"/>
  <c r="M101"/>
  <c r="Z102"/>
  <c r="Z104"/>
  <c r="Z105"/>
  <c r="Z106"/>
  <c r="Z111"/>
  <c r="Y98"/>
  <c r="Y68"/>
  <c r="V68"/>
  <c r="Z68" s="1"/>
  <c r="Y69"/>
  <c r="Z114" l="1"/>
  <c r="Z112"/>
  <c r="BA108"/>
  <c r="X98"/>
  <c r="Z98" s="1"/>
  <c r="AY102"/>
  <c r="AY113"/>
  <c r="Z97"/>
  <c r="BA95"/>
  <c r="AE69"/>
  <c r="AE95"/>
  <c r="AE68"/>
  <c r="Z110"/>
  <c r="AY108"/>
  <c r="AF76"/>
  <c r="V73"/>
  <c r="AE73" s="1"/>
  <c r="AI76" l="1"/>
  <c r="AF71"/>
  <c r="U78"/>
  <c r="Q78"/>
  <c r="X78"/>
  <c r="C87"/>
  <c r="F87" s="1"/>
  <c r="E87"/>
  <c r="H87"/>
  <c r="K87"/>
  <c r="O87"/>
  <c r="S87" s="1"/>
  <c r="Q87"/>
  <c r="U87"/>
  <c r="X87"/>
  <c r="AA87"/>
  <c r="AF87" s="1"/>
  <c r="AI87" s="1"/>
  <c r="AB87"/>
  <c r="AC87" s="1"/>
  <c r="AH87"/>
  <c r="AK87"/>
  <c r="AN87"/>
  <c r="AR87" s="1"/>
  <c r="AP87"/>
  <c r="AT87"/>
  <c r="AW87"/>
  <c r="AW82"/>
  <c r="AW83"/>
  <c r="AW84"/>
  <c r="AT82"/>
  <c r="AT83"/>
  <c r="AT84"/>
  <c r="AP82"/>
  <c r="AP84"/>
  <c r="AN84"/>
  <c r="AR84" s="1"/>
  <c r="AK84"/>
  <c r="AH84"/>
  <c r="AC84"/>
  <c r="AA84"/>
  <c r="AF84" s="1"/>
  <c r="AL84" s="1"/>
  <c r="X84"/>
  <c r="U84"/>
  <c r="Q84"/>
  <c r="K84"/>
  <c r="H84"/>
  <c r="E84"/>
  <c r="O84"/>
  <c r="S84" s="1"/>
  <c r="C84"/>
  <c r="F84" s="1"/>
  <c r="I84" s="1"/>
  <c r="O83"/>
  <c r="S83" s="1"/>
  <c r="C83"/>
  <c r="F83" s="1"/>
  <c r="L83" s="1"/>
  <c r="AP83"/>
  <c r="AN83"/>
  <c r="AR83" s="1"/>
  <c r="AK83"/>
  <c r="AH83"/>
  <c r="AC83"/>
  <c r="AA83"/>
  <c r="AF83" s="1"/>
  <c r="AL83" s="1"/>
  <c r="X83"/>
  <c r="U83"/>
  <c r="Q83"/>
  <c r="K83"/>
  <c r="E83"/>
  <c r="X82"/>
  <c r="U82"/>
  <c r="Q82"/>
  <c r="O82"/>
  <c r="S82" s="1"/>
  <c r="C82"/>
  <c r="F82" s="1"/>
  <c r="L82" s="1"/>
  <c r="AK81"/>
  <c r="AW81"/>
  <c r="AT81"/>
  <c r="AP81"/>
  <c r="AN81"/>
  <c r="AR81" s="1"/>
  <c r="AH81"/>
  <c r="AC81"/>
  <c r="AA81"/>
  <c r="AF81" s="1"/>
  <c r="AI81" s="1"/>
  <c r="AA80"/>
  <c r="X81"/>
  <c r="Q81"/>
  <c r="U81"/>
  <c r="O81"/>
  <c r="S81" s="1"/>
  <c r="O80"/>
  <c r="K81"/>
  <c r="K82"/>
  <c r="H81"/>
  <c r="H82"/>
  <c r="E81"/>
  <c r="E82"/>
  <c r="C81"/>
  <c r="F81" s="1"/>
  <c r="L81" s="1"/>
  <c r="C80"/>
  <c r="AG71" l="1"/>
  <c r="Y81"/>
  <c r="V82"/>
  <c r="AE82" s="1"/>
  <c r="V84"/>
  <c r="AE84" s="1"/>
  <c r="Y83"/>
  <c r="AU81"/>
  <c r="BA81" s="1"/>
  <c r="Z82"/>
  <c r="AX87"/>
  <c r="AU87"/>
  <c r="AY87" s="1"/>
  <c r="Y87"/>
  <c r="V87"/>
  <c r="AE87" s="1"/>
  <c r="L87"/>
  <c r="I87"/>
  <c r="M87" s="1"/>
  <c r="Y84"/>
  <c r="Y82"/>
  <c r="AM87"/>
  <c r="AL87"/>
  <c r="AM81"/>
  <c r="AX83"/>
  <c r="AU83"/>
  <c r="AY83" s="1"/>
  <c r="AX84"/>
  <c r="AU84"/>
  <c r="AY84" s="1"/>
  <c r="V83"/>
  <c r="AE83" s="1"/>
  <c r="I81"/>
  <c r="M81" s="1"/>
  <c r="V81"/>
  <c r="AE81" s="1"/>
  <c r="I83"/>
  <c r="M83" s="1"/>
  <c r="AI83"/>
  <c r="AM83" s="1"/>
  <c r="AI84"/>
  <c r="AM84" s="1"/>
  <c r="AX81"/>
  <c r="I82"/>
  <c r="M82" s="1"/>
  <c r="L84"/>
  <c r="M84"/>
  <c r="AL81"/>
  <c r="AA169"/>
  <c r="E169"/>
  <c r="C169"/>
  <c r="AN150"/>
  <c r="Z84" l="1"/>
  <c r="BA87"/>
  <c r="BA84"/>
  <c r="BA83"/>
  <c r="Z87"/>
  <c r="AY81"/>
  <c r="Z83"/>
  <c r="Z81"/>
  <c r="AL169"/>
  <c r="L169"/>
  <c r="AW232"/>
  <c r="AW231"/>
  <c r="AW228"/>
  <c r="AW227"/>
  <c r="AW225"/>
  <c r="AW222"/>
  <c r="AW219"/>
  <c r="AW210"/>
  <c r="AW209"/>
  <c r="AW207"/>
  <c r="AW203"/>
  <c r="AW197"/>
  <c r="AW196"/>
  <c r="AW195"/>
  <c r="AW193"/>
  <c r="AW190"/>
  <c r="AW189"/>
  <c r="AW187"/>
  <c r="AW186"/>
  <c r="AW185"/>
  <c r="AW183"/>
  <c r="AW182"/>
  <c r="AW181"/>
  <c r="AW179"/>
  <c r="AW178"/>
  <c r="AW177"/>
  <c r="AW176"/>
  <c r="AW172"/>
  <c r="AW171"/>
  <c r="AW169"/>
  <c r="AW168"/>
  <c r="AW167"/>
  <c r="AW166"/>
  <c r="AW165"/>
  <c r="AW163"/>
  <c r="AW156"/>
  <c r="AW155"/>
  <c r="AW154"/>
  <c r="AW153"/>
  <c r="AW151"/>
  <c r="AW150"/>
  <c r="AW149"/>
  <c r="AW148"/>
  <c r="AW147"/>
  <c r="AW145"/>
  <c r="AW144"/>
  <c r="AW94"/>
  <c r="AW93"/>
  <c r="AW91"/>
  <c r="AW90"/>
  <c r="AW89"/>
  <c r="AW80"/>
  <c r="AW77"/>
  <c r="AW76"/>
  <c r="AW75"/>
  <c r="AW74"/>
  <c r="AW73"/>
  <c r="AW72"/>
  <c r="AW70"/>
  <c r="AW67"/>
  <c r="AW65"/>
  <c r="AW61"/>
  <c r="AW60"/>
  <c r="AW59"/>
  <c r="AW57"/>
  <c r="AW56"/>
  <c r="AW55"/>
  <c r="AW54"/>
  <c r="AW53"/>
  <c r="AW52"/>
  <c r="AW51"/>
  <c r="AT232"/>
  <c r="AT231"/>
  <c r="AT228"/>
  <c r="AT227"/>
  <c r="AT222"/>
  <c r="AT219"/>
  <c r="AT210"/>
  <c r="AT209"/>
  <c r="AT207"/>
  <c r="AT203"/>
  <c r="AT197"/>
  <c r="AT196"/>
  <c r="AT195"/>
  <c r="AT193"/>
  <c r="AT190"/>
  <c r="AT189"/>
  <c r="AT187"/>
  <c r="AT186"/>
  <c r="AT185"/>
  <c r="AT183"/>
  <c r="AT182"/>
  <c r="AT181"/>
  <c r="AT179"/>
  <c r="AT178"/>
  <c r="AT177"/>
  <c r="AT176"/>
  <c r="AT172"/>
  <c r="AT171"/>
  <c r="AT169"/>
  <c r="AT168"/>
  <c r="AT167"/>
  <c r="AT166"/>
  <c r="AT165"/>
  <c r="AT163"/>
  <c r="AT157"/>
  <c r="AT156"/>
  <c r="AT155"/>
  <c r="AT154"/>
  <c r="AT153"/>
  <c r="AT151"/>
  <c r="AT150"/>
  <c r="AT149"/>
  <c r="AT148"/>
  <c r="AT147"/>
  <c r="AT145"/>
  <c r="AT144"/>
  <c r="AT94"/>
  <c r="AT93"/>
  <c r="AT91"/>
  <c r="AT90"/>
  <c r="AT89"/>
  <c r="AT80"/>
  <c r="AT77"/>
  <c r="AT76"/>
  <c r="AT75"/>
  <c r="AT74"/>
  <c r="AT73"/>
  <c r="AT72"/>
  <c r="AT70"/>
  <c r="AT67"/>
  <c r="AT65"/>
  <c r="AT61"/>
  <c r="AT60"/>
  <c r="AT59"/>
  <c r="AT57"/>
  <c r="AT56"/>
  <c r="AT55"/>
  <c r="AT54"/>
  <c r="AT53"/>
  <c r="AT52"/>
  <c r="AT51"/>
  <c r="AP232"/>
  <c r="AP231"/>
  <c r="AP228"/>
  <c r="AP227"/>
  <c r="AP225"/>
  <c r="AP224"/>
  <c r="AP223"/>
  <c r="AP222"/>
  <c r="AP221"/>
  <c r="AP220"/>
  <c r="AP219"/>
  <c r="AP218"/>
  <c r="AP217"/>
  <c r="AP216"/>
  <c r="AP203"/>
  <c r="AP207"/>
  <c r="AP209"/>
  <c r="AP210"/>
  <c r="AP197"/>
  <c r="AP196"/>
  <c r="AP195"/>
  <c r="AP193"/>
  <c r="AP190"/>
  <c r="AP189"/>
  <c r="AP187"/>
  <c r="AP186"/>
  <c r="AP185"/>
  <c r="AP184"/>
  <c r="AP183"/>
  <c r="AP182"/>
  <c r="AP181"/>
  <c r="AP179"/>
  <c r="AP178"/>
  <c r="AP177"/>
  <c r="AP176"/>
  <c r="AP174"/>
  <c r="AP173"/>
  <c r="AP172"/>
  <c r="AP171"/>
  <c r="AP169"/>
  <c r="AP168"/>
  <c r="AP167"/>
  <c r="AP166"/>
  <c r="AP165"/>
  <c r="AP163"/>
  <c r="AP157"/>
  <c r="AP156"/>
  <c r="AP155"/>
  <c r="AP154"/>
  <c r="AP153"/>
  <c r="AP151"/>
  <c r="AP150"/>
  <c r="AP149"/>
  <c r="AP148"/>
  <c r="AP147"/>
  <c r="AP145"/>
  <c r="AP144"/>
  <c r="AP94"/>
  <c r="AP93"/>
  <c r="AP91"/>
  <c r="AP90"/>
  <c r="AP89"/>
  <c r="AP85"/>
  <c r="AP80"/>
  <c r="AP77"/>
  <c r="AP76"/>
  <c r="AP75"/>
  <c r="AP74"/>
  <c r="AP73"/>
  <c r="AP72"/>
  <c r="AP70"/>
  <c r="AP67"/>
  <c r="AP65"/>
  <c r="AP61"/>
  <c r="AP60"/>
  <c r="AP59"/>
  <c r="AP57"/>
  <c r="AP56"/>
  <c r="AP55"/>
  <c r="AP54"/>
  <c r="AP53"/>
  <c r="AP52"/>
  <c r="AP51"/>
  <c r="AP50"/>
  <c r="AK232"/>
  <c r="AK231"/>
  <c r="AK228"/>
  <c r="AK227"/>
  <c r="AK225"/>
  <c r="AK224"/>
  <c r="AK223"/>
  <c r="AK222"/>
  <c r="AK221"/>
  <c r="AK220"/>
  <c r="AK219"/>
  <c r="AK218"/>
  <c r="AK217"/>
  <c r="AK216"/>
  <c r="AK212"/>
  <c r="AK211"/>
  <c r="AK210"/>
  <c r="AK209"/>
  <c r="AK208"/>
  <c r="AK207"/>
  <c r="AK203"/>
  <c r="AK197"/>
  <c r="AK196"/>
  <c r="AK195"/>
  <c r="AK193"/>
  <c r="AK190"/>
  <c r="AK189"/>
  <c r="AK187"/>
  <c r="AK186"/>
  <c r="AK185"/>
  <c r="AK184"/>
  <c r="AK183"/>
  <c r="AK182"/>
  <c r="AK181"/>
  <c r="AK179"/>
  <c r="AK178"/>
  <c r="AK177"/>
  <c r="AK176"/>
  <c r="AK174"/>
  <c r="AK173"/>
  <c r="AK172"/>
  <c r="AK171"/>
  <c r="AK169"/>
  <c r="AK168"/>
  <c r="AK167"/>
  <c r="AK166"/>
  <c r="AK165"/>
  <c r="AK163"/>
  <c r="AK157"/>
  <c r="AK156"/>
  <c r="AK155"/>
  <c r="AK154"/>
  <c r="AK153"/>
  <c r="AK151"/>
  <c r="AK150"/>
  <c r="AK149"/>
  <c r="AK148"/>
  <c r="AK147"/>
  <c r="AK145"/>
  <c r="AK144"/>
  <c r="AK94"/>
  <c r="AK93"/>
  <c r="AK91"/>
  <c r="AK90"/>
  <c r="AK89"/>
  <c r="AK80"/>
  <c r="AK77"/>
  <c r="AK76"/>
  <c r="AK75"/>
  <c r="AK74"/>
  <c r="AK73"/>
  <c r="AK72"/>
  <c r="AK70"/>
  <c r="AK67"/>
  <c r="AK65"/>
  <c r="AK61"/>
  <c r="AK60"/>
  <c r="AK59"/>
  <c r="AK57"/>
  <c r="AK56"/>
  <c r="AK55"/>
  <c r="AK54"/>
  <c r="AK53"/>
  <c r="AK52"/>
  <c r="AK51"/>
  <c r="AK50"/>
  <c r="AH232"/>
  <c r="AH231"/>
  <c r="AH228"/>
  <c r="AH227"/>
  <c r="AH225"/>
  <c r="AH224"/>
  <c r="AH223"/>
  <c r="AH222"/>
  <c r="AH221"/>
  <c r="AH220"/>
  <c r="AH219"/>
  <c r="AH218"/>
  <c r="AH217"/>
  <c r="AH216"/>
  <c r="AH212"/>
  <c r="AH211"/>
  <c r="AH210"/>
  <c r="AH209"/>
  <c r="AH208"/>
  <c r="AH207"/>
  <c r="AH206"/>
  <c r="AH205"/>
  <c r="AH204"/>
  <c r="AH203"/>
  <c r="AH201"/>
  <c r="AH200"/>
  <c r="AH199"/>
  <c r="AH197"/>
  <c r="AH196"/>
  <c r="AH195"/>
  <c r="AH193"/>
  <c r="AH190"/>
  <c r="AH189"/>
  <c r="AH187"/>
  <c r="AH186"/>
  <c r="AH185"/>
  <c r="AH184"/>
  <c r="AH183"/>
  <c r="AH182"/>
  <c r="AH181"/>
  <c r="AH179"/>
  <c r="AH178"/>
  <c r="AH177"/>
  <c r="AH176"/>
  <c r="AH174"/>
  <c r="AH173"/>
  <c r="AH172"/>
  <c r="AH171"/>
  <c r="AH169"/>
  <c r="AH168"/>
  <c r="AH167"/>
  <c r="AH166"/>
  <c r="AH165"/>
  <c r="AH163"/>
  <c r="AH157"/>
  <c r="AH156"/>
  <c r="AH155"/>
  <c r="AH154"/>
  <c r="AH153"/>
  <c r="AH151"/>
  <c r="AH150"/>
  <c r="AH149"/>
  <c r="AH148"/>
  <c r="AH147"/>
  <c r="AH145"/>
  <c r="AH144"/>
  <c r="AH143" s="1"/>
  <c r="AH94"/>
  <c r="AH93"/>
  <c r="AH91"/>
  <c r="AH90"/>
  <c r="AH89"/>
  <c r="AH85"/>
  <c r="AM85" s="1"/>
  <c r="AH80"/>
  <c r="AH77"/>
  <c r="AH76"/>
  <c r="AH75"/>
  <c r="AH74"/>
  <c r="AH73"/>
  <c r="AH72"/>
  <c r="AF64"/>
  <c r="AF66"/>
  <c r="AH70"/>
  <c r="AH67"/>
  <c r="AH65"/>
  <c r="AH61"/>
  <c r="AH60"/>
  <c r="AH59"/>
  <c r="AH57"/>
  <c r="AH56"/>
  <c r="AH55"/>
  <c r="AH54"/>
  <c r="AH53"/>
  <c r="AH52"/>
  <c r="AH51"/>
  <c r="AH50"/>
  <c r="AC232"/>
  <c r="AC231"/>
  <c r="AC228"/>
  <c r="AC227"/>
  <c r="AC217"/>
  <c r="AC218"/>
  <c r="AC220"/>
  <c r="AC221"/>
  <c r="AC222"/>
  <c r="AC223"/>
  <c r="AC224"/>
  <c r="AC216"/>
  <c r="AC212"/>
  <c r="AC211"/>
  <c r="AC210"/>
  <c r="AC209"/>
  <c r="AC207"/>
  <c r="AC206"/>
  <c r="AC205"/>
  <c r="AC204"/>
  <c r="AC203"/>
  <c r="AC201"/>
  <c r="AC200"/>
  <c r="AC199"/>
  <c r="AC195"/>
  <c r="AC196"/>
  <c r="AC197"/>
  <c r="AC192"/>
  <c r="AC190"/>
  <c r="AC189"/>
  <c r="AC187"/>
  <c r="AC186"/>
  <c r="AC185"/>
  <c r="AC184"/>
  <c r="AC183"/>
  <c r="AC182"/>
  <c r="AC181"/>
  <c r="AC179"/>
  <c r="AC178"/>
  <c r="AC177"/>
  <c r="AC176"/>
  <c r="AC174"/>
  <c r="AC173"/>
  <c r="AC172"/>
  <c r="AC171"/>
  <c r="AC169"/>
  <c r="AC168"/>
  <c r="AC167"/>
  <c r="AC166"/>
  <c r="AC165"/>
  <c r="AC163"/>
  <c r="AC162"/>
  <c r="AC159"/>
  <c r="AC158"/>
  <c r="AC157"/>
  <c r="AC156"/>
  <c r="AC155"/>
  <c r="AC154"/>
  <c r="AC153"/>
  <c r="AC151"/>
  <c r="AC150"/>
  <c r="AC149"/>
  <c r="AC148"/>
  <c r="AC147"/>
  <c r="AC145"/>
  <c r="AC144"/>
  <c r="AC94"/>
  <c r="AC93"/>
  <c r="AC92"/>
  <c r="AC91"/>
  <c r="AC90"/>
  <c r="AC89"/>
  <c r="AC88"/>
  <c r="AC85"/>
  <c r="AC80"/>
  <c r="AC77"/>
  <c r="AC76"/>
  <c r="AC75"/>
  <c r="AC74"/>
  <c r="AC73"/>
  <c r="AC72"/>
  <c r="AC70"/>
  <c r="AC67"/>
  <c r="AC65"/>
  <c r="AC63"/>
  <c r="AC62"/>
  <c r="AC61"/>
  <c r="AC60"/>
  <c r="AC59"/>
  <c r="AC57"/>
  <c r="AC56"/>
  <c r="AC55"/>
  <c r="AC54"/>
  <c r="AC53"/>
  <c r="AC52"/>
  <c r="AC51"/>
  <c r="AC50"/>
  <c r="X232"/>
  <c r="X231"/>
  <c r="X228"/>
  <c r="X225"/>
  <c r="X224"/>
  <c r="X223"/>
  <c r="X221"/>
  <c r="X220"/>
  <c r="X219"/>
  <c r="X218"/>
  <c r="X217"/>
  <c r="X216"/>
  <c r="X212"/>
  <c r="X211"/>
  <c r="X210"/>
  <c r="X209"/>
  <c r="X207"/>
  <c r="X206"/>
  <c r="X205"/>
  <c r="X204"/>
  <c r="X203"/>
  <c r="X201"/>
  <c r="X200"/>
  <c r="X199"/>
  <c r="X197"/>
  <c r="X196"/>
  <c r="X195"/>
  <c r="X192"/>
  <c r="X190"/>
  <c r="X189"/>
  <c r="X187"/>
  <c r="X186"/>
  <c r="X183"/>
  <c r="X182"/>
  <c r="X181"/>
  <c r="X179"/>
  <c r="X178"/>
  <c r="X177"/>
  <c r="X176"/>
  <c r="X174"/>
  <c r="X172"/>
  <c r="X169"/>
  <c r="X168"/>
  <c r="X167"/>
  <c r="X166"/>
  <c r="X165"/>
  <c r="X163"/>
  <c r="X162"/>
  <c r="X159"/>
  <c r="X158"/>
  <c r="X157"/>
  <c r="X156"/>
  <c r="X155"/>
  <c r="X154"/>
  <c r="X153"/>
  <c r="X151"/>
  <c r="X150"/>
  <c r="X149"/>
  <c r="X148"/>
  <c r="X147"/>
  <c r="X145"/>
  <c r="X144"/>
  <c r="X94"/>
  <c r="X93"/>
  <c r="X92"/>
  <c r="X91"/>
  <c r="X90"/>
  <c r="X89"/>
  <c r="X80"/>
  <c r="X77"/>
  <c r="X76"/>
  <c r="X75"/>
  <c r="X74"/>
  <c r="X73"/>
  <c r="X72"/>
  <c r="X67"/>
  <c r="X65"/>
  <c r="X61"/>
  <c r="X62"/>
  <c r="X63"/>
  <c r="X59"/>
  <c r="X57"/>
  <c r="X56"/>
  <c r="X55"/>
  <c r="X54"/>
  <c r="X53"/>
  <c r="X52"/>
  <c r="X51"/>
  <c r="X50"/>
  <c r="U232"/>
  <c r="U231"/>
  <c r="U228"/>
  <c r="U225"/>
  <c r="U224"/>
  <c r="U223"/>
  <c r="U222"/>
  <c r="U221"/>
  <c r="U218"/>
  <c r="U217"/>
  <c r="U216"/>
  <c r="U212"/>
  <c r="U211"/>
  <c r="U210"/>
  <c r="U209"/>
  <c r="U207"/>
  <c r="U206"/>
  <c r="U205"/>
  <c r="U204"/>
  <c r="U203"/>
  <c r="U201"/>
  <c r="U200"/>
  <c r="U199"/>
  <c r="U197"/>
  <c r="U196"/>
  <c r="U195"/>
  <c r="U192"/>
  <c r="U190"/>
  <c r="O190" s="1"/>
  <c r="U189"/>
  <c r="O189" s="1"/>
  <c r="U187"/>
  <c r="O187" s="1"/>
  <c r="U186"/>
  <c r="O186" s="1"/>
  <c r="U185"/>
  <c r="U184"/>
  <c r="U183"/>
  <c r="U182"/>
  <c r="U181"/>
  <c r="U179"/>
  <c r="U178"/>
  <c r="U177"/>
  <c r="U176"/>
  <c r="U174"/>
  <c r="U173"/>
  <c r="U172"/>
  <c r="U169"/>
  <c r="U168"/>
  <c r="U167"/>
  <c r="U166"/>
  <c r="U165"/>
  <c r="U162"/>
  <c r="U161"/>
  <c r="U159"/>
  <c r="U158"/>
  <c r="U157"/>
  <c r="U156"/>
  <c r="U155"/>
  <c r="U154"/>
  <c r="U153"/>
  <c r="U151"/>
  <c r="U150"/>
  <c r="U149"/>
  <c r="U148"/>
  <c r="U145"/>
  <c r="U144"/>
  <c r="U94"/>
  <c r="U93"/>
  <c r="U92"/>
  <c r="U91"/>
  <c r="U90"/>
  <c r="U89"/>
  <c r="U88"/>
  <c r="U80"/>
  <c r="U77"/>
  <c r="U76"/>
  <c r="U75"/>
  <c r="U74"/>
  <c r="U73"/>
  <c r="U72"/>
  <c r="U71" s="1"/>
  <c r="U70"/>
  <c r="U67"/>
  <c r="U65"/>
  <c r="U63"/>
  <c r="U62"/>
  <c r="U61"/>
  <c r="U60"/>
  <c r="U59"/>
  <c r="U57"/>
  <c r="U56"/>
  <c r="U55"/>
  <c r="U54"/>
  <c r="U53"/>
  <c r="U52"/>
  <c r="U51"/>
  <c r="U50"/>
  <c r="Q232"/>
  <c r="Q231"/>
  <c r="Q228"/>
  <c r="Q227"/>
  <c r="Q225"/>
  <c r="Q224"/>
  <c r="Q223"/>
  <c r="Q222"/>
  <c r="Q221"/>
  <c r="Q220"/>
  <c r="Q219"/>
  <c r="Q218"/>
  <c r="Q217"/>
  <c r="Q216"/>
  <c r="Q212"/>
  <c r="Q211"/>
  <c r="Q210"/>
  <c r="Q209"/>
  <c r="Q208"/>
  <c r="Q207"/>
  <c r="Q206"/>
  <c r="Q205"/>
  <c r="Q204"/>
  <c r="Q203"/>
  <c r="Q201"/>
  <c r="Q200"/>
  <c r="Q199"/>
  <c r="Q195"/>
  <c r="Q196"/>
  <c r="Q197"/>
  <c r="Q192"/>
  <c r="Q190"/>
  <c r="Q189"/>
  <c r="Q187"/>
  <c r="Q186"/>
  <c r="Q185"/>
  <c r="Q184"/>
  <c r="Q183"/>
  <c r="Q182"/>
  <c r="Q181"/>
  <c r="Q179"/>
  <c r="Q178"/>
  <c r="Q177"/>
  <c r="Q176"/>
  <c r="Q174"/>
  <c r="Q173"/>
  <c r="Q172"/>
  <c r="Q169"/>
  <c r="Q168"/>
  <c r="Q167"/>
  <c r="Q166"/>
  <c r="Q165"/>
  <c r="Q163"/>
  <c r="Q162"/>
  <c r="Q161"/>
  <c r="Q159"/>
  <c r="Q158"/>
  <c r="Q157"/>
  <c r="Q156"/>
  <c r="Q155"/>
  <c r="Q154"/>
  <c r="Q153"/>
  <c r="Q151"/>
  <c r="Q150"/>
  <c r="Q149"/>
  <c r="Q148"/>
  <c r="Q147"/>
  <c r="Q145"/>
  <c r="Q144"/>
  <c r="Q94"/>
  <c r="Q93"/>
  <c r="Q92"/>
  <c r="Q91"/>
  <c r="Q90"/>
  <c r="Q89"/>
  <c r="Q88"/>
  <c r="Q85"/>
  <c r="Q80"/>
  <c r="Q73"/>
  <c r="Q74"/>
  <c r="Q75"/>
  <c r="Q76"/>
  <c r="Q77"/>
  <c r="Q72"/>
  <c r="Q70"/>
  <c r="Q67"/>
  <c r="Q65"/>
  <c r="Q63"/>
  <c r="Q62"/>
  <c r="Q61"/>
  <c r="Q60"/>
  <c r="Q59"/>
  <c r="Q51"/>
  <c r="Q52"/>
  <c r="Q53"/>
  <c r="Q54"/>
  <c r="Q55"/>
  <c r="Q56"/>
  <c r="Q57"/>
  <c r="Q50"/>
  <c r="K228"/>
  <c r="K231"/>
  <c r="K232"/>
  <c r="K227"/>
  <c r="K217"/>
  <c r="K218"/>
  <c r="K219"/>
  <c r="K220"/>
  <c r="K221"/>
  <c r="K222"/>
  <c r="K223"/>
  <c r="K224"/>
  <c r="K225"/>
  <c r="K216"/>
  <c r="K200"/>
  <c r="K201"/>
  <c r="K203"/>
  <c r="K204"/>
  <c r="K205"/>
  <c r="K206"/>
  <c r="K207"/>
  <c r="K208"/>
  <c r="K209"/>
  <c r="K210"/>
  <c r="K211"/>
  <c r="K212"/>
  <c r="K199"/>
  <c r="K195"/>
  <c r="K196"/>
  <c r="K197"/>
  <c r="K192"/>
  <c r="K182"/>
  <c r="K183"/>
  <c r="K184"/>
  <c r="K186"/>
  <c r="K187"/>
  <c r="K189"/>
  <c r="K190"/>
  <c r="K181"/>
  <c r="K172"/>
  <c r="K173"/>
  <c r="K174"/>
  <c r="K145"/>
  <c r="K147"/>
  <c r="K148"/>
  <c r="K149"/>
  <c r="K150"/>
  <c r="K151"/>
  <c r="K153"/>
  <c r="K154"/>
  <c r="K155"/>
  <c r="K156"/>
  <c r="K157"/>
  <c r="K158"/>
  <c r="K159"/>
  <c r="K161"/>
  <c r="K162"/>
  <c r="K163"/>
  <c r="K165"/>
  <c r="K166"/>
  <c r="K167"/>
  <c r="K168"/>
  <c r="K169"/>
  <c r="K144"/>
  <c r="K89"/>
  <c r="K90"/>
  <c r="K91"/>
  <c r="K92"/>
  <c r="K80"/>
  <c r="K73"/>
  <c r="K74"/>
  <c r="K75"/>
  <c r="K76"/>
  <c r="K77"/>
  <c r="K72"/>
  <c r="K70"/>
  <c r="K67"/>
  <c r="K65"/>
  <c r="K60"/>
  <c r="K61"/>
  <c r="K62"/>
  <c r="K63"/>
  <c r="K59"/>
  <c r="K51"/>
  <c r="K52"/>
  <c r="K53"/>
  <c r="K54"/>
  <c r="K55"/>
  <c r="K56"/>
  <c r="K57"/>
  <c r="K50"/>
  <c r="AH71" l="1"/>
  <c r="AM208"/>
  <c r="Z181"/>
  <c r="H228" l="1"/>
  <c r="H231"/>
  <c r="H232"/>
  <c r="H227"/>
  <c r="H217"/>
  <c r="H218"/>
  <c r="H219"/>
  <c r="H220"/>
  <c r="H221"/>
  <c r="H222"/>
  <c r="H223"/>
  <c r="H224"/>
  <c r="H225"/>
  <c r="H216"/>
  <c r="H200"/>
  <c r="H201"/>
  <c r="H203"/>
  <c r="H204"/>
  <c r="H205"/>
  <c r="H206"/>
  <c r="H207"/>
  <c r="H208"/>
  <c r="H209"/>
  <c r="H210"/>
  <c r="H211"/>
  <c r="H212"/>
  <c r="H199"/>
  <c r="H195"/>
  <c r="H196"/>
  <c r="H197"/>
  <c r="H192"/>
  <c r="H182"/>
  <c r="H183"/>
  <c r="H184"/>
  <c r="H185"/>
  <c r="H186"/>
  <c r="H187"/>
  <c r="H189"/>
  <c r="H190"/>
  <c r="H181"/>
  <c r="H176"/>
  <c r="H177"/>
  <c r="H178"/>
  <c r="H179"/>
  <c r="H172"/>
  <c r="H173"/>
  <c r="H174"/>
  <c r="H171"/>
  <c r="H145"/>
  <c r="H148"/>
  <c r="H149"/>
  <c r="H150"/>
  <c r="H151"/>
  <c r="H153"/>
  <c r="H154"/>
  <c r="H155"/>
  <c r="H156"/>
  <c r="H157"/>
  <c r="H158"/>
  <c r="H159"/>
  <c r="H161"/>
  <c r="H162"/>
  <c r="H163"/>
  <c r="H165"/>
  <c r="H166"/>
  <c r="H167"/>
  <c r="H168"/>
  <c r="H169"/>
  <c r="H144"/>
  <c r="H88"/>
  <c r="H89"/>
  <c r="H90"/>
  <c r="H91"/>
  <c r="H92"/>
  <c r="H93"/>
  <c r="H94"/>
  <c r="H80"/>
  <c r="H73"/>
  <c r="H74"/>
  <c r="H75"/>
  <c r="H76"/>
  <c r="H77"/>
  <c r="H72"/>
  <c r="H70"/>
  <c r="H67"/>
  <c r="H65"/>
  <c r="H60"/>
  <c r="H61"/>
  <c r="H62"/>
  <c r="H63"/>
  <c r="H59"/>
  <c r="H51"/>
  <c r="H52"/>
  <c r="H53"/>
  <c r="H54"/>
  <c r="H55"/>
  <c r="H56"/>
  <c r="H57"/>
  <c r="H50"/>
  <c r="W88" l="1"/>
  <c r="X88" s="1"/>
  <c r="K88"/>
  <c r="M197"/>
  <c r="M208"/>
  <c r="M169"/>
  <c r="M196"/>
  <c r="AM169"/>
  <c r="E228" l="1"/>
  <c r="E231"/>
  <c r="E232"/>
  <c r="E227"/>
  <c r="E218"/>
  <c r="E220"/>
  <c r="E221"/>
  <c r="E222"/>
  <c r="E223"/>
  <c r="E224"/>
  <c r="E225"/>
  <c r="E217"/>
  <c r="E216"/>
  <c r="E193"/>
  <c r="E195"/>
  <c r="E196"/>
  <c r="E197"/>
  <c r="E199"/>
  <c r="E200"/>
  <c r="E201"/>
  <c r="E203"/>
  <c r="E204"/>
  <c r="E205"/>
  <c r="E206"/>
  <c r="E207"/>
  <c r="E208"/>
  <c r="E209"/>
  <c r="E210"/>
  <c r="E211"/>
  <c r="E212"/>
  <c r="E192"/>
  <c r="E182"/>
  <c r="E183"/>
  <c r="E184"/>
  <c r="E185"/>
  <c r="E186"/>
  <c r="E187"/>
  <c r="E189"/>
  <c r="E190"/>
  <c r="E181"/>
  <c r="E176"/>
  <c r="E177"/>
  <c r="E178"/>
  <c r="E179"/>
  <c r="E172"/>
  <c r="E173"/>
  <c r="E174"/>
  <c r="E171"/>
  <c r="E145"/>
  <c r="E147"/>
  <c r="E148"/>
  <c r="E149"/>
  <c r="E150"/>
  <c r="E151"/>
  <c r="E153"/>
  <c r="E154"/>
  <c r="E155"/>
  <c r="E156"/>
  <c r="E157"/>
  <c r="E158"/>
  <c r="E159"/>
  <c r="E161"/>
  <c r="E162"/>
  <c r="E163"/>
  <c r="E165"/>
  <c r="E166"/>
  <c r="E167"/>
  <c r="E168"/>
  <c r="E144"/>
  <c r="E85"/>
  <c r="E88"/>
  <c r="E89"/>
  <c r="E90"/>
  <c r="E91"/>
  <c r="E92"/>
  <c r="E93"/>
  <c r="E94"/>
  <c r="E80"/>
  <c r="E73"/>
  <c r="E74"/>
  <c r="E75"/>
  <c r="E76"/>
  <c r="E77"/>
  <c r="E72"/>
  <c r="E70"/>
  <c r="E67"/>
  <c r="E65"/>
  <c r="E60"/>
  <c r="E61"/>
  <c r="E62"/>
  <c r="E63"/>
  <c r="E59"/>
  <c r="E51"/>
  <c r="E52"/>
  <c r="E53"/>
  <c r="E54"/>
  <c r="E55"/>
  <c r="E56"/>
  <c r="E57"/>
  <c r="E50"/>
  <c r="AU175"/>
  <c r="AU141"/>
  <c r="AW141" s="1"/>
  <c r="AU136"/>
  <c r="AW136" s="1"/>
  <c r="AU115"/>
  <c r="AV115" s="1"/>
  <c r="AU95"/>
  <c r="AU66"/>
  <c r="AU64"/>
  <c r="AI175"/>
  <c r="AK175" s="1"/>
  <c r="AI141"/>
  <c r="AK141" s="1"/>
  <c r="AI136"/>
  <c r="AK136" s="1"/>
  <c r="AI115"/>
  <c r="AK115" s="1"/>
  <c r="AI66"/>
  <c r="AI64"/>
  <c r="AW95" l="1"/>
  <c r="AV95"/>
  <c r="AJ115"/>
  <c r="AJ136"/>
  <c r="AJ141"/>
  <c r="AJ175"/>
  <c r="AW115"/>
  <c r="AV175"/>
  <c r="AW175"/>
  <c r="AV136"/>
  <c r="AV141"/>
  <c r="V175"/>
  <c r="X175" s="1"/>
  <c r="V141"/>
  <c r="V115"/>
  <c r="V95"/>
  <c r="I141"/>
  <c r="X95" l="1"/>
  <c r="W95"/>
  <c r="Z95" s="1"/>
  <c r="J141"/>
  <c r="K141"/>
  <c r="W115"/>
  <c r="X115"/>
  <c r="X136"/>
  <c r="W175"/>
  <c r="J115"/>
  <c r="K115"/>
  <c r="R115" s="1"/>
  <c r="W141"/>
  <c r="X141"/>
  <c r="V9" i="4"/>
  <c r="V10"/>
  <c r="V11"/>
  <c r="V12"/>
  <c r="V13"/>
  <c r="V14"/>
  <c r="V15"/>
  <c r="V16"/>
  <c r="V17"/>
  <c r="V19"/>
  <c r="V20"/>
  <c r="V21"/>
  <c r="V22"/>
  <c r="V23"/>
  <c r="V25"/>
  <c r="V26"/>
  <c r="V27"/>
  <c r="V29"/>
  <c r="V30"/>
  <c r="V31"/>
  <c r="V33"/>
  <c r="V34"/>
  <c r="V35"/>
  <c r="V36"/>
  <c r="V37"/>
  <c r="V38"/>
  <c r="V39"/>
  <c r="V41"/>
  <c r="V42"/>
  <c r="V43"/>
  <c r="V46"/>
  <c r="V47"/>
  <c r="V48"/>
  <c r="V49"/>
  <c r="V50"/>
  <c r="V51"/>
  <c r="V52"/>
  <c r="V53"/>
  <c r="V54"/>
  <c r="V55"/>
  <c r="V57"/>
  <c r="V58"/>
  <c r="V59"/>
  <c r="V60"/>
  <c r="V62"/>
  <c r="V63"/>
  <c r="V64"/>
  <c r="V65"/>
  <c r="V66"/>
  <c r="V68"/>
  <c r="V69"/>
  <c r="V70"/>
  <c r="V71"/>
  <c r="V72"/>
  <c r="V73"/>
  <c r="V74"/>
  <c r="V75"/>
  <c r="V76"/>
  <c r="V77"/>
  <c r="V78"/>
  <c r="V79"/>
  <c r="V80"/>
  <c r="V81"/>
  <c r="V82"/>
  <c r="V84"/>
  <c r="V85"/>
  <c r="V86"/>
  <c r="V87"/>
  <c r="V88"/>
  <c r="V89"/>
  <c r="V90"/>
  <c r="V91"/>
  <c r="V93"/>
  <c r="V94"/>
  <c r="V95"/>
  <c r="V96"/>
  <c r="V97"/>
  <c r="V98"/>
  <c r="V99"/>
  <c r="V100"/>
  <c r="V101"/>
  <c r="V102"/>
  <c r="V103"/>
  <c r="V104"/>
  <c r="V106"/>
  <c r="V107"/>
  <c r="V108"/>
  <c r="V109"/>
  <c r="V110"/>
  <c r="V111"/>
  <c r="V112"/>
  <c r="V113"/>
  <c r="V114"/>
  <c r="V115"/>
  <c r="V117"/>
  <c r="V118"/>
  <c r="V119"/>
  <c r="V120"/>
  <c r="V121"/>
  <c r="V122"/>
  <c r="V123"/>
  <c r="V124"/>
  <c r="V125"/>
  <c r="V127"/>
  <c r="V128"/>
  <c r="V129"/>
  <c r="V130"/>
  <c r="V131"/>
  <c r="V133"/>
  <c r="V135"/>
  <c r="V136"/>
  <c r="V138"/>
  <c r="V139"/>
  <c r="V140"/>
  <c r="V141"/>
  <c r="V142"/>
  <c r="V143"/>
  <c r="V145"/>
  <c r="V146"/>
  <c r="V147"/>
  <c r="V148"/>
  <c r="V149"/>
  <c r="V150"/>
  <c r="V152"/>
  <c r="V153"/>
  <c r="V154"/>
  <c r="V155"/>
  <c r="V156"/>
  <c r="V157"/>
  <c r="V158"/>
  <c r="V160"/>
  <c r="V161"/>
  <c r="V162"/>
  <c r="V163"/>
  <c r="V164"/>
  <c r="V165"/>
  <c r="V166"/>
  <c r="V167"/>
  <c r="V168"/>
  <c r="V169"/>
  <c r="V170"/>
  <c r="V171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20"/>
  <c r="V221"/>
  <c r="V222"/>
  <c r="V223"/>
  <c r="V224"/>
  <c r="V225"/>
  <c r="V226"/>
  <c r="V228"/>
  <c r="V229"/>
  <c r="V230"/>
  <c r="V232"/>
  <c r="V233"/>
  <c r="V234"/>
  <c r="V235"/>
  <c r="V236"/>
  <c r="V237"/>
  <c r="V238"/>
  <c r="V239"/>
  <c r="V240"/>
  <c r="V242"/>
  <c r="V243"/>
  <c r="V244"/>
  <c r="V245"/>
  <c r="V246"/>
  <c r="V247"/>
  <c r="V248"/>
  <c r="V249"/>
  <c r="V250"/>
  <c r="V251"/>
  <c r="V253"/>
  <c r="V254"/>
  <c r="V255"/>
  <c r="V256"/>
  <c r="V257"/>
  <c r="V258"/>
  <c r="V259"/>
  <c r="V260"/>
  <c r="V261"/>
  <c r="V262"/>
  <c r="V263"/>
  <c r="V264"/>
  <c r="V266"/>
  <c r="V267"/>
  <c r="V268"/>
  <c r="V269"/>
  <c r="V270"/>
  <c r="V271"/>
  <c r="V273"/>
  <c r="V274"/>
  <c r="V275"/>
  <c r="V276"/>
  <c r="V278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2"/>
  <c r="V303"/>
  <c r="V304"/>
  <c r="V305"/>
  <c r="V307"/>
  <c r="V308"/>
  <c r="V309"/>
  <c r="V310"/>
  <c r="V311"/>
  <c r="V313"/>
  <c r="V314"/>
  <c r="V315"/>
  <c r="V316"/>
  <c r="V317"/>
  <c r="V318"/>
  <c r="V319"/>
  <c r="V320"/>
  <c r="V321"/>
  <c r="V322"/>
  <c r="V324"/>
  <c r="V325"/>
  <c r="V326"/>
  <c r="V327"/>
  <c r="V328"/>
  <c r="V329"/>
  <c r="V331"/>
  <c r="V332"/>
  <c r="V333"/>
  <c r="V334"/>
  <c r="V335"/>
  <c r="V336"/>
  <c r="V337"/>
  <c r="V338"/>
  <c r="V339"/>
  <c r="V340"/>
  <c r="V341"/>
  <c r="V342"/>
  <c r="V344"/>
  <c r="V345"/>
  <c r="V346"/>
  <c r="V347"/>
  <c r="V348"/>
  <c r="V349"/>
  <c r="V350"/>
  <c r="V351"/>
  <c r="V352"/>
  <c r="V353"/>
  <c r="V354"/>
  <c r="V356"/>
  <c r="V357"/>
  <c r="V358"/>
  <c r="V359"/>
  <c r="K69" i="7" l="1"/>
  <c r="I69"/>
  <c r="H69"/>
  <c r="J69" s="1"/>
  <c r="K68" l="1"/>
  <c r="I68"/>
  <c r="H68"/>
  <c r="J68" s="1"/>
  <c r="I73" l="1"/>
  <c r="K73" s="1"/>
  <c r="H73"/>
  <c r="I72"/>
  <c r="K72" s="1"/>
  <c r="H72"/>
  <c r="B72" l="1"/>
  <c r="D72" s="1"/>
  <c r="F72" s="1"/>
  <c r="J72"/>
  <c r="L72" s="1"/>
  <c r="M72"/>
  <c r="O72" s="1"/>
  <c r="Q72" s="1"/>
  <c r="K75"/>
  <c r="I75"/>
  <c r="H75"/>
  <c r="J117" l="1"/>
  <c r="J52"/>
  <c r="H11"/>
  <c r="J11" s="1"/>
  <c r="B20"/>
  <c r="C20" s="1"/>
  <c r="D20"/>
  <c r="E20" s="1"/>
  <c r="M20"/>
  <c r="N20" s="1"/>
  <c r="O20"/>
  <c r="P20" s="1"/>
  <c r="H41"/>
  <c r="J41" s="1"/>
  <c r="H39"/>
  <c r="J39" s="1"/>
  <c r="H38"/>
  <c r="J38" s="1"/>
  <c r="H82"/>
  <c r="J82" s="1"/>
  <c r="H81"/>
  <c r="J81" s="1"/>
  <c r="Q20" l="1"/>
  <c r="F20"/>
  <c r="I116"/>
  <c r="K116" l="1"/>
  <c r="H116"/>
  <c r="M123"/>
  <c r="O123" s="1"/>
  <c r="Q123" s="1"/>
  <c r="B123"/>
  <c r="D123" s="1"/>
  <c r="F123" s="1"/>
  <c r="B122"/>
  <c r="D122" s="1"/>
  <c r="F122" s="1"/>
  <c r="M121"/>
  <c r="O121" s="1"/>
  <c r="Q121" s="1"/>
  <c r="D121"/>
  <c r="M120"/>
  <c r="O120" s="1"/>
  <c r="B120"/>
  <c r="D120" s="1"/>
  <c r="M118"/>
  <c r="O118" s="1"/>
  <c r="Q118" s="1"/>
  <c r="L118"/>
  <c r="H118"/>
  <c r="J118" s="1"/>
  <c r="B118"/>
  <c r="D118" s="1"/>
  <c r="F118" s="1"/>
  <c r="M117"/>
  <c r="O117" s="1"/>
  <c r="Q117" s="1"/>
  <c r="L117"/>
  <c r="J116"/>
  <c r="B117"/>
  <c r="D117" s="1"/>
  <c r="F117" s="1"/>
  <c r="J114"/>
  <c r="L114" s="1"/>
  <c r="H113"/>
  <c r="J113" s="1"/>
  <c r="L113" s="1"/>
  <c r="H112"/>
  <c r="J112" s="1"/>
  <c r="L112" s="1"/>
  <c r="B112"/>
  <c r="D112" s="1"/>
  <c r="F112" s="1"/>
  <c r="M111"/>
  <c r="O111" s="1"/>
  <c r="Q111" s="1"/>
  <c r="J111"/>
  <c r="L111" s="1"/>
  <c r="D111"/>
  <c r="B111"/>
  <c r="M110"/>
  <c r="O110" s="1"/>
  <c r="Q110" s="1"/>
  <c r="J110"/>
  <c r="L110" s="1"/>
  <c r="B110"/>
  <c r="D110" s="1"/>
  <c r="F110" s="1"/>
  <c r="M109"/>
  <c r="O109" s="1"/>
  <c r="J109"/>
  <c r="L109" s="1"/>
  <c r="B109"/>
  <c r="D109" s="1"/>
  <c r="M107"/>
  <c r="O107" s="1"/>
  <c r="Q107" s="1"/>
  <c r="M106"/>
  <c r="O106" s="1"/>
  <c r="Q106" s="1"/>
  <c r="M104"/>
  <c r="O104" s="1"/>
  <c r="Q104" s="1"/>
  <c r="M102"/>
  <c r="O102" s="1"/>
  <c r="Q102" s="1"/>
  <c r="H102"/>
  <c r="J102" s="1"/>
  <c r="L102" s="1"/>
  <c r="B102"/>
  <c r="D102" s="1"/>
  <c r="F102" s="1"/>
  <c r="B101"/>
  <c r="D101" s="1"/>
  <c r="F101" s="1"/>
  <c r="M100"/>
  <c r="O100" s="1"/>
  <c r="Q100" s="1"/>
  <c r="M99"/>
  <c r="O99" s="1"/>
  <c r="M98"/>
  <c r="O98" s="1"/>
  <c r="Q98" s="1"/>
  <c r="M96"/>
  <c r="O96" s="1"/>
  <c r="Q96" s="1"/>
  <c r="L96"/>
  <c r="B96"/>
  <c r="D96" s="1"/>
  <c r="F96" s="1"/>
  <c r="L95"/>
  <c r="B95"/>
  <c r="D95" s="1"/>
  <c r="F95" s="1"/>
  <c r="M94"/>
  <c r="O94" s="1"/>
  <c r="Q94" s="1"/>
  <c r="L94"/>
  <c r="B94"/>
  <c r="D94" s="1"/>
  <c r="F94" s="1"/>
  <c r="M93"/>
  <c r="O93" s="1"/>
  <c r="Q93" s="1"/>
  <c r="L93"/>
  <c r="B93"/>
  <c r="D93" s="1"/>
  <c r="F93" s="1"/>
  <c r="M92"/>
  <c r="O92" s="1"/>
  <c r="L92"/>
  <c r="B92"/>
  <c r="D92" s="1"/>
  <c r="F92" s="1"/>
  <c r="H91"/>
  <c r="I91" s="1"/>
  <c r="L90"/>
  <c r="D90"/>
  <c r="B90"/>
  <c r="L89"/>
  <c r="B89"/>
  <c r="D89" s="1"/>
  <c r="F89" s="1"/>
  <c r="M88"/>
  <c r="O88" s="1"/>
  <c r="Q88" s="1"/>
  <c r="L88"/>
  <c r="B88"/>
  <c r="D88" s="1"/>
  <c r="M87"/>
  <c r="O87" s="1"/>
  <c r="H86"/>
  <c r="I86" s="1"/>
  <c r="M85"/>
  <c r="O85" s="1"/>
  <c r="Q85" s="1"/>
  <c r="B83"/>
  <c r="D83" s="1"/>
  <c r="F83" s="1"/>
  <c r="M82"/>
  <c r="O82" s="1"/>
  <c r="Q82" s="1"/>
  <c r="L82"/>
  <c r="B82"/>
  <c r="D82" s="1"/>
  <c r="F82" s="1"/>
  <c r="M81"/>
  <c r="O81" s="1"/>
  <c r="Q81" s="1"/>
  <c r="L81"/>
  <c r="B81"/>
  <c r="D81" s="1"/>
  <c r="F81" s="1"/>
  <c r="M80"/>
  <c r="O80" s="1"/>
  <c r="Q80" s="1"/>
  <c r="O76"/>
  <c r="P76" s="1"/>
  <c r="O74"/>
  <c r="P74" s="1"/>
  <c r="L75"/>
  <c r="J75"/>
  <c r="B75"/>
  <c r="D75" s="1"/>
  <c r="J73"/>
  <c r="L73" s="1"/>
  <c r="B73"/>
  <c r="D73" s="1"/>
  <c r="F73" s="1"/>
  <c r="B71"/>
  <c r="D71" s="1"/>
  <c r="F71" s="1"/>
  <c r="L69"/>
  <c r="B69"/>
  <c r="D69" s="1"/>
  <c r="F69" s="1"/>
  <c r="M68"/>
  <c r="O68" s="1"/>
  <c r="B68"/>
  <c r="D68" s="1"/>
  <c r="B65"/>
  <c r="D65" s="1"/>
  <c r="F65" s="1"/>
  <c r="D64"/>
  <c r="B64"/>
  <c r="O63"/>
  <c r="M63"/>
  <c r="D63"/>
  <c r="B63"/>
  <c r="O62"/>
  <c r="M62"/>
  <c r="D62"/>
  <c r="B62"/>
  <c r="O61"/>
  <c r="M61"/>
  <c r="D61"/>
  <c r="B61"/>
  <c r="M60"/>
  <c r="O60" s="1"/>
  <c r="Q60" s="1"/>
  <c r="B60"/>
  <c r="D60" s="1"/>
  <c r="F60" s="1"/>
  <c r="B59"/>
  <c r="D59" s="1"/>
  <c r="F59" s="1"/>
  <c r="H57"/>
  <c r="J57" s="1"/>
  <c r="L57" s="1"/>
  <c r="B57"/>
  <c r="D57" s="1"/>
  <c r="F57" s="1"/>
  <c r="H56"/>
  <c r="J56" s="1"/>
  <c r="B56"/>
  <c r="D56" s="1"/>
  <c r="F56" s="1"/>
  <c r="H54"/>
  <c r="B54"/>
  <c r="D54" s="1"/>
  <c r="M52"/>
  <c r="O52" s="1"/>
  <c r="Q52" s="1"/>
  <c r="B52"/>
  <c r="D52" s="1"/>
  <c r="F52" s="1"/>
  <c r="H50"/>
  <c r="J50" s="1"/>
  <c r="L50" s="1"/>
  <c r="B50"/>
  <c r="D50" s="1"/>
  <c r="F50" s="1"/>
  <c r="H49"/>
  <c r="J49" s="1"/>
  <c r="L49" s="1"/>
  <c r="B49"/>
  <c r="D49" s="1"/>
  <c r="F49" s="1"/>
  <c r="H48"/>
  <c r="J48" s="1"/>
  <c r="L48" s="1"/>
  <c r="B48"/>
  <c r="D48" s="1"/>
  <c r="F48" s="1"/>
  <c r="H47"/>
  <c r="J47" s="1"/>
  <c r="L47" s="1"/>
  <c r="B47"/>
  <c r="D47" s="1"/>
  <c r="F47" s="1"/>
  <c r="H46"/>
  <c r="J46" s="1"/>
  <c r="L46" s="1"/>
  <c r="B46"/>
  <c r="D46" s="1"/>
  <c r="F46" s="1"/>
  <c r="H45"/>
  <c r="J45" s="1"/>
  <c r="B45"/>
  <c r="D45" s="1"/>
  <c r="F45" s="1"/>
  <c r="H44"/>
  <c r="J44" s="1"/>
  <c r="L44" s="1"/>
  <c r="B44"/>
  <c r="D44" s="1"/>
  <c r="F44" s="1"/>
  <c r="M43"/>
  <c r="O43" s="1"/>
  <c r="Q43" s="1"/>
  <c r="H43"/>
  <c r="J43" s="1"/>
  <c r="L43" s="1"/>
  <c r="B43"/>
  <c r="D43" s="1"/>
  <c r="F43" s="1"/>
  <c r="M41"/>
  <c r="O41" s="1"/>
  <c r="Q41" s="1"/>
  <c r="L41"/>
  <c r="E41"/>
  <c r="D41"/>
  <c r="M40"/>
  <c r="O40" s="1"/>
  <c r="Q40" s="1"/>
  <c r="H40"/>
  <c r="J40" s="1"/>
  <c r="L40" s="1"/>
  <c r="B40"/>
  <c r="D40" s="1"/>
  <c r="F40" s="1"/>
  <c r="D39"/>
  <c r="F39" s="1"/>
  <c r="M38"/>
  <c r="O38" s="1"/>
  <c r="L38"/>
  <c r="D38"/>
  <c r="M36"/>
  <c r="O36" s="1"/>
  <c r="Q36" s="1"/>
  <c r="H36"/>
  <c r="J36" s="1"/>
  <c r="L36" s="1"/>
  <c r="B36"/>
  <c r="D36" s="1"/>
  <c r="F36" s="1"/>
  <c r="M35"/>
  <c r="O35" s="1"/>
  <c r="Q35" s="1"/>
  <c r="H35"/>
  <c r="J35" s="1"/>
  <c r="L35" s="1"/>
  <c r="B35"/>
  <c r="D35" s="1"/>
  <c r="F35" s="1"/>
  <c r="M34"/>
  <c r="O34" s="1"/>
  <c r="Q34" s="1"/>
  <c r="H34"/>
  <c r="J34" s="1"/>
  <c r="L34" s="1"/>
  <c r="B34"/>
  <c r="D34" s="1"/>
  <c r="F34" s="1"/>
  <c r="M33"/>
  <c r="O33" s="1"/>
  <c r="Q33" s="1"/>
  <c r="B33"/>
  <c r="D33" s="1"/>
  <c r="F33" s="1"/>
  <c r="B32"/>
  <c r="D32" s="1"/>
  <c r="F32" s="1"/>
  <c r="B31"/>
  <c r="D31" s="1"/>
  <c r="F31" s="1"/>
  <c r="M30"/>
  <c r="O30" s="1"/>
  <c r="H30"/>
  <c r="J30" s="1"/>
  <c r="L30" s="1"/>
  <c r="B30"/>
  <c r="D30" s="1"/>
  <c r="M28"/>
  <c r="O28" s="1"/>
  <c r="J28"/>
  <c r="L28" s="1"/>
  <c r="D28"/>
  <c r="F28" s="1"/>
  <c r="F27"/>
  <c r="O26"/>
  <c r="Q26" s="1"/>
  <c r="D26"/>
  <c r="F26" s="1"/>
  <c r="H25"/>
  <c r="I25" s="1"/>
  <c r="B25"/>
  <c r="C25" s="1"/>
  <c r="M24"/>
  <c r="O24" s="1"/>
  <c r="Q24" s="1"/>
  <c r="D24"/>
  <c r="F24" s="1"/>
  <c r="M23"/>
  <c r="O23" s="1"/>
  <c r="Q23" s="1"/>
  <c r="H23"/>
  <c r="J23" s="1"/>
  <c r="L23" s="1"/>
  <c r="B23"/>
  <c r="D23" s="1"/>
  <c r="F23" s="1"/>
  <c r="M22"/>
  <c r="O22" s="1"/>
  <c r="H22"/>
  <c r="J22" s="1"/>
  <c r="L22" s="1"/>
  <c r="B22"/>
  <c r="D22" s="1"/>
  <c r="M19"/>
  <c r="O19" s="1"/>
  <c r="Q19" s="1"/>
  <c r="B19"/>
  <c r="D19" s="1"/>
  <c r="F19" s="1"/>
  <c r="M18"/>
  <c r="O18" s="1"/>
  <c r="Q18" s="1"/>
  <c r="H18"/>
  <c r="J18" s="1"/>
  <c r="L18" s="1"/>
  <c r="B18"/>
  <c r="D18" s="1"/>
  <c r="F18" s="1"/>
  <c r="M17"/>
  <c r="O17" s="1"/>
  <c r="Q17" s="1"/>
  <c r="H17"/>
  <c r="J17" s="1"/>
  <c r="L17" s="1"/>
  <c r="B17"/>
  <c r="D17" s="1"/>
  <c r="F17" s="1"/>
  <c r="O16"/>
  <c r="B16"/>
  <c r="D16" s="1"/>
  <c r="F16" s="1"/>
  <c r="M15"/>
  <c r="O15" s="1"/>
  <c r="Q15" s="1"/>
  <c r="H15"/>
  <c r="J15" s="1"/>
  <c r="L15" s="1"/>
  <c r="B15"/>
  <c r="D15" s="1"/>
  <c r="F15" s="1"/>
  <c r="B14"/>
  <c r="D14" s="1"/>
  <c r="F14" s="1"/>
  <c r="M13"/>
  <c r="O13" s="1"/>
  <c r="Q13" s="1"/>
  <c r="H13"/>
  <c r="J13" s="1"/>
  <c r="L13" s="1"/>
  <c r="B13"/>
  <c r="D13" s="1"/>
  <c r="F13" s="1"/>
  <c r="B12"/>
  <c r="D12" s="1"/>
  <c r="F12" s="1"/>
  <c r="M11"/>
  <c r="O11" s="1"/>
  <c r="Q11" s="1"/>
  <c r="B11"/>
  <c r="D11" s="1"/>
  <c r="F11" s="1"/>
  <c r="M78" l="1"/>
  <c r="N78" s="1"/>
  <c r="M116"/>
  <c r="N116" s="1"/>
  <c r="H29"/>
  <c r="I29" s="1"/>
  <c r="M42"/>
  <c r="N42" s="1"/>
  <c r="B53"/>
  <c r="C53" s="1"/>
  <c r="H10"/>
  <c r="I10" s="1"/>
  <c r="H21"/>
  <c r="I21" s="1"/>
  <c r="B55"/>
  <c r="C55" s="1"/>
  <c r="B58"/>
  <c r="C58" s="1"/>
  <c r="H58"/>
  <c r="I58" s="1"/>
  <c r="H70"/>
  <c r="I70" s="1"/>
  <c r="B76"/>
  <c r="C76" s="1"/>
  <c r="M86"/>
  <c r="N86" s="1"/>
  <c r="F90"/>
  <c r="B97"/>
  <c r="C97" s="1"/>
  <c r="B21"/>
  <c r="C21" s="1"/>
  <c r="M21"/>
  <c r="N21" s="1"/>
  <c r="J25"/>
  <c r="K25" s="1"/>
  <c r="L25" s="1"/>
  <c r="M29"/>
  <c r="N29" s="1"/>
  <c r="M37"/>
  <c r="N37" s="1"/>
  <c r="H55"/>
  <c r="I55" s="1"/>
  <c r="M67"/>
  <c r="N67" s="1"/>
  <c r="J67"/>
  <c r="K67" s="1"/>
  <c r="B74"/>
  <c r="C74" s="1"/>
  <c r="B78"/>
  <c r="C78" s="1"/>
  <c r="H97"/>
  <c r="I97" s="1"/>
  <c r="B108"/>
  <c r="C108" s="1"/>
  <c r="L45"/>
  <c r="J42"/>
  <c r="K42" s="1"/>
  <c r="O51"/>
  <c r="P51" s="1"/>
  <c r="Q109"/>
  <c r="O108"/>
  <c r="P108" s="1"/>
  <c r="F120"/>
  <c r="D119"/>
  <c r="E119" s="1"/>
  <c r="J79"/>
  <c r="K79" s="1"/>
  <c r="J74"/>
  <c r="K74" s="1"/>
  <c r="B29"/>
  <c r="C29" s="1"/>
  <c r="B37"/>
  <c r="C37" s="1"/>
  <c r="H42"/>
  <c r="I42" s="1"/>
  <c r="B51"/>
  <c r="C51" s="1"/>
  <c r="M58"/>
  <c r="N58" s="1"/>
  <c r="F61"/>
  <c r="Q61"/>
  <c r="F62"/>
  <c r="Q62"/>
  <c r="F63"/>
  <c r="Q63"/>
  <c r="F64"/>
  <c r="B67"/>
  <c r="C67" s="1"/>
  <c r="J70"/>
  <c r="K70" s="1"/>
  <c r="H74"/>
  <c r="I74" s="1"/>
  <c r="M74"/>
  <c r="N74" s="1"/>
  <c r="Q74" s="1"/>
  <c r="M76"/>
  <c r="N76" s="1"/>
  <c r="Q76" s="1"/>
  <c r="B79"/>
  <c r="C79" s="1"/>
  <c r="M79"/>
  <c r="N79" s="1"/>
  <c r="B86"/>
  <c r="C86" s="1"/>
  <c r="J91"/>
  <c r="K91" s="1"/>
  <c r="L91" s="1"/>
  <c r="M97"/>
  <c r="N97" s="1"/>
  <c r="M108"/>
  <c r="N108" s="1"/>
  <c r="F111"/>
  <c r="B116"/>
  <c r="C116" s="1"/>
  <c r="L116"/>
  <c r="B119"/>
  <c r="C119" s="1"/>
  <c r="H119"/>
  <c r="I119" s="1"/>
  <c r="M119"/>
  <c r="N119" s="1"/>
  <c r="F22"/>
  <c r="D21"/>
  <c r="E21" s="1"/>
  <c r="F30"/>
  <c r="D29"/>
  <c r="E29" s="1"/>
  <c r="F38"/>
  <c r="D37"/>
  <c r="E37" s="1"/>
  <c r="J10"/>
  <c r="L11"/>
  <c r="Q22"/>
  <c r="O21"/>
  <c r="P21" s="1"/>
  <c r="O25"/>
  <c r="P25" s="1"/>
  <c r="Q28"/>
  <c r="Q30"/>
  <c r="O29"/>
  <c r="P29" s="1"/>
  <c r="Q38"/>
  <c r="O37"/>
  <c r="P37" s="1"/>
  <c r="F41"/>
  <c r="H51"/>
  <c r="I51" s="1"/>
  <c r="J54"/>
  <c r="J58"/>
  <c r="K58" s="1"/>
  <c r="O70"/>
  <c r="P70" s="1"/>
  <c r="F75"/>
  <c r="D74"/>
  <c r="E74" s="1"/>
  <c r="L68"/>
  <c r="L52"/>
  <c r="F54"/>
  <c r="D53"/>
  <c r="E53" s="1"/>
  <c r="L56"/>
  <c r="J55"/>
  <c r="K55" s="1"/>
  <c r="F68"/>
  <c r="D67"/>
  <c r="E67" s="1"/>
  <c r="Q68"/>
  <c r="O67"/>
  <c r="P67" s="1"/>
  <c r="D76"/>
  <c r="E76" s="1"/>
  <c r="D78"/>
  <c r="E78" s="1"/>
  <c r="O78"/>
  <c r="P78" s="1"/>
  <c r="B10"/>
  <c r="D10"/>
  <c r="M10"/>
  <c r="O10"/>
  <c r="J21"/>
  <c r="K21" s="1"/>
  <c r="D25"/>
  <c r="E25" s="1"/>
  <c r="F25" s="1"/>
  <c r="M25"/>
  <c r="N25" s="1"/>
  <c r="J29"/>
  <c r="K29" s="1"/>
  <c r="H37"/>
  <c r="J37"/>
  <c r="K37" s="1"/>
  <c r="B42"/>
  <c r="C42" s="1"/>
  <c r="D42"/>
  <c r="E42" s="1"/>
  <c r="O42"/>
  <c r="P42" s="1"/>
  <c r="D51"/>
  <c r="E51" s="1"/>
  <c r="M51"/>
  <c r="N51" s="1"/>
  <c r="H53"/>
  <c r="I53" s="1"/>
  <c r="F88"/>
  <c r="D86"/>
  <c r="E86" s="1"/>
  <c r="Q92"/>
  <c r="O91"/>
  <c r="P91" s="1"/>
  <c r="D97"/>
  <c r="E97" s="1"/>
  <c r="Q99"/>
  <c r="O97"/>
  <c r="P97" s="1"/>
  <c r="O115"/>
  <c r="P115" s="1"/>
  <c r="D116"/>
  <c r="E116" s="1"/>
  <c r="O116"/>
  <c r="P116" s="1"/>
  <c r="J119"/>
  <c r="K119" s="1"/>
  <c r="D79"/>
  <c r="E79" s="1"/>
  <c r="O79"/>
  <c r="P79" s="1"/>
  <c r="Q87"/>
  <c r="O86"/>
  <c r="P86" s="1"/>
  <c r="F109"/>
  <c r="D108"/>
  <c r="E108" s="1"/>
  <c r="O119"/>
  <c r="P119" s="1"/>
  <c r="Q120"/>
  <c r="D55"/>
  <c r="E55" s="1"/>
  <c r="D58"/>
  <c r="E58" s="1"/>
  <c r="O58"/>
  <c r="P58" s="1"/>
  <c r="B66"/>
  <c r="C66" s="1"/>
  <c r="D66"/>
  <c r="E66" s="1"/>
  <c r="M66"/>
  <c r="N66" s="1"/>
  <c r="O66"/>
  <c r="P66" s="1"/>
  <c r="H67"/>
  <c r="I67" s="1"/>
  <c r="B70"/>
  <c r="C70" s="1"/>
  <c r="D70"/>
  <c r="E70" s="1"/>
  <c r="M70"/>
  <c r="N70" s="1"/>
  <c r="H79"/>
  <c r="I79" s="1"/>
  <c r="J86"/>
  <c r="K86" s="1"/>
  <c r="L86" s="1"/>
  <c r="B91"/>
  <c r="C91" s="1"/>
  <c r="D91"/>
  <c r="E91" s="1"/>
  <c r="M91"/>
  <c r="N91" s="1"/>
  <c r="J97"/>
  <c r="K97" s="1"/>
  <c r="H108"/>
  <c r="I108" s="1"/>
  <c r="J108"/>
  <c r="K108" s="1"/>
  <c r="B115"/>
  <c r="C115" s="1"/>
  <c r="D115"/>
  <c r="E115" s="1"/>
  <c r="M115"/>
  <c r="N115" s="1"/>
  <c r="L55" l="1"/>
  <c r="F116"/>
  <c r="Q116"/>
  <c r="F79"/>
  <c r="Q51"/>
  <c r="L79"/>
  <c r="Q42"/>
  <c r="Q79"/>
  <c r="F108"/>
  <c r="Q86"/>
  <c r="Q97"/>
  <c r="F97"/>
  <c r="L21"/>
  <c r="Q29"/>
  <c r="F29"/>
  <c r="F51"/>
  <c r="L42"/>
  <c r="F67"/>
  <c r="L70"/>
  <c r="L97"/>
  <c r="L67"/>
  <c r="F86"/>
  <c r="L29"/>
  <c r="Q37"/>
  <c r="Q119"/>
  <c r="Q58"/>
  <c r="F55"/>
  <c r="L119"/>
  <c r="Q67"/>
  <c r="F53"/>
  <c r="F74"/>
  <c r="L58"/>
  <c r="F21"/>
  <c r="F58"/>
  <c r="F115"/>
  <c r="F91"/>
  <c r="F42"/>
  <c r="J51"/>
  <c r="K51" s="1"/>
  <c r="L51" s="1"/>
  <c r="F78"/>
  <c r="F76"/>
  <c r="Q21"/>
  <c r="L74"/>
  <c r="Q78"/>
  <c r="F37"/>
  <c r="F119"/>
  <c r="Q108"/>
  <c r="O9"/>
  <c r="P10"/>
  <c r="D9"/>
  <c r="E10"/>
  <c r="Q115"/>
  <c r="Q91"/>
  <c r="Q25"/>
  <c r="H9"/>
  <c r="I37"/>
  <c r="L37" s="1"/>
  <c r="M9"/>
  <c r="N10"/>
  <c r="B9"/>
  <c r="C10"/>
  <c r="L54"/>
  <c r="J53"/>
  <c r="K53" s="1"/>
  <c r="L53" s="1"/>
  <c r="K10"/>
  <c r="L10" s="1"/>
  <c r="L108"/>
  <c r="F70"/>
  <c r="Q66"/>
  <c r="F66"/>
  <c r="Q70"/>
  <c r="AN169" i="1"/>
  <c r="O169"/>
  <c r="C50"/>
  <c r="C51"/>
  <c r="F51" s="1"/>
  <c r="I51" s="1"/>
  <c r="C52"/>
  <c r="F52" s="1"/>
  <c r="I52" s="1"/>
  <c r="C53"/>
  <c r="F53" s="1"/>
  <c r="I53" s="1"/>
  <c r="C54"/>
  <c r="F54" s="1"/>
  <c r="I54" s="1"/>
  <c r="C55"/>
  <c r="I55" s="1"/>
  <c r="C56"/>
  <c r="I56" s="1"/>
  <c r="C57"/>
  <c r="F57" s="1"/>
  <c r="I57" s="1"/>
  <c r="C61"/>
  <c r="F61" s="1"/>
  <c r="I61" s="1"/>
  <c r="C62"/>
  <c r="F62" s="1"/>
  <c r="I62" s="1"/>
  <c r="C63"/>
  <c r="F63" s="1"/>
  <c r="I63" s="1"/>
  <c r="C65"/>
  <c r="C67"/>
  <c r="C70"/>
  <c r="F70" s="1"/>
  <c r="I70" s="1"/>
  <c r="C72"/>
  <c r="C73"/>
  <c r="M73" s="1"/>
  <c r="C74"/>
  <c r="I74" s="1"/>
  <c r="C75"/>
  <c r="I75" s="1"/>
  <c r="C76"/>
  <c r="I76" s="1"/>
  <c r="M76" s="1"/>
  <c r="C77"/>
  <c r="I77" s="1"/>
  <c r="F80"/>
  <c r="C88"/>
  <c r="F88" s="1"/>
  <c r="I88" s="1"/>
  <c r="C89"/>
  <c r="F89" s="1"/>
  <c r="I89" s="1"/>
  <c r="F90"/>
  <c r="C91"/>
  <c r="F91" s="1"/>
  <c r="I91" s="1"/>
  <c r="C92"/>
  <c r="F92" s="1"/>
  <c r="I92" s="1"/>
  <c r="C93"/>
  <c r="I93" s="1"/>
  <c r="C94"/>
  <c r="F94" s="1"/>
  <c r="I94" s="1"/>
  <c r="C141"/>
  <c r="D141" s="1"/>
  <c r="C144"/>
  <c r="C145"/>
  <c r="I145" s="1"/>
  <c r="C147"/>
  <c r="C148"/>
  <c r="C149"/>
  <c r="C150"/>
  <c r="C151"/>
  <c r="C153"/>
  <c r="C154"/>
  <c r="C155"/>
  <c r="C156"/>
  <c r="C157"/>
  <c r="C158"/>
  <c r="C159"/>
  <c r="C161"/>
  <c r="F161" s="1"/>
  <c r="C162"/>
  <c r="F162" s="1"/>
  <c r="I162" s="1"/>
  <c r="C163"/>
  <c r="C165"/>
  <c r="C166"/>
  <c r="C167"/>
  <c r="C168"/>
  <c r="C172"/>
  <c r="C173"/>
  <c r="F173" s="1"/>
  <c r="I173" s="1"/>
  <c r="C174"/>
  <c r="C176"/>
  <c r="F176" s="1"/>
  <c r="C177"/>
  <c r="F177" s="1"/>
  <c r="I177" s="1"/>
  <c r="C178"/>
  <c r="F178" s="1"/>
  <c r="I178" s="1"/>
  <c r="C179"/>
  <c r="F179" s="1"/>
  <c r="I179" s="1"/>
  <c r="C181"/>
  <c r="C183"/>
  <c r="C184"/>
  <c r="F184" s="1"/>
  <c r="C185"/>
  <c r="I185" s="1"/>
  <c r="M185" s="1"/>
  <c r="C186"/>
  <c r="C187"/>
  <c r="I187" s="1"/>
  <c r="C189"/>
  <c r="F190"/>
  <c r="C192"/>
  <c r="C193"/>
  <c r="C195"/>
  <c r="F195" s="1"/>
  <c r="C199"/>
  <c r="F199" s="1"/>
  <c r="C200"/>
  <c r="C201"/>
  <c r="I201" s="1"/>
  <c r="C203"/>
  <c r="I203" s="1"/>
  <c r="C204"/>
  <c r="I204" s="1"/>
  <c r="C205"/>
  <c r="I205" s="1"/>
  <c r="C206"/>
  <c r="I206" s="1"/>
  <c r="I207"/>
  <c r="C209"/>
  <c r="I209" s="1"/>
  <c r="C210"/>
  <c r="F210" s="1"/>
  <c r="I210" s="1"/>
  <c r="C211"/>
  <c r="I211" s="1"/>
  <c r="C212"/>
  <c r="I212" s="1"/>
  <c r="C216"/>
  <c r="C217"/>
  <c r="F217" s="1"/>
  <c r="C218"/>
  <c r="F218" s="1"/>
  <c r="I218" s="1"/>
  <c r="C219"/>
  <c r="I219" s="1"/>
  <c r="C220"/>
  <c r="I220" s="1"/>
  <c r="C221"/>
  <c r="F221" s="1"/>
  <c r="I221" s="1"/>
  <c r="C222"/>
  <c r="C223"/>
  <c r="I223" s="1"/>
  <c r="C224"/>
  <c r="F224" s="1"/>
  <c r="I224" s="1"/>
  <c r="C225"/>
  <c r="I225" s="1"/>
  <c r="C227"/>
  <c r="F227" s="1"/>
  <c r="F228"/>
  <c r="F231"/>
  <c r="I231" s="1"/>
  <c r="F232"/>
  <c r="I232" s="1"/>
  <c r="AA50"/>
  <c r="AA49" s="1"/>
  <c r="AA59"/>
  <c r="AF60"/>
  <c r="AI60" s="1"/>
  <c r="AA61"/>
  <c r="AF61" s="1"/>
  <c r="AI61" s="1"/>
  <c r="AA73"/>
  <c r="AA74"/>
  <c r="AA75"/>
  <c r="AM75"/>
  <c r="AA89"/>
  <c r="AF89" s="1"/>
  <c r="AI89" s="1"/>
  <c r="AA90"/>
  <c r="AF90" s="1"/>
  <c r="AI90" s="1"/>
  <c r="AA91"/>
  <c r="AF91" s="1"/>
  <c r="AI91" s="1"/>
  <c r="AA93"/>
  <c r="AI93" s="1"/>
  <c r="AA94"/>
  <c r="AF94" s="1"/>
  <c r="AI94" s="1"/>
  <c r="AA129"/>
  <c r="AA144"/>
  <c r="AA145"/>
  <c r="AI145" s="1"/>
  <c r="AA147"/>
  <c r="AA148"/>
  <c r="AA149"/>
  <c r="AA150"/>
  <c r="AA151"/>
  <c r="AA153"/>
  <c r="AA154"/>
  <c r="AA155"/>
  <c r="AA156"/>
  <c r="AA157"/>
  <c r="AA163"/>
  <c r="AA165"/>
  <c r="AA166"/>
  <c r="AA167"/>
  <c r="AA168"/>
  <c r="AA171"/>
  <c r="AF171" s="1"/>
  <c r="AA172"/>
  <c r="AF172" s="1"/>
  <c r="AI172" s="1"/>
  <c r="AA176"/>
  <c r="AF176" s="1"/>
  <c r="AA177"/>
  <c r="AF177" s="1"/>
  <c r="AA179"/>
  <c r="AF179" s="1"/>
  <c r="AA182"/>
  <c r="AA183"/>
  <c r="AA185"/>
  <c r="AI185" s="1"/>
  <c r="AA187"/>
  <c r="AI187" s="1"/>
  <c r="AA189"/>
  <c r="AF189" s="1"/>
  <c r="AA190"/>
  <c r="AI190" s="1"/>
  <c r="AA192"/>
  <c r="AA203"/>
  <c r="AI207"/>
  <c r="AA209"/>
  <c r="AI209" s="1"/>
  <c r="AA210"/>
  <c r="AF210" s="1"/>
  <c r="AF198" s="1"/>
  <c r="AA222"/>
  <c r="AI222" s="1"/>
  <c r="AA225"/>
  <c r="AI225" s="1"/>
  <c r="AA227"/>
  <c r="AF227" s="1"/>
  <c r="AA228"/>
  <c r="AF228" s="1"/>
  <c r="AI228" s="1"/>
  <c r="AF232"/>
  <c r="AI232" s="1"/>
  <c r="Q39" i="6"/>
  <c r="S39" s="1"/>
  <c r="U39" s="1"/>
  <c r="L39"/>
  <c r="N39" s="1"/>
  <c r="P39" s="1"/>
  <c r="G39"/>
  <c r="I39" s="1"/>
  <c r="K39" s="1"/>
  <c r="B39"/>
  <c r="D39" s="1"/>
  <c r="F39" s="1"/>
  <c r="U38"/>
  <c r="Q38"/>
  <c r="S38" s="1"/>
  <c r="L38"/>
  <c r="N38" s="1"/>
  <c r="P38" s="1"/>
  <c r="G38"/>
  <c r="I38" s="1"/>
  <c r="K38" s="1"/>
  <c r="B38"/>
  <c r="D38" s="1"/>
  <c r="F38" s="1"/>
  <c r="U37"/>
  <c r="Q37"/>
  <c r="S37" s="1"/>
  <c r="L37"/>
  <c r="N37" s="1"/>
  <c r="P37" s="1"/>
  <c r="G37"/>
  <c r="I37" s="1"/>
  <c r="K37" s="1"/>
  <c r="B37"/>
  <c r="D37" s="1"/>
  <c r="F37" s="1"/>
  <c r="L36"/>
  <c r="N36" s="1"/>
  <c r="B36"/>
  <c r="D36" s="1"/>
  <c r="F36" s="1"/>
  <c r="B35"/>
  <c r="D35" s="1"/>
  <c r="B34"/>
  <c r="D34" s="1"/>
  <c r="F34" s="1"/>
  <c r="Q33"/>
  <c r="S33" s="1"/>
  <c r="L33"/>
  <c r="N33" s="1"/>
  <c r="P33" s="1"/>
  <c r="G33"/>
  <c r="I33" s="1"/>
  <c r="B33"/>
  <c r="D33" s="1"/>
  <c r="F33" s="1"/>
  <c r="Q31"/>
  <c r="Q28" s="1"/>
  <c r="R28" s="1"/>
  <c r="L31"/>
  <c r="N31" s="1"/>
  <c r="I31"/>
  <c r="K31" s="1"/>
  <c r="D31"/>
  <c r="F31" s="1"/>
  <c r="F30"/>
  <c r="N29"/>
  <c r="P29" s="1"/>
  <c r="D29"/>
  <c r="F29" s="1"/>
  <c r="G28"/>
  <c r="H28" s="1"/>
  <c r="B28"/>
  <c r="C28" s="1"/>
  <c r="L27"/>
  <c r="N27" s="1"/>
  <c r="P27" s="1"/>
  <c r="D27"/>
  <c r="F27" s="1"/>
  <c r="U26"/>
  <c r="Q26"/>
  <c r="S26" s="1"/>
  <c r="L26"/>
  <c r="N26" s="1"/>
  <c r="P26" s="1"/>
  <c r="G26"/>
  <c r="I26" s="1"/>
  <c r="K26" s="1"/>
  <c r="B26"/>
  <c r="D26" s="1"/>
  <c r="F26" s="1"/>
  <c r="U25"/>
  <c r="Q25"/>
  <c r="S25" s="1"/>
  <c r="L25"/>
  <c r="N25" s="1"/>
  <c r="G25"/>
  <c r="I25" s="1"/>
  <c r="K25" s="1"/>
  <c r="B25"/>
  <c r="D25" s="1"/>
  <c r="Q23"/>
  <c r="S23" s="1"/>
  <c r="U23" s="1"/>
  <c r="L23"/>
  <c r="N23" s="1"/>
  <c r="P23" s="1"/>
  <c r="G23"/>
  <c r="I23" s="1"/>
  <c r="K23" s="1"/>
  <c r="B23"/>
  <c r="D23" s="1"/>
  <c r="F23" s="1"/>
  <c r="B22"/>
  <c r="D22" s="1"/>
  <c r="F22" s="1"/>
  <c r="L21"/>
  <c r="N21" s="1"/>
  <c r="P21" s="1"/>
  <c r="B21"/>
  <c r="D21" s="1"/>
  <c r="F21" s="1"/>
  <c r="L20"/>
  <c r="N20" s="1"/>
  <c r="P20" s="1"/>
  <c r="B20"/>
  <c r="D20" s="1"/>
  <c r="F20" s="1"/>
  <c r="L19"/>
  <c r="N19" s="1"/>
  <c r="B19"/>
  <c r="D19" s="1"/>
  <c r="F19" s="1"/>
  <c r="L17"/>
  <c r="N17" s="1"/>
  <c r="P17" s="1"/>
  <c r="B17"/>
  <c r="D17" s="1"/>
  <c r="F17" s="1"/>
  <c r="U16"/>
  <c r="Q16"/>
  <c r="S16" s="1"/>
  <c r="L16"/>
  <c r="N16" s="1"/>
  <c r="P16" s="1"/>
  <c r="G16"/>
  <c r="I16" s="1"/>
  <c r="K16" s="1"/>
  <c r="B16"/>
  <c r="D16" s="1"/>
  <c r="F16" s="1"/>
  <c r="S15"/>
  <c r="L15"/>
  <c r="N15" s="1"/>
  <c r="P15" s="1"/>
  <c r="G15"/>
  <c r="I15" s="1"/>
  <c r="K15" s="1"/>
  <c r="B15"/>
  <c r="D15" s="1"/>
  <c r="F15" s="1"/>
  <c r="N14"/>
  <c r="B14"/>
  <c r="D14" s="1"/>
  <c r="F14" s="1"/>
  <c r="Q13"/>
  <c r="S13" s="1"/>
  <c r="U13" s="1"/>
  <c r="L13"/>
  <c r="N13" s="1"/>
  <c r="P13" s="1"/>
  <c r="G13"/>
  <c r="I13" s="1"/>
  <c r="K13" s="1"/>
  <c r="B13"/>
  <c r="D13" s="1"/>
  <c r="F13" s="1"/>
  <c r="B12"/>
  <c r="D12" s="1"/>
  <c r="F12" s="1"/>
  <c r="Q11"/>
  <c r="L11"/>
  <c r="N11" s="1"/>
  <c r="P11" s="1"/>
  <c r="G11"/>
  <c r="I11" s="1"/>
  <c r="K11" s="1"/>
  <c r="B11"/>
  <c r="D11" s="1"/>
  <c r="F11" s="1"/>
  <c r="B10"/>
  <c r="D10" s="1"/>
  <c r="F10" s="1"/>
  <c r="Q9"/>
  <c r="S9" s="1"/>
  <c r="L9"/>
  <c r="N9" s="1"/>
  <c r="P9" s="1"/>
  <c r="G9"/>
  <c r="I9" s="1"/>
  <c r="B9"/>
  <c r="D9" s="1"/>
  <c r="F9" s="1"/>
  <c r="L16" i="5"/>
  <c r="N16" s="1"/>
  <c r="P16" s="1"/>
  <c r="B16"/>
  <c r="D16" s="1"/>
  <c r="F16" s="1"/>
  <c r="U15"/>
  <c r="Q15"/>
  <c r="S15" s="1"/>
  <c r="L15"/>
  <c r="N15" s="1"/>
  <c r="P15" s="1"/>
  <c r="G15"/>
  <c r="I15" s="1"/>
  <c r="K15" s="1"/>
  <c r="B15"/>
  <c r="D15" s="1"/>
  <c r="F15" s="1"/>
  <c r="S14"/>
  <c r="L14"/>
  <c r="N14" s="1"/>
  <c r="P14" s="1"/>
  <c r="G14"/>
  <c r="I14" s="1"/>
  <c r="K14" s="1"/>
  <c r="B14"/>
  <c r="D14" s="1"/>
  <c r="F14" s="1"/>
  <c r="N13"/>
  <c r="B13"/>
  <c r="D13" s="1"/>
  <c r="F13" s="1"/>
  <c r="Q12"/>
  <c r="S12" s="1"/>
  <c r="U12" s="1"/>
  <c r="L12"/>
  <c r="N12" s="1"/>
  <c r="P12" s="1"/>
  <c r="G12"/>
  <c r="I12" s="1"/>
  <c r="K12" s="1"/>
  <c r="B12"/>
  <c r="D12" s="1"/>
  <c r="F12" s="1"/>
  <c r="B11"/>
  <c r="D11" s="1"/>
  <c r="F11" s="1"/>
  <c r="Q10"/>
  <c r="S10" s="1"/>
  <c r="U10" s="1"/>
  <c r="L10"/>
  <c r="N10" s="1"/>
  <c r="G10"/>
  <c r="I10" s="1"/>
  <c r="K10" s="1"/>
  <c r="B10"/>
  <c r="D10" s="1"/>
  <c r="B9"/>
  <c r="D9" s="1"/>
  <c r="F9" s="1"/>
  <c r="Q8"/>
  <c r="S8" s="1"/>
  <c r="L8"/>
  <c r="N8" s="1"/>
  <c r="P8" s="1"/>
  <c r="G8"/>
  <c r="I8" s="1"/>
  <c r="B8"/>
  <c r="D8" s="1"/>
  <c r="F8" s="1"/>
  <c r="Q193" i="4"/>
  <c r="S193" s="1"/>
  <c r="U193" s="1"/>
  <c r="L193"/>
  <c r="N193" s="1"/>
  <c r="P193" s="1"/>
  <c r="G193"/>
  <c r="I193" s="1"/>
  <c r="K193" s="1"/>
  <c r="B193"/>
  <c r="D193" s="1"/>
  <c r="F193" s="1"/>
  <c r="Q192"/>
  <c r="S192" s="1"/>
  <c r="U192" s="1"/>
  <c r="L192"/>
  <c r="N192" s="1"/>
  <c r="P192" s="1"/>
  <c r="G192"/>
  <c r="I192" s="1"/>
  <c r="K192" s="1"/>
  <c r="B192"/>
  <c r="D192" s="1"/>
  <c r="F192" s="1"/>
  <c r="Q191"/>
  <c r="S191" s="1"/>
  <c r="U191" s="1"/>
  <c r="L191"/>
  <c r="N191" s="1"/>
  <c r="P191" s="1"/>
  <c r="G191"/>
  <c r="I191" s="1"/>
  <c r="K191" s="1"/>
  <c r="B191"/>
  <c r="D191" s="1"/>
  <c r="F191" s="1"/>
  <c r="Q190"/>
  <c r="S190" s="1"/>
  <c r="U190" s="1"/>
  <c r="L190"/>
  <c r="N190" s="1"/>
  <c r="P190" s="1"/>
  <c r="G190"/>
  <c r="I190" s="1"/>
  <c r="K190" s="1"/>
  <c r="B190"/>
  <c r="D190" s="1"/>
  <c r="F190" s="1"/>
  <c r="U189"/>
  <c r="Q189"/>
  <c r="S189" s="1"/>
  <c r="L189"/>
  <c r="N189" s="1"/>
  <c r="P189" s="1"/>
  <c r="G189"/>
  <c r="I189" s="1"/>
  <c r="K189" s="1"/>
  <c r="B189"/>
  <c r="D189" s="1"/>
  <c r="F189" s="1"/>
  <c r="G188"/>
  <c r="I188" s="1"/>
  <c r="K188" s="1"/>
  <c r="B188"/>
  <c r="D188" s="1"/>
  <c r="F188" s="1"/>
  <c r="B187"/>
  <c r="D187" s="1"/>
  <c r="F187" s="1"/>
  <c r="G186"/>
  <c r="I186" s="1"/>
  <c r="K186" s="1"/>
  <c r="B186"/>
  <c r="D186" s="1"/>
  <c r="F186" s="1"/>
  <c r="G185"/>
  <c r="I185" s="1"/>
  <c r="K185" s="1"/>
  <c r="B185"/>
  <c r="D185" s="1"/>
  <c r="F185" s="1"/>
  <c r="Q184"/>
  <c r="S184" s="1"/>
  <c r="U184" s="1"/>
  <c r="L184"/>
  <c r="N184" s="1"/>
  <c r="P184" s="1"/>
  <c r="G184"/>
  <c r="I184" s="1"/>
  <c r="K184" s="1"/>
  <c r="B184"/>
  <c r="D184" s="1"/>
  <c r="F184" s="1"/>
  <c r="Q183"/>
  <c r="S183" s="1"/>
  <c r="U183" s="1"/>
  <c r="L183"/>
  <c r="N183" s="1"/>
  <c r="P183" s="1"/>
  <c r="G183"/>
  <c r="I183" s="1"/>
  <c r="K183" s="1"/>
  <c r="B183"/>
  <c r="D183" s="1"/>
  <c r="F183" s="1"/>
  <c r="Q182"/>
  <c r="S182" s="1"/>
  <c r="U182" s="1"/>
  <c r="L182"/>
  <c r="N182" s="1"/>
  <c r="P182" s="1"/>
  <c r="G182"/>
  <c r="I182" s="1"/>
  <c r="K182" s="1"/>
  <c r="B182"/>
  <c r="D182" s="1"/>
  <c r="F182" s="1"/>
  <c r="Q181"/>
  <c r="S181" s="1"/>
  <c r="U181" s="1"/>
  <c r="L181"/>
  <c r="N181" s="1"/>
  <c r="P181" s="1"/>
  <c r="G181"/>
  <c r="I181" s="1"/>
  <c r="K181" s="1"/>
  <c r="B181"/>
  <c r="D181" s="1"/>
  <c r="F181" s="1"/>
  <c r="Q180"/>
  <c r="S180" s="1"/>
  <c r="U180" s="1"/>
  <c r="L180"/>
  <c r="N180" s="1"/>
  <c r="P180" s="1"/>
  <c r="G180"/>
  <c r="I180" s="1"/>
  <c r="K180" s="1"/>
  <c r="B180"/>
  <c r="D180" s="1"/>
  <c r="F180" s="1"/>
  <c r="Q179"/>
  <c r="S179" s="1"/>
  <c r="U179" s="1"/>
  <c r="L179"/>
  <c r="N179" s="1"/>
  <c r="P179" s="1"/>
  <c r="G179"/>
  <c r="I179" s="1"/>
  <c r="K179" s="1"/>
  <c r="B179"/>
  <c r="D179" s="1"/>
  <c r="F179" s="1"/>
  <c r="Q178"/>
  <c r="S178" s="1"/>
  <c r="U178" s="1"/>
  <c r="L178"/>
  <c r="N178" s="1"/>
  <c r="P178" s="1"/>
  <c r="G178"/>
  <c r="I178" s="1"/>
  <c r="K178" s="1"/>
  <c r="B178"/>
  <c r="D178" s="1"/>
  <c r="F178" s="1"/>
  <c r="Q177"/>
  <c r="S177" s="1"/>
  <c r="U177" s="1"/>
  <c r="L177"/>
  <c r="N177" s="1"/>
  <c r="P177" s="1"/>
  <c r="G177"/>
  <c r="I177" s="1"/>
  <c r="K177" s="1"/>
  <c r="B177"/>
  <c r="D177" s="1"/>
  <c r="F177" s="1"/>
  <c r="Q176"/>
  <c r="S176" s="1"/>
  <c r="U176" s="1"/>
  <c r="L176"/>
  <c r="N176" s="1"/>
  <c r="P176" s="1"/>
  <c r="G176"/>
  <c r="I176" s="1"/>
  <c r="K176" s="1"/>
  <c r="B176"/>
  <c r="D176" s="1"/>
  <c r="F176" s="1"/>
  <c r="Q175"/>
  <c r="S175" s="1"/>
  <c r="U175" s="1"/>
  <c r="L175"/>
  <c r="N175" s="1"/>
  <c r="P175" s="1"/>
  <c r="G175"/>
  <c r="I175" s="1"/>
  <c r="K175" s="1"/>
  <c r="B175"/>
  <c r="D175" s="1"/>
  <c r="F175" s="1"/>
  <c r="U174"/>
  <c r="Q174"/>
  <c r="S174" s="1"/>
  <c r="L174"/>
  <c r="N174" s="1"/>
  <c r="P174" s="1"/>
  <c r="G174"/>
  <c r="I174" s="1"/>
  <c r="K174" s="1"/>
  <c r="B174"/>
  <c r="D174" s="1"/>
  <c r="F174" s="1"/>
  <c r="Q173"/>
  <c r="S173" s="1"/>
  <c r="L173"/>
  <c r="N173" s="1"/>
  <c r="G173"/>
  <c r="I173" s="1"/>
  <c r="B173"/>
  <c r="D173" s="1"/>
  <c r="G171"/>
  <c r="I171" s="1"/>
  <c r="K171" s="1"/>
  <c r="B171"/>
  <c r="D171" s="1"/>
  <c r="F171" s="1"/>
  <c r="G170"/>
  <c r="I170" s="1"/>
  <c r="K170" s="1"/>
  <c r="B170"/>
  <c r="D170" s="1"/>
  <c r="F170" s="1"/>
  <c r="Q169"/>
  <c r="S169" s="1"/>
  <c r="U169" s="1"/>
  <c r="L169"/>
  <c r="N169" s="1"/>
  <c r="P169" s="1"/>
  <c r="G169"/>
  <c r="I169" s="1"/>
  <c r="K169" s="1"/>
  <c r="B169"/>
  <c r="D169" s="1"/>
  <c r="F169" s="1"/>
  <c r="Q168"/>
  <c r="S168" s="1"/>
  <c r="U168" s="1"/>
  <c r="L168"/>
  <c r="N168" s="1"/>
  <c r="P168" s="1"/>
  <c r="G168"/>
  <c r="I168" s="1"/>
  <c r="K168" s="1"/>
  <c r="B168"/>
  <c r="D168" s="1"/>
  <c r="F168" s="1"/>
  <c r="Q167"/>
  <c r="S167" s="1"/>
  <c r="U167" s="1"/>
  <c r="L167"/>
  <c r="N167" s="1"/>
  <c r="G167"/>
  <c r="I167" s="1"/>
  <c r="K167" s="1"/>
  <c r="B167"/>
  <c r="D167" s="1"/>
  <c r="F167" s="1"/>
  <c r="G166"/>
  <c r="I166" s="1"/>
  <c r="K166" s="1"/>
  <c r="B166"/>
  <c r="D166" s="1"/>
  <c r="F166" s="1"/>
  <c r="G165"/>
  <c r="I165" s="1"/>
  <c r="K165" s="1"/>
  <c r="B165"/>
  <c r="D165" s="1"/>
  <c r="F165" s="1"/>
  <c r="G164"/>
  <c r="I164" s="1"/>
  <c r="K164" s="1"/>
  <c r="B164"/>
  <c r="D164" s="1"/>
  <c r="F164" s="1"/>
  <c r="Q163"/>
  <c r="S163" s="1"/>
  <c r="L163"/>
  <c r="N163" s="1"/>
  <c r="P163" s="1"/>
  <c r="G163"/>
  <c r="I163" s="1"/>
  <c r="K163" s="1"/>
  <c r="B163"/>
  <c r="D163" s="1"/>
  <c r="F163" s="1"/>
  <c r="G162"/>
  <c r="I162" s="1"/>
  <c r="B162"/>
  <c r="D162" s="1"/>
  <c r="F162" s="1"/>
  <c r="B161"/>
  <c r="D161" s="1"/>
  <c r="F161" s="1"/>
  <c r="G160"/>
  <c r="I160" s="1"/>
  <c r="K160" s="1"/>
  <c r="B160"/>
  <c r="D160" s="1"/>
  <c r="G158"/>
  <c r="I158" s="1"/>
  <c r="K158" s="1"/>
  <c r="B158"/>
  <c r="D158" s="1"/>
  <c r="F158" s="1"/>
  <c r="I157"/>
  <c r="G157"/>
  <c r="D157"/>
  <c r="B157"/>
  <c r="U156"/>
  <c r="Q156"/>
  <c r="S156" s="1"/>
  <c r="N156"/>
  <c r="L156"/>
  <c r="I156"/>
  <c r="G156"/>
  <c r="D156"/>
  <c r="B156"/>
  <c r="U155"/>
  <c r="S155"/>
  <c r="Q155"/>
  <c r="N155"/>
  <c r="L155"/>
  <c r="I155"/>
  <c r="G155"/>
  <c r="D155"/>
  <c r="B155"/>
  <c r="U154"/>
  <c r="S154"/>
  <c r="Q154"/>
  <c r="N154"/>
  <c r="L154"/>
  <c r="I154"/>
  <c r="G154"/>
  <c r="D154"/>
  <c r="B154"/>
  <c r="U153"/>
  <c r="S153"/>
  <c r="Q153"/>
  <c r="L153"/>
  <c r="N153" s="1"/>
  <c r="G153"/>
  <c r="I153" s="1"/>
  <c r="B153"/>
  <c r="D153" s="1"/>
  <c r="F153" s="1"/>
  <c r="I152"/>
  <c r="G152"/>
  <c r="B152"/>
  <c r="D152" s="1"/>
  <c r="U150"/>
  <c r="Q150"/>
  <c r="S150" s="1"/>
  <c r="P150"/>
  <c r="L150"/>
  <c r="N150" s="1"/>
  <c r="G150"/>
  <c r="I150" s="1"/>
  <c r="K150" s="1"/>
  <c r="B150"/>
  <c r="D150" s="1"/>
  <c r="F150" s="1"/>
  <c r="G149"/>
  <c r="I149" s="1"/>
  <c r="K149" s="1"/>
  <c r="B149"/>
  <c r="D149" s="1"/>
  <c r="F149" s="1"/>
  <c r="G148"/>
  <c r="I148" s="1"/>
  <c r="B148"/>
  <c r="D148" s="1"/>
  <c r="F148" s="1"/>
  <c r="G146"/>
  <c r="I146" s="1"/>
  <c r="K146" s="1"/>
  <c r="B146"/>
  <c r="D146" s="1"/>
  <c r="F146" s="1"/>
  <c r="K145"/>
  <c r="G145"/>
  <c r="I145" s="1"/>
  <c r="B145"/>
  <c r="D145" s="1"/>
  <c r="I143"/>
  <c r="K143" s="1"/>
  <c r="G142"/>
  <c r="I142" s="1"/>
  <c r="K142" s="1"/>
  <c r="G141"/>
  <c r="I141" s="1"/>
  <c r="B141"/>
  <c r="D141" s="1"/>
  <c r="F141" s="1"/>
  <c r="S140"/>
  <c r="U140" s="1"/>
  <c r="L140"/>
  <c r="N140" s="1"/>
  <c r="I140"/>
  <c r="K140" s="1"/>
  <c r="D140"/>
  <c r="B140"/>
  <c r="S139"/>
  <c r="U139" s="1"/>
  <c r="L139"/>
  <c r="N139" s="1"/>
  <c r="P139" s="1"/>
  <c r="I139"/>
  <c r="K139" s="1"/>
  <c r="B139"/>
  <c r="D139" s="1"/>
  <c r="F139" s="1"/>
  <c r="S138"/>
  <c r="U138" s="1"/>
  <c r="L138"/>
  <c r="N138" s="1"/>
  <c r="P138" s="1"/>
  <c r="I138"/>
  <c r="K138" s="1"/>
  <c r="B138"/>
  <c r="D138" s="1"/>
  <c r="Q137"/>
  <c r="R137" s="1"/>
  <c r="I120"/>
  <c r="K120" s="1"/>
  <c r="D120"/>
  <c r="B120"/>
  <c r="I119"/>
  <c r="K119" s="1"/>
  <c r="B119"/>
  <c r="Q118"/>
  <c r="S118" s="1"/>
  <c r="U118" s="1"/>
  <c r="L118"/>
  <c r="N118" s="1"/>
  <c r="I118"/>
  <c r="B118"/>
  <c r="D118" s="1"/>
  <c r="F118" s="1"/>
  <c r="Q117"/>
  <c r="S117" s="1"/>
  <c r="L117"/>
  <c r="N117" s="1"/>
  <c r="P117" s="1"/>
  <c r="G116"/>
  <c r="H116" s="1"/>
  <c r="S115"/>
  <c r="U115" s="1"/>
  <c r="L115"/>
  <c r="N115" s="1"/>
  <c r="P115" s="1"/>
  <c r="I115"/>
  <c r="K115" s="1"/>
  <c r="B115"/>
  <c r="D115" s="1"/>
  <c r="F115" s="1"/>
  <c r="S114"/>
  <c r="U114" s="1"/>
  <c r="L114"/>
  <c r="N114" s="1"/>
  <c r="P114" s="1"/>
  <c r="I114"/>
  <c r="K114" s="1"/>
  <c r="B114"/>
  <c r="D114" s="1"/>
  <c r="F114" s="1"/>
  <c r="I113"/>
  <c r="K113" s="1"/>
  <c r="B113"/>
  <c r="D113" s="1"/>
  <c r="F113" s="1"/>
  <c r="S112"/>
  <c r="U112" s="1"/>
  <c r="L112"/>
  <c r="N112" s="1"/>
  <c r="P112" s="1"/>
  <c r="I112"/>
  <c r="K112" s="1"/>
  <c r="B112"/>
  <c r="D112" s="1"/>
  <c r="F112" s="1"/>
  <c r="Q111"/>
  <c r="S111" s="1"/>
  <c r="I111"/>
  <c r="K111" s="1"/>
  <c r="B111"/>
  <c r="D111" s="1"/>
  <c r="F111" s="1"/>
  <c r="U110"/>
  <c r="Q110"/>
  <c r="S110" s="1"/>
  <c r="L110"/>
  <c r="N110" s="1"/>
  <c r="P110" s="1"/>
  <c r="G110"/>
  <c r="I110" s="1"/>
  <c r="B110"/>
  <c r="D110" s="1"/>
  <c r="F110" s="1"/>
  <c r="B109"/>
  <c r="D109" s="1"/>
  <c r="F109" s="1"/>
  <c r="S108"/>
  <c r="U108" s="1"/>
  <c r="L108"/>
  <c r="N108" s="1"/>
  <c r="P108" s="1"/>
  <c r="I108"/>
  <c r="K108" s="1"/>
  <c r="B108"/>
  <c r="D108" s="1"/>
  <c r="F108" s="1"/>
  <c r="L107"/>
  <c r="N107" s="1"/>
  <c r="P107" s="1"/>
  <c r="S106"/>
  <c r="U106" s="1"/>
  <c r="L106"/>
  <c r="N106" s="1"/>
  <c r="I106"/>
  <c r="K106" s="1"/>
  <c r="B106"/>
  <c r="G104"/>
  <c r="I104" s="1"/>
  <c r="K104" s="1"/>
  <c r="B104"/>
  <c r="D104" s="1"/>
  <c r="F104" s="1"/>
  <c r="G103"/>
  <c r="I103" s="1"/>
  <c r="K103" s="1"/>
  <c r="B103"/>
  <c r="D103" s="1"/>
  <c r="F103" s="1"/>
  <c r="B102"/>
  <c r="D102" s="1"/>
  <c r="F102" s="1"/>
  <c r="I101"/>
  <c r="K101" s="1"/>
  <c r="B101"/>
  <c r="D101" s="1"/>
  <c r="F101" s="1"/>
  <c r="G100"/>
  <c r="I100" s="1"/>
  <c r="K100" s="1"/>
  <c r="B100"/>
  <c r="D100" s="1"/>
  <c r="F100" s="1"/>
  <c r="G99"/>
  <c r="I99" s="1"/>
  <c r="K99" s="1"/>
  <c r="B99"/>
  <c r="D99" s="1"/>
  <c r="F99" s="1"/>
  <c r="T98"/>
  <c r="R98"/>
  <c r="Q98"/>
  <c r="S98" s="1"/>
  <c r="L98"/>
  <c r="N98" s="1"/>
  <c r="P98" s="1"/>
  <c r="J98"/>
  <c r="H98"/>
  <c r="G98"/>
  <c r="I98" s="1"/>
  <c r="B98"/>
  <c r="D98" s="1"/>
  <c r="F98" s="1"/>
  <c r="G97"/>
  <c r="I97" s="1"/>
  <c r="K97" s="1"/>
  <c r="B97"/>
  <c r="D97" s="1"/>
  <c r="F97" s="1"/>
  <c r="G96"/>
  <c r="I96" s="1"/>
  <c r="K96" s="1"/>
  <c r="B96"/>
  <c r="D96" s="1"/>
  <c r="F96" s="1"/>
  <c r="G95"/>
  <c r="I95" s="1"/>
  <c r="K95" s="1"/>
  <c r="B95"/>
  <c r="D95" s="1"/>
  <c r="F95" s="1"/>
  <c r="U94"/>
  <c r="Q94"/>
  <c r="L94"/>
  <c r="N94" s="1"/>
  <c r="G94"/>
  <c r="I94" s="1"/>
  <c r="B94"/>
  <c r="D94" s="1"/>
  <c r="F94" s="1"/>
  <c r="B93"/>
  <c r="D93" s="1"/>
  <c r="Q71"/>
  <c r="S71" s="1"/>
  <c r="L71"/>
  <c r="N71" s="1"/>
  <c r="P71" s="1"/>
  <c r="G71"/>
  <c r="I71" s="1"/>
  <c r="K71" s="1"/>
  <c r="B71"/>
  <c r="D71" s="1"/>
  <c r="F71" s="1"/>
  <c r="G70"/>
  <c r="I70" s="1"/>
  <c r="B70"/>
  <c r="D70" s="1"/>
  <c r="L69"/>
  <c r="N69" s="1"/>
  <c r="P69" s="1"/>
  <c r="G69"/>
  <c r="I69" s="1"/>
  <c r="K69" s="1"/>
  <c r="D69"/>
  <c r="Q68"/>
  <c r="S68" s="1"/>
  <c r="U68" s="1"/>
  <c r="L68"/>
  <c r="N68" s="1"/>
  <c r="B68"/>
  <c r="D68" s="1"/>
  <c r="F68" s="1"/>
  <c r="S66"/>
  <c r="U66" s="1"/>
  <c r="L66"/>
  <c r="N66" s="1"/>
  <c r="P66" s="1"/>
  <c r="I66"/>
  <c r="K66" s="1"/>
  <c r="B66"/>
  <c r="D66" s="1"/>
  <c r="F66" s="1"/>
  <c r="I65"/>
  <c r="K65" s="1"/>
  <c r="B65"/>
  <c r="D65" s="1"/>
  <c r="F65" s="1"/>
  <c r="S64"/>
  <c r="U64" s="1"/>
  <c r="L64"/>
  <c r="N64" s="1"/>
  <c r="P64" s="1"/>
  <c r="I64"/>
  <c r="K64" s="1"/>
  <c r="B64"/>
  <c r="D64" s="1"/>
  <c r="F64" s="1"/>
  <c r="S63"/>
  <c r="U63" s="1"/>
  <c r="L63"/>
  <c r="N63" s="1"/>
  <c r="P63" s="1"/>
  <c r="I63"/>
  <c r="K63" s="1"/>
  <c r="B63"/>
  <c r="D63" s="1"/>
  <c r="F63" s="1"/>
  <c r="S62"/>
  <c r="U62" s="1"/>
  <c r="L62"/>
  <c r="N62" s="1"/>
  <c r="I62"/>
  <c r="K62" s="1"/>
  <c r="B62"/>
  <c r="D62" s="1"/>
  <c r="Q61"/>
  <c r="R61" s="1"/>
  <c r="G61"/>
  <c r="H61" s="1"/>
  <c r="U41"/>
  <c r="U42"/>
  <c r="U43"/>
  <c r="U44"/>
  <c r="G60"/>
  <c r="I60" s="1"/>
  <c r="K60" s="1"/>
  <c r="B60"/>
  <c r="D60" s="1"/>
  <c r="F60" s="1"/>
  <c r="G59"/>
  <c r="I59" s="1"/>
  <c r="K59" s="1"/>
  <c r="B59"/>
  <c r="D59" s="1"/>
  <c r="F59" s="1"/>
  <c r="G58"/>
  <c r="I58" s="1"/>
  <c r="K58" s="1"/>
  <c r="B58"/>
  <c r="D58" s="1"/>
  <c r="U57"/>
  <c r="Q57"/>
  <c r="S57" s="1"/>
  <c r="P57"/>
  <c r="L57"/>
  <c r="N57" s="1"/>
  <c r="N56" s="1"/>
  <c r="O56" s="1"/>
  <c r="K57"/>
  <c r="G57"/>
  <c r="I57" s="1"/>
  <c r="B57"/>
  <c r="D57" s="1"/>
  <c r="F57" s="1"/>
  <c r="G55"/>
  <c r="I55" s="1"/>
  <c r="K55" s="1"/>
  <c r="B55"/>
  <c r="D55" s="1"/>
  <c r="F55" s="1"/>
  <c r="Q54"/>
  <c r="S54" s="1"/>
  <c r="L54"/>
  <c r="N54" s="1"/>
  <c r="P54" s="1"/>
  <c r="G54"/>
  <c r="I54" s="1"/>
  <c r="K54" s="1"/>
  <c r="B54"/>
  <c r="D54" s="1"/>
  <c r="F54" s="1"/>
  <c r="G53"/>
  <c r="I53" s="1"/>
  <c r="K53" s="1"/>
  <c r="B53"/>
  <c r="D53" s="1"/>
  <c r="F53" s="1"/>
  <c r="G52"/>
  <c r="I52" s="1"/>
  <c r="K52" s="1"/>
  <c r="B52"/>
  <c r="D52" s="1"/>
  <c r="F52" s="1"/>
  <c r="G51"/>
  <c r="I51" s="1"/>
  <c r="K51" s="1"/>
  <c r="B51"/>
  <c r="D51" s="1"/>
  <c r="F51" s="1"/>
  <c r="Q49"/>
  <c r="S49" s="1"/>
  <c r="L49"/>
  <c r="N49" s="1"/>
  <c r="G49"/>
  <c r="I49" s="1"/>
  <c r="K49" s="1"/>
  <c r="B49"/>
  <c r="D49" s="1"/>
  <c r="F49" s="1"/>
  <c r="G48"/>
  <c r="I48" s="1"/>
  <c r="K48" s="1"/>
  <c r="B48"/>
  <c r="D48" s="1"/>
  <c r="I47"/>
  <c r="T46"/>
  <c r="R46"/>
  <c r="Q46"/>
  <c r="S46" s="1"/>
  <c r="L46"/>
  <c r="N46" s="1"/>
  <c r="P46" s="1"/>
  <c r="J46"/>
  <c r="H46"/>
  <c r="G46"/>
  <c r="I46" s="1"/>
  <c r="B46"/>
  <c r="D46" s="1"/>
  <c r="F46" s="1"/>
  <c r="Q359"/>
  <c r="S359" s="1"/>
  <c r="L359"/>
  <c r="N359" s="1"/>
  <c r="G359"/>
  <c r="I359" s="1"/>
  <c r="K359" s="1"/>
  <c r="B359"/>
  <c r="D359" s="1"/>
  <c r="F359" s="1"/>
  <c r="G358"/>
  <c r="I358" s="1"/>
  <c r="B358"/>
  <c r="D358" s="1"/>
  <c r="L357"/>
  <c r="N357" s="1"/>
  <c r="P357" s="1"/>
  <c r="G357"/>
  <c r="I357" s="1"/>
  <c r="K357" s="1"/>
  <c r="D357"/>
  <c r="Q356"/>
  <c r="S356" s="1"/>
  <c r="U356" s="1"/>
  <c r="L356"/>
  <c r="N356" s="1"/>
  <c r="P356" s="1"/>
  <c r="B356"/>
  <c r="D356" s="1"/>
  <c r="F356" s="1"/>
  <c r="Q354"/>
  <c r="S354" s="1"/>
  <c r="U354" s="1"/>
  <c r="L354"/>
  <c r="N354" s="1"/>
  <c r="P354" s="1"/>
  <c r="K354"/>
  <c r="G354"/>
  <c r="I354" s="1"/>
  <c r="B354"/>
  <c r="D354" s="1"/>
  <c r="F354" s="1"/>
  <c r="K353"/>
  <c r="G353"/>
  <c r="I353" s="1"/>
  <c r="B353"/>
  <c r="D353" s="1"/>
  <c r="F353" s="1"/>
  <c r="K352"/>
  <c r="G352"/>
  <c r="I352" s="1"/>
  <c r="B352"/>
  <c r="D352" s="1"/>
  <c r="F352" s="1"/>
  <c r="Q351"/>
  <c r="S351" s="1"/>
  <c r="U351" s="1"/>
  <c r="L351"/>
  <c r="N351" s="1"/>
  <c r="P351" s="1"/>
  <c r="K351"/>
  <c r="G351"/>
  <c r="I351" s="1"/>
  <c r="B351"/>
  <c r="D351" s="1"/>
  <c r="F351" s="1"/>
  <c r="Q350"/>
  <c r="S350" s="1"/>
  <c r="U350" s="1"/>
  <c r="L350"/>
  <c r="N350" s="1"/>
  <c r="P350" s="1"/>
  <c r="K350"/>
  <c r="G350"/>
  <c r="I350" s="1"/>
  <c r="B350"/>
  <c r="D350" s="1"/>
  <c r="F350" s="1"/>
  <c r="K349"/>
  <c r="G349"/>
  <c r="I349" s="1"/>
  <c r="B349"/>
  <c r="D349" s="1"/>
  <c r="F349" s="1"/>
  <c r="K348"/>
  <c r="G348"/>
  <c r="I348" s="1"/>
  <c r="B348"/>
  <c r="D348" s="1"/>
  <c r="F348" s="1"/>
  <c r="Q347"/>
  <c r="S347" s="1"/>
  <c r="L347"/>
  <c r="N347" s="1"/>
  <c r="P347" s="1"/>
  <c r="K347"/>
  <c r="G347"/>
  <c r="I347" s="1"/>
  <c r="B347"/>
  <c r="D347" s="1"/>
  <c r="F347" s="1"/>
  <c r="K346"/>
  <c r="G346"/>
  <c r="I346" s="1"/>
  <c r="B346"/>
  <c r="D346" s="1"/>
  <c r="F346" s="1"/>
  <c r="K345"/>
  <c r="G345"/>
  <c r="I345" s="1"/>
  <c r="B345"/>
  <c r="D345" s="1"/>
  <c r="F345" s="1"/>
  <c r="K344"/>
  <c r="G344"/>
  <c r="I344" s="1"/>
  <c r="B344"/>
  <c r="G342"/>
  <c r="I342" s="1"/>
  <c r="K342" s="1"/>
  <c r="B342"/>
  <c r="D342" s="1"/>
  <c r="F342" s="1"/>
  <c r="G341"/>
  <c r="I341" s="1"/>
  <c r="K341" s="1"/>
  <c r="B341"/>
  <c r="D341" s="1"/>
  <c r="F341" s="1"/>
  <c r="Q340"/>
  <c r="S340" s="1"/>
  <c r="U340" s="1"/>
  <c r="L340"/>
  <c r="N340" s="1"/>
  <c r="P340" s="1"/>
  <c r="G340"/>
  <c r="I340" s="1"/>
  <c r="K340" s="1"/>
  <c r="B340"/>
  <c r="D340" s="1"/>
  <c r="F340" s="1"/>
  <c r="Q339"/>
  <c r="S339" s="1"/>
  <c r="U339" s="1"/>
  <c r="L339"/>
  <c r="N339" s="1"/>
  <c r="P339" s="1"/>
  <c r="G339"/>
  <c r="I339" s="1"/>
  <c r="K339" s="1"/>
  <c r="B339"/>
  <c r="D339" s="1"/>
  <c r="F339" s="1"/>
  <c r="Q338"/>
  <c r="S338" s="1"/>
  <c r="U338" s="1"/>
  <c r="L338"/>
  <c r="N338" s="1"/>
  <c r="P338" s="1"/>
  <c r="G338"/>
  <c r="I338" s="1"/>
  <c r="K338" s="1"/>
  <c r="B338"/>
  <c r="D338" s="1"/>
  <c r="F338" s="1"/>
  <c r="G337"/>
  <c r="I337" s="1"/>
  <c r="K337" s="1"/>
  <c r="B337"/>
  <c r="D337" s="1"/>
  <c r="F337" s="1"/>
  <c r="G336"/>
  <c r="I336" s="1"/>
  <c r="K336" s="1"/>
  <c r="B336"/>
  <c r="D336" s="1"/>
  <c r="F336" s="1"/>
  <c r="G335"/>
  <c r="I335" s="1"/>
  <c r="B335"/>
  <c r="D335" s="1"/>
  <c r="F335" s="1"/>
  <c r="Q334"/>
  <c r="S334" s="1"/>
  <c r="U334" s="1"/>
  <c r="L334"/>
  <c r="G334"/>
  <c r="I334" s="1"/>
  <c r="K334" s="1"/>
  <c r="B334"/>
  <c r="D334" s="1"/>
  <c r="F334" s="1"/>
  <c r="G333"/>
  <c r="I333" s="1"/>
  <c r="K333" s="1"/>
  <c r="B333"/>
  <c r="B332"/>
  <c r="D332" s="1"/>
  <c r="F332" s="1"/>
  <c r="G331"/>
  <c r="I331" s="1"/>
  <c r="K331" s="1"/>
  <c r="B331"/>
  <c r="D331" s="1"/>
  <c r="I329"/>
  <c r="K329" s="1"/>
  <c r="G328"/>
  <c r="G327"/>
  <c r="I327" s="1"/>
  <c r="B327"/>
  <c r="D327" s="1"/>
  <c r="F327" s="1"/>
  <c r="S326"/>
  <c r="U326" s="1"/>
  <c r="L326"/>
  <c r="N326" s="1"/>
  <c r="P326" s="1"/>
  <c r="I326"/>
  <c r="K326" s="1"/>
  <c r="D326"/>
  <c r="B326"/>
  <c r="S325"/>
  <c r="U325" s="1"/>
  <c r="L325"/>
  <c r="N325" s="1"/>
  <c r="P325" s="1"/>
  <c r="I325"/>
  <c r="K325" s="1"/>
  <c r="B325"/>
  <c r="D325" s="1"/>
  <c r="F325" s="1"/>
  <c r="S324"/>
  <c r="L324"/>
  <c r="N324" s="1"/>
  <c r="I324"/>
  <c r="K324" s="1"/>
  <c r="B324"/>
  <c r="D324" s="1"/>
  <c r="F324" s="1"/>
  <c r="Q323"/>
  <c r="R323" s="1"/>
  <c r="S322"/>
  <c r="U322" s="1"/>
  <c r="L322"/>
  <c r="N322" s="1"/>
  <c r="P322" s="1"/>
  <c r="I322"/>
  <c r="K322" s="1"/>
  <c r="B322"/>
  <c r="D322" s="1"/>
  <c r="F322" s="1"/>
  <c r="S321"/>
  <c r="U321" s="1"/>
  <c r="L321"/>
  <c r="N321" s="1"/>
  <c r="I321"/>
  <c r="K321" s="1"/>
  <c r="B321"/>
  <c r="D321" s="1"/>
  <c r="F321" s="1"/>
  <c r="I320"/>
  <c r="K320" s="1"/>
  <c r="B320"/>
  <c r="D320" s="1"/>
  <c r="F320" s="1"/>
  <c r="S319"/>
  <c r="U319" s="1"/>
  <c r="L319"/>
  <c r="N319" s="1"/>
  <c r="P319" s="1"/>
  <c r="I319"/>
  <c r="K319" s="1"/>
  <c r="B319"/>
  <c r="D319" s="1"/>
  <c r="F319" s="1"/>
  <c r="Q318"/>
  <c r="S318" s="1"/>
  <c r="I318"/>
  <c r="K318" s="1"/>
  <c r="B318"/>
  <c r="D318" s="1"/>
  <c r="F318" s="1"/>
  <c r="U317"/>
  <c r="Q317"/>
  <c r="S317" s="1"/>
  <c r="L317"/>
  <c r="N317" s="1"/>
  <c r="P317" s="1"/>
  <c r="G317"/>
  <c r="I317" s="1"/>
  <c r="K317" s="1"/>
  <c r="B317"/>
  <c r="D317" s="1"/>
  <c r="F317" s="1"/>
  <c r="B316"/>
  <c r="D316" s="1"/>
  <c r="S315"/>
  <c r="U315" s="1"/>
  <c r="L315"/>
  <c r="N315" s="1"/>
  <c r="P315" s="1"/>
  <c r="I315"/>
  <c r="B315"/>
  <c r="D315" s="1"/>
  <c r="F315" s="1"/>
  <c r="L314"/>
  <c r="N314" s="1"/>
  <c r="P314" s="1"/>
  <c r="S313"/>
  <c r="L313"/>
  <c r="N313" s="1"/>
  <c r="P313" s="1"/>
  <c r="I313"/>
  <c r="K313" s="1"/>
  <c r="B313"/>
  <c r="D313" s="1"/>
  <c r="F313" s="1"/>
  <c r="S311"/>
  <c r="U311" s="1"/>
  <c r="L311"/>
  <c r="N311" s="1"/>
  <c r="P311" s="1"/>
  <c r="I311"/>
  <c r="K311" s="1"/>
  <c r="B311"/>
  <c r="I310"/>
  <c r="K310" s="1"/>
  <c r="B310"/>
  <c r="D310" s="1"/>
  <c r="F310" s="1"/>
  <c r="S309"/>
  <c r="U309" s="1"/>
  <c r="L309"/>
  <c r="N309" s="1"/>
  <c r="P309" s="1"/>
  <c r="I309"/>
  <c r="K309" s="1"/>
  <c r="B309"/>
  <c r="D309" s="1"/>
  <c r="F309" s="1"/>
  <c r="S308"/>
  <c r="U308" s="1"/>
  <c r="L308"/>
  <c r="N308" s="1"/>
  <c r="P308" s="1"/>
  <c r="I308"/>
  <c r="K308" s="1"/>
  <c r="B308"/>
  <c r="D308" s="1"/>
  <c r="F308" s="1"/>
  <c r="S307"/>
  <c r="U307" s="1"/>
  <c r="L307"/>
  <c r="I307"/>
  <c r="K307" s="1"/>
  <c r="B307"/>
  <c r="D307" s="1"/>
  <c r="Q306"/>
  <c r="R306" s="1"/>
  <c r="G306"/>
  <c r="H306" s="1"/>
  <c r="I305"/>
  <c r="K305" s="1"/>
  <c r="D305"/>
  <c r="B305"/>
  <c r="I304"/>
  <c r="B304"/>
  <c r="D304" s="1"/>
  <c r="Q303"/>
  <c r="L303"/>
  <c r="N303" s="1"/>
  <c r="P303" s="1"/>
  <c r="I303"/>
  <c r="K303" s="1"/>
  <c r="B303"/>
  <c r="D303" s="1"/>
  <c r="F303" s="1"/>
  <c r="Q302"/>
  <c r="S302" s="1"/>
  <c r="L302"/>
  <c r="N302" s="1"/>
  <c r="P302" s="1"/>
  <c r="G301"/>
  <c r="H301" s="1"/>
  <c r="Q300"/>
  <c r="S300" s="1"/>
  <c r="U300" s="1"/>
  <c r="L300"/>
  <c r="N300" s="1"/>
  <c r="P300" s="1"/>
  <c r="G300"/>
  <c r="I300" s="1"/>
  <c r="K300" s="1"/>
  <c r="B300"/>
  <c r="D300" s="1"/>
  <c r="F300" s="1"/>
  <c r="Q299"/>
  <c r="S299" s="1"/>
  <c r="U299" s="1"/>
  <c r="L299"/>
  <c r="N299" s="1"/>
  <c r="P299" s="1"/>
  <c r="G299"/>
  <c r="I299" s="1"/>
  <c r="K299" s="1"/>
  <c r="B299"/>
  <c r="D299" s="1"/>
  <c r="F299" s="1"/>
  <c r="Q298"/>
  <c r="S298" s="1"/>
  <c r="U298" s="1"/>
  <c r="L298"/>
  <c r="N298" s="1"/>
  <c r="P298" s="1"/>
  <c r="G298"/>
  <c r="I298" s="1"/>
  <c r="K298" s="1"/>
  <c r="B298"/>
  <c r="D298" s="1"/>
  <c r="F298" s="1"/>
  <c r="Q297"/>
  <c r="S297" s="1"/>
  <c r="U297" s="1"/>
  <c r="L297"/>
  <c r="N297" s="1"/>
  <c r="P297" s="1"/>
  <c r="G297"/>
  <c r="I297" s="1"/>
  <c r="K297" s="1"/>
  <c r="B297"/>
  <c r="D297" s="1"/>
  <c r="F297" s="1"/>
  <c r="U296"/>
  <c r="Q296"/>
  <c r="S296" s="1"/>
  <c r="L296"/>
  <c r="G296"/>
  <c r="I296" s="1"/>
  <c r="K296" s="1"/>
  <c r="B296"/>
  <c r="D296" s="1"/>
  <c r="F296" s="1"/>
  <c r="G295"/>
  <c r="I295" s="1"/>
  <c r="K295" s="1"/>
  <c r="B295"/>
  <c r="B294"/>
  <c r="D294" s="1"/>
  <c r="F294" s="1"/>
  <c r="G293"/>
  <c r="I293" s="1"/>
  <c r="K293" s="1"/>
  <c r="B293"/>
  <c r="D293" s="1"/>
  <c r="F293" s="1"/>
  <c r="G292"/>
  <c r="I292" s="1"/>
  <c r="K292" s="1"/>
  <c r="B292"/>
  <c r="D292" s="1"/>
  <c r="F292" s="1"/>
  <c r="Q291"/>
  <c r="S291" s="1"/>
  <c r="U291" s="1"/>
  <c r="L291"/>
  <c r="N291" s="1"/>
  <c r="P291" s="1"/>
  <c r="G291"/>
  <c r="I291" s="1"/>
  <c r="K291" s="1"/>
  <c r="B291"/>
  <c r="D291" s="1"/>
  <c r="F291" s="1"/>
  <c r="Q290"/>
  <c r="S290" s="1"/>
  <c r="U290" s="1"/>
  <c r="L290"/>
  <c r="N290" s="1"/>
  <c r="P290" s="1"/>
  <c r="G290"/>
  <c r="I290" s="1"/>
  <c r="K290" s="1"/>
  <c r="B290"/>
  <c r="D290" s="1"/>
  <c r="F290" s="1"/>
  <c r="Q289"/>
  <c r="S289" s="1"/>
  <c r="U289" s="1"/>
  <c r="L289"/>
  <c r="N289" s="1"/>
  <c r="P289" s="1"/>
  <c r="G289"/>
  <c r="I289" s="1"/>
  <c r="K289" s="1"/>
  <c r="B289"/>
  <c r="D289" s="1"/>
  <c r="F289" s="1"/>
  <c r="Q288"/>
  <c r="S288" s="1"/>
  <c r="U288" s="1"/>
  <c r="L288"/>
  <c r="N288" s="1"/>
  <c r="P288" s="1"/>
  <c r="G288"/>
  <c r="I288" s="1"/>
  <c r="K288" s="1"/>
  <c r="B288"/>
  <c r="D288" s="1"/>
  <c r="F288" s="1"/>
  <c r="Q287"/>
  <c r="S287" s="1"/>
  <c r="U287" s="1"/>
  <c r="L287"/>
  <c r="N287" s="1"/>
  <c r="P287" s="1"/>
  <c r="G287"/>
  <c r="I287" s="1"/>
  <c r="K287" s="1"/>
  <c r="B287"/>
  <c r="D287" s="1"/>
  <c r="F287" s="1"/>
  <c r="Q286"/>
  <c r="S286" s="1"/>
  <c r="U286" s="1"/>
  <c r="L286"/>
  <c r="N286" s="1"/>
  <c r="P286" s="1"/>
  <c r="G286"/>
  <c r="I286" s="1"/>
  <c r="K286" s="1"/>
  <c r="B286"/>
  <c r="D286" s="1"/>
  <c r="F286" s="1"/>
  <c r="Q285"/>
  <c r="S285" s="1"/>
  <c r="U285" s="1"/>
  <c r="L285"/>
  <c r="N285" s="1"/>
  <c r="P285" s="1"/>
  <c r="G285"/>
  <c r="I285" s="1"/>
  <c r="K285" s="1"/>
  <c r="B285"/>
  <c r="D285" s="1"/>
  <c r="F285" s="1"/>
  <c r="Q284"/>
  <c r="S284" s="1"/>
  <c r="U284" s="1"/>
  <c r="L284"/>
  <c r="N284" s="1"/>
  <c r="P284" s="1"/>
  <c r="G284"/>
  <c r="I284" s="1"/>
  <c r="K284" s="1"/>
  <c r="B284"/>
  <c r="D284" s="1"/>
  <c r="F284" s="1"/>
  <c r="Q283"/>
  <c r="S283" s="1"/>
  <c r="U283" s="1"/>
  <c r="L283"/>
  <c r="N283" s="1"/>
  <c r="P283" s="1"/>
  <c r="G283"/>
  <c r="I283" s="1"/>
  <c r="K283" s="1"/>
  <c r="B283"/>
  <c r="D283" s="1"/>
  <c r="F283" s="1"/>
  <c r="Q282"/>
  <c r="S282" s="1"/>
  <c r="U282" s="1"/>
  <c r="L282"/>
  <c r="N282" s="1"/>
  <c r="P282" s="1"/>
  <c r="G282"/>
  <c r="I282" s="1"/>
  <c r="K282" s="1"/>
  <c r="B282"/>
  <c r="D282" s="1"/>
  <c r="F282" s="1"/>
  <c r="U281"/>
  <c r="Q281"/>
  <c r="S281" s="1"/>
  <c r="L281"/>
  <c r="N281" s="1"/>
  <c r="P281" s="1"/>
  <c r="G281"/>
  <c r="I281" s="1"/>
  <c r="K281" s="1"/>
  <c r="B281"/>
  <c r="D281" s="1"/>
  <c r="F281" s="1"/>
  <c r="Q280"/>
  <c r="S280" s="1"/>
  <c r="U280" s="1"/>
  <c r="L280"/>
  <c r="N280" s="1"/>
  <c r="G280"/>
  <c r="I280" s="1"/>
  <c r="K280" s="1"/>
  <c r="B280"/>
  <c r="D280" s="1"/>
  <c r="U278"/>
  <c r="Q278"/>
  <c r="S278" s="1"/>
  <c r="S277" s="1"/>
  <c r="T277" s="1"/>
  <c r="P278"/>
  <c r="L278"/>
  <c r="N278" s="1"/>
  <c r="K278"/>
  <c r="G278"/>
  <c r="I278" s="1"/>
  <c r="B278"/>
  <c r="D278" s="1"/>
  <c r="G276"/>
  <c r="I276" s="1"/>
  <c r="K276" s="1"/>
  <c r="B276"/>
  <c r="D276" s="1"/>
  <c r="F276" s="1"/>
  <c r="G275"/>
  <c r="I275" s="1"/>
  <c r="K275" s="1"/>
  <c r="B275"/>
  <c r="D275" s="1"/>
  <c r="F275" s="1"/>
  <c r="G274"/>
  <c r="I274" s="1"/>
  <c r="K274" s="1"/>
  <c r="B274"/>
  <c r="D274" s="1"/>
  <c r="F274" s="1"/>
  <c r="U273"/>
  <c r="Q273"/>
  <c r="S273" s="1"/>
  <c r="S272" s="1"/>
  <c r="T272" s="1"/>
  <c r="P273"/>
  <c r="L273"/>
  <c r="N273" s="1"/>
  <c r="N272" s="1"/>
  <c r="O272" s="1"/>
  <c r="K273"/>
  <c r="G273"/>
  <c r="I273" s="1"/>
  <c r="B273"/>
  <c r="D273" s="1"/>
  <c r="U271"/>
  <c r="Q271"/>
  <c r="S271" s="1"/>
  <c r="S265" s="1"/>
  <c r="T265" s="1"/>
  <c r="P271"/>
  <c r="L271"/>
  <c r="N271" s="1"/>
  <c r="N265" s="1"/>
  <c r="O265" s="1"/>
  <c r="G271"/>
  <c r="I271" s="1"/>
  <c r="K271" s="1"/>
  <c r="B271"/>
  <c r="D271" s="1"/>
  <c r="F271" s="1"/>
  <c r="G270"/>
  <c r="I270" s="1"/>
  <c r="K270" s="1"/>
  <c r="B270"/>
  <c r="D270" s="1"/>
  <c r="F270" s="1"/>
  <c r="G269"/>
  <c r="I269" s="1"/>
  <c r="K269" s="1"/>
  <c r="B269"/>
  <c r="D269" s="1"/>
  <c r="F269" s="1"/>
  <c r="G267"/>
  <c r="I267" s="1"/>
  <c r="K267" s="1"/>
  <c r="B267"/>
  <c r="D267" s="1"/>
  <c r="F267" s="1"/>
  <c r="K266"/>
  <c r="G266"/>
  <c r="I266" s="1"/>
  <c r="B266"/>
  <c r="D266" s="1"/>
  <c r="G264"/>
  <c r="I264" s="1"/>
  <c r="K264" s="1"/>
  <c r="B264"/>
  <c r="D264" s="1"/>
  <c r="F264" s="1"/>
  <c r="G263"/>
  <c r="I263" s="1"/>
  <c r="K263" s="1"/>
  <c r="B263"/>
  <c r="D263" s="1"/>
  <c r="F263" s="1"/>
  <c r="B262"/>
  <c r="D262" s="1"/>
  <c r="F262" s="1"/>
  <c r="I261"/>
  <c r="K261" s="1"/>
  <c r="B261"/>
  <c r="D261" s="1"/>
  <c r="F261" s="1"/>
  <c r="G260"/>
  <c r="I260" s="1"/>
  <c r="K260" s="1"/>
  <c r="B260"/>
  <c r="D260" s="1"/>
  <c r="F260" s="1"/>
  <c r="G259"/>
  <c r="I259" s="1"/>
  <c r="K259" s="1"/>
  <c r="B259"/>
  <c r="D259" s="1"/>
  <c r="F259" s="1"/>
  <c r="T258"/>
  <c r="R258"/>
  <c r="Q258"/>
  <c r="S258" s="1"/>
  <c r="L258"/>
  <c r="N258" s="1"/>
  <c r="P258" s="1"/>
  <c r="J258"/>
  <c r="H258"/>
  <c r="G258"/>
  <c r="I258" s="1"/>
  <c r="B258"/>
  <c r="D258" s="1"/>
  <c r="F258" s="1"/>
  <c r="G257"/>
  <c r="I257" s="1"/>
  <c r="K257" s="1"/>
  <c r="B257"/>
  <c r="D257" s="1"/>
  <c r="F257" s="1"/>
  <c r="G256"/>
  <c r="I256" s="1"/>
  <c r="K256" s="1"/>
  <c r="B256"/>
  <c r="D256" s="1"/>
  <c r="F256" s="1"/>
  <c r="G255"/>
  <c r="I255" s="1"/>
  <c r="K255" s="1"/>
  <c r="B255"/>
  <c r="D255" s="1"/>
  <c r="F255" s="1"/>
  <c r="U254"/>
  <c r="Q254"/>
  <c r="S254" s="1"/>
  <c r="L254"/>
  <c r="N254" s="1"/>
  <c r="G254"/>
  <c r="B254"/>
  <c r="D254" s="1"/>
  <c r="F254" s="1"/>
  <c r="B253"/>
  <c r="D253" s="1"/>
  <c r="F253" s="1"/>
  <c r="G251"/>
  <c r="I251" s="1"/>
  <c r="K251" s="1"/>
  <c r="B251"/>
  <c r="D251" s="1"/>
  <c r="F251" s="1"/>
  <c r="U250"/>
  <c r="Q250"/>
  <c r="S250" s="1"/>
  <c r="L250"/>
  <c r="N250" s="1"/>
  <c r="P250" s="1"/>
  <c r="G250"/>
  <c r="I250" s="1"/>
  <c r="K250" s="1"/>
  <c r="B250"/>
  <c r="D250" s="1"/>
  <c r="F250" s="1"/>
  <c r="G249"/>
  <c r="I249" s="1"/>
  <c r="K249" s="1"/>
  <c r="B249"/>
  <c r="D249" s="1"/>
  <c r="F249" s="1"/>
  <c r="G248"/>
  <c r="I248" s="1"/>
  <c r="K248" s="1"/>
  <c r="B248"/>
  <c r="D248" s="1"/>
  <c r="F248" s="1"/>
  <c r="G247"/>
  <c r="I247" s="1"/>
  <c r="K247" s="1"/>
  <c r="B247"/>
  <c r="D247" s="1"/>
  <c r="F247" s="1"/>
  <c r="U245"/>
  <c r="Q245"/>
  <c r="L245"/>
  <c r="N245" s="1"/>
  <c r="P245" s="1"/>
  <c r="G245"/>
  <c r="I245" s="1"/>
  <c r="K245" s="1"/>
  <c r="B245"/>
  <c r="D245" s="1"/>
  <c r="F245" s="1"/>
  <c r="G244"/>
  <c r="B244"/>
  <c r="I243"/>
  <c r="T242"/>
  <c r="R242"/>
  <c r="Q242"/>
  <c r="S242" s="1"/>
  <c r="L242"/>
  <c r="N242" s="1"/>
  <c r="P242" s="1"/>
  <c r="J242"/>
  <c r="H242"/>
  <c r="G242"/>
  <c r="I242" s="1"/>
  <c r="B242"/>
  <c r="D242" s="1"/>
  <c r="F242" s="1"/>
  <c r="Q240"/>
  <c r="S240" s="1"/>
  <c r="U240" s="1"/>
  <c r="L240"/>
  <c r="N240" s="1"/>
  <c r="P240" s="1"/>
  <c r="G240"/>
  <c r="I240" s="1"/>
  <c r="K240" s="1"/>
  <c r="B240"/>
  <c r="D240" s="1"/>
  <c r="F240" s="1"/>
  <c r="U239"/>
  <c r="Q239"/>
  <c r="S239" s="1"/>
  <c r="L239"/>
  <c r="N239" s="1"/>
  <c r="P239" s="1"/>
  <c r="G239"/>
  <c r="I239" s="1"/>
  <c r="K239" s="1"/>
  <c r="B239"/>
  <c r="D239" s="1"/>
  <c r="F239" s="1"/>
  <c r="S238"/>
  <c r="G238"/>
  <c r="I238" s="1"/>
  <c r="K238" s="1"/>
  <c r="B238"/>
  <c r="D238" s="1"/>
  <c r="F238" s="1"/>
  <c r="Q237"/>
  <c r="S237" s="1"/>
  <c r="U237" s="1"/>
  <c r="L237"/>
  <c r="N237" s="1"/>
  <c r="P237" s="1"/>
  <c r="G237"/>
  <c r="I237" s="1"/>
  <c r="K237" s="1"/>
  <c r="B237"/>
  <c r="D237" s="1"/>
  <c r="F237" s="1"/>
  <c r="Q236"/>
  <c r="S236" s="1"/>
  <c r="U236" s="1"/>
  <c r="L236"/>
  <c r="N236" s="1"/>
  <c r="P236" s="1"/>
  <c r="I236"/>
  <c r="D236"/>
  <c r="Q235"/>
  <c r="S235" s="1"/>
  <c r="U235" s="1"/>
  <c r="L235"/>
  <c r="N235" s="1"/>
  <c r="P235" s="1"/>
  <c r="G235"/>
  <c r="I235" s="1"/>
  <c r="K235" s="1"/>
  <c r="B235"/>
  <c r="D235" s="1"/>
  <c r="F235" s="1"/>
  <c r="S234"/>
  <c r="N234"/>
  <c r="G234"/>
  <c r="I234" s="1"/>
  <c r="K234" s="1"/>
  <c r="B234"/>
  <c r="D234" s="1"/>
  <c r="F234" s="1"/>
  <c r="Q233"/>
  <c r="S233" s="1"/>
  <c r="U233" s="1"/>
  <c r="L233"/>
  <c r="N233" s="1"/>
  <c r="P233" s="1"/>
  <c r="G233"/>
  <c r="I233" s="1"/>
  <c r="K233" s="1"/>
  <c r="B233"/>
  <c r="D233" s="1"/>
  <c r="F233" s="1"/>
  <c r="Q232"/>
  <c r="S232" s="1"/>
  <c r="U232" s="1"/>
  <c r="L232"/>
  <c r="N232" s="1"/>
  <c r="P232" s="1"/>
  <c r="G232"/>
  <c r="I232" s="1"/>
  <c r="K232" s="1"/>
  <c r="B232"/>
  <c r="D232" s="1"/>
  <c r="F232" s="1"/>
  <c r="Q231"/>
  <c r="S231" s="1"/>
  <c r="U231" s="1"/>
  <c r="M231"/>
  <c r="V231" s="1"/>
  <c r="L231"/>
  <c r="N231" s="1"/>
  <c r="G231"/>
  <c r="I231" s="1"/>
  <c r="K231" s="1"/>
  <c r="B231"/>
  <c r="S230"/>
  <c r="N230"/>
  <c r="I230"/>
  <c r="D230"/>
  <c r="Q229"/>
  <c r="S229" s="1"/>
  <c r="U229" s="1"/>
  <c r="L229"/>
  <c r="G229"/>
  <c r="I229" s="1"/>
  <c r="Q228"/>
  <c r="S228" s="1"/>
  <c r="U228" s="1"/>
  <c r="L228"/>
  <c r="N228" s="1"/>
  <c r="G228"/>
  <c r="I228" s="1"/>
  <c r="K228" s="1"/>
  <c r="B228"/>
  <c r="D228" s="1"/>
  <c r="G226"/>
  <c r="I226" s="1"/>
  <c r="K226" s="1"/>
  <c r="B226"/>
  <c r="D226" s="1"/>
  <c r="F226" s="1"/>
  <c r="I225"/>
  <c r="G225"/>
  <c r="D225"/>
  <c r="B225"/>
  <c r="U224"/>
  <c r="Q224"/>
  <c r="S224" s="1"/>
  <c r="N224"/>
  <c r="L224"/>
  <c r="I224"/>
  <c r="G224"/>
  <c r="D224"/>
  <c r="B224"/>
  <c r="U223"/>
  <c r="S223"/>
  <c r="Q223"/>
  <c r="N223"/>
  <c r="L223"/>
  <c r="I223"/>
  <c r="G223"/>
  <c r="D223"/>
  <c r="B223"/>
  <c r="U222"/>
  <c r="S222"/>
  <c r="Q222"/>
  <c r="N222"/>
  <c r="L222"/>
  <c r="I222"/>
  <c r="G222"/>
  <c r="D222"/>
  <c r="B222"/>
  <c r="U221"/>
  <c r="S221"/>
  <c r="Q221"/>
  <c r="L221"/>
  <c r="G221"/>
  <c r="I221" s="1"/>
  <c r="K221" s="1"/>
  <c r="B221"/>
  <c r="D221" s="1"/>
  <c r="F221" s="1"/>
  <c r="I220"/>
  <c r="G220"/>
  <c r="B220"/>
  <c r="D220" s="1"/>
  <c r="F220" s="1"/>
  <c r="G136"/>
  <c r="I136" s="1"/>
  <c r="K136" s="1"/>
  <c r="B136"/>
  <c r="D136" s="1"/>
  <c r="F136" s="1"/>
  <c r="G135"/>
  <c r="B135"/>
  <c r="G133"/>
  <c r="B133"/>
  <c r="S131"/>
  <c r="N131"/>
  <c r="G131"/>
  <c r="I131" s="1"/>
  <c r="K131" s="1"/>
  <c r="B131"/>
  <c r="D131" s="1"/>
  <c r="F131" s="1"/>
  <c r="G130"/>
  <c r="I130" s="1"/>
  <c r="K130" s="1"/>
  <c r="B130"/>
  <c r="D130" s="1"/>
  <c r="F130" s="1"/>
  <c r="Q129"/>
  <c r="S129" s="1"/>
  <c r="U129" s="1"/>
  <c r="L129"/>
  <c r="N129" s="1"/>
  <c r="P129" s="1"/>
  <c r="G129"/>
  <c r="I129" s="1"/>
  <c r="K129" s="1"/>
  <c r="B129"/>
  <c r="D129" s="1"/>
  <c r="F129" s="1"/>
  <c r="Q128"/>
  <c r="N128"/>
  <c r="I128"/>
  <c r="Q127"/>
  <c r="S127" s="1"/>
  <c r="L127"/>
  <c r="N127" s="1"/>
  <c r="P127" s="1"/>
  <c r="G127"/>
  <c r="B127"/>
  <c r="D127" s="1"/>
  <c r="F127" s="1"/>
  <c r="G91"/>
  <c r="I91" s="1"/>
  <c r="K91" s="1"/>
  <c r="B91"/>
  <c r="D91" s="1"/>
  <c r="F91" s="1"/>
  <c r="G90"/>
  <c r="I90" s="1"/>
  <c r="K90" s="1"/>
  <c r="B90"/>
  <c r="D90" s="1"/>
  <c r="F90" s="1"/>
  <c r="G89"/>
  <c r="I89" s="1"/>
  <c r="K89" s="1"/>
  <c r="B89"/>
  <c r="D89" s="1"/>
  <c r="F89" s="1"/>
  <c r="G88"/>
  <c r="I88" s="1"/>
  <c r="K88" s="1"/>
  <c r="B88"/>
  <c r="D88" s="1"/>
  <c r="F88" s="1"/>
  <c r="G87"/>
  <c r="I87" s="1"/>
  <c r="K87" s="1"/>
  <c r="B87"/>
  <c r="D87" s="1"/>
  <c r="F87" s="1"/>
  <c r="G86"/>
  <c r="I86" s="1"/>
  <c r="K86" s="1"/>
  <c r="B86"/>
  <c r="G85"/>
  <c r="I85" s="1"/>
  <c r="K85" s="1"/>
  <c r="B85"/>
  <c r="D85" s="1"/>
  <c r="F85" s="1"/>
  <c r="Q84"/>
  <c r="L84"/>
  <c r="G84"/>
  <c r="I84" s="1"/>
  <c r="B84"/>
  <c r="D84" s="1"/>
  <c r="F84" s="1"/>
  <c r="Q44"/>
  <c r="S44" s="1"/>
  <c r="L44"/>
  <c r="N44" s="1"/>
  <c r="P44" s="1"/>
  <c r="G44"/>
  <c r="I44" s="1"/>
  <c r="K44" s="1"/>
  <c r="E44"/>
  <c r="V44" s="1"/>
  <c r="B44"/>
  <c r="D44" s="1"/>
  <c r="Q43"/>
  <c r="S43" s="1"/>
  <c r="L43"/>
  <c r="N43" s="1"/>
  <c r="P43" s="1"/>
  <c r="G43"/>
  <c r="I43" s="1"/>
  <c r="K43" s="1"/>
  <c r="B43"/>
  <c r="Q42"/>
  <c r="S42" s="1"/>
  <c r="B42"/>
  <c r="D42" s="1"/>
  <c r="F42" s="1"/>
  <c r="S41"/>
  <c r="Q41"/>
  <c r="L41"/>
  <c r="N41" s="1"/>
  <c r="G41"/>
  <c r="I41" s="1"/>
  <c r="K41" s="1"/>
  <c r="B41"/>
  <c r="D41" s="1"/>
  <c r="Q39"/>
  <c r="S39" s="1"/>
  <c r="U39" s="1"/>
  <c r="L39"/>
  <c r="N39" s="1"/>
  <c r="P39" s="1"/>
  <c r="G39"/>
  <c r="I39" s="1"/>
  <c r="K39" s="1"/>
  <c r="B39"/>
  <c r="D39" s="1"/>
  <c r="F39" s="1"/>
  <c r="U38"/>
  <c r="Q38"/>
  <c r="L38"/>
  <c r="N38" s="1"/>
  <c r="P38" s="1"/>
  <c r="G38"/>
  <c r="I38" s="1"/>
  <c r="K38" s="1"/>
  <c r="B38"/>
  <c r="D38" s="1"/>
  <c r="F38" s="1"/>
  <c r="U37"/>
  <c r="Q37"/>
  <c r="S37" s="1"/>
  <c r="L37"/>
  <c r="N37" s="1"/>
  <c r="P37" s="1"/>
  <c r="G37"/>
  <c r="I37" s="1"/>
  <c r="K37" s="1"/>
  <c r="B37"/>
  <c r="D37" s="1"/>
  <c r="F37" s="1"/>
  <c r="L36"/>
  <c r="N36" s="1"/>
  <c r="P36" s="1"/>
  <c r="B36"/>
  <c r="D36" s="1"/>
  <c r="F36" s="1"/>
  <c r="B35"/>
  <c r="D35" s="1"/>
  <c r="F35" s="1"/>
  <c r="B34"/>
  <c r="D34" s="1"/>
  <c r="F34" s="1"/>
  <c r="Q33"/>
  <c r="S33" s="1"/>
  <c r="U33" s="1"/>
  <c r="L33"/>
  <c r="N33" s="1"/>
  <c r="G33"/>
  <c r="B33"/>
  <c r="D33" s="1"/>
  <c r="Q31"/>
  <c r="S31" s="1"/>
  <c r="L31"/>
  <c r="N31" s="1"/>
  <c r="I31"/>
  <c r="D31"/>
  <c r="F31" s="1"/>
  <c r="F30"/>
  <c r="N29"/>
  <c r="P29" s="1"/>
  <c r="D29"/>
  <c r="F29" s="1"/>
  <c r="G28"/>
  <c r="H28" s="1"/>
  <c r="B28"/>
  <c r="C28" s="1"/>
  <c r="L27"/>
  <c r="N27" s="1"/>
  <c r="P27" s="1"/>
  <c r="D27"/>
  <c r="F27" s="1"/>
  <c r="U26"/>
  <c r="Q26"/>
  <c r="L26"/>
  <c r="G26"/>
  <c r="I26" s="1"/>
  <c r="K26" s="1"/>
  <c r="B26"/>
  <c r="D26" s="1"/>
  <c r="F26" s="1"/>
  <c r="U25"/>
  <c r="Q25"/>
  <c r="L25"/>
  <c r="N25" s="1"/>
  <c r="G25"/>
  <c r="I25" s="1"/>
  <c r="K25" s="1"/>
  <c r="B25"/>
  <c r="Q23"/>
  <c r="S23" s="1"/>
  <c r="U23" s="1"/>
  <c r="L23"/>
  <c r="N23" s="1"/>
  <c r="P23" s="1"/>
  <c r="G23"/>
  <c r="I23" s="1"/>
  <c r="K23" s="1"/>
  <c r="B23"/>
  <c r="D23" s="1"/>
  <c r="F23" s="1"/>
  <c r="B22"/>
  <c r="D22" s="1"/>
  <c r="F22" s="1"/>
  <c r="L21"/>
  <c r="N21" s="1"/>
  <c r="P21" s="1"/>
  <c r="B21"/>
  <c r="D21" s="1"/>
  <c r="F21" s="1"/>
  <c r="L20"/>
  <c r="N20" s="1"/>
  <c r="P20" s="1"/>
  <c r="B20"/>
  <c r="D20" s="1"/>
  <c r="F20" s="1"/>
  <c r="L19"/>
  <c r="N19" s="1"/>
  <c r="B19"/>
  <c r="L17"/>
  <c r="N17" s="1"/>
  <c r="P17" s="1"/>
  <c r="B17"/>
  <c r="D17" s="1"/>
  <c r="F17" s="1"/>
  <c r="U16"/>
  <c r="Q16"/>
  <c r="S16" s="1"/>
  <c r="L16"/>
  <c r="N16" s="1"/>
  <c r="P16" s="1"/>
  <c r="G16"/>
  <c r="I16" s="1"/>
  <c r="K16" s="1"/>
  <c r="B16"/>
  <c r="D16" s="1"/>
  <c r="F16" s="1"/>
  <c r="S15"/>
  <c r="L15"/>
  <c r="N15" s="1"/>
  <c r="P15" s="1"/>
  <c r="G15"/>
  <c r="I15" s="1"/>
  <c r="K15" s="1"/>
  <c r="B15"/>
  <c r="D15" s="1"/>
  <c r="F15" s="1"/>
  <c r="N14"/>
  <c r="B14"/>
  <c r="D14" s="1"/>
  <c r="F14" s="1"/>
  <c r="Q13"/>
  <c r="S13" s="1"/>
  <c r="U13" s="1"/>
  <c r="L13"/>
  <c r="N13" s="1"/>
  <c r="P13" s="1"/>
  <c r="G13"/>
  <c r="I13" s="1"/>
  <c r="K13" s="1"/>
  <c r="B13"/>
  <c r="D13" s="1"/>
  <c r="F13" s="1"/>
  <c r="B12"/>
  <c r="D12" s="1"/>
  <c r="F12" s="1"/>
  <c r="Q11"/>
  <c r="S11" s="1"/>
  <c r="U11" s="1"/>
  <c r="L11"/>
  <c r="N11" s="1"/>
  <c r="P11" s="1"/>
  <c r="G11"/>
  <c r="I11" s="1"/>
  <c r="K11" s="1"/>
  <c r="B11"/>
  <c r="D11" s="1"/>
  <c r="F11" s="1"/>
  <c r="B10"/>
  <c r="D10" s="1"/>
  <c r="F10" s="1"/>
  <c r="Q9"/>
  <c r="S9" s="1"/>
  <c r="L9"/>
  <c r="N9" s="1"/>
  <c r="P9" s="1"/>
  <c r="G9"/>
  <c r="I9" s="1"/>
  <c r="B9"/>
  <c r="D9" s="1"/>
  <c r="F9" s="1"/>
  <c r="AI189" i="1" l="1"/>
  <c r="AF180"/>
  <c r="I227"/>
  <c r="I226" s="1"/>
  <c r="J226" s="1"/>
  <c r="F226"/>
  <c r="G226" s="1"/>
  <c r="AF170"/>
  <c r="F215"/>
  <c r="I176"/>
  <c r="F175"/>
  <c r="G175" s="1"/>
  <c r="AF226"/>
  <c r="AH226" s="1"/>
  <c r="AF175"/>
  <c r="I195"/>
  <c r="F191"/>
  <c r="I161"/>
  <c r="M161" s="1"/>
  <c r="F143"/>
  <c r="I217"/>
  <c r="M217" s="1"/>
  <c r="AI210"/>
  <c r="Q277" i="4"/>
  <c r="R277" s="1"/>
  <c r="BA169" i="1"/>
  <c r="L192"/>
  <c r="I184"/>
  <c r="L189"/>
  <c r="I189"/>
  <c r="F186"/>
  <c r="L186" s="1"/>
  <c r="I186"/>
  <c r="AI171"/>
  <c r="AI170" s="1"/>
  <c r="AI180"/>
  <c r="AI227"/>
  <c r="AI226" s="1"/>
  <c r="L222"/>
  <c r="I199"/>
  <c r="Q272" i="4"/>
  <c r="R272" s="1"/>
  <c r="U272" s="1"/>
  <c r="M75" i="1"/>
  <c r="M74"/>
  <c r="I80"/>
  <c r="AL157"/>
  <c r="AL155"/>
  <c r="AL153"/>
  <c r="AL148"/>
  <c r="Y169"/>
  <c r="AL168"/>
  <c r="AL166"/>
  <c r="AL156"/>
  <c r="AL154"/>
  <c r="AL149"/>
  <c r="AL147"/>
  <c r="AL228"/>
  <c r="AM228"/>
  <c r="AL225"/>
  <c r="AM225"/>
  <c r="AL222"/>
  <c r="AM222"/>
  <c r="AL210"/>
  <c r="AM210"/>
  <c r="AL207"/>
  <c r="AM207"/>
  <c r="AL193"/>
  <c r="AM193"/>
  <c r="AL189"/>
  <c r="AM189"/>
  <c r="AL185"/>
  <c r="AM185"/>
  <c r="AL182"/>
  <c r="AM182"/>
  <c r="AL179"/>
  <c r="AM179"/>
  <c r="AL176"/>
  <c r="AM176"/>
  <c r="AL172"/>
  <c r="AM172"/>
  <c r="AL163"/>
  <c r="AM163"/>
  <c r="AA141"/>
  <c r="AB141" s="1"/>
  <c r="AB129"/>
  <c r="AC129"/>
  <c r="AL94"/>
  <c r="AM94"/>
  <c r="AL91"/>
  <c r="AM91"/>
  <c r="AL89"/>
  <c r="AM89"/>
  <c r="AB49"/>
  <c r="AC49"/>
  <c r="L231"/>
  <c r="M231"/>
  <c r="M227"/>
  <c r="L224"/>
  <c r="M224"/>
  <c r="L221"/>
  <c r="M221"/>
  <c r="L219"/>
  <c r="M219"/>
  <c r="L217"/>
  <c r="L212"/>
  <c r="M212"/>
  <c r="L210"/>
  <c r="M210"/>
  <c r="L207"/>
  <c r="M207"/>
  <c r="L205"/>
  <c r="M205"/>
  <c r="L203"/>
  <c r="M203"/>
  <c r="L195"/>
  <c r="M195"/>
  <c r="L187"/>
  <c r="L185"/>
  <c r="L183"/>
  <c r="M183"/>
  <c r="L179"/>
  <c r="M179"/>
  <c r="L177"/>
  <c r="M177"/>
  <c r="L167"/>
  <c r="M167"/>
  <c r="L162"/>
  <c r="M162"/>
  <c r="L150"/>
  <c r="M150"/>
  <c r="L145"/>
  <c r="M145"/>
  <c r="G115"/>
  <c r="M115" s="1"/>
  <c r="L93"/>
  <c r="M93"/>
  <c r="L91"/>
  <c r="M91"/>
  <c r="L89"/>
  <c r="M89"/>
  <c r="L70"/>
  <c r="M70"/>
  <c r="I65"/>
  <c r="L62"/>
  <c r="M62"/>
  <c r="L56"/>
  <c r="M56"/>
  <c r="L54"/>
  <c r="M54"/>
  <c r="L52"/>
  <c r="M52"/>
  <c r="AX169"/>
  <c r="E141"/>
  <c r="AL232"/>
  <c r="AM232"/>
  <c r="AL209"/>
  <c r="AM209"/>
  <c r="AL190"/>
  <c r="AM190"/>
  <c r="AL187"/>
  <c r="AM187"/>
  <c r="AL183"/>
  <c r="AM183"/>
  <c r="AL177"/>
  <c r="AM177"/>
  <c r="AL165"/>
  <c r="AM165"/>
  <c r="AL150"/>
  <c r="AM150"/>
  <c r="AL145"/>
  <c r="AM145"/>
  <c r="AL93"/>
  <c r="AM93"/>
  <c r="AL90"/>
  <c r="AM90"/>
  <c r="AL61"/>
  <c r="AM61"/>
  <c r="L232"/>
  <c r="M232"/>
  <c r="L225"/>
  <c r="M225"/>
  <c r="L223"/>
  <c r="M223"/>
  <c r="L220"/>
  <c r="M220"/>
  <c r="L218"/>
  <c r="M218"/>
  <c r="L211"/>
  <c r="M211"/>
  <c r="L209"/>
  <c r="M209"/>
  <c r="L206"/>
  <c r="M206"/>
  <c r="L204"/>
  <c r="M204"/>
  <c r="L201"/>
  <c r="M201"/>
  <c r="L190"/>
  <c r="M190"/>
  <c r="L184"/>
  <c r="L178"/>
  <c r="M178"/>
  <c r="L176"/>
  <c r="M176"/>
  <c r="L173"/>
  <c r="L163"/>
  <c r="M163"/>
  <c r="L161"/>
  <c r="L151"/>
  <c r="M151"/>
  <c r="L149"/>
  <c r="M149"/>
  <c r="L94"/>
  <c r="M94"/>
  <c r="L92"/>
  <c r="M92"/>
  <c r="L88"/>
  <c r="M88"/>
  <c r="L77"/>
  <c r="M77"/>
  <c r="L63"/>
  <c r="M63"/>
  <c r="L61"/>
  <c r="M61"/>
  <c r="L57"/>
  <c r="M57"/>
  <c r="L55"/>
  <c r="M55"/>
  <c r="L53"/>
  <c r="M53"/>
  <c r="L51"/>
  <c r="M51"/>
  <c r="Q18" i="6"/>
  <c r="R18" s="1"/>
  <c r="C66" i="1"/>
  <c r="E66" s="1"/>
  <c r="L56" i="4"/>
  <c r="M56" s="1"/>
  <c r="P56" s="1"/>
  <c r="Q116"/>
  <c r="R116" s="1"/>
  <c r="Q265"/>
  <c r="R265" s="1"/>
  <c r="U265" s="1"/>
  <c r="J9" i="7"/>
  <c r="K9" s="1"/>
  <c r="C9"/>
  <c r="I9"/>
  <c r="G277" i="4"/>
  <c r="H277" s="1"/>
  <c r="S31" i="6"/>
  <c r="U31" s="1"/>
  <c r="L265" i="4"/>
  <c r="M265" s="1"/>
  <c r="P265" s="1"/>
  <c r="E9" i="7"/>
  <c r="P9"/>
  <c r="N9"/>
  <c r="F10"/>
  <c r="Q10"/>
  <c r="C175" i="1"/>
  <c r="D175" s="1"/>
  <c r="I18" i="4"/>
  <c r="J18" s="1"/>
  <c r="B83"/>
  <c r="C83" s="1"/>
  <c r="Q144"/>
  <c r="R144" s="1"/>
  <c r="Q151"/>
  <c r="R151" s="1"/>
  <c r="D19"/>
  <c r="F19" s="1"/>
  <c r="B18"/>
  <c r="C18" s="1"/>
  <c r="Q24"/>
  <c r="R24" s="1"/>
  <c r="Q24" i="6"/>
  <c r="R24" s="1"/>
  <c r="I28"/>
  <c r="J28" s="1"/>
  <c r="K28" s="1"/>
  <c r="AF50" i="1"/>
  <c r="C170"/>
  <c r="Q45" i="4"/>
  <c r="Q8" i="6"/>
  <c r="R8" s="1"/>
  <c r="G18" i="4"/>
  <c r="H18" s="1"/>
  <c r="Q18"/>
  <c r="R18" s="1"/>
  <c r="Q219"/>
  <c r="R219" s="1"/>
  <c r="P222"/>
  <c r="K223"/>
  <c r="P224"/>
  <c r="L241"/>
  <c r="M241" s="1"/>
  <c r="L272"/>
  <c r="M272" s="1"/>
  <c r="P272" s="1"/>
  <c r="B277"/>
  <c r="C277" s="1"/>
  <c r="G279"/>
  <c r="H279" s="1"/>
  <c r="Q343"/>
  <c r="L45"/>
  <c r="M45" s="1"/>
  <c r="I61"/>
  <c r="J61" s="1"/>
  <c r="K61" s="1"/>
  <c r="K118"/>
  <c r="I116"/>
  <c r="J116" s="1"/>
  <c r="K116" s="1"/>
  <c r="S94"/>
  <c r="S92" s="1"/>
  <c r="T92" s="1"/>
  <c r="Q92"/>
  <c r="R92" s="1"/>
  <c r="D106"/>
  <c r="F106" s="1"/>
  <c r="B105"/>
  <c r="C105" s="1"/>
  <c r="D119"/>
  <c r="F119" s="1"/>
  <c r="B116"/>
  <c r="C116" s="1"/>
  <c r="F120"/>
  <c r="L137"/>
  <c r="M137" s="1"/>
  <c r="B144"/>
  <c r="C144" s="1"/>
  <c r="F154"/>
  <c r="P154"/>
  <c r="K155"/>
  <c r="F156"/>
  <c r="P156"/>
  <c r="B172"/>
  <c r="C172" s="1"/>
  <c r="G7" i="5"/>
  <c r="H7" s="1"/>
  <c r="G8" i="6"/>
  <c r="H8" s="1"/>
  <c r="S11"/>
  <c r="U11" s="1"/>
  <c r="G18"/>
  <c r="H18" s="1"/>
  <c r="S18"/>
  <c r="T18" s="1"/>
  <c r="B24"/>
  <c r="C24" s="1"/>
  <c r="G32"/>
  <c r="H32" s="1"/>
  <c r="L76" i="1"/>
  <c r="L73"/>
  <c r="C64"/>
  <c r="D64" s="1"/>
  <c r="G151" i="4"/>
  <c r="H151" s="1"/>
  <c r="B151"/>
  <c r="C151" s="1"/>
  <c r="S24" i="6"/>
  <c r="T24" s="1"/>
  <c r="AA175" i="1"/>
  <c r="AA71"/>
  <c r="F200"/>
  <c r="I200" s="1"/>
  <c r="L174"/>
  <c r="C136"/>
  <c r="C115"/>
  <c r="D115" s="1"/>
  <c r="L74"/>
  <c r="C49"/>
  <c r="D49" s="1"/>
  <c r="C198"/>
  <c r="AA226"/>
  <c r="AA115"/>
  <c r="AL75"/>
  <c r="F172"/>
  <c r="L227"/>
  <c r="AA191"/>
  <c r="AB191" s="1"/>
  <c r="C226"/>
  <c r="AI203"/>
  <c r="AA198"/>
  <c r="AA58"/>
  <c r="L199"/>
  <c r="C143"/>
  <c r="I144"/>
  <c r="C71"/>
  <c r="D71" s="1"/>
  <c r="I72"/>
  <c r="AA143"/>
  <c r="C215"/>
  <c r="D215" s="1"/>
  <c r="I216"/>
  <c r="C191"/>
  <c r="D191" s="1"/>
  <c r="C180"/>
  <c r="E180" s="1"/>
  <c r="M181"/>
  <c r="C58"/>
  <c r="F59"/>
  <c r="G141"/>
  <c r="C95"/>
  <c r="L75"/>
  <c r="C129"/>
  <c r="E129" s="1"/>
  <c r="L80"/>
  <c r="C79"/>
  <c r="F50"/>
  <c r="AL171"/>
  <c r="AA136"/>
  <c r="AA79"/>
  <c r="AL227"/>
  <c r="AA215"/>
  <c r="AA180"/>
  <c r="AM181"/>
  <c r="AA95"/>
  <c r="AA170"/>
  <c r="AF80"/>
  <c r="AF79" s="1"/>
  <c r="AF59"/>
  <c r="AF58" s="1"/>
  <c r="I127" i="4"/>
  <c r="I126" s="1"/>
  <c r="J126" s="1"/>
  <c r="G126"/>
  <c r="H126" s="1"/>
  <c r="D135"/>
  <c r="F135" s="1"/>
  <c r="B134"/>
  <c r="C134" s="1"/>
  <c r="G8"/>
  <c r="H8" s="1"/>
  <c r="S26"/>
  <c r="D133"/>
  <c r="D132" s="1"/>
  <c r="E132" s="1"/>
  <c r="B132"/>
  <c r="C132" s="1"/>
  <c r="F225"/>
  <c r="L32"/>
  <c r="M32" s="1"/>
  <c r="S84"/>
  <c r="S83" s="1"/>
  <c r="T83" s="1"/>
  <c r="Q83"/>
  <c r="R83" s="1"/>
  <c r="I254"/>
  <c r="K254" s="1"/>
  <c r="G252"/>
  <c r="H252" s="1"/>
  <c r="B265"/>
  <c r="C265" s="1"/>
  <c r="B272"/>
  <c r="C272" s="1"/>
  <c r="B343"/>
  <c r="B219"/>
  <c r="C219" s="1"/>
  <c r="F222"/>
  <c r="F224"/>
  <c r="Q252"/>
  <c r="R252" s="1"/>
  <c r="U258"/>
  <c r="I265"/>
  <c r="J265" s="1"/>
  <c r="L277"/>
  <c r="M277" s="1"/>
  <c r="S306"/>
  <c r="T306" s="1"/>
  <c r="U306" s="1"/>
  <c r="L323"/>
  <c r="M323" s="1"/>
  <c r="L343"/>
  <c r="M343" s="1"/>
  <c r="G45"/>
  <c r="H45" s="1"/>
  <c r="B61"/>
  <c r="C61" s="1"/>
  <c r="L67"/>
  <c r="M67" s="1"/>
  <c r="U98"/>
  <c r="L105"/>
  <c r="M105" s="1"/>
  <c r="F157"/>
  <c r="B159"/>
  <c r="C159" s="1"/>
  <c r="L159"/>
  <c r="M159" s="1"/>
  <c r="G172"/>
  <c r="H172" s="1"/>
  <c r="L7" i="5"/>
  <c r="I18" i="6"/>
  <c r="J18" s="1"/>
  <c r="G24"/>
  <c r="H24" s="1"/>
  <c r="B32"/>
  <c r="C32" s="1"/>
  <c r="L32"/>
  <c r="M32" s="1"/>
  <c r="I272" i="4"/>
  <c r="J272" s="1"/>
  <c r="S61"/>
  <c r="G92"/>
  <c r="H92" s="1"/>
  <c r="Q105"/>
  <c r="R105" s="1"/>
  <c r="B137"/>
  <c r="C137" s="1"/>
  <c r="K152"/>
  <c r="L151"/>
  <c r="M151" s="1"/>
  <c r="G159"/>
  <c r="H159" s="1"/>
  <c r="Q159"/>
  <c r="R159" s="1"/>
  <c r="L172"/>
  <c r="M172" s="1"/>
  <c r="B7" i="5"/>
  <c r="Q7"/>
  <c r="L24" i="6"/>
  <c r="M24" s="1"/>
  <c r="Q32"/>
  <c r="R32" s="1"/>
  <c r="K9"/>
  <c r="I8"/>
  <c r="P19"/>
  <c r="N18"/>
  <c r="O18" s="1"/>
  <c r="P25"/>
  <c r="N24"/>
  <c r="O24" s="1"/>
  <c r="P31"/>
  <c r="N28"/>
  <c r="O28" s="1"/>
  <c r="U33"/>
  <c r="S32"/>
  <c r="T32" s="1"/>
  <c r="N32"/>
  <c r="O32" s="1"/>
  <c r="P36"/>
  <c r="U9"/>
  <c r="F25"/>
  <c r="D24"/>
  <c r="E24" s="1"/>
  <c r="K33"/>
  <c r="I32"/>
  <c r="J32" s="1"/>
  <c r="D32"/>
  <c r="E32" s="1"/>
  <c r="F35"/>
  <c r="B8"/>
  <c r="D8"/>
  <c r="L8"/>
  <c r="N8"/>
  <c r="B18"/>
  <c r="C18" s="1"/>
  <c r="D18"/>
  <c r="E18" s="1"/>
  <c r="L18"/>
  <c r="M18" s="1"/>
  <c r="I24"/>
  <c r="J24" s="1"/>
  <c r="D28"/>
  <c r="E28" s="1"/>
  <c r="F28" s="1"/>
  <c r="L28"/>
  <c r="M28" s="1"/>
  <c r="U8" i="5"/>
  <c r="S7"/>
  <c r="N7"/>
  <c r="P10"/>
  <c r="K8"/>
  <c r="I7"/>
  <c r="D7"/>
  <c r="F10"/>
  <c r="S38" i="4"/>
  <c r="S32" s="1"/>
  <c r="T32" s="1"/>
  <c r="Q32"/>
  <c r="R32" s="1"/>
  <c r="N84"/>
  <c r="P84" s="1"/>
  <c r="L83"/>
  <c r="M83" s="1"/>
  <c r="S128"/>
  <c r="U128" s="1"/>
  <c r="Q126"/>
  <c r="R126" s="1"/>
  <c r="I133"/>
  <c r="K133" s="1"/>
  <c r="G132"/>
  <c r="H132" s="1"/>
  <c r="I135"/>
  <c r="K135" s="1"/>
  <c r="G134"/>
  <c r="H134" s="1"/>
  <c r="D244"/>
  <c r="F244" s="1"/>
  <c r="B241"/>
  <c r="C241" s="1"/>
  <c r="F304"/>
  <c r="D301"/>
  <c r="E301" s="1"/>
  <c r="F316"/>
  <c r="D312"/>
  <c r="E312" s="1"/>
  <c r="P321"/>
  <c r="N312"/>
  <c r="O312" s="1"/>
  <c r="K335"/>
  <c r="I330"/>
  <c r="J330" s="1"/>
  <c r="F358"/>
  <c r="D355"/>
  <c r="E355" s="1"/>
  <c r="F58"/>
  <c r="D56"/>
  <c r="E56" s="1"/>
  <c r="K148"/>
  <c r="I144"/>
  <c r="J144" s="1"/>
  <c r="P167"/>
  <c r="N159"/>
  <c r="O159" s="1"/>
  <c r="K31"/>
  <c r="I28"/>
  <c r="J28" s="1"/>
  <c r="K28" s="1"/>
  <c r="U31"/>
  <c r="S28"/>
  <c r="T28" s="1"/>
  <c r="D25"/>
  <c r="D24" s="1"/>
  <c r="E24" s="1"/>
  <c r="B24"/>
  <c r="C24" s="1"/>
  <c r="S25"/>
  <c r="N26"/>
  <c r="P26" s="1"/>
  <c r="L24"/>
  <c r="M24" s="1"/>
  <c r="I33"/>
  <c r="K33" s="1"/>
  <c r="G32"/>
  <c r="H32" s="1"/>
  <c r="D43"/>
  <c r="F43" s="1"/>
  <c r="B40"/>
  <c r="C40" s="1"/>
  <c r="D86"/>
  <c r="F86" s="1"/>
  <c r="N221"/>
  <c r="N219" s="1"/>
  <c r="O219" s="1"/>
  <c r="L219"/>
  <c r="M219" s="1"/>
  <c r="K229"/>
  <c r="I227"/>
  <c r="J227" s="1"/>
  <c r="I277"/>
  <c r="J277" s="1"/>
  <c r="P324"/>
  <c r="N323"/>
  <c r="O323" s="1"/>
  <c r="P359"/>
  <c r="N355"/>
  <c r="O355" s="1"/>
  <c r="F70"/>
  <c r="D67"/>
  <c r="E67" s="1"/>
  <c r="F152"/>
  <c r="D151"/>
  <c r="E151" s="1"/>
  <c r="Q8"/>
  <c r="R8" s="1"/>
  <c r="S18"/>
  <c r="T18" s="1"/>
  <c r="G24"/>
  <c r="H24" s="1"/>
  <c r="Q28"/>
  <c r="R28" s="1"/>
  <c r="B32"/>
  <c r="C32" s="1"/>
  <c r="L40"/>
  <c r="M40" s="1"/>
  <c r="G83"/>
  <c r="H83" s="1"/>
  <c r="Q227"/>
  <c r="R227" s="1"/>
  <c r="U277"/>
  <c r="I343"/>
  <c r="J343" s="1"/>
  <c r="K220"/>
  <c r="K222"/>
  <c r="F223"/>
  <c r="P223"/>
  <c r="K224"/>
  <c r="S219"/>
  <c r="T219" s="1"/>
  <c r="U219" s="1"/>
  <c r="K225"/>
  <c r="P231"/>
  <c r="G265"/>
  <c r="H265" s="1"/>
  <c r="G272"/>
  <c r="H272" s="1"/>
  <c r="S279"/>
  <c r="T279" s="1"/>
  <c r="F305"/>
  <c r="G312"/>
  <c r="H312" s="1"/>
  <c r="Q312"/>
  <c r="R312" s="1"/>
  <c r="B323"/>
  <c r="C323" s="1"/>
  <c r="F326"/>
  <c r="G330"/>
  <c r="H330" s="1"/>
  <c r="Q330"/>
  <c r="R330" s="1"/>
  <c r="G343"/>
  <c r="H343" s="1"/>
  <c r="N343"/>
  <c r="O343" s="1"/>
  <c r="R343"/>
  <c r="B355"/>
  <c r="C355" s="1"/>
  <c r="G355"/>
  <c r="H355" s="1"/>
  <c r="L355"/>
  <c r="M355" s="1"/>
  <c r="Q355"/>
  <c r="R355" s="1"/>
  <c r="B45"/>
  <c r="C45" s="1"/>
  <c r="R45"/>
  <c r="B56"/>
  <c r="C56" s="1"/>
  <c r="G56"/>
  <c r="H56" s="1"/>
  <c r="Q56"/>
  <c r="R56" s="1"/>
  <c r="L61"/>
  <c r="M61" s="1"/>
  <c r="T61"/>
  <c r="U61" s="1"/>
  <c r="B67"/>
  <c r="C67" s="1"/>
  <c r="G67"/>
  <c r="H67" s="1"/>
  <c r="Q67"/>
  <c r="R67" s="1"/>
  <c r="B92"/>
  <c r="C92" s="1"/>
  <c r="L92"/>
  <c r="M92" s="1"/>
  <c r="K98"/>
  <c r="G105"/>
  <c r="H105" s="1"/>
  <c r="L116"/>
  <c r="M116" s="1"/>
  <c r="G219"/>
  <c r="H219" s="1"/>
  <c r="G137"/>
  <c r="H137" s="1"/>
  <c r="S137"/>
  <c r="T137" s="1"/>
  <c r="U137" s="1"/>
  <c r="F140"/>
  <c r="G144"/>
  <c r="H144" s="1"/>
  <c r="L144"/>
  <c r="M144" s="1"/>
  <c r="K154"/>
  <c r="F155"/>
  <c r="P155"/>
  <c r="K156"/>
  <c r="K157"/>
  <c r="Q172"/>
  <c r="R172" s="1"/>
  <c r="K173"/>
  <c r="I172"/>
  <c r="J172" s="1"/>
  <c r="U173"/>
  <c r="S172"/>
  <c r="T172" s="1"/>
  <c r="F173"/>
  <c r="D172"/>
  <c r="E172" s="1"/>
  <c r="P173"/>
  <c r="N172"/>
  <c r="O172" s="1"/>
  <c r="F160"/>
  <c r="D159"/>
  <c r="E159" s="1"/>
  <c r="I159"/>
  <c r="J159" s="1"/>
  <c r="K162"/>
  <c r="S159"/>
  <c r="T159" s="1"/>
  <c r="U163"/>
  <c r="D219"/>
  <c r="E219" s="1"/>
  <c r="I219"/>
  <c r="J219" s="1"/>
  <c r="P153"/>
  <c r="N151"/>
  <c r="O151" s="1"/>
  <c r="P151" s="1"/>
  <c r="S151"/>
  <c r="T151" s="1"/>
  <c r="K153"/>
  <c r="I151"/>
  <c r="J151" s="1"/>
  <c r="F145"/>
  <c r="D144"/>
  <c r="E144" s="1"/>
  <c r="N144"/>
  <c r="O144" s="1"/>
  <c r="S144"/>
  <c r="T144" s="1"/>
  <c r="F138"/>
  <c r="D137"/>
  <c r="E137" s="1"/>
  <c r="K141"/>
  <c r="I137"/>
  <c r="J137" s="1"/>
  <c r="P140"/>
  <c r="N137"/>
  <c r="O137" s="1"/>
  <c r="P137" s="1"/>
  <c r="N301"/>
  <c r="O301" s="1"/>
  <c r="U117"/>
  <c r="S116"/>
  <c r="T116" s="1"/>
  <c r="P118"/>
  <c r="N116"/>
  <c r="O116" s="1"/>
  <c r="N105"/>
  <c r="O105" s="1"/>
  <c r="P106"/>
  <c r="S105"/>
  <c r="T105" s="1"/>
  <c r="K110"/>
  <c r="I105"/>
  <c r="J105" s="1"/>
  <c r="S252"/>
  <c r="T252" s="1"/>
  <c r="U252" s="1"/>
  <c r="P94"/>
  <c r="N92"/>
  <c r="O92" s="1"/>
  <c r="F93"/>
  <c r="D92"/>
  <c r="E92" s="1"/>
  <c r="I92"/>
  <c r="J92" s="1"/>
  <c r="K92" s="1"/>
  <c r="K94"/>
  <c r="K70"/>
  <c r="I67"/>
  <c r="J67" s="1"/>
  <c r="U71"/>
  <c r="S67"/>
  <c r="T67" s="1"/>
  <c r="N67"/>
  <c r="O67" s="1"/>
  <c r="P68"/>
  <c r="F62"/>
  <c r="D61"/>
  <c r="E61" s="1"/>
  <c r="P62"/>
  <c r="N61"/>
  <c r="O61" s="1"/>
  <c r="N241"/>
  <c r="O241" s="1"/>
  <c r="P241" s="1"/>
  <c r="S56"/>
  <c r="T56" s="1"/>
  <c r="I56"/>
  <c r="J56" s="1"/>
  <c r="I45"/>
  <c r="J45" s="1"/>
  <c r="K46"/>
  <c r="S45"/>
  <c r="T45" s="1"/>
  <c r="F48"/>
  <c r="D45"/>
  <c r="E45" s="1"/>
  <c r="P49"/>
  <c r="N45"/>
  <c r="O45" s="1"/>
  <c r="F44"/>
  <c r="K9"/>
  <c r="I8"/>
  <c r="U9"/>
  <c r="S8"/>
  <c r="F33"/>
  <c r="D32"/>
  <c r="E32" s="1"/>
  <c r="F41"/>
  <c r="K84"/>
  <c r="I83"/>
  <c r="J83" s="1"/>
  <c r="U127"/>
  <c r="P19"/>
  <c r="N18"/>
  <c r="O18" s="1"/>
  <c r="P25"/>
  <c r="P31"/>
  <c r="N28"/>
  <c r="O28" s="1"/>
  <c r="P33"/>
  <c r="N32"/>
  <c r="O32" s="1"/>
  <c r="P32" s="1"/>
  <c r="P41"/>
  <c r="N40"/>
  <c r="O40" s="1"/>
  <c r="P221"/>
  <c r="N229"/>
  <c r="P229" s="1"/>
  <c r="L227"/>
  <c r="M227" s="1"/>
  <c r="D231"/>
  <c r="F231" s="1"/>
  <c r="B227"/>
  <c r="C227" s="1"/>
  <c r="I244"/>
  <c r="K244" s="1"/>
  <c r="G241"/>
  <c r="H241" s="1"/>
  <c r="S245"/>
  <c r="S241" s="1"/>
  <c r="T241" s="1"/>
  <c r="Q241"/>
  <c r="R241" s="1"/>
  <c r="F273"/>
  <c r="D272"/>
  <c r="E272" s="1"/>
  <c r="F278"/>
  <c r="D277"/>
  <c r="E277" s="1"/>
  <c r="N277"/>
  <c r="O277" s="1"/>
  <c r="B8"/>
  <c r="D8"/>
  <c r="L8"/>
  <c r="N8"/>
  <c r="L18"/>
  <c r="M18" s="1"/>
  <c r="I24"/>
  <c r="J24" s="1"/>
  <c r="D28"/>
  <c r="E28" s="1"/>
  <c r="L28"/>
  <c r="M28" s="1"/>
  <c r="G40"/>
  <c r="I40"/>
  <c r="J40" s="1"/>
  <c r="Q40"/>
  <c r="S40"/>
  <c r="T40" s="1"/>
  <c r="B126"/>
  <c r="C126" s="1"/>
  <c r="D126"/>
  <c r="E126" s="1"/>
  <c r="L126"/>
  <c r="M126" s="1"/>
  <c r="N126"/>
  <c r="O126" s="1"/>
  <c r="I134"/>
  <c r="J134" s="1"/>
  <c r="G227"/>
  <c r="H227" s="1"/>
  <c r="S227"/>
  <c r="T227" s="1"/>
  <c r="U242"/>
  <c r="F228"/>
  <c r="P228"/>
  <c r="N252"/>
  <c r="O252" s="1"/>
  <c r="P254"/>
  <c r="F266"/>
  <c r="D265"/>
  <c r="E265" s="1"/>
  <c r="K242"/>
  <c r="K258"/>
  <c r="D295"/>
  <c r="F295" s="1"/>
  <c r="B279"/>
  <c r="C279" s="1"/>
  <c r="N296"/>
  <c r="P296" s="1"/>
  <c r="L279"/>
  <c r="M279" s="1"/>
  <c r="S303"/>
  <c r="U303" s="1"/>
  <c r="Q301"/>
  <c r="R301" s="1"/>
  <c r="K304"/>
  <c r="I301"/>
  <c r="J301" s="1"/>
  <c r="K301" s="1"/>
  <c r="D311"/>
  <c r="F311" s="1"/>
  <c r="B306"/>
  <c r="C306" s="1"/>
  <c r="K315"/>
  <c r="I312"/>
  <c r="J312" s="1"/>
  <c r="K327"/>
  <c r="F331"/>
  <c r="U347"/>
  <c r="S343"/>
  <c r="T343" s="1"/>
  <c r="U343" s="1"/>
  <c r="K358"/>
  <c r="I355"/>
  <c r="J355" s="1"/>
  <c r="U359"/>
  <c r="S355"/>
  <c r="T355" s="1"/>
  <c r="F280"/>
  <c r="P280"/>
  <c r="U302"/>
  <c r="F307"/>
  <c r="N307"/>
  <c r="L306"/>
  <c r="M306" s="1"/>
  <c r="U313"/>
  <c r="S312"/>
  <c r="T312" s="1"/>
  <c r="U324"/>
  <c r="S323"/>
  <c r="T323" s="1"/>
  <c r="U323" s="1"/>
  <c r="I328"/>
  <c r="K328" s="1"/>
  <c r="G323"/>
  <c r="H323" s="1"/>
  <c r="D333"/>
  <c r="F333" s="1"/>
  <c r="B330"/>
  <c r="C330" s="1"/>
  <c r="N334"/>
  <c r="L330"/>
  <c r="M330" s="1"/>
  <c r="D344"/>
  <c r="C343"/>
  <c r="B252"/>
  <c r="C252" s="1"/>
  <c r="D252"/>
  <c r="E252" s="1"/>
  <c r="L252"/>
  <c r="M252" s="1"/>
  <c r="I279"/>
  <c r="J279" s="1"/>
  <c r="Q279"/>
  <c r="R279" s="1"/>
  <c r="B301"/>
  <c r="C301" s="1"/>
  <c r="L301"/>
  <c r="M301" s="1"/>
  <c r="I306"/>
  <c r="J306" s="1"/>
  <c r="K306" s="1"/>
  <c r="B312"/>
  <c r="C312" s="1"/>
  <c r="L312"/>
  <c r="M312" s="1"/>
  <c r="D323"/>
  <c r="E323" s="1"/>
  <c r="S330"/>
  <c r="T330" s="1"/>
  <c r="E34" i="3"/>
  <c r="F34"/>
  <c r="B31"/>
  <c r="F180" i="1" l="1"/>
  <c r="I198"/>
  <c r="K198" s="1"/>
  <c r="J198"/>
  <c r="G215"/>
  <c r="H215"/>
  <c r="I50"/>
  <c r="M50" s="1"/>
  <c r="AI50"/>
  <c r="AI49" s="1"/>
  <c r="AK49" s="1"/>
  <c r="AF49"/>
  <c r="H191"/>
  <c r="G191"/>
  <c r="L191" s="1"/>
  <c r="H226"/>
  <c r="I215"/>
  <c r="K215" s="1"/>
  <c r="R215" s="1"/>
  <c r="M184"/>
  <c r="I180"/>
  <c r="G180"/>
  <c r="H180"/>
  <c r="I143"/>
  <c r="I172"/>
  <c r="I170" s="1"/>
  <c r="F170"/>
  <c r="H143"/>
  <c r="G143"/>
  <c r="F198"/>
  <c r="I175"/>
  <c r="K175" s="1"/>
  <c r="M199"/>
  <c r="AG215"/>
  <c r="AH215"/>
  <c r="AE169"/>
  <c r="K159" i="4"/>
  <c r="L65" i="1"/>
  <c r="P61" i="4"/>
  <c r="U151"/>
  <c r="AY169" i="1"/>
  <c r="K127" i="4"/>
  <c r="N83"/>
  <c r="O83" s="1"/>
  <c r="P40"/>
  <c r="D105"/>
  <c r="E105" s="1"/>
  <c r="F105" s="1"/>
  <c r="P159"/>
  <c r="I252"/>
  <c r="J252" s="1"/>
  <c r="K137"/>
  <c r="K24" i="6"/>
  <c r="D241" i="4"/>
  <c r="E241" s="1"/>
  <c r="K67"/>
  <c r="P92"/>
  <c r="S24"/>
  <c r="T24" s="1"/>
  <c r="U18" i="6"/>
  <c r="K126" i="4"/>
  <c r="L153" i="1"/>
  <c r="L157"/>
  <c r="U330" i="4"/>
  <c r="K279"/>
  <c r="P277"/>
  <c r="U84"/>
  <c r="P105"/>
  <c r="F32" i="6"/>
  <c r="F64" i="1"/>
  <c r="U24" i="6"/>
  <c r="M189" i="1"/>
  <c r="U116" i="4"/>
  <c r="U312"/>
  <c r="L165" i="1"/>
  <c r="M165"/>
  <c r="L147"/>
  <c r="L156"/>
  <c r="M156"/>
  <c r="L166"/>
  <c r="M166"/>
  <c r="L154"/>
  <c r="M154"/>
  <c r="L158"/>
  <c r="M158"/>
  <c r="L168"/>
  <c r="M168"/>
  <c r="M187"/>
  <c r="K24" i="4"/>
  <c r="K18"/>
  <c r="V265"/>
  <c r="D83"/>
  <c r="E83" s="1"/>
  <c r="V83" s="1"/>
  <c r="P116"/>
  <c r="AM155" i="1"/>
  <c r="K227" i="4"/>
  <c r="AM148" i="1"/>
  <c r="M222"/>
  <c r="V323" i="4"/>
  <c r="D18"/>
  <c r="E18" s="1"/>
  <c r="V18" s="1"/>
  <c r="F133"/>
  <c r="P45"/>
  <c r="F67"/>
  <c r="U32" i="6"/>
  <c r="AM166" i="1"/>
  <c r="F312" i="4"/>
  <c r="V241"/>
  <c r="V159"/>
  <c r="F24" i="6"/>
  <c r="M186" i="1"/>
  <c r="S28" i="6"/>
  <c r="T28" s="1"/>
  <c r="U28" s="1"/>
  <c r="I192" i="1"/>
  <c r="I191" s="1"/>
  <c r="E175"/>
  <c r="E191"/>
  <c r="L175"/>
  <c r="AI191"/>
  <c r="AK170"/>
  <c r="AJ170"/>
  <c r="AK180"/>
  <c r="AJ180"/>
  <c r="AM171"/>
  <c r="K226"/>
  <c r="M226"/>
  <c r="AM227"/>
  <c r="AK226"/>
  <c r="AQ226" s="1"/>
  <c r="AJ226"/>
  <c r="U355" i="4"/>
  <c r="D227"/>
  <c r="E227" s="1"/>
  <c r="F227" s="1"/>
  <c r="I32"/>
  <c r="J32" s="1"/>
  <c r="K32" s="1"/>
  <c r="N24"/>
  <c r="O24" s="1"/>
  <c r="V24" s="1"/>
  <c r="S126"/>
  <c r="T126" s="1"/>
  <c r="U126" s="1"/>
  <c r="K252"/>
  <c r="AM147" i="1"/>
  <c r="P301" i="4"/>
  <c r="U18"/>
  <c r="AI198" i="1"/>
  <c r="AK198" s="1"/>
  <c r="AI219"/>
  <c r="AI144"/>
  <c r="M144"/>
  <c r="AC141"/>
  <c r="K312" i="4"/>
  <c r="U56"/>
  <c r="U105"/>
  <c r="K18" i="6"/>
  <c r="AI59" i="1"/>
  <c r="AI58" s="1"/>
  <c r="I67"/>
  <c r="I66" s="1"/>
  <c r="I64"/>
  <c r="K64" s="1"/>
  <c r="P83" i="4"/>
  <c r="K45"/>
  <c r="K105"/>
  <c r="K219"/>
  <c r="P172"/>
  <c r="G6" i="5"/>
  <c r="H6" s="1"/>
  <c r="I59" i="1"/>
  <c r="I58" s="1"/>
  <c r="D66"/>
  <c r="AM154"/>
  <c r="I71"/>
  <c r="M148"/>
  <c r="M153"/>
  <c r="M155"/>
  <c r="M157"/>
  <c r="M159"/>
  <c r="Z169"/>
  <c r="AM153"/>
  <c r="AM157"/>
  <c r="I79"/>
  <c r="J79" s="1"/>
  <c r="AG226"/>
  <c r="L148"/>
  <c r="L155"/>
  <c r="L159"/>
  <c r="AM149"/>
  <c r="AM156"/>
  <c r="AM168"/>
  <c r="M80"/>
  <c r="AI80"/>
  <c r="AM80" s="1"/>
  <c r="AF191"/>
  <c r="AC191"/>
  <c r="AG175"/>
  <c r="AH175"/>
  <c r="AQ175" s="1"/>
  <c r="AG115"/>
  <c r="AH115"/>
  <c r="AQ115" s="1"/>
  <c r="AG170"/>
  <c r="AH170"/>
  <c r="AB180"/>
  <c r="AC180"/>
  <c r="AB215"/>
  <c r="AC215"/>
  <c r="AB79"/>
  <c r="AC79"/>
  <c r="AB136"/>
  <c r="AC136"/>
  <c r="F79"/>
  <c r="H79" s="1"/>
  <c r="L141"/>
  <c r="M141"/>
  <c r="D58"/>
  <c r="E58"/>
  <c r="D180"/>
  <c r="M216"/>
  <c r="D143"/>
  <c r="E143"/>
  <c r="AB58"/>
  <c r="AC58"/>
  <c r="AB198"/>
  <c r="AC198"/>
  <c r="D226"/>
  <c r="L226" s="1"/>
  <c r="E226"/>
  <c r="M172"/>
  <c r="AB226"/>
  <c r="AC226"/>
  <c r="AB71"/>
  <c r="AC71"/>
  <c r="AB175"/>
  <c r="AC175"/>
  <c r="D170"/>
  <c r="E170"/>
  <c r="H141"/>
  <c r="R141" s="1"/>
  <c r="E71"/>
  <c r="E49"/>
  <c r="M65"/>
  <c r="D279" i="4"/>
  <c r="E279" s="1"/>
  <c r="V132"/>
  <c r="AB170" i="1"/>
  <c r="AC170" s="1"/>
  <c r="AB95"/>
  <c r="AC95"/>
  <c r="D79"/>
  <c r="E79"/>
  <c r="D95"/>
  <c r="E95"/>
  <c r="AB143"/>
  <c r="AC143"/>
  <c r="M72"/>
  <c r="AL203"/>
  <c r="AM203"/>
  <c r="AB115"/>
  <c r="AC115"/>
  <c r="D198"/>
  <c r="E198"/>
  <c r="D136"/>
  <c r="E136"/>
  <c r="L200"/>
  <c r="M200"/>
  <c r="AL50"/>
  <c r="AM50"/>
  <c r="E215"/>
  <c r="E64"/>
  <c r="E115"/>
  <c r="F28" i="4"/>
  <c r="V28"/>
  <c r="F32"/>
  <c r="V32"/>
  <c r="F61"/>
  <c r="V61"/>
  <c r="V105"/>
  <c r="V137"/>
  <c r="F144"/>
  <c r="V144"/>
  <c r="V56"/>
  <c r="V355"/>
  <c r="V312"/>
  <c r="V301"/>
  <c r="V252"/>
  <c r="V126"/>
  <c r="F277"/>
  <c r="V277"/>
  <c r="V272"/>
  <c r="V45"/>
  <c r="F92"/>
  <c r="V92"/>
  <c r="F219"/>
  <c r="V219"/>
  <c r="F172"/>
  <c r="V172"/>
  <c r="F151"/>
  <c r="V151"/>
  <c r="V67"/>
  <c r="S301"/>
  <c r="T301" s="1"/>
  <c r="U301" s="1"/>
  <c r="P144"/>
  <c r="F9" i="7"/>
  <c r="L9"/>
  <c r="Q9"/>
  <c r="P219" i="4"/>
  <c r="F24"/>
  <c r="F355"/>
  <c r="K265"/>
  <c r="U92"/>
  <c r="I241"/>
  <c r="J241" s="1"/>
  <c r="K241" s="1"/>
  <c r="F241"/>
  <c r="U45"/>
  <c r="F159"/>
  <c r="P312"/>
  <c r="F301"/>
  <c r="U227"/>
  <c r="I132"/>
  <c r="J132" s="1"/>
  <c r="K132" s="1"/>
  <c r="D134"/>
  <c r="E134" s="1"/>
  <c r="D40"/>
  <c r="E40" s="1"/>
  <c r="F25"/>
  <c r="P67"/>
  <c r="D116"/>
  <c r="E116" s="1"/>
  <c r="F137"/>
  <c r="U144"/>
  <c r="K32" i="6"/>
  <c r="S8"/>
  <c r="L115" i="1"/>
  <c r="L172"/>
  <c r="F265" i="4"/>
  <c r="N227"/>
  <c r="O227" s="1"/>
  <c r="P227" s="1"/>
  <c r="U279"/>
  <c r="D306"/>
  <c r="E306" s="1"/>
  <c r="N279"/>
  <c r="O279" s="1"/>
  <c r="F45"/>
  <c r="K151"/>
  <c r="P343"/>
  <c r="K272"/>
  <c r="P323"/>
  <c r="P32" i="6"/>
  <c r="U241" i="4"/>
  <c r="U24"/>
  <c r="U32"/>
  <c r="G7" i="6"/>
  <c r="H7" s="1"/>
  <c r="C11" i="1"/>
  <c r="D129"/>
  <c r="F49"/>
  <c r="G49" s="1"/>
  <c r="L50"/>
  <c r="F66"/>
  <c r="H66" s="1"/>
  <c r="L67"/>
  <c r="L181"/>
  <c r="L216"/>
  <c r="AF141"/>
  <c r="AG141" s="1"/>
  <c r="L59"/>
  <c r="F58"/>
  <c r="H58" s="1"/>
  <c r="L72"/>
  <c r="F71"/>
  <c r="L144"/>
  <c r="AL219"/>
  <c r="AL144"/>
  <c r="AL80"/>
  <c r="AA11"/>
  <c r="AL59"/>
  <c r="U28" i="4"/>
  <c r="C7" i="5"/>
  <c r="B6"/>
  <c r="F323" i="4"/>
  <c r="K355"/>
  <c r="K134"/>
  <c r="U83"/>
  <c r="U67"/>
  <c r="F252"/>
  <c r="K56"/>
  <c r="U159"/>
  <c r="K172"/>
  <c r="Q6" i="5"/>
  <c r="R7"/>
  <c r="M7"/>
  <c r="L6"/>
  <c r="Q7" i="6"/>
  <c r="R7" s="1"/>
  <c r="P24"/>
  <c r="F18"/>
  <c r="M8"/>
  <c r="L7"/>
  <c r="C8"/>
  <c r="B7"/>
  <c r="P28"/>
  <c r="O8"/>
  <c r="N7"/>
  <c r="E8"/>
  <c r="D7"/>
  <c r="I7"/>
  <c r="J8"/>
  <c r="K8" s="1"/>
  <c r="P18"/>
  <c r="D6" i="5"/>
  <c r="E7"/>
  <c r="N6"/>
  <c r="O7"/>
  <c r="J7"/>
  <c r="K7" s="1"/>
  <c r="I6"/>
  <c r="T7"/>
  <c r="S6"/>
  <c r="K343" i="4"/>
  <c r="U172"/>
  <c r="P355"/>
  <c r="F279"/>
  <c r="D330"/>
  <c r="E330" s="1"/>
  <c r="F330" s="1"/>
  <c r="K277"/>
  <c r="K144"/>
  <c r="F56"/>
  <c r="K330"/>
  <c r="I323"/>
  <c r="J323" s="1"/>
  <c r="K323" s="1"/>
  <c r="F132"/>
  <c r="F272"/>
  <c r="F344"/>
  <c r="D343"/>
  <c r="E343" s="1"/>
  <c r="N330"/>
  <c r="O330" s="1"/>
  <c r="P330" s="1"/>
  <c r="P334"/>
  <c r="N306"/>
  <c r="O306" s="1"/>
  <c r="P306" s="1"/>
  <c r="P307"/>
  <c r="R40"/>
  <c r="U40" s="1"/>
  <c r="Q7"/>
  <c r="H40"/>
  <c r="K40" s="1"/>
  <c r="G7"/>
  <c r="M8"/>
  <c r="L7"/>
  <c r="C8"/>
  <c r="B7"/>
  <c r="P252"/>
  <c r="P126"/>
  <c r="F126"/>
  <c r="P28"/>
  <c r="O8"/>
  <c r="E8"/>
  <c r="T8"/>
  <c r="U8" s="1"/>
  <c r="J8"/>
  <c r="K8" s="1"/>
  <c r="P18"/>
  <c r="K83"/>
  <c r="B7" i="3"/>
  <c r="C7"/>
  <c r="B8"/>
  <c r="C8"/>
  <c r="D8"/>
  <c r="B30"/>
  <c r="C30"/>
  <c r="D30"/>
  <c r="J215" i="1" l="1"/>
  <c r="AJ191"/>
  <c r="AK191"/>
  <c r="J175"/>
  <c r="M175" s="1"/>
  <c r="AQ170"/>
  <c r="I49"/>
  <c r="J49" s="1"/>
  <c r="M49" s="1"/>
  <c r="J143"/>
  <c r="M143" s="1"/>
  <c r="K143"/>
  <c r="R143" s="1"/>
  <c r="AM144"/>
  <c r="R226"/>
  <c r="K191"/>
  <c r="R191" s="1"/>
  <c r="J191"/>
  <c r="M191" s="1"/>
  <c r="J170"/>
  <c r="K170"/>
  <c r="H49"/>
  <c r="G170"/>
  <c r="H170"/>
  <c r="G71"/>
  <c r="L71" s="1"/>
  <c r="H71"/>
  <c r="G64"/>
  <c r="L64" s="1"/>
  <c r="H64"/>
  <c r="R64" s="1"/>
  <c r="H198"/>
  <c r="R198" s="1"/>
  <c r="G198"/>
  <c r="J180"/>
  <c r="K180"/>
  <c r="R180" s="1"/>
  <c r="AM219"/>
  <c r="AI215"/>
  <c r="M215"/>
  <c r="F83" i="4"/>
  <c r="S7"/>
  <c r="T7" s="1"/>
  <c r="L198" i="1"/>
  <c r="H175"/>
  <c r="R175" s="1"/>
  <c r="V279" i="4"/>
  <c r="S7" i="6"/>
  <c r="AM226" i="1"/>
  <c r="P279" i="4"/>
  <c r="F18"/>
  <c r="AM170" i="1"/>
  <c r="K49"/>
  <c r="P24" i="4"/>
  <c r="AB11" i="1"/>
  <c r="AG191"/>
  <c r="AM191" s="1"/>
  <c r="AH191"/>
  <c r="M192"/>
  <c r="AJ49"/>
  <c r="K79"/>
  <c r="R79" s="1"/>
  <c r="M59"/>
  <c r="AL226"/>
  <c r="AJ198"/>
  <c r="M67"/>
  <c r="AK58"/>
  <c r="AJ58"/>
  <c r="G79"/>
  <c r="M79" s="1"/>
  <c r="J64"/>
  <c r="J66"/>
  <c r="K66"/>
  <c r="R66" s="1"/>
  <c r="AM59"/>
  <c r="AL170"/>
  <c r="K71"/>
  <c r="R71" s="1"/>
  <c r="J71"/>
  <c r="K58"/>
  <c r="R58" s="1"/>
  <c r="J58"/>
  <c r="AI79"/>
  <c r="AJ79" s="1"/>
  <c r="E11"/>
  <c r="AG180"/>
  <c r="AH180"/>
  <c r="AQ180" s="1"/>
  <c r="AG58"/>
  <c r="AH58"/>
  <c r="AG79"/>
  <c r="AH79"/>
  <c r="G58"/>
  <c r="AL141"/>
  <c r="AM141"/>
  <c r="L49"/>
  <c r="AG198"/>
  <c r="AH198"/>
  <c r="AQ198" s="1"/>
  <c r="AG136"/>
  <c r="AH136"/>
  <c r="AQ136" s="1"/>
  <c r="L215"/>
  <c r="G66"/>
  <c r="AG49"/>
  <c r="AH49"/>
  <c r="AQ49" s="1"/>
  <c r="AC11"/>
  <c r="AH141"/>
  <c r="AQ141" s="1"/>
  <c r="AL115"/>
  <c r="AM115"/>
  <c r="AL175"/>
  <c r="AM175"/>
  <c r="F343" i="4"/>
  <c r="V343"/>
  <c r="F306"/>
  <c r="V306"/>
  <c r="F116"/>
  <c r="V116"/>
  <c r="F134"/>
  <c r="V134"/>
  <c r="V227"/>
  <c r="V8"/>
  <c r="V330"/>
  <c r="F40"/>
  <c r="V40"/>
  <c r="C6" i="5"/>
  <c r="M7" i="6"/>
  <c r="N7" i="4"/>
  <c r="O7" s="1"/>
  <c r="D7"/>
  <c r="E7" s="1"/>
  <c r="H7"/>
  <c r="P7" i="5"/>
  <c r="T8" i="6"/>
  <c r="U8" s="1"/>
  <c r="P8" i="4"/>
  <c r="F8" i="6"/>
  <c r="M6" i="5"/>
  <c r="D11" i="1"/>
  <c r="I7" i="4"/>
  <c r="J7" s="1"/>
  <c r="F8"/>
  <c r="F7" i="5"/>
  <c r="J7" i="6"/>
  <c r="K7" s="1"/>
  <c r="C7"/>
  <c r="R6" i="5"/>
  <c r="U7"/>
  <c r="E7" i="6"/>
  <c r="P8"/>
  <c r="O7"/>
  <c r="T6" i="5"/>
  <c r="E6"/>
  <c r="J6"/>
  <c r="K6" s="1"/>
  <c r="O6"/>
  <c r="R7" i="4"/>
  <c r="C7"/>
  <c r="M7"/>
  <c r="D29" i="3"/>
  <c r="D28"/>
  <c r="C34"/>
  <c r="AQ191" i="1" l="1"/>
  <c r="M64"/>
  <c r="AQ58"/>
  <c r="M71"/>
  <c r="R170"/>
  <c r="R49"/>
  <c r="AJ215"/>
  <c r="AM215" s="1"/>
  <c r="AK215"/>
  <c r="AQ215" s="1"/>
  <c r="AL191"/>
  <c r="F6" i="5"/>
  <c r="L79" i="1"/>
  <c r="M198"/>
  <c r="U6" i="5"/>
  <c r="P7" i="6"/>
  <c r="K7" i="4"/>
  <c r="AK79" i="1"/>
  <c r="AQ79" s="1"/>
  <c r="AL49"/>
  <c r="AM49"/>
  <c r="L66"/>
  <c r="M66"/>
  <c r="L136"/>
  <c r="M136"/>
  <c r="L180"/>
  <c r="M180"/>
  <c r="AL129"/>
  <c r="AL215"/>
  <c r="AL136"/>
  <c r="AM136"/>
  <c r="AM198"/>
  <c r="AL198"/>
  <c r="L129"/>
  <c r="M170"/>
  <c r="L170"/>
  <c r="L58"/>
  <c r="M58"/>
  <c r="L143"/>
  <c r="AL79"/>
  <c r="AM79"/>
  <c r="AL58"/>
  <c r="AM58"/>
  <c r="AL180"/>
  <c r="AM180"/>
  <c r="P7" i="4"/>
  <c r="P6" i="5"/>
  <c r="U7" i="4"/>
  <c r="T7" i="6"/>
  <c r="U7" s="1"/>
  <c r="F7" i="4"/>
  <c r="D34" i="3"/>
  <c r="F7" i="6"/>
  <c r="B16" i="3"/>
  <c r="B34" s="1"/>
  <c r="I134" i="2" l="1"/>
  <c r="K134" s="1"/>
  <c r="D134"/>
  <c r="B134"/>
  <c r="I133"/>
  <c r="K133" s="1"/>
  <c r="B133"/>
  <c r="D133" s="1"/>
  <c r="F133" s="1"/>
  <c r="Q132"/>
  <c r="S132" s="1"/>
  <c r="U132" s="1"/>
  <c r="L132"/>
  <c r="N132" s="1"/>
  <c r="P132" s="1"/>
  <c r="I132"/>
  <c r="K132" s="1"/>
  <c r="B132"/>
  <c r="D132" s="1"/>
  <c r="F132" s="1"/>
  <c r="Q131"/>
  <c r="S131" s="1"/>
  <c r="U131" s="1"/>
  <c r="L131"/>
  <c r="N131" s="1"/>
  <c r="P131" s="1"/>
  <c r="S139"/>
  <c r="U139" s="1"/>
  <c r="L139"/>
  <c r="N139" s="1"/>
  <c r="P139" s="1"/>
  <c r="I139"/>
  <c r="K139" s="1"/>
  <c r="B139"/>
  <c r="D139" s="1"/>
  <c r="F139" s="1"/>
  <c r="I138"/>
  <c r="K138" s="1"/>
  <c r="B138"/>
  <c r="D138" s="1"/>
  <c r="F138" s="1"/>
  <c r="S137"/>
  <c r="U137" s="1"/>
  <c r="L137"/>
  <c r="N137" s="1"/>
  <c r="P137" s="1"/>
  <c r="I137"/>
  <c r="K137" s="1"/>
  <c r="B137"/>
  <c r="D137" s="1"/>
  <c r="F137" s="1"/>
  <c r="S136"/>
  <c r="U136" s="1"/>
  <c r="L136"/>
  <c r="N136" s="1"/>
  <c r="P136" s="1"/>
  <c r="I136"/>
  <c r="K136" s="1"/>
  <c r="B136"/>
  <c r="D136" s="1"/>
  <c r="F136" s="1"/>
  <c r="S135"/>
  <c r="U135" s="1"/>
  <c r="L135"/>
  <c r="N135" s="1"/>
  <c r="P135" s="1"/>
  <c r="I135"/>
  <c r="K135" s="1"/>
  <c r="B135"/>
  <c r="D135" s="1"/>
  <c r="F135" s="1"/>
  <c r="S149"/>
  <c r="U149" s="1"/>
  <c r="L149"/>
  <c r="N149" s="1"/>
  <c r="P149" s="1"/>
  <c r="I149"/>
  <c r="K149" s="1"/>
  <c r="B149"/>
  <c r="D149" s="1"/>
  <c r="F149" s="1"/>
  <c r="S148"/>
  <c r="U148" s="1"/>
  <c r="L148"/>
  <c r="N148" s="1"/>
  <c r="P148" s="1"/>
  <c r="I148"/>
  <c r="K148" s="1"/>
  <c r="B148"/>
  <c r="D148" s="1"/>
  <c r="F148" s="1"/>
  <c r="I147"/>
  <c r="K147" s="1"/>
  <c r="B147"/>
  <c r="D147" s="1"/>
  <c r="F147" s="1"/>
  <c r="S146"/>
  <c r="U146" s="1"/>
  <c r="L146"/>
  <c r="N146" s="1"/>
  <c r="P146" s="1"/>
  <c r="I146"/>
  <c r="K146" s="1"/>
  <c r="B146"/>
  <c r="D146" s="1"/>
  <c r="F146" s="1"/>
  <c r="Q145"/>
  <c r="S145" s="1"/>
  <c r="I145"/>
  <c r="K145" s="1"/>
  <c r="B145"/>
  <c r="D145" s="1"/>
  <c r="F145" s="1"/>
  <c r="U144"/>
  <c r="Q144"/>
  <c r="S144" s="1"/>
  <c r="L144"/>
  <c r="N144" s="1"/>
  <c r="P144" s="1"/>
  <c r="G144"/>
  <c r="I144" s="1"/>
  <c r="K144" s="1"/>
  <c r="B144"/>
  <c r="D144" s="1"/>
  <c r="F144" s="1"/>
  <c r="B143"/>
  <c r="D143" s="1"/>
  <c r="F143" s="1"/>
  <c r="S142"/>
  <c r="U142" s="1"/>
  <c r="L142"/>
  <c r="N142" s="1"/>
  <c r="P142" s="1"/>
  <c r="I142"/>
  <c r="K142" s="1"/>
  <c r="B142"/>
  <c r="D142" s="1"/>
  <c r="F142" s="1"/>
  <c r="L141"/>
  <c r="N141" s="1"/>
  <c r="P141" s="1"/>
  <c r="S140"/>
  <c r="U140" s="1"/>
  <c r="L140"/>
  <c r="N140" s="1"/>
  <c r="P140" s="1"/>
  <c r="I140"/>
  <c r="K140" s="1"/>
  <c r="B140"/>
  <c r="D140" s="1"/>
  <c r="F140" s="1"/>
  <c r="I155"/>
  <c r="K155" s="1"/>
  <c r="G154"/>
  <c r="I154" s="1"/>
  <c r="K154" s="1"/>
  <c r="G153"/>
  <c r="I153" s="1"/>
  <c r="K153" s="1"/>
  <c r="B153"/>
  <c r="D153" s="1"/>
  <c r="F153" s="1"/>
  <c r="S152"/>
  <c r="U152" s="1"/>
  <c r="L152"/>
  <c r="N152" s="1"/>
  <c r="P152" s="1"/>
  <c r="I152"/>
  <c r="K152" s="1"/>
  <c r="D152"/>
  <c r="B152"/>
  <c r="S151"/>
  <c r="U151" s="1"/>
  <c r="L151"/>
  <c r="N151" s="1"/>
  <c r="P151" s="1"/>
  <c r="I151"/>
  <c r="K151" s="1"/>
  <c r="B151"/>
  <c r="D151" s="1"/>
  <c r="F151" s="1"/>
  <c r="S150"/>
  <c r="U150" s="1"/>
  <c r="L150"/>
  <c r="N150" s="1"/>
  <c r="P150" s="1"/>
  <c r="I150"/>
  <c r="K150" s="1"/>
  <c r="B150"/>
  <c r="D150" s="1"/>
  <c r="F150" s="1"/>
  <c r="O196" i="1"/>
  <c r="O195"/>
  <c r="S174"/>
  <c r="V174" l="1"/>
  <c r="F152" i="2"/>
  <c r="F134"/>
  <c r="Q182"/>
  <c r="S182" s="1"/>
  <c r="L182"/>
  <c r="N182" s="1"/>
  <c r="P182" s="1"/>
  <c r="G182"/>
  <c r="I182" s="1"/>
  <c r="K182" s="1"/>
  <c r="B182"/>
  <c r="D182" s="1"/>
  <c r="F182" s="1"/>
  <c r="G181"/>
  <c r="I181" s="1"/>
  <c r="B181"/>
  <c r="D181" s="1"/>
  <c r="F181" s="1"/>
  <c r="L180"/>
  <c r="N180" s="1"/>
  <c r="P180" s="1"/>
  <c r="G180"/>
  <c r="I180" s="1"/>
  <c r="K180" s="1"/>
  <c r="D180"/>
  <c r="Q179"/>
  <c r="S179" s="1"/>
  <c r="U179" s="1"/>
  <c r="L179"/>
  <c r="N179" s="1"/>
  <c r="B179"/>
  <c r="D179" s="1"/>
  <c r="Q178"/>
  <c r="S178" s="1"/>
  <c r="U178" s="1"/>
  <c r="L178"/>
  <c r="N178" s="1"/>
  <c r="P178" s="1"/>
  <c r="K178"/>
  <c r="G178"/>
  <c r="I178" s="1"/>
  <c r="B178"/>
  <c r="D178" s="1"/>
  <c r="F178" s="1"/>
  <c r="K177"/>
  <c r="G177"/>
  <c r="I177" s="1"/>
  <c r="B177"/>
  <c r="D177" s="1"/>
  <c r="F177" s="1"/>
  <c r="K176"/>
  <c r="G176"/>
  <c r="I176" s="1"/>
  <c r="B176"/>
  <c r="D176" s="1"/>
  <c r="F176" s="1"/>
  <c r="Q175"/>
  <c r="S175" s="1"/>
  <c r="U175" s="1"/>
  <c r="L175"/>
  <c r="N175" s="1"/>
  <c r="P175" s="1"/>
  <c r="K175"/>
  <c r="G175"/>
  <c r="I175" s="1"/>
  <c r="B175"/>
  <c r="D175" s="1"/>
  <c r="F175" s="1"/>
  <c r="Q174"/>
  <c r="S174" s="1"/>
  <c r="L174"/>
  <c r="N174" s="1"/>
  <c r="P174" s="1"/>
  <c r="K174"/>
  <c r="G174"/>
  <c r="I174" s="1"/>
  <c r="B174"/>
  <c r="D174" s="1"/>
  <c r="F174" s="1"/>
  <c r="K173"/>
  <c r="G173"/>
  <c r="I173" s="1"/>
  <c r="B173"/>
  <c r="D173" s="1"/>
  <c r="F173" s="1"/>
  <c r="K172"/>
  <c r="G172"/>
  <c r="I172" s="1"/>
  <c r="B172"/>
  <c r="D172" s="1"/>
  <c r="F172" s="1"/>
  <c r="Q171"/>
  <c r="S171" s="1"/>
  <c r="U171" s="1"/>
  <c r="L171"/>
  <c r="N171" s="1"/>
  <c r="K171"/>
  <c r="G171"/>
  <c r="I171" s="1"/>
  <c r="B171"/>
  <c r="D171" s="1"/>
  <c r="F171" s="1"/>
  <c r="K170"/>
  <c r="G170"/>
  <c r="I170" s="1"/>
  <c r="B170"/>
  <c r="D170" s="1"/>
  <c r="F170" s="1"/>
  <c r="K169"/>
  <c r="G169"/>
  <c r="I169" s="1"/>
  <c r="B169"/>
  <c r="D169" s="1"/>
  <c r="F169" s="1"/>
  <c r="K168"/>
  <c r="G168"/>
  <c r="I168" s="1"/>
  <c r="B168"/>
  <c r="D168" s="1"/>
  <c r="G167"/>
  <c r="I167" s="1"/>
  <c r="K167" s="1"/>
  <c r="B167"/>
  <c r="D167" s="1"/>
  <c r="F167" s="1"/>
  <c r="G166"/>
  <c r="I166" s="1"/>
  <c r="K166" s="1"/>
  <c r="B166"/>
  <c r="D166" s="1"/>
  <c r="F166" s="1"/>
  <c r="Q165"/>
  <c r="S165" s="1"/>
  <c r="U165" s="1"/>
  <c r="L165"/>
  <c r="N165" s="1"/>
  <c r="P165" s="1"/>
  <c r="G165"/>
  <c r="I165" s="1"/>
  <c r="K165" s="1"/>
  <c r="B165"/>
  <c r="D165" s="1"/>
  <c r="F165" s="1"/>
  <c r="Q164"/>
  <c r="S164" s="1"/>
  <c r="U164" s="1"/>
  <c r="L164"/>
  <c r="N164" s="1"/>
  <c r="P164" s="1"/>
  <c r="G164"/>
  <c r="I164" s="1"/>
  <c r="K164" s="1"/>
  <c r="B164"/>
  <c r="D164" s="1"/>
  <c r="F164" s="1"/>
  <c r="Q163"/>
  <c r="S163" s="1"/>
  <c r="U163" s="1"/>
  <c r="L163"/>
  <c r="N163" s="1"/>
  <c r="P163" s="1"/>
  <c r="G163"/>
  <c r="I163" s="1"/>
  <c r="K163" s="1"/>
  <c r="B163"/>
  <c r="D163" s="1"/>
  <c r="F163" s="1"/>
  <c r="G162"/>
  <c r="I162" s="1"/>
  <c r="K162" s="1"/>
  <c r="B162"/>
  <c r="D162" s="1"/>
  <c r="F162" s="1"/>
  <c r="G161"/>
  <c r="I161" s="1"/>
  <c r="K161" s="1"/>
  <c r="B161"/>
  <c r="D161" s="1"/>
  <c r="F161" s="1"/>
  <c r="G160"/>
  <c r="I160" s="1"/>
  <c r="K160" s="1"/>
  <c r="B160"/>
  <c r="D160" s="1"/>
  <c r="F160" s="1"/>
  <c r="Q159"/>
  <c r="S159" s="1"/>
  <c r="L159"/>
  <c r="N159" s="1"/>
  <c r="G159"/>
  <c r="I159" s="1"/>
  <c r="K159" s="1"/>
  <c r="B159"/>
  <c r="D159" s="1"/>
  <c r="F159" s="1"/>
  <c r="G158"/>
  <c r="I158" s="1"/>
  <c r="K158" s="1"/>
  <c r="B158"/>
  <c r="D158" s="1"/>
  <c r="F158" s="1"/>
  <c r="B157"/>
  <c r="D157" s="1"/>
  <c r="F157" s="1"/>
  <c r="G156"/>
  <c r="I156" s="1"/>
  <c r="B156"/>
  <c r="D156" s="1"/>
  <c r="Q130"/>
  <c r="S130" s="1"/>
  <c r="U130" s="1"/>
  <c r="L130"/>
  <c r="N130" s="1"/>
  <c r="P130" s="1"/>
  <c r="G130"/>
  <c r="I130" s="1"/>
  <c r="K130" s="1"/>
  <c r="B130"/>
  <c r="D130" s="1"/>
  <c r="F130" s="1"/>
  <c r="Q129"/>
  <c r="S129" s="1"/>
  <c r="U129" s="1"/>
  <c r="L129"/>
  <c r="N129" s="1"/>
  <c r="P129" s="1"/>
  <c r="G129"/>
  <c r="I129" s="1"/>
  <c r="K129" s="1"/>
  <c r="B129"/>
  <c r="D129" s="1"/>
  <c r="F129" s="1"/>
  <c r="Q128"/>
  <c r="S128" s="1"/>
  <c r="U128" s="1"/>
  <c r="L128"/>
  <c r="N128" s="1"/>
  <c r="P128" s="1"/>
  <c r="G128"/>
  <c r="I128" s="1"/>
  <c r="K128" s="1"/>
  <c r="B128"/>
  <c r="D128" s="1"/>
  <c r="F128" s="1"/>
  <c r="Q127"/>
  <c r="S127" s="1"/>
  <c r="U127" s="1"/>
  <c r="L127"/>
  <c r="N127" s="1"/>
  <c r="P127" s="1"/>
  <c r="G127"/>
  <c r="I127" s="1"/>
  <c r="K127" s="1"/>
  <c r="B127"/>
  <c r="D127" s="1"/>
  <c r="F127" s="1"/>
  <c r="U126"/>
  <c r="Q126"/>
  <c r="S126" s="1"/>
  <c r="L126"/>
  <c r="N126" s="1"/>
  <c r="P126" s="1"/>
  <c r="G126"/>
  <c r="I126" s="1"/>
  <c r="K126" s="1"/>
  <c r="B126"/>
  <c r="D126" s="1"/>
  <c r="F126" s="1"/>
  <c r="G125"/>
  <c r="I125" s="1"/>
  <c r="K125" s="1"/>
  <c r="B125"/>
  <c r="D125" s="1"/>
  <c r="F125" s="1"/>
  <c r="B124"/>
  <c r="D124" s="1"/>
  <c r="F124" s="1"/>
  <c r="G123"/>
  <c r="I123" s="1"/>
  <c r="K123" s="1"/>
  <c r="B123"/>
  <c r="D123" s="1"/>
  <c r="F123" s="1"/>
  <c r="G122"/>
  <c r="I122" s="1"/>
  <c r="K122" s="1"/>
  <c r="B122"/>
  <c r="D122" s="1"/>
  <c r="F122" s="1"/>
  <c r="Q121"/>
  <c r="S121" s="1"/>
  <c r="U121" s="1"/>
  <c r="L121"/>
  <c r="N121" s="1"/>
  <c r="P121" s="1"/>
  <c r="G121"/>
  <c r="I121" s="1"/>
  <c r="K121" s="1"/>
  <c r="B121"/>
  <c r="D121" s="1"/>
  <c r="F121" s="1"/>
  <c r="Q120"/>
  <c r="S120" s="1"/>
  <c r="U120" s="1"/>
  <c r="L120"/>
  <c r="N120" s="1"/>
  <c r="P120" s="1"/>
  <c r="G120"/>
  <c r="I120" s="1"/>
  <c r="K120" s="1"/>
  <c r="B120"/>
  <c r="D120" s="1"/>
  <c r="F120" s="1"/>
  <c r="Q119"/>
  <c r="S119" s="1"/>
  <c r="U119" s="1"/>
  <c r="L119"/>
  <c r="N119" s="1"/>
  <c r="P119" s="1"/>
  <c r="G119"/>
  <c r="I119" s="1"/>
  <c r="K119" s="1"/>
  <c r="B119"/>
  <c r="D119" s="1"/>
  <c r="F119" s="1"/>
  <c r="Q118"/>
  <c r="S118" s="1"/>
  <c r="U118" s="1"/>
  <c r="L118"/>
  <c r="N118" s="1"/>
  <c r="P118" s="1"/>
  <c r="G118"/>
  <c r="I118" s="1"/>
  <c r="K118" s="1"/>
  <c r="B118"/>
  <c r="D118" s="1"/>
  <c r="F118" s="1"/>
  <c r="Q117"/>
  <c r="S117" s="1"/>
  <c r="U117" s="1"/>
  <c r="L117"/>
  <c r="N117" s="1"/>
  <c r="P117" s="1"/>
  <c r="G117"/>
  <c r="I117" s="1"/>
  <c r="K117" s="1"/>
  <c r="B117"/>
  <c r="D117" s="1"/>
  <c r="F117" s="1"/>
  <c r="Q116"/>
  <c r="S116" s="1"/>
  <c r="U116" s="1"/>
  <c r="L116"/>
  <c r="N116" s="1"/>
  <c r="P116" s="1"/>
  <c r="G116"/>
  <c r="I116" s="1"/>
  <c r="K116" s="1"/>
  <c r="B116"/>
  <c r="D116" s="1"/>
  <c r="F116" s="1"/>
  <c r="Q115"/>
  <c r="S115" s="1"/>
  <c r="U115" s="1"/>
  <c r="L115"/>
  <c r="N115" s="1"/>
  <c r="P115" s="1"/>
  <c r="G115"/>
  <c r="I115" s="1"/>
  <c r="K115" s="1"/>
  <c r="B115"/>
  <c r="D115" s="1"/>
  <c r="F115" s="1"/>
  <c r="Q114"/>
  <c r="S114" s="1"/>
  <c r="U114" s="1"/>
  <c r="L114"/>
  <c r="N114" s="1"/>
  <c r="P114" s="1"/>
  <c r="G114"/>
  <c r="I114" s="1"/>
  <c r="K114" s="1"/>
  <c r="B114"/>
  <c r="D114" s="1"/>
  <c r="F114" s="1"/>
  <c r="Q113"/>
  <c r="S113" s="1"/>
  <c r="U113" s="1"/>
  <c r="L113"/>
  <c r="N113" s="1"/>
  <c r="P113" s="1"/>
  <c r="G113"/>
  <c r="I113" s="1"/>
  <c r="K113" s="1"/>
  <c r="B113"/>
  <c r="D113" s="1"/>
  <c r="F113" s="1"/>
  <c r="Q112"/>
  <c r="S112" s="1"/>
  <c r="U112" s="1"/>
  <c r="L112"/>
  <c r="N112" s="1"/>
  <c r="P112" s="1"/>
  <c r="G112"/>
  <c r="I112" s="1"/>
  <c r="K112" s="1"/>
  <c r="B112"/>
  <c r="D112" s="1"/>
  <c r="F112" s="1"/>
  <c r="U111"/>
  <c r="Q111"/>
  <c r="S111" s="1"/>
  <c r="L111"/>
  <c r="N111" s="1"/>
  <c r="P111" s="1"/>
  <c r="G111"/>
  <c r="I111" s="1"/>
  <c r="K111" s="1"/>
  <c r="B111"/>
  <c r="D111" s="1"/>
  <c r="F111" s="1"/>
  <c r="Q110"/>
  <c r="S110" s="1"/>
  <c r="L110"/>
  <c r="N110" s="1"/>
  <c r="G110"/>
  <c r="I110" s="1"/>
  <c r="B110"/>
  <c r="D110" s="1"/>
  <c r="U109"/>
  <c r="Q109"/>
  <c r="S109" s="1"/>
  <c r="P109"/>
  <c r="L109"/>
  <c r="N109" s="1"/>
  <c r="K109"/>
  <c r="G109"/>
  <c r="I109" s="1"/>
  <c r="B109"/>
  <c r="D109" s="1"/>
  <c r="F109" s="1"/>
  <c r="G108"/>
  <c r="I108" s="1"/>
  <c r="K108" s="1"/>
  <c r="B108"/>
  <c r="D108" s="1"/>
  <c r="F108" s="1"/>
  <c r="G107"/>
  <c r="I107" s="1"/>
  <c r="K107" s="1"/>
  <c r="B107"/>
  <c r="D107" s="1"/>
  <c r="F107" s="1"/>
  <c r="G106"/>
  <c r="I106" s="1"/>
  <c r="K106" s="1"/>
  <c r="B106"/>
  <c r="D106" s="1"/>
  <c r="U105"/>
  <c r="Q105"/>
  <c r="S105" s="1"/>
  <c r="P105"/>
  <c r="L105"/>
  <c r="N105" s="1"/>
  <c r="K105"/>
  <c r="G105"/>
  <c r="I105" s="1"/>
  <c r="B105"/>
  <c r="D105" s="1"/>
  <c r="F105" s="1"/>
  <c r="U104"/>
  <c r="Q104"/>
  <c r="S104" s="1"/>
  <c r="P104"/>
  <c r="L104"/>
  <c r="N104" s="1"/>
  <c r="G104"/>
  <c r="I104" s="1"/>
  <c r="K104" s="1"/>
  <c r="B104"/>
  <c r="D104" s="1"/>
  <c r="F104" s="1"/>
  <c r="G103"/>
  <c r="I103" s="1"/>
  <c r="K103" s="1"/>
  <c r="B103"/>
  <c r="D103" s="1"/>
  <c r="F103" s="1"/>
  <c r="G102"/>
  <c r="I102" s="1"/>
  <c r="K102" s="1"/>
  <c r="B102"/>
  <c r="D102" s="1"/>
  <c r="F102" s="1"/>
  <c r="G100"/>
  <c r="I100" s="1"/>
  <c r="K100" s="1"/>
  <c r="B100"/>
  <c r="D100" s="1"/>
  <c r="F100" s="1"/>
  <c r="K99"/>
  <c r="G99"/>
  <c r="I99" s="1"/>
  <c r="B99"/>
  <c r="D99" s="1"/>
  <c r="G98"/>
  <c r="I98" s="1"/>
  <c r="K98" s="1"/>
  <c r="B98"/>
  <c r="D98" s="1"/>
  <c r="F98" s="1"/>
  <c r="G97"/>
  <c r="I97" s="1"/>
  <c r="K97" s="1"/>
  <c r="B97"/>
  <c r="D97" s="1"/>
  <c r="F97" s="1"/>
  <c r="B96"/>
  <c r="D96" s="1"/>
  <c r="F96" s="1"/>
  <c r="I95"/>
  <c r="K95" s="1"/>
  <c r="B95"/>
  <c r="D95" s="1"/>
  <c r="F95" s="1"/>
  <c r="G94"/>
  <c r="I94" s="1"/>
  <c r="K94" s="1"/>
  <c r="B94"/>
  <c r="D94" s="1"/>
  <c r="F94" s="1"/>
  <c r="G93"/>
  <c r="I93" s="1"/>
  <c r="K93" s="1"/>
  <c r="B93"/>
  <c r="D93" s="1"/>
  <c r="F93" s="1"/>
  <c r="T92"/>
  <c r="R92"/>
  <c r="Q92"/>
  <c r="S92" s="1"/>
  <c r="L92"/>
  <c r="N92" s="1"/>
  <c r="P92" s="1"/>
  <c r="J92"/>
  <c r="H92"/>
  <c r="G92"/>
  <c r="I92" s="1"/>
  <c r="B92"/>
  <c r="D92" s="1"/>
  <c r="F92" s="1"/>
  <c r="G91"/>
  <c r="I91" s="1"/>
  <c r="K91" s="1"/>
  <c r="B91"/>
  <c r="D91" s="1"/>
  <c r="F91" s="1"/>
  <c r="G90"/>
  <c r="I90" s="1"/>
  <c r="K90" s="1"/>
  <c r="B90"/>
  <c r="D90" s="1"/>
  <c r="F90" s="1"/>
  <c r="G89"/>
  <c r="I89" s="1"/>
  <c r="K89" s="1"/>
  <c r="B89"/>
  <c r="D89" s="1"/>
  <c r="F89" s="1"/>
  <c r="U88"/>
  <c r="Q88"/>
  <c r="S88" s="1"/>
  <c r="L88"/>
  <c r="N88" s="1"/>
  <c r="G88"/>
  <c r="I88" s="1"/>
  <c r="B88"/>
  <c r="D88" s="1"/>
  <c r="F88" s="1"/>
  <c r="B87"/>
  <c r="D87" s="1"/>
  <c r="G86"/>
  <c r="I86" s="1"/>
  <c r="K86" s="1"/>
  <c r="B86"/>
  <c r="D86" s="1"/>
  <c r="F86" s="1"/>
  <c r="U85"/>
  <c r="Q85"/>
  <c r="S85" s="1"/>
  <c r="L85"/>
  <c r="N85" s="1"/>
  <c r="P85" s="1"/>
  <c r="G85"/>
  <c r="I85" s="1"/>
  <c r="K85" s="1"/>
  <c r="B85"/>
  <c r="D85" s="1"/>
  <c r="F85" s="1"/>
  <c r="G84"/>
  <c r="I84" s="1"/>
  <c r="K84" s="1"/>
  <c r="B84"/>
  <c r="D84" s="1"/>
  <c r="F84" s="1"/>
  <c r="G83"/>
  <c r="I83" s="1"/>
  <c r="K83" s="1"/>
  <c r="B83"/>
  <c r="D83" s="1"/>
  <c r="F83" s="1"/>
  <c r="G82"/>
  <c r="I82" s="1"/>
  <c r="K82" s="1"/>
  <c r="B82"/>
  <c r="D82" s="1"/>
  <c r="F82" s="1"/>
  <c r="U80"/>
  <c r="Q80"/>
  <c r="S80" s="1"/>
  <c r="L80"/>
  <c r="N80" s="1"/>
  <c r="P80" s="1"/>
  <c r="G80"/>
  <c r="I80" s="1"/>
  <c r="K80" s="1"/>
  <c r="B80"/>
  <c r="D80" s="1"/>
  <c r="F80" s="1"/>
  <c r="G79"/>
  <c r="I79" s="1"/>
  <c r="K79" s="1"/>
  <c r="B79"/>
  <c r="D79" s="1"/>
  <c r="F79" s="1"/>
  <c r="I78"/>
  <c r="T77"/>
  <c r="R77"/>
  <c r="Q77"/>
  <c r="S77" s="1"/>
  <c r="L77"/>
  <c r="N77" s="1"/>
  <c r="J77"/>
  <c r="H77"/>
  <c r="G77"/>
  <c r="I77" s="1"/>
  <c r="B77"/>
  <c r="D77" s="1"/>
  <c r="Q76"/>
  <c r="S76" s="1"/>
  <c r="U76" s="1"/>
  <c r="L76"/>
  <c r="N76" s="1"/>
  <c r="P76" s="1"/>
  <c r="G76"/>
  <c r="I76" s="1"/>
  <c r="K76" s="1"/>
  <c r="B76"/>
  <c r="D76" s="1"/>
  <c r="F76" s="1"/>
  <c r="U75"/>
  <c r="Q75"/>
  <c r="S75" s="1"/>
  <c r="L75"/>
  <c r="N75" s="1"/>
  <c r="P75" s="1"/>
  <c r="G75"/>
  <c r="I75" s="1"/>
  <c r="K75" s="1"/>
  <c r="B75"/>
  <c r="D75" s="1"/>
  <c r="F75" s="1"/>
  <c r="S74"/>
  <c r="G74"/>
  <c r="I74" s="1"/>
  <c r="K74" s="1"/>
  <c r="B74"/>
  <c r="D74" s="1"/>
  <c r="F74" s="1"/>
  <c r="Q73"/>
  <c r="S73" s="1"/>
  <c r="U73" s="1"/>
  <c r="L73"/>
  <c r="N73" s="1"/>
  <c r="P73" s="1"/>
  <c r="G73"/>
  <c r="I73" s="1"/>
  <c r="K73" s="1"/>
  <c r="B73"/>
  <c r="D73" s="1"/>
  <c r="F73" s="1"/>
  <c r="Q72"/>
  <c r="S72" s="1"/>
  <c r="U72" s="1"/>
  <c r="L72"/>
  <c r="N72" s="1"/>
  <c r="P72" s="1"/>
  <c r="I72"/>
  <c r="D72"/>
  <c r="Q71"/>
  <c r="S71" s="1"/>
  <c r="U71" s="1"/>
  <c r="L71"/>
  <c r="N71" s="1"/>
  <c r="P71" s="1"/>
  <c r="G71"/>
  <c r="I71" s="1"/>
  <c r="K71" s="1"/>
  <c r="B71"/>
  <c r="D71" s="1"/>
  <c r="F71" s="1"/>
  <c r="S70"/>
  <c r="N70"/>
  <c r="G70"/>
  <c r="I70" s="1"/>
  <c r="K70" s="1"/>
  <c r="B70"/>
  <c r="D70" s="1"/>
  <c r="F70" s="1"/>
  <c r="Q69"/>
  <c r="S69" s="1"/>
  <c r="U69" s="1"/>
  <c r="L69"/>
  <c r="N69" s="1"/>
  <c r="P69" s="1"/>
  <c r="G69"/>
  <c r="I69" s="1"/>
  <c r="K69" s="1"/>
  <c r="B69"/>
  <c r="D69" s="1"/>
  <c r="F69" s="1"/>
  <c r="Q68"/>
  <c r="S68" s="1"/>
  <c r="U68" s="1"/>
  <c r="L68"/>
  <c r="N68" s="1"/>
  <c r="P68" s="1"/>
  <c r="G68"/>
  <c r="I68" s="1"/>
  <c r="K68" s="1"/>
  <c r="B68"/>
  <c r="D68" s="1"/>
  <c r="F68" s="1"/>
  <c r="Q67"/>
  <c r="S67" s="1"/>
  <c r="U67" s="1"/>
  <c r="M67"/>
  <c r="L67"/>
  <c r="N67" s="1"/>
  <c r="G67"/>
  <c r="I67" s="1"/>
  <c r="K67" s="1"/>
  <c r="B67"/>
  <c r="D67" s="1"/>
  <c r="F67" s="1"/>
  <c r="S66"/>
  <c r="N66"/>
  <c r="I66"/>
  <c r="D66"/>
  <c r="Q65"/>
  <c r="S65" s="1"/>
  <c r="U65" s="1"/>
  <c r="L65"/>
  <c r="N65" s="1"/>
  <c r="P65" s="1"/>
  <c r="G65"/>
  <c r="I65" s="1"/>
  <c r="K65" s="1"/>
  <c r="Q64"/>
  <c r="S64" s="1"/>
  <c r="L64"/>
  <c r="N64" s="1"/>
  <c r="G64"/>
  <c r="I64" s="1"/>
  <c r="B64"/>
  <c r="D64" s="1"/>
  <c r="G63"/>
  <c r="I63" s="1"/>
  <c r="B63"/>
  <c r="D63" s="1"/>
  <c r="F63" s="1"/>
  <c r="I62"/>
  <c r="G62"/>
  <c r="D62"/>
  <c r="B62"/>
  <c r="U61"/>
  <c r="Q61"/>
  <c r="S61" s="1"/>
  <c r="N61"/>
  <c r="L61"/>
  <c r="I61"/>
  <c r="G61"/>
  <c r="D61"/>
  <c r="B61"/>
  <c r="U60"/>
  <c r="S60"/>
  <c r="Q60"/>
  <c r="N60"/>
  <c r="L60"/>
  <c r="I60"/>
  <c r="G60"/>
  <c r="D60"/>
  <c r="B60"/>
  <c r="U59"/>
  <c r="S59"/>
  <c r="Q59"/>
  <c r="N59"/>
  <c r="L59"/>
  <c r="I59"/>
  <c r="G59"/>
  <c r="D59"/>
  <c r="B59"/>
  <c r="U58"/>
  <c r="S58"/>
  <c r="Q58"/>
  <c r="L58"/>
  <c r="N58" s="1"/>
  <c r="G58"/>
  <c r="I58" s="1"/>
  <c r="K58" s="1"/>
  <c r="B58"/>
  <c r="D58" s="1"/>
  <c r="F58" s="1"/>
  <c r="I57"/>
  <c r="G57"/>
  <c r="B57"/>
  <c r="D57" s="1"/>
  <c r="G56"/>
  <c r="I56" s="1"/>
  <c r="K56" s="1"/>
  <c r="B56"/>
  <c r="D56" s="1"/>
  <c r="F56" s="1"/>
  <c r="G55"/>
  <c r="I55" s="1"/>
  <c r="B55"/>
  <c r="D55" s="1"/>
  <c r="G54"/>
  <c r="I54" s="1"/>
  <c r="B54"/>
  <c r="D54" s="1"/>
  <c r="S53"/>
  <c r="N53"/>
  <c r="G53"/>
  <c r="I53" s="1"/>
  <c r="K53" s="1"/>
  <c r="B53"/>
  <c r="D53" s="1"/>
  <c r="F53" s="1"/>
  <c r="G52"/>
  <c r="I52" s="1"/>
  <c r="K52" s="1"/>
  <c r="B52"/>
  <c r="D52" s="1"/>
  <c r="F52" s="1"/>
  <c r="Q51"/>
  <c r="S51" s="1"/>
  <c r="U51" s="1"/>
  <c r="L51"/>
  <c r="N51" s="1"/>
  <c r="P51" s="1"/>
  <c r="G51"/>
  <c r="I51" s="1"/>
  <c r="K51" s="1"/>
  <c r="B51"/>
  <c r="D51" s="1"/>
  <c r="F51" s="1"/>
  <c r="Q50"/>
  <c r="S50" s="1"/>
  <c r="U50" s="1"/>
  <c r="N50"/>
  <c r="I50"/>
  <c r="Q49"/>
  <c r="S49" s="1"/>
  <c r="L49"/>
  <c r="N49" s="1"/>
  <c r="G49"/>
  <c r="I49" s="1"/>
  <c r="B49"/>
  <c r="D49" s="1"/>
  <c r="G48"/>
  <c r="I48" s="1"/>
  <c r="K48" s="1"/>
  <c r="B48"/>
  <c r="D48" s="1"/>
  <c r="F48" s="1"/>
  <c r="G47"/>
  <c r="I47" s="1"/>
  <c r="K47" s="1"/>
  <c r="B47"/>
  <c r="D47" s="1"/>
  <c r="F47" s="1"/>
  <c r="G46"/>
  <c r="I46" s="1"/>
  <c r="K46" s="1"/>
  <c r="B46"/>
  <c r="D46" s="1"/>
  <c r="F46" s="1"/>
  <c r="G45"/>
  <c r="I45" s="1"/>
  <c r="K45" s="1"/>
  <c r="B45"/>
  <c r="D45" s="1"/>
  <c r="F45" s="1"/>
  <c r="G44"/>
  <c r="I44" s="1"/>
  <c r="K44" s="1"/>
  <c r="B44"/>
  <c r="D44" s="1"/>
  <c r="F44" s="1"/>
  <c r="G43"/>
  <c r="I43" s="1"/>
  <c r="K43" s="1"/>
  <c r="B43"/>
  <c r="D43" s="1"/>
  <c r="F43" s="1"/>
  <c r="G42"/>
  <c r="I42" s="1"/>
  <c r="K42" s="1"/>
  <c r="B42"/>
  <c r="D42" s="1"/>
  <c r="F42" s="1"/>
  <c r="Q41"/>
  <c r="S41" s="1"/>
  <c r="L41"/>
  <c r="N41" s="1"/>
  <c r="G41"/>
  <c r="I41" s="1"/>
  <c r="B41"/>
  <c r="D41" s="1"/>
  <c r="Q40"/>
  <c r="S40" s="1"/>
  <c r="L40"/>
  <c r="N40" s="1"/>
  <c r="P40" s="1"/>
  <c r="G40"/>
  <c r="I40" s="1"/>
  <c r="E40"/>
  <c r="B40"/>
  <c r="D40" s="1"/>
  <c r="U39"/>
  <c r="Q39"/>
  <c r="S39" s="1"/>
  <c r="L39"/>
  <c r="N39" s="1"/>
  <c r="P39" s="1"/>
  <c r="G39"/>
  <c r="I39" s="1"/>
  <c r="K39" s="1"/>
  <c r="B39"/>
  <c r="D39" s="1"/>
  <c r="F39" s="1"/>
  <c r="Q38"/>
  <c r="S38" s="1"/>
  <c r="U38" s="1"/>
  <c r="B38"/>
  <c r="D38" s="1"/>
  <c r="F38" s="1"/>
  <c r="S37"/>
  <c r="Q37"/>
  <c r="L37"/>
  <c r="N37" s="1"/>
  <c r="G37"/>
  <c r="I37" s="1"/>
  <c r="K37" s="1"/>
  <c r="B37"/>
  <c r="D37" s="1"/>
  <c r="Q36"/>
  <c r="S36" s="1"/>
  <c r="U36" s="1"/>
  <c r="L36"/>
  <c r="N36" s="1"/>
  <c r="P36" s="1"/>
  <c r="G36"/>
  <c r="I36" s="1"/>
  <c r="K36" s="1"/>
  <c r="B36"/>
  <c r="D36" s="1"/>
  <c r="F36" s="1"/>
  <c r="U35"/>
  <c r="Q35"/>
  <c r="S35" s="1"/>
  <c r="L35"/>
  <c r="N35" s="1"/>
  <c r="P35" s="1"/>
  <c r="G35"/>
  <c r="I35" s="1"/>
  <c r="K35" s="1"/>
  <c r="B35"/>
  <c r="D35" s="1"/>
  <c r="F35" s="1"/>
  <c r="U34"/>
  <c r="Q34"/>
  <c r="S34" s="1"/>
  <c r="L34"/>
  <c r="N34" s="1"/>
  <c r="P34" s="1"/>
  <c r="G34"/>
  <c r="I34" s="1"/>
  <c r="B34"/>
  <c r="D34" s="1"/>
  <c r="F34" s="1"/>
  <c r="L33"/>
  <c r="N33" s="1"/>
  <c r="P33" s="1"/>
  <c r="B33"/>
  <c r="D33" s="1"/>
  <c r="F33" s="1"/>
  <c r="B32"/>
  <c r="D32" s="1"/>
  <c r="F32" s="1"/>
  <c r="B31"/>
  <c r="D31" s="1"/>
  <c r="F31" s="1"/>
  <c r="Q30"/>
  <c r="S30" s="1"/>
  <c r="U30" s="1"/>
  <c r="L30"/>
  <c r="N30" s="1"/>
  <c r="G30"/>
  <c r="I30" s="1"/>
  <c r="K30" s="1"/>
  <c r="B30"/>
  <c r="D30" s="1"/>
  <c r="Q29"/>
  <c r="S29" s="1"/>
  <c r="U29" s="1"/>
  <c r="L29"/>
  <c r="N29" s="1"/>
  <c r="I29"/>
  <c r="K29" s="1"/>
  <c r="D29"/>
  <c r="F29" s="1"/>
  <c r="F28"/>
  <c r="N27"/>
  <c r="P27" s="1"/>
  <c r="D27"/>
  <c r="F27" s="1"/>
  <c r="L26"/>
  <c r="N26" s="1"/>
  <c r="P26" s="1"/>
  <c r="D26"/>
  <c r="F26" s="1"/>
  <c r="U25"/>
  <c r="Q25"/>
  <c r="S25" s="1"/>
  <c r="L25"/>
  <c r="N25" s="1"/>
  <c r="P25" s="1"/>
  <c r="G25"/>
  <c r="I25" s="1"/>
  <c r="K25" s="1"/>
  <c r="B25"/>
  <c r="D25" s="1"/>
  <c r="F25" s="1"/>
  <c r="U24"/>
  <c r="Q24"/>
  <c r="S24" s="1"/>
  <c r="L24"/>
  <c r="N24" s="1"/>
  <c r="P24" s="1"/>
  <c r="G24"/>
  <c r="I24" s="1"/>
  <c r="B24"/>
  <c r="D24" s="1"/>
  <c r="F24" s="1"/>
  <c r="Q23"/>
  <c r="S23" s="1"/>
  <c r="L23"/>
  <c r="N23" s="1"/>
  <c r="P23" s="1"/>
  <c r="G23"/>
  <c r="I23" s="1"/>
  <c r="B23"/>
  <c r="D23" s="1"/>
  <c r="F23" s="1"/>
  <c r="B22"/>
  <c r="D22" s="1"/>
  <c r="F22" s="1"/>
  <c r="L21"/>
  <c r="N21" s="1"/>
  <c r="P21" s="1"/>
  <c r="B21"/>
  <c r="D21" s="1"/>
  <c r="F21" s="1"/>
  <c r="L20"/>
  <c r="N20" s="1"/>
  <c r="P20" s="1"/>
  <c r="B20"/>
  <c r="D20" s="1"/>
  <c r="F20" s="1"/>
  <c r="L19"/>
  <c r="N19" s="1"/>
  <c r="P19" s="1"/>
  <c r="B19"/>
  <c r="D19" s="1"/>
  <c r="L18"/>
  <c r="N18" s="1"/>
  <c r="P18" s="1"/>
  <c r="B18"/>
  <c r="D18" s="1"/>
  <c r="F18" s="1"/>
  <c r="U17"/>
  <c r="Q17"/>
  <c r="S17" s="1"/>
  <c r="L17"/>
  <c r="N17" s="1"/>
  <c r="P17" s="1"/>
  <c r="G17"/>
  <c r="I17" s="1"/>
  <c r="K17" s="1"/>
  <c r="B17"/>
  <c r="D17" s="1"/>
  <c r="F17" s="1"/>
  <c r="S16"/>
  <c r="L16"/>
  <c r="N16" s="1"/>
  <c r="P16" s="1"/>
  <c r="G16"/>
  <c r="I16" s="1"/>
  <c r="K16" s="1"/>
  <c r="B16"/>
  <c r="D16" s="1"/>
  <c r="F16" s="1"/>
  <c r="N15"/>
  <c r="B15"/>
  <c r="D15" s="1"/>
  <c r="F15" s="1"/>
  <c r="Q14"/>
  <c r="S14" s="1"/>
  <c r="U14" s="1"/>
  <c r="L14"/>
  <c r="N14" s="1"/>
  <c r="P14" s="1"/>
  <c r="G14"/>
  <c r="I14" s="1"/>
  <c r="K14" s="1"/>
  <c r="B14"/>
  <c r="D14" s="1"/>
  <c r="F14" s="1"/>
  <c r="B13"/>
  <c r="D13" s="1"/>
  <c r="F13" s="1"/>
  <c r="Q12"/>
  <c r="S12" s="1"/>
  <c r="L12"/>
  <c r="N12" s="1"/>
  <c r="P12" s="1"/>
  <c r="G12"/>
  <c r="I12" s="1"/>
  <c r="B12"/>
  <c r="D12" s="1"/>
  <c r="F12" s="1"/>
  <c r="B11"/>
  <c r="D11" s="1"/>
  <c r="F11" s="1"/>
  <c r="Q10"/>
  <c r="S10" s="1"/>
  <c r="U10" s="1"/>
  <c r="L10"/>
  <c r="N10" s="1"/>
  <c r="G10"/>
  <c r="I10" s="1"/>
  <c r="K10" s="1"/>
  <c r="B10"/>
  <c r="D10" s="1"/>
  <c r="Z174" i="1" l="1"/>
  <c r="AE174"/>
  <c r="B9" i="2"/>
  <c r="C9" s="1"/>
  <c r="G9"/>
  <c r="H9" s="1"/>
  <c r="U92"/>
  <c r="U37"/>
  <c r="F40"/>
  <c r="K59"/>
  <c r="F60"/>
  <c r="P60"/>
  <c r="K61"/>
  <c r="F62"/>
  <c r="P67"/>
  <c r="U77"/>
  <c r="K24"/>
  <c r="F54"/>
  <c r="P88"/>
  <c r="F99"/>
  <c r="F106"/>
  <c r="K57"/>
  <c r="F59"/>
  <c r="P59"/>
  <c r="K60"/>
  <c r="F61"/>
  <c r="P61"/>
  <c r="K62"/>
  <c r="K92"/>
  <c r="P10"/>
  <c r="F10"/>
  <c r="U12"/>
  <c r="U23"/>
  <c r="K12"/>
  <c r="F19"/>
  <c r="K23"/>
  <c r="P29"/>
  <c r="F30"/>
  <c r="P37"/>
  <c r="U40"/>
  <c r="F41"/>
  <c r="P41"/>
  <c r="K49"/>
  <c r="U49"/>
  <c r="K54"/>
  <c r="K55"/>
  <c r="K64"/>
  <c r="U64"/>
  <c r="F87"/>
  <c r="K77"/>
  <c r="P30"/>
  <c r="K34"/>
  <c r="F37"/>
  <c r="K40"/>
  <c r="K41"/>
  <c r="U41"/>
  <c r="F49"/>
  <c r="P49"/>
  <c r="F55"/>
  <c r="F57"/>
  <c r="P58"/>
  <c r="K63"/>
  <c r="F64"/>
  <c r="P64"/>
  <c r="F77"/>
  <c r="P77"/>
  <c r="K88"/>
  <c r="F110"/>
  <c r="P110"/>
  <c r="K156"/>
  <c r="P159"/>
  <c r="P171"/>
  <c r="F179"/>
  <c r="K181"/>
  <c r="U182"/>
  <c r="K110"/>
  <c r="U110"/>
  <c r="F156"/>
  <c r="U159"/>
  <c r="F168"/>
  <c r="U174"/>
  <c r="P179"/>
  <c r="AR232" i="1"/>
  <c r="S232"/>
  <c r="S231"/>
  <c r="O228"/>
  <c r="S228" s="1"/>
  <c r="AN227"/>
  <c r="AR227" s="1"/>
  <c r="AR226" s="1"/>
  <c r="V228" l="1"/>
  <c r="S226"/>
  <c r="V232"/>
  <c r="AE232" s="1"/>
  <c r="AU227"/>
  <c r="BA227" s="1"/>
  <c r="V231"/>
  <c r="AE231" s="1"/>
  <c r="AU232"/>
  <c r="AY232" s="1"/>
  <c r="Y232"/>
  <c r="Y228"/>
  <c r="Z228"/>
  <c r="AX227"/>
  <c r="N9" i="2"/>
  <c r="O9" s="1"/>
  <c r="Q9"/>
  <c r="R9" s="1"/>
  <c r="L9"/>
  <c r="M9" s="1"/>
  <c r="I9"/>
  <c r="J9" s="1"/>
  <c r="K9" s="1"/>
  <c r="D9"/>
  <c r="E9" s="1"/>
  <c r="F9" s="1"/>
  <c r="S9"/>
  <c r="T9" s="1"/>
  <c r="O226" i="1"/>
  <c r="Q226" s="1"/>
  <c r="AN226"/>
  <c r="Y231"/>
  <c r="AX232"/>
  <c r="Z232" l="1"/>
  <c r="AY227"/>
  <c r="Z231"/>
  <c r="AE226"/>
  <c r="BA232"/>
  <c r="BA226" s="1"/>
  <c r="V226"/>
  <c r="X226" s="1"/>
  <c r="AU226"/>
  <c r="AV226" s="1"/>
  <c r="AS226"/>
  <c r="AT226"/>
  <c r="T226"/>
  <c r="U226"/>
  <c r="AO226"/>
  <c r="AP226"/>
  <c r="P226"/>
  <c r="P9" i="2"/>
  <c r="U9"/>
  <c r="AD226" i="1" l="1"/>
  <c r="W226"/>
  <c r="Z226" s="1"/>
  <c r="AW226"/>
  <c r="AZ226" s="1"/>
  <c r="Y226"/>
  <c r="AX226"/>
  <c r="AY226"/>
  <c r="AN225"/>
  <c r="Y225"/>
  <c r="O225"/>
  <c r="Y224"/>
  <c r="O224"/>
  <c r="S224" s="1"/>
  <c r="Y223"/>
  <c r="O223"/>
  <c r="AN222"/>
  <c r="Y222"/>
  <c r="O222"/>
  <c r="Y221"/>
  <c r="O221"/>
  <c r="S221" s="1"/>
  <c r="Y220"/>
  <c r="O220"/>
  <c r="AN219"/>
  <c r="Y219"/>
  <c r="O219"/>
  <c r="Y218"/>
  <c r="O218"/>
  <c r="S218" s="1"/>
  <c r="Y217"/>
  <c r="O217"/>
  <c r="S217" s="1"/>
  <c r="S215" s="1"/>
  <c r="Y216"/>
  <c r="O216"/>
  <c r="AE216" s="1"/>
  <c r="O212"/>
  <c r="V212" s="1"/>
  <c r="AE212" s="1"/>
  <c r="O211"/>
  <c r="V211" s="1"/>
  <c r="AE211" s="1"/>
  <c r="AN210"/>
  <c r="AR210" s="1"/>
  <c r="AR198" s="1"/>
  <c r="O210"/>
  <c r="S210" s="1"/>
  <c r="V210" s="1"/>
  <c r="AE210" s="1"/>
  <c r="AN209"/>
  <c r="O209"/>
  <c r="V209" s="1"/>
  <c r="AE209" s="1"/>
  <c r="O207"/>
  <c r="V207" s="1"/>
  <c r="AE207" s="1"/>
  <c r="O206"/>
  <c r="S206" s="1"/>
  <c r="V206" s="1"/>
  <c r="AE206" s="1"/>
  <c r="O205"/>
  <c r="S205" s="1"/>
  <c r="V205" s="1"/>
  <c r="AE205" s="1"/>
  <c r="O204"/>
  <c r="V204" s="1"/>
  <c r="AE204" s="1"/>
  <c r="AN203"/>
  <c r="O203"/>
  <c r="O201"/>
  <c r="V201" s="1"/>
  <c r="AE201" s="1"/>
  <c r="O199"/>
  <c r="S199" s="1"/>
  <c r="S198" s="1"/>
  <c r="V197"/>
  <c r="AE197" s="1"/>
  <c r="V196"/>
  <c r="AE196" s="1"/>
  <c r="V195"/>
  <c r="AE195" s="1"/>
  <c r="V192"/>
  <c r="AX185"/>
  <c r="AN185"/>
  <c r="AR189"/>
  <c r="AN186"/>
  <c r="AR186" s="1"/>
  <c r="AY183"/>
  <c r="AR179"/>
  <c r="BA179" s="1"/>
  <c r="S179"/>
  <c r="Z179" s="1"/>
  <c r="S178"/>
  <c r="AR177"/>
  <c r="BA177" s="1"/>
  <c r="S177"/>
  <c r="Z177" s="1"/>
  <c r="AR176"/>
  <c r="BA176" s="1"/>
  <c r="S176"/>
  <c r="S175" s="1"/>
  <c r="O170"/>
  <c r="Q170" s="1"/>
  <c r="S173"/>
  <c r="V173" s="1"/>
  <c r="AE173" s="1"/>
  <c r="AN172"/>
  <c r="AR172" s="1"/>
  <c r="S172"/>
  <c r="S170" s="1"/>
  <c r="AN171"/>
  <c r="BA186" l="1"/>
  <c r="AR180"/>
  <c r="AE192"/>
  <c r="AE191" s="1"/>
  <c r="V199"/>
  <c r="U215"/>
  <c r="T215"/>
  <c r="AU187"/>
  <c r="BA187" s="1"/>
  <c r="AU222"/>
  <c r="BA222" s="1"/>
  <c r="AU189"/>
  <c r="BA189" s="1"/>
  <c r="AU209"/>
  <c r="BA209" s="1"/>
  <c r="AU225"/>
  <c r="BA225" s="1"/>
  <c r="AU203"/>
  <c r="BA203" s="1"/>
  <c r="AU210"/>
  <c r="BA210" s="1"/>
  <c r="AU172"/>
  <c r="BA172" s="1"/>
  <c r="BA175"/>
  <c r="AU190"/>
  <c r="BA190" s="1"/>
  <c r="AU207"/>
  <c r="BA207" s="1"/>
  <c r="AU185"/>
  <c r="AY185" s="1"/>
  <c r="V203"/>
  <c r="Y203"/>
  <c r="V191"/>
  <c r="X191" s="1"/>
  <c r="AU171"/>
  <c r="V172"/>
  <c r="AE222"/>
  <c r="V220"/>
  <c r="V221"/>
  <c r="V223"/>
  <c r="V224"/>
  <c r="V225"/>
  <c r="V217"/>
  <c r="AE217" s="1"/>
  <c r="V218"/>
  <c r="V219"/>
  <c r="AU219"/>
  <c r="AY219" s="1"/>
  <c r="Z192"/>
  <c r="Y176"/>
  <c r="Z176"/>
  <c r="Y178"/>
  <c r="Z178"/>
  <c r="AX179"/>
  <c r="AY179"/>
  <c r="AX181"/>
  <c r="AX187"/>
  <c r="Y195"/>
  <c r="Z195"/>
  <c r="Y197"/>
  <c r="Z197"/>
  <c r="Y201"/>
  <c r="Z201"/>
  <c r="AX203"/>
  <c r="Y205"/>
  <c r="Z205"/>
  <c r="Y207"/>
  <c r="Z207"/>
  <c r="Y209"/>
  <c r="Z209"/>
  <c r="Y210"/>
  <c r="Z210"/>
  <c r="Y211"/>
  <c r="Z211"/>
  <c r="AX172"/>
  <c r="Y173"/>
  <c r="Z173"/>
  <c r="AX176"/>
  <c r="AY176"/>
  <c r="AX177"/>
  <c r="AY177"/>
  <c r="Y179"/>
  <c r="Y181"/>
  <c r="AX189"/>
  <c r="AX190"/>
  <c r="Y196"/>
  <c r="Z196"/>
  <c r="Y199"/>
  <c r="Y204"/>
  <c r="Z204"/>
  <c r="Y206"/>
  <c r="Z206"/>
  <c r="AX207"/>
  <c r="AX209"/>
  <c r="AX210"/>
  <c r="Y212"/>
  <c r="Z212"/>
  <c r="AX222"/>
  <c r="AX225"/>
  <c r="O215"/>
  <c r="Q215" s="1"/>
  <c r="O198"/>
  <c r="Q198" s="1"/>
  <c r="AN215"/>
  <c r="AN198"/>
  <c r="P170"/>
  <c r="Y174"/>
  <c r="O175"/>
  <c r="Q175" s="1"/>
  <c r="AN175"/>
  <c r="AP175" s="1"/>
  <c r="AN180"/>
  <c r="T191"/>
  <c r="AN170"/>
  <c r="AR175"/>
  <c r="AT175" s="1"/>
  <c r="AZ175" s="1"/>
  <c r="O191"/>
  <c r="AN191"/>
  <c r="AX219"/>
  <c r="Y192"/>
  <c r="AX183"/>
  <c r="Y177"/>
  <c r="Y172"/>
  <c r="U170"/>
  <c r="AX171"/>
  <c r="AR170"/>
  <c r="AY209" l="1"/>
  <c r="W191"/>
  <c r="Z191" s="1"/>
  <c r="Z199"/>
  <c r="AY225"/>
  <c r="BA198"/>
  <c r="T198"/>
  <c r="U198"/>
  <c r="AE199"/>
  <c r="V198"/>
  <c r="AY187"/>
  <c r="AY203"/>
  <c r="AY222"/>
  <c r="AY210"/>
  <c r="AY207"/>
  <c r="AY190"/>
  <c r="AY172"/>
  <c r="AU198"/>
  <c r="AV198" s="1"/>
  <c r="AU170"/>
  <c r="AV170" s="1"/>
  <c r="BA185"/>
  <c r="BA180" s="1"/>
  <c r="Z223"/>
  <c r="AE223"/>
  <c r="V170"/>
  <c r="W170" s="1"/>
  <c r="AE172"/>
  <c r="AE170" s="1"/>
  <c r="BA219"/>
  <c r="BA215" s="1"/>
  <c r="BA193"/>
  <c r="BA191" s="1"/>
  <c r="Z219"/>
  <c r="AE219"/>
  <c r="Z225"/>
  <c r="AE225"/>
  <c r="Z221"/>
  <c r="AE221"/>
  <c r="Z203"/>
  <c r="AE203"/>
  <c r="AY189"/>
  <c r="Z218"/>
  <c r="AE218"/>
  <c r="Z224"/>
  <c r="AE224"/>
  <c r="Z220"/>
  <c r="AE220"/>
  <c r="BA171"/>
  <c r="BA170" s="1"/>
  <c r="AU180"/>
  <c r="AO191"/>
  <c r="AP191"/>
  <c r="P191"/>
  <c r="Y191" s="1"/>
  <c r="Q191"/>
  <c r="Z172"/>
  <c r="AY171"/>
  <c r="Z222"/>
  <c r="AU215"/>
  <c r="AW215" s="1"/>
  <c r="V215"/>
  <c r="Z217"/>
  <c r="U191"/>
  <c r="AD191" s="1"/>
  <c r="P215"/>
  <c r="Y215" s="1"/>
  <c r="AS170"/>
  <c r="AT170"/>
  <c r="AO170"/>
  <c r="AP170"/>
  <c r="P198"/>
  <c r="Z216"/>
  <c r="AS180"/>
  <c r="AT180"/>
  <c r="AS198"/>
  <c r="AT198"/>
  <c r="AS215"/>
  <c r="AT215"/>
  <c r="AX193"/>
  <c r="AO180"/>
  <c r="AP180"/>
  <c r="P175"/>
  <c r="AO198"/>
  <c r="AP198"/>
  <c r="AO215"/>
  <c r="AP215"/>
  <c r="AO175"/>
  <c r="AS175"/>
  <c r="AY175" s="1"/>
  <c r="T170"/>
  <c r="T175"/>
  <c r="Z175" s="1"/>
  <c r="AX163"/>
  <c r="AN163"/>
  <c r="O163"/>
  <c r="O162"/>
  <c r="S162" s="1"/>
  <c r="S143" s="1"/>
  <c r="AX145"/>
  <c r="AN145"/>
  <c r="AU145" s="1"/>
  <c r="O145"/>
  <c r="AN168"/>
  <c r="O168"/>
  <c r="AN167"/>
  <c r="O167"/>
  <c r="AN166"/>
  <c r="O166"/>
  <c r="AN165"/>
  <c r="O165"/>
  <c r="O159"/>
  <c r="O158"/>
  <c r="AN157"/>
  <c r="O157"/>
  <c r="AN156"/>
  <c r="O156"/>
  <c r="AN155"/>
  <c r="O155"/>
  <c r="AN154"/>
  <c r="O154"/>
  <c r="AN153"/>
  <c r="O153"/>
  <c r="AN151"/>
  <c r="O151"/>
  <c r="O150"/>
  <c r="AN149"/>
  <c r="O149"/>
  <c r="AE149" s="1"/>
  <c r="AN148"/>
  <c r="O148"/>
  <c r="AN147"/>
  <c r="O147"/>
  <c r="AN144"/>
  <c r="O144"/>
  <c r="AZ215" l="1"/>
  <c r="AE198"/>
  <c r="AW180"/>
  <c r="AZ180" s="1"/>
  <c r="AV180"/>
  <c r="AY180" s="1"/>
  <c r="U143"/>
  <c r="T143"/>
  <c r="X215"/>
  <c r="AD215" s="1"/>
  <c r="W215"/>
  <c r="Z215" s="1"/>
  <c r="X170"/>
  <c r="AD170" s="1"/>
  <c r="W198"/>
  <c r="Z198" s="1"/>
  <c r="X198"/>
  <c r="AD198" s="1"/>
  <c r="V145"/>
  <c r="AE145" s="1"/>
  <c r="V162"/>
  <c r="AE162" s="1"/>
  <c r="BA150"/>
  <c r="AW170"/>
  <c r="AZ170" s="1"/>
  <c r="AW198"/>
  <c r="AZ198" s="1"/>
  <c r="Y163"/>
  <c r="AY170"/>
  <c r="AE215"/>
  <c r="AY193"/>
  <c r="AU191"/>
  <c r="AX215"/>
  <c r="AX180"/>
  <c r="AX170"/>
  <c r="AV215"/>
  <c r="AY215" s="1"/>
  <c r="AS191"/>
  <c r="AX191" s="1"/>
  <c r="AT191"/>
  <c r="AV191"/>
  <c r="AW191"/>
  <c r="AY145"/>
  <c r="BA147"/>
  <c r="BA148"/>
  <c r="BA149"/>
  <c r="BA154"/>
  <c r="BA156"/>
  <c r="BA157"/>
  <c r="Y159"/>
  <c r="BA166"/>
  <c r="Y148"/>
  <c r="AE148"/>
  <c r="Y150"/>
  <c r="AE150"/>
  <c r="Y153"/>
  <c r="AE153"/>
  <c r="Y154"/>
  <c r="AE154"/>
  <c r="Y155"/>
  <c r="AE155"/>
  <c r="Y156"/>
  <c r="AE156"/>
  <c r="Y157"/>
  <c r="AE157"/>
  <c r="Y158"/>
  <c r="AE158"/>
  <c r="Y165"/>
  <c r="AE165"/>
  <c r="Y166"/>
  <c r="AE166"/>
  <c r="AE168"/>
  <c r="Y145"/>
  <c r="Y175"/>
  <c r="Y170"/>
  <c r="Z170"/>
  <c r="Y149"/>
  <c r="Z149"/>
  <c r="AX150"/>
  <c r="Y162"/>
  <c r="Z162"/>
  <c r="U175"/>
  <c r="AD175" s="1"/>
  <c r="AX198"/>
  <c r="AY198"/>
  <c r="Y198"/>
  <c r="AN143"/>
  <c r="O143"/>
  <c r="Q143" s="1"/>
  <c r="AX175"/>
  <c r="AZ191" l="1"/>
  <c r="Z145"/>
  <c r="AX149"/>
  <c r="BA155"/>
  <c r="BA153"/>
  <c r="AE159"/>
  <c r="AY163"/>
  <c r="BA163"/>
  <c r="BA145"/>
  <c r="Y147"/>
  <c r="AE147"/>
  <c r="AX168"/>
  <c r="BA168"/>
  <c r="AY150"/>
  <c r="AX166"/>
  <c r="AX156"/>
  <c r="AX148"/>
  <c r="AX154"/>
  <c r="AX147"/>
  <c r="AX157"/>
  <c r="AY191"/>
  <c r="Z159"/>
  <c r="AY156"/>
  <c r="AY155"/>
  <c r="Z168"/>
  <c r="AY168"/>
  <c r="AY149"/>
  <c r="AY147"/>
  <c r="AY153"/>
  <c r="AY166"/>
  <c r="Z148"/>
  <c r="AY154"/>
  <c r="Y168"/>
  <c r="Z154"/>
  <c r="AX155"/>
  <c r="AY148"/>
  <c r="Z155"/>
  <c r="AX153"/>
  <c r="AY157"/>
  <c r="Z158"/>
  <c r="Z165"/>
  <c r="Z156"/>
  <c r="Z153"/>
  <c r="Z150"/>
  <c r="Z166"/>
  <c r="V144"/>
  <c r="AU144"/>
  <c r="BA144" s="1"/>
  <c r="Z157"/>
  <c r="P143"/>
  <c r="AO143"/>
  <c r="AP143"/>
  <c r="Y144"/>
  <c r="AX144"/>
  <c r="AE144" l="1"/>
  <c r="AY144"/>
  <c r="Z144"/>
  <c r="T136"/>
  <c r="Z136" s="1"/>
  <c r="AN129"/>
  <c r="AN141"/>
  <c r="AO141" s="1"/>
  <c r="O136"/>
  <c r="P136" s="1"/>
  <c r="O141"/>
  <c r="P141" s="1"/>
  <c r="AN136"/>
  <c r="O129"/>
  <c r="Q129" s="1"/>
  <c r="S141"/>
  <c r="T141" s="1"/>
  <c r="Z141" s="1"/>
  <c r="AR141"/>
  <c r="AS141" s="1"/>
  <c r="AY141" s="1"/>
  <c r="Q141" l="1"/>
  <c r="Q136"/>
  <c r="P129"/>
  <c r="AO136"/>
  <c r="AP136"/>
  <c r="Z129"/>
  <c r="AP141"/>
  <c r="AO129"/>
  <c r="AP129"/>
  <c r="AS136"/>
  <c r="AY136" s="1"/>
  <c r="AT136"/>
  <c r="AZ136" s="1"/>
  <c r="AT141"/>
  <c r="AZ141" s="1"/>
  <c r="U141"/>
  <c r="AD141" s="1"/>
  <c r="U136"/>
  <c r="AD136" s="1"/>
  <c r="AX141"/>
  <c r="Y136"/>
  <c r="Y141"/>
  <c r="AT115"/>
  <c r="AZ115" s="1"/>
  <c r="Y129" l="1"/>
  <c r="AX129"/>
  <c r="AX136"/>
  <c r="AN115"/>
  <c r="AN95"/>
  <c r="O115"/>
  <c r="Q115" s="1"/>
  <c r="AS115"/>
  <c r="AY115" s="1"/>
  <c r="O95"/>
  <c r="P95" l="1"/>
  <c r="Q95"/>
  <c r="P115"/>
  <c r="AO115"/>
  <c r="AX115" s="1"/>
  <c r="AP115"/>
  <c r="U95"/>
  <c r="AD95" s="1"/>
  <c r="Z115"/>
  <c r="U115"/>
  <c r="AD115" s="1"/>
  <c r="AO95"/>
  <c r="AP95"/>
  <c r="AS95"/>
  <c r="AY95" s="1"/>
  <c r="AT95"/>
  <c r="AZ95" s="1"/>
  <c r="Y95" l="1"/>
  <c r="Y115"/>
  <c r="AX95"/>
  <c r="AX75"/>
  <c r="AN75"/>
  <c r="AX74"/>
  <c r="AN74"/>
  <c r="AX73"/>
  <c r="AN73"/>
  <c r="Z73"/>
  <c r="O70"/>
  <c r="S70" s="1"/>
  <c r="S66" s="1"/>
  <c r="O67"/>
  <c r="O65"/>
  <c r="AX93"/>
  <c r="AN93"/>
  <c r="O93"/>
  <c r="V93" s="1"/>
  <c r="AE93" s="1"/>
  <c r="V70" l="1"/>
  <c r="AE70" s="1"/>
  <c r="AU93"/>
  <c r="AU75"/>
  <c r="V72"/>
  <c r="O72"/>
  <c r="Y72" s="1"/>
  <c r="AU74"/>
  <c r="AY74" s="1"/>
  <c r="AU73"/>
  <c r="AY73" s="1"/>
  <c r="Y93"/>
  <c r="Z93"/>
  <c r="V65"/>
  <c r="AE65" s="1"/>
  <c r="AE64" s="1"/>
  <c r="Y70"/>
  <c r="V67"/>
  <c r="O64"/>
  <c r="P64" s="1"/>
  <c r="Y73"/>
  <c r="O66"/>
  <c r="P66" s="1"/>
  <c r="AN71"/>
  <c r="AE72" l="1"/>
  <c r="Z70"/>
  <c r="AY93"/>
  <c r="BA93"/>
  <c r="Y65"/>
  <c r="BA75"/>
  <c r="Z72"/>
  <c r="BA74"/>
  <c r="BA73"/>
  <c r="V66"/>
  <c r="W66" s="1"/>
  <c r="AE67"/>
  <c r="AE66" s="1"/>
  <c r="T66"/>
  <c r="Y66" s="1"/>
  <c r="S64"/>
  <c r="T64" s="1"/>
  <c r="Y64" s="1"/>
  <c r="AU71"/>
  <c r="AW71" s="1"/>
  <c r="Y67"/>
  <c r="V64"/>
  <c r="X64" s="1"/>
  <c r="Q64"/>
  <c r="Q66"/>
  <c r="AS71"/>
  <c r="AT71"/>
  <c r="AO71"/>
  <c r="AP71"/>
  <c r="Z67"/>
  <c r="Z65"/>
  <c r="AN94"/>
  <c r="AR94" s="1"/>
  <c r="O94"/>
  <c r="S94" s="1"/>
  <c r="O92"/>
  <c r="S92" s="1"/>
  <c r="AN91"/>
  <c r="AR91" s="1"/>
  <c r="O91"/>
  <c r="S91" s="1"/>
  <c r="AN90"/>
  <c r="AR90" s="1"/>
  <c r="S90"/>
  <c r="AE90" s="1"/>
  <c r="AN89"/>
  <c r="AR89" s="1"/>
  <c r="O89"/>
  <c r="S89" s="1"/>
  <c r="O88"/>
  <c r="S88" s="1"/>
  <c r="AN80"/>
  <c r="AR80" s="1"/>
  <c r="S80"/>
  <c r="O63"/>
  <c r="S63" s="1"/>
  <c r="V63" s="1"/>
  <c r="AE63" s="1"/>
  <c r="O62"/>
  <c r="S62" s="1"/>
  <c r="V62" s="1"/>
  <c r="AE62" s="1"/>
  <c r="AN61"/>
  <c r="AR61" s="1"/>
  <c r="O61"/>
  <c r="S61" s="1"/>
  <c r="V61" s="1"/>
  <c r="AE61" s="1"/>
  <c r="AN60"/>
  <c r="AR60" s="1"/>
  <c r="AN59"/>
  <c r="AR59" s="1"/>
  <c r="O59"/>
  <c r="S59" s="1"/>
  <c r="AR79" l="1"/>
  <c r="AZ71"/>
  <c r="S79"/>
  <c r="V59"/>
  <c r="AE59" s="1"/>
  <c r="S58"/>
  <c r="T58" s="1"/>
  <c r="U66"/>
  <c r="AU60"/>
  <c r="BA60" s="1"/>
  <c r="AV71"/>
  <c r="AY71" s="1"/>
  <c r="V80"/>
  <c r="AE80" s="1"/>
  <c r="V89"/>
  <c r="AE89" s="1"/>
  <c r="V92"/>
  <c r="AE92" s="1"/>
  <c r="V88"/>
  <c r="V91"/>
  <c r="AE91" s="1"/>
  <c r="V94"/>
  <c r="AE94" s="1"/>
  <c r="X66"/>
  <c r="AE58"/>
  <c r="BA71"/>
  <c r="AU91"/>
  <c r="BA91" s="1"/>
  <c r="AU61"/>
  <c r="BA61" s="1"/>
  <c r="AU90"/>
  <c r="BA90" s="1"/>
  <c r="AU94"/>
  <c r="BA94" s="1"/>
  <c r="AU80"/>
  <c r="BA80" s="1"/>
  <c r="AU89"/>
  <c r="BA89" s="1"/>
  <c r="Z66"/>
  <c r="U64"/>
  <c r="AD64" s="1"/>
  <c r="AX71"/>
  <c r="W64"/>
  <c r="AU59"/>
  <c r="AX60"/>
  <c r="AY60"/>
  <c r="AX61"/>
  <c r="Y63"/>
  <c r="Z63"/>
  <c r="Y88"/>
  <c r="Y89"/>
  <c r="Y91"/>
  <c r="Y92"/>
  <c r="Y94"/>
  <c r="Z59"/>
  <c r="Y61"/>
  <c r="Z61"/>
  <c r="Y62"/>
  <c r="Z62"/>
  <c r="AX89"/>
  <c r="AX90"/>
  <c r="AX91"/>
  <c r="AX94"/>
  <c r="AY94"/>
  <c r="O79"/>
  <c r="Q79" s="1"/>
  <c r="O58"/>
  <c r="Q58" s="1"/>
  <c r="AN58"/>
  <c r="AN79"/>
  <c r="AX80"/>
  <c r="AS79"/>
  <c r="Y80"/>
  <c r="T79"/>
  <c r="AX59"/>
  <c r="AR58"/>
  <c r="Y59"/>
  <c r="Z94" l="1"/>
  <c r="Z89"/>
  <c r="V58"/>
  <c r="X58" s="1"/>
  <c r="Z80"/>
  <c r="AD66"/>
  <c r="AU58"/>
  <c r="AW58" s="1"/>
  <c r="AY80"/>
  <c r="Z92"/>
  <c r="Z91"/>
  <c r="V79"/>
  <c r="W79" s="1"/>
  <c r="Z79" s="1"/>
  <c r="Z88"/>
  <c r="AE88"/>
  <c r="AE79" s="1"/>
  <c r="AY91"/>
  <c r="AY89"/>
  <c r="AY90"/>
  <c r="AY61"/>
  <c r="AU79"/>
  <c r="BA79"/>
  <c r="BA59"/>
  <c r="BA58" s="1"/>
  <c r="Z64"/>
  <c r="W58"/>
  <c r="X79"/>
  <c r="AY59"/>
  <c r="AV58"/>
  <c r="AT79"/>
  <c r="U58"/>
  <c r="AD58" s="1"/>
  <c r="AO58"/>
  <c r="AP58"/>
  <c r="AS58"/>
  <c r="AT58"/>
  <c r="AO79"/>
  <c r="AX79" s="1"/>
  <c r="AP79"/>
  <c r="P58"/>
  <c r="Y58" s="1"/>
  <c r="P79"/>
  <c r="Y79" s="1"/>
  <c r="U79"/>
  <c r="AN50"/>
  <c r="AR50" s="1"/>
  <c r="O51"/>
  <c r="S51" s="1"/>
  <c r="V51" s="1"/>
  <c r="AE51" s="1"/>
  <c r="O50"/>
  <c r="O53"/>
  <c r="S53" s="1"/>
  <c r="V53" s="1"/>
  <c r="AE53" s="1"/>
  <c r="O57"/>
  <c r="S57" s="1"/>
  <c r="V57" s="1"/>
  <c r="AE57" s="1"/>
  <c r="O55"/>
  <c r="V55" s="1"/>
  <c r="AE55" s="1"/>
  <c r="O54"/>
  <c r="S54" s="1"/>
  <c r="V54" s="1"/>
  <c r="AE54" s="1"/>
  <c r="O56"/>
  <c r="V56" s="1"/>
  <c r="AE56" s="1"/>
  <c r="O52"/>
  <c r="S52" s="1"/>
  <c r="AZ58" l="1"/>
  <c r="AW79"/>
  <c r="AZ79" s="1"/>
  <c r="AV79"/>
  <c r="AY79" s="1"/>
  <c r="AD79"/>
  <c r="Z58"/>
  <c r="V52"/>
  <c r="AU50"/>
  <c r="Y54"/>
  <c r="Z54"/>
  <c r="Y57"/>
  <c r="Z57"/>
  <c r="S50"/>
  <c r="Y56"/>
  <c r="Z56"/>
  <c r="Y55"/>
  <c r="Z55"/>
  <c r="Y53"/>
  <c r="Z53"/>
  <c r="Y51"/>
  <c r="Z51"/>
  <c r="AX58"/>
  <c r="AY58"/>
  <c r="AR49"/>
  <c r="AS49" s="1"/>
  <c r="AX50"/>
  <c r="AN49"/>
  <c r="O49"/>
  <c r="P49" s="1"/>
  <c r="Y52"/>
  <c r="V50" l="1"/>
  <c r="AE50" s="1"/>
  <c r="S49"/>
  <c r="T49" s="1"/>
  <c r="AY50"/>
  <c r="Z52"/>
  <c r="AE52"/>
  <c r="AE49" s="1"/>
  <c r="BA50"/>
  <c r="BA49" s="1"/>
  <c r="AU49"/>
  <c r="AV49" s="1"/>
  <c r="AY49" s="1"/>
  <c r="Q49"/>
  <c r="AO49"/>
  <c r="AP49"/>
  <c r="AT49"/>
  <c r="Y50"/>
  <c r="V49" l="1"/>
  <c r="X49" s="1"/>
  <c r="Z50"/>
  <c r="AW49"/>
  <c r="AZ49" s="1"/>
  <c r="U49"/>
  <c r="W49"/>
  <c r="AN11"/>
  <c r="AX49"/>
  <c r="Y49"/>
  <c r="AD49" l="1"/>
  <c r="Z49"/>
  <c r="AP11"/>
  <c r="AO11"/>
  <c r="B184" i="2" l="1"/>
  <c r="Y189" i="1"/>
  <c r="O180"/>
  <c r="Q180" s="1"/>
  <c r="S183"/>
  <c r="S190"/>
  <c r="Y190" s="1"/>
  <c r="Y183" l="1"/>
  <c r="S180"/>
  <c r="Y186"/>
  <c r="Y187"/>
  <c r="P180"/>
  <c r="V185"/>
  <c r="V186"/>
  <c r="AE186" s="1"/>
  <c r="V187"/>
  <c r="AE187" s="1"/>
  <c r="V190"/>
  <c r="T180"/>
  <c r="V189"/>
  <c r="AE189" s="1"/>
  <c r="Y185"/>
  <c r="Z183"/>
  <c r="AE185" l="1"/>
  <c r="U180"/>
  <c r="Z187"/>
  <c r="Z189"/>
  <c r="Z190"/>
  <c r="AE190"/>
  <c r="Z186"/>
  <c r="Z185"/>
  <c r="Y180"/>
  <c r="V180"/>
  <c r="X180" s="1"/>
  <c r="AD180" s="1"/>
  <c r="AE180" l="1"/>
  <c r="W180"/>
  <c r="Z180" s="1"/>
  <c r="O71"/>
  <c r="P71" s="1"/>
  <c r="Q71" l="1"/>
  <c r="O11"/>
  <c r="Q11" l="1"/>
  <c r="P11"/>
  <c r="L104" l="1"/>
  <c r="M104"/>
  <c r="F95"/>
  <c r="F11" l="1"/>
  <c r="H95"/>
  <c r="I95"/>
  <c r="K95" s="1"/>
  <c r="G95"/>
  <c r="H11" l="1"/>
  <c r="R95"/>
  <c r="J95"/>
  <c r="M95" s="1"/>
  <c r="G11"/>
  <c r="L11" s="1"/>
  <c r="L95"/>
  <c r="I11"/>
  <c r="J11" l="1"/>
  <c r="M11" s="1"/>
  <c r="K11"/>
  <c r="R11" s="1"/>
  <c r="AL73"/>
  <c r="AI73"/>
  <c r="AM73" l="1"/>
  <c r="AL74"/>
  <c r="AI74"/>
  <c r="AM74" s="1"/>
  <c r="AI71" l="1"/>
  <c r="AL71"/>
  <c r="AJ71" l="1"/>
  <c r="AM71" s="1"/>
  <c r="AK71"/>
  <c r="AQ71" s="1"/>
  <c r="AL104"/>
  <c r="AI95"/>
  <c r="AG95" l="1"/>
  <c r="AL95" s="1"/>
  <c r="AH95"/>
  <c r="AJ95"/>
  <c r="AK95"/>
  <c r="AM104"/>
  <c r="AQ95" l="1"/>
  <c r="AM95"/>
  <c r="V75"/>
  <c r="Y75"/>
  <c r="Y76"/>
  <c r="V76"/>
  <c r="AE76" s="1"/>
  <c r="Y78"/>
  <c r="Y74"/>
  <c r="V74"/>
  <c r="V78"/>
  <c r="Y77"/>
  <c r="V77"/>
  <c r="AE77" s="1"/>
  <c r="AE74" l="1"/>
  <c r="V71"/>
  <c r="Z78"/>
  <c r="AE78"/>
  <c r="AE75"/>
  <c r="Z75"/>
  <c r="Y71"/>
  <c r="Z77"/>
  <c r="Z74"/>
  <c r="W71" l="1"/>
  <c r="Z71" s="1"/>
  <c r="X71"/>
  <c r="AD71" s="1"/>
  <c r="AE71"/>
  <c r="Y151" l="1"/>
  <c r="V151"/>
  <c r="Y167"/>
  <c r="V167"/>
  <c r="AE167" s="1"/>
  <c r="Z151" l="1"/>
  <c r="V143"/>
  <c r="V11" s="1"/>
  <c r="AE151"/>
  <c r="AE143" s="1"/>
  <c r="AE11" s="1"/>
  <c r="Y143"/>
  <c r="Z167"/>
  <c r="S11"/>
  <c r="T11" s="1"/>
  <c r="Y11" s="1"/>
  <c r="AL151"/>
  <c r="AI151"/>
  <c r="X143" l="1"/>
  <c r="AD143" s="1"/>
  <c r="W143"/>
  <c r="Z143" s="1"/>
  <c r="U11"/>
  <c r="AM151"/>
  <c r="AL167"/>
  <c r="AF11"/>
  <c r="AI167"/>
  <c r="AI143" s="1"/>
  <c r="AL143"/>
  <c r="W11" l="1"/>
  <c r="Z11" s="1"/>
  <c r="X11"/>
  <c r="AD11" s="1"/>
  <c r="AK143"/>
  <c r="AQ143" s="1"/>
  <c r="AJ143"/>
  <c r="AM143" s="1"/>
  <c r="AG11"/>
  <c r="AL11" s="1"/>
  <c r="AM167"/>
  <c r="AH11"/>
  <c r="AI11" l="1"/>
  <c r="AK11" s="1"/>
  <c r="AQ11" s="1"/>
  <c r="AJ11" l="1"/>
  <c r="AM11" s="1"/>
  <c r="AX151"/>
  <c r="AU151"/>
  <c r="AY151" l="1"/>
  <c r="BA151"/>
  <c r="AX165"/>
  <c r="AU165"/>
  <c r="BA165" s="1"/>
  <c r="AY165" l="1"/>
  <c r="AV143"/>
  <c r="AU143"/>
  <c r="BA167"/>
  <c r="BA143" s="1"/>
  <c r="BA11" s="1"/>
  <c r="AW143" l="1"/>
  <c r="AU11"/>
  <c r="AV11" s="1"/>
  <c r="AT143"/>
  <c r="AX167"/>
  <c r="AY167"/>
  <c r="AW11" l="1"/>
  <c r="AR11"/>
  <c r="AT11" s="1"/>
  <c r="AZ11" l="1"/>
  <c r="AS11"/>
  <c r="AX143"/>
  <c r="AY143"/>
  <c r="AX11" l="1"/>
  <c r="AY11"/>
</calcChain>
</file>

<file path=xl/comments1.xml><?xml version="1.0" encoding="utf-8"?>
<comments xmlns="http://schemas.openxmlformats.org/spreadsheetml/2006/main">
  <authors>
    <author>Щинина Светлана Александровна</author>
    <author>Кузнецова Татьяна Юрьевна</author>
    <author>YAksenovskaya</author>
    <author>kuznetsovann</author>
  </authors>
  <commentLis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112,35 реал орг ВКХ (ВоСток)</t>
        </r>
      </text>
    </comment>
    <comment ref="AA27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140,24 реал орг ВКХ (ВоСток)</t>
        </r>
      </text>
    </comment>
    <comment ref="M37" authorId="1">
      <text>
        <r>
          <rPr>
            <b/>
            <sz val="9"/>
            <color indexed="81"/>
            <rFont val="Tahoma"/>
            <family val="2"/>
            <charset val="204"/>
          </rPr>
          <t>Кузнецова Татьяна Юрьевна:</t>
        </r>
        <r>
          <rPr>
            <sz val="9"/>
            <color indexed="81"/>
            <rFont val="Tahoma"/>
            <family val="2"/>
            <charset val="204"/>
          </rPr>
          <t xml:space="preserve">
РППГО 29 млн + выпадающие 10 млн</t>
        </r>
      </text>
    </comment>
    <comment ref="M59" authorId="1">
      <text>
        <r>
          <rPr>
            <b/>
            <sz val="9"/>
            <color indexed="81"/>
            <rFont val="Tahoma"/>
            <family val="2"/>
            <charset val="204"/>
          </rPr>
          <t>Кузнецова Татьяна Юрьевна:</t>
        </r>
        <r>
          <rPr>
            <sz val="9"/>
            <color indexed="81"/>
            <rFont val="Tahoma"/>
            <family val="2"/>
            <charset val="204"/>
          </rPr>
          <t xml:space="preserve">
выпадающие за предыд годы</t>
        </r>
      </text>
    </comment>
    <comment ref="Z75" authorId="1">
      <text>
        <r>
          <rPr>
            <b/>
            <sz val="9"/>
            <color indexed="81"/>
            <rFont val="Tahoma"/>
            <family val="2"/>
            <charset val="204"/>
          </rPr>
          <t>Кузнецова Татьяна Юрьевна:</t>
        </r>
        <r>
          <rPr>
            <sz val="9"/>
            <color indexed="81"/>
            <rFont val="Tahoma"/>
            <family val="2"/>
            <charset val="204"/>
          </rPr>
          <t xml:space="preserve">
Согласование??</t>
        </r>
      </text>
    </comment>
    <comment ref="Z163" authorId="2">
      <text>
        <r>
          <rPr>
            <b/>
            <sz val="8"/>
            <color indexed="81"/>
            <rFont val="Tahoma"/>
            <family val="2"/>
            <charset val="204"/>
          </rPr>
          <t>YAksenovskaya:</t>
        </r>
        <r>
          <rPr>
            <sz val="8"/>
            <color indexed="81"/>
            <rFont val="Tahoma"/>
            <family val="2"/>
            <charset val="204"/>
          </rPr>
          <t xml:space="preserve">
Снижение объемов на 2017 год
</t>
        </r>
      </text>
    </comment>
    <comment ref="W201" authorId="3">
      <text>
        <r>
          <rPr>
            <b/>
            <sz val="10"/>
            <color indexed="81"/>
            <rFont val="Tahoma"/>
            <family val="2"/>
            <charset val="204"/>
          </rPr>
          <t>kuznetsovann:</t>
        </r>
        <r>
          <rPr>
            <sz val="10"/>
            <color indexed="81"/>
            <rFont val="Tahoma"/>
            <family val="2"/>
            <charset val="204"/>
          </rPr>
          <t xml:space="preserve">
принято 17.11</t>
        </r>
      </text>
    </comment>
    <comment ref="W206" authorId="3">
      <text>
        <r>
          <rPr>
            <b/>
            <sz val="10"/>
            <color indexed="81"/>
            <rFont val="Tahoma"/>
            <family val="2"/>
            <charset val="204"/>
          </rPr>
          <t>kuznetsovann:</t>
        </r>
        <r>
          <rPr>
            <sz val="10"/>
            <color indexed="81"/>
            <rFont val="Tahoma"/>
            <family val="2"/>
            <charset val="204"/>
          </rPr>
          <t xml:space="preserve">
принято 17.11.2016</t>
        </r>
      </text>
    </comment>
    <comment ref="W216" authorId="3">
      <text>
        <r>
          <rPr>
            <b/>
            <sz val="10"/>
            <color indexed="81"/>
            <rFont val="Tahoma"/>
            <family val="2"/>
            <charset val="204"/>
          </rPr>
          <t>kuznetsovann:</t>
        </r>
        <r>
          <rPr>
            <sz val="10"/>
            <color indexed="81"/>
            <rFont val="Tahoma"/>
            <family val="2"/>
            <charset val="204"/>
          </rPr>
          <t xml:space="preserve">
принято 17.11.2016</t>
        </r>
      </text>
    </comment>
    <comment ref="W218" authorId="3">
      <text>
        <r>
          <rPr>
            <b/>
            <sz val="10"/>
            <color indexed="81"/>
            <rFont val="Tahoma"/>
            <family val="2"/>
            <charset val="204"/>
          </rPr>
          <t>kuznetsovann:</t>
        </r>
        <r>
          <rPr>
            <sz val="10"/>
            <color indexed="81"/>
            <rFont val="Tahoma"/>
            <family val="2"/>
            <charset val="204"/>
          </rPr>
          <t xml:space="preserve">
принято 17.11</t>
        </r>
      </text>
    </comment>
  </commentList>
</comments>
</file>

<file path=xl/comments2.xml><?xml version="1.0" encoding="utf-8"?>
<comments xmlns="http://schemas.openxmlformats.org/spreadsheetml/2006/main">
  <authors>
    <author>Щинина Светлана Александровна</author>
  </authors>
  <commentList>
    <comment ref="B20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31,2 реал орг ВКХ 
МУП Водоочистка
2113,85 подр/орг</t>
        </r>
      </text>
    </comment>
    <comment ref="B23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112,35 реал орг ВКХ (ВоСток)</t>
        </r>
      </text>
    </comment>
    <comment ref="L23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140,24 реал орг ВКХ (ВоСток)</t>
        </r>
      </text>
    </comment>
  </commentList>
</comments>
</file>

<file path=xl/comments3.xml><?xml version="1.0" encoding="utf-8"?>
<comments xmlns="http://schemas.openxmlformats.org/spreadsheetml/2006/main">
  <authors>
    <author>Берденникова Светлана Николаевна</author>
  </authors>
  <commentList>
    <comment ref="B6" authorId="0">
      <text>
        <r>
          <rPr>
            <b/>
            <sz val="9"/>
            <color indexed="81"/>
            <rFont val="Tahoma"/>
            <family val="2"/>
            <charset val="204"/>
          </rPr>
          <t>Берденникова Светлана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ТГК 2</t>
        </r>
      </text>
    </comment>
    <comment ref="B7" authorId="0">
      <text>
        <r>
          <rPr>
            <b/>
            <sz val="9"/>
            <color indexed="81"/>
            <rFont val="Tahoma"/>
            <family val="2"/>
            <charset val="204"/>
          </rPr>
          <t>Берденникова Светлана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Севмаш, Звездочка, Горвик, гарант, Нордхим, ТГК 2
</t>
        </r>
      </text>
    </comment>
    <comment ref="B8" authorId="0">
      <text>
        <r>
          <rPr>
            <b/>
            <sz val="9"/>
            <color indexed="81"/>
            <rFont val="Tahoma"/>
            <family val="2"/>
            <charset val="204"/>
          </rPr>
          <t>Берденникова Светлана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РЖД, Горводоканал, КЭМЗ</t>
        </r>
      </text>
    </comment>
    <comment ref="B30" authorId="0">
      <text>
        <r>
          <rPr>
            <b/>
            <sz val="9"/>
            <color indexed="81"/>
            <rFont val="Tahoma"/>
            <family val="2"/>
            <charset val="204"/>
          </rPr>
          <t>Берденникова Светлана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Жилфонд, РЭП Правобережье, Рочегда</t>
        </r>
      </text>
    </comment>
  </commentList>
</comments>
</file>

<file path=xl/comments4.xml><?xml version="1.0" encoding="utf-8"?>
<comments xmlns="http://schemas.openxmlformats.org/spreadsheetml/2006/main">
  <authors>
    <author>Щинина Светлана Александровна</author>
  </authors>
  <commentList>
    <comment ref="B20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31,2 реал орг ВКХ 
МУП Водоочистка
2113,85 подр/орг</t>
        </r>
      </text>
    </comment>
    <comment ref="B23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112,35 реал орг ВКХ (ВоСток)</t>
        </r>
      </text>
    </comment>
    <comment ref="L23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140,24 реал орг ВКХ (ВоСток)</t>
        </r>
      </text>
    </comment>
  </commentList>
</comments>
</file>

<file path=xl/comments5.xml><?xml version="1.0" encoding="utf-8"?>
<comments xmlns="http://schemas.openxmlformats.org/spreadsheetml/2006/main">
  <authors>
    <author>Щинина Светлана Александровна</author>
  </authors>
  <commentList>
    <comment ref="B20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31,2 реал орг ВКХ 
МУП Водоочистка
2113,85 подр/орг</t>
        </r>
      </text>
    </comment>
    <comment ref="B23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112,35 реал орг ВКХ (ВоСток)</t>
        </r>
      </text>
    </comment>
    <comment ref="L23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140,24 реал орг ВКХ (ВоСток)</t>
        </r>
      </text>
    </comment>
  </commentList>
</comments>
</file>

<file path=xl/sharedStrings.xml><?xml version="1.0" encoding="utf-8"?>
<sst xmlns="http://schemas.openxmlformats.org/spreadsheetml/2006/main" count="1518" uniqueCount="488">
  <si>
    <t>1 полугодие 2016 года</t>
  </si>
  <si>
    <t>2 полугодие 2016 года</t>
  </si>
  <si>
    <t>ЭОТ</t>
  </si>
  <si>
    <t>Население</t>
  </si>
  <si>
    <t>Питьевое и техническое водоснабжение (без НДС)</t>
  </si>
  <si>
    <t>Водоотведение (без НДС)</t>
  </si>
  <si>
    <t>ПО, т.м3</t>
  </si>
  <si>
    <t>тариф, руб./м3</t>
  </si>
  <si>
    <t>объем, м3</t>
  </si>
  <si>
    <t>Изменение, 1п к 2 п, %</t>
  </si>
  <si>
    <t>ИТОГО по г. Архангельску</t>
  </si>
  <si>
    <t>ООО "РОСА"</t>
  </si>
  <si>
    <t>ОАО "СЦБК"</t>
  </si>
  <si>
    <t>ОАО "АМТП"</t>
  </si>
  <si>
    <t>ИТОГО по г. Коряжме</t>
  </si>
  <si>
    <t>ОАО "РЖД"</t>
  </si>
  <si>
    <t>ОАО "Группа Илим"</t>
  </si>
  <si>
    <t>ПУ ЖКХ</t>
  </si>
  <si>
    <t>ИТОГО по Каргопольскому району</t>
  </si>
  <si>
    <t>ООО "Каргопольский водоканал"</t>
  </si>
  <si>
    <t>МУП "Архангело"</t>
  </si>
  <si>
    <t>МУП "Печниково"</t>
  </si>
  <si>
    <t>МУП "Тихманьга"</t>
  </si>
  <si>
    <t>МУП "Ошевенское"</t>
  </si>
  <si>
    <t>МУП "Казаково"</t>
  </si>
  <si>
    <t>МУП "Павловское"</t>
  </si>
  <si>
    <t>ГАПОУ "Каргопольский индустриальный техникум"</t>
  </si>
  <si>
    <t>МУП "Водоочистка" (питьевая вода)</t>
  </si>
  <si>
    <t>МУП "Водоочистка" (техническая вода)</t>
  </si>
  <si>
    <t>МУП "Водоканал" (питьевая вода)</t>
  </si>
  <si>
    <t>МУП "Водоканал" (техническая вода)</t>
  </si>
  <si>
    <t>ИТОГО по г. Новодвинску</t>
  </si>
  <si>
    <t>АЦБК пит.вода / хоз-быт.стоки</t>
  </si>
  <si>
    <t>АЦБК пхоз.вода /усл-чист стоки</t>
  </si>
  <si>
    <t>АЦБК произ.вода / произ. стоки</t>
  </si>
  <si>
    <t>АЦБК фильт.вода</t>
  </si>
  <si>
    <t>ОАО Сети</t>
  </si>
  <si>
    <t>ИТОГО по Ленскому району</t>
  </si>
  <si>
    <t>Газпром энерго Сев.филиал</t>
  </si>
  <si>
    <t>ООО Тепло</t>
  </si>
  <si>
    <t>ООО Энергосфера</t>
  </si>
  <si>
    <t>Козьминское МУ ППЖКХ</t>
  </si>
  <si>
    <t>ИТОГО по Холмогорскому району</t>
  </si>
  <si>
    <t>МУП Холмогорский Водоканал</t>
  </si>
  <si>
    <t>МУП Холмогорская Водоочистка</t>
  </si>
  <si>
    <t>ООО Пинега</t>
  </si>
  <si>
    <t>ООО Луковецкое</t>
  </si>
  <si>
    <t>ООО Жилкомсервис</t>
  </si>
  <si>
    <t>ООО ПКФ Холмогоры</t>
  </si>
  <si>
    <t>ООО Двина</t>
  </si>
  <si>
    <t>ООО Северная Двина</t>
  </si>
  <si>
    <t>ФКУ ИК-12 УФСИН России</t>
  </si>
  <si>
    <t>ООО Светлый дом</t>
  </si>
  <si>
    <t xml:space="preserve">АО "ГУ ЖКХ" </t>
  </si>
  <si>
    <t>АО "ГУ ЖКХ" Рембуево</t>
  </si>
  <si>
    <t>ИТОГО по г. Мирный</t>
  </si>
  <si>
    <t>МУП ЖЭУ</t>
  </si>
  <si>
    <t>АО ГУ ЖКХ</t>
  </si>
  <si>
    <t>ОАО "АрхоблЭнерго"</t>
  </si>
  <si>
    <t>АО "ГУ ЖКХ"</t>
  </si>
  <si>
    <t>ООО "Северный край"</t>
  </si>
  <si>
    <t>ООО "Комфорт"</t>
  </si>
  <si>
    <t>ООО "Сийское"</t>
  </si>
  <si>
    <t>МУП "Строитель"</t>
  </si>
  <si>
    <t>ООО "АльянсТеплоЭнерго"</t>
  </si>
  <si>
    <t>МП ППЖКХ</t>
  </si>
  <si>
    <t>ИТОГО по Лешуконскому району</t>
  </si>
  <si>
    <t>ИТОГО по Мезенскому району</t>
  </si>
  <si>
    <t>ИТОГО по Пинежскому району</t>
  </si>
  <si>
    <t>ИТОГО Вельский р-он</t>
  </si>
  <si>
    <t>Водоканал</t>
  </si>
  <si>
    <t>Водоканал Кулой</t>
  </si>
  <si>
    <t>Верхнеустькулойское</t>
  </si>
  <si>
    <t>Кулой</t>
  </si>
  <si>
    <t>Водоресурс</t>
  </si>
  <si>
    <t>Низовское</t>
  </si>
  <si>
    <t>Пакшеньгское</t>
  </si>
  <si>
    <t>Судромское</t>
  </si>
  <si>
    <t>ЖКХ Кокшеньга</t>
  </si>
  <si>
    <t>Хозьминское</t>
  </si>
  <si>
    <t>ИТОГО Коношский р-он</t>
  </si>
  <si>
    <t>МРСК Северо-Запада</t>
  </si>
  <si>
    <t>Благоустройство</t>
  </si>
  <si>
    <t>ЖКХ Волошка</t>
  </si>
  <si>
    <t>Ерцевуские теплосети</t>
  </si>
  <si>
    <t>Жилкомсервис</t>
  </si>
  <si>
    <t>Жилкомслужба</t>
  </si>
  <si>
    <t>Жильё</t>
  </si>
  <si>
    <t>ФКУ ОИУ ОУХД-4</t>
  </si>
  <si>
    <t>ФГУ комбинат Полярник</t>
  </si>
  <si>
    <t>Тавреньга</t>
  </si>
  <si>
    <t>ТеплоСервис</t>
  </si>
  <si>
    <t>АО "ГУ ЖКХ" Коноша</t>
  </si>
  <si>
    <t>ИТОГО Онежский р-он</t>
  </si>
  <si>
    <t>Золотухская УК</t>
  </si>
  <si>
    <t>Кодинский ПК</t>
  </si>
  <si>
    <t>Нименьгское коммун.хоз-во</t>
  </si>
  <si>
    <t>Нименьга</t>
  </si>
  <si>
    <t>Шаста</t>
  </si>
  <si>
    <t>Онега-ВК</t>
  </si>
  <si>
    <t>Водоканал 15</t>
  </si>
  <si>
    <t>МПМК</t>
  </si>
  <si>
    <t>УК Сервис</t>
  </si>
  <si>
    <t>Федьковское ЖКХ</t>
  </si>
  <si>
    <t>ИТОГО Верхнетоемский р-он</t>
  </si>
  <si>
    <t>ИТОГО Шенкурский р-он</t>
  </si>
  <si>
    <t>ООО Искра</t>
  </si>
  <si>
    <t>ООО "ВоСток"</t>
  </si>
  <si>
    <t>ООО "Приморская управляющая компания"</t>
  </si>
  <si>
    <t>ООО "Марайс"</t>
  </si>
  <si>
    <t>ООО "Севкрай"</t>
  </si>
  <si>
    <t>ООО "Ремэнерго"</t>
  </si>
  <si>
    <t>Учреждение "Базовый санаторий "Беломорье"</t>
  </si>
  <si>
    <t>ООО "Ремэнерго 2"</t>
  </si>
  <si>
    <t>ООО "Управляющая жилищная компания"</t>
  </si>
  <si>
    <t>ООО "РЭП "Северный округ"</t>
  </si>
  <si>
    <t>ООО "Север"</t>
  </si>
  <si>
    <t>ИТОГО Приморский район</t>
  </si>
  <si>
    <t>АО "ГУ ЖКХ" Приморское Рикасиха</t>
  </si>
  <si>
    <t>АО "ГУ ЖКХ" Лявленское Хорьково</t>
  </si>
  <si>
    <t>АО "ГУ ЖКХ" Лявленское Черный Яр</t>
  </si>
  <si>
    <t>ИТОГО по Красноборскому району</t>
  </si>
  <si>
    <t xml:space="preserve"> ГБУЗ АО Детский туберкулезный  санаторий им. М.Н.Фаворской </t>
  </si>
  <si>
    <t>МУП "Алексеевское" (техническая вода) МО "Алексеевское"</t>
  </si>
  <si>
    <t>ЛПУ "Санаторий "Солониха"</t>
  </si>
  <si>
    <t>МП "Телеговское ЖКХ"</t>
  </si>
  <si>
    <t>ИТОГО по Вилегодскому району</t>
  </si>
  <si>
    <t>ООО "Павловск ЖКХ" МО "Павловское" (техническое водоснабжение)</t>
  </si>
  <si>
    <t>ООО "Управдом" МО "Никольское"</t>
  </si>
  <si>
    <t>ООО "Лето" МО "Ильинское" (техническое водоснабжение)</t>
  </si>
  <si>
    <t>ООО "Лето" МО "Ильинское", МО "Беляевское"  (питьевое водоснабжение)</t>
  </si>
  <si>
    <t>ООО "Вилегодск ЖКХ" МО Вилегодское</t>
  </si>
  <si>
    <t>ИТОГО по Котласскому району</t>
  </si>
  <si>
    <t>МУП Котласского муниципального района "Водотеплоснаб" МО "Сольвычегодское"(кроме деревни Григорово)</t>
  </si>
  <si>
    <t>МУП Котласского муниципального района "Водотеплоснаб" МО "Сольвычегодское"(кроме деревни Григорово) в стадии очистки сточных вод</t>
  </si>
  <si>
    <t>МУП Котласского муниципального района "Водотеплоснаб" МО "Сольвычегодское" на территории деревни Григорово</t>
  </si>
  <si>
    <t>ООО "Удима" МО "Приводинское"</t>
  </si>
  <si>
    <t>ООО "КЭТС" МО "Шипицынское</t>
  </si>
  <si>
    <t>ООО "Водоснаб" МО "Черемушское"</t>
  </si>
  <si>
    <t>ООО "Аквапрофиль" МО "Приводинское" (кроме деревень Курцево, Куимиха, Медведка)</t>
  </si>
  <si>
    <t>ООО "Комфорт" на территории деревень Курцево, Еуимиха, Медведка МО "Приводинское"</t>
  </si>
  <si>
    <t>АО "ГУ ЖКХ" Липово</t>
  </si>
  <si>
    <t>АО "ГУ ЖКХ" Савватия</t>
  </si>
  <si>
    <t>ИТОГО по Няндомскому району</t>
  </si>
  <si>
    <t>МП "Водоканал"</t>
  </si>
  <si>
    <t>МУП "Мошинское ЖКХ"</t>
  </si>
  <si>
    <t>ООО "Родник"</t>
  </si>
  <si>
    <t>МУП "ШЛИТ" (железнод ст. Лельма, Ивакша, Тарза)</t>
  </si>
  <si>
    <t>МУП "ШЛИТ" (ст. Шожма)</t>
  </si>
  <si>
    <t>МУП "ШЛИТ" (Лепша-Новый пос.)</t>
  </si>
  <si>
    <t>ИТОГО по Плесецкому району</t>
  </si>
  <si>
    <t>ФКУ ИК-29 УФСИН России по Архангельской области</t>
  </si>
  <si>
    <t>ФКУ ЛИУ-8 УФСИН России по Архангельской области</t>
  </si>
  <si>
    <t>ФКУ ОИУ ОУХД-2 УФСИН России по Архангельской области</t>
  </si>
  <si>
    <t>ООО "Уют-2" Североонежское</t>
  </si>
  <si>
    <t>ООО "Уют-2" Оксовское</t>
  </si>
  <si>
    <t>ООО "Уют-2" Ярнемское</t>
  </si>
  <si>
    <t>ООО "Северо-западная консалтинговая компания"</t>
  </si>
  <si>
    <t>ООО "Обком"</t>
  </si>
  <si>
    <t>МУП "Плесецк-Ресурс"</t>
  </si>
  <si>
    <t>ООО "Савинскжилсервис"</t>
  </si>
  <si>
    <t>ООО "Газпром теплоэнерго Плесецк" Североонежское</t>
  </si>
  <si>
    <t>ООО "Газпром теплоэнерго Плесецк" Коневское</t>
  </si>
  <si>
    <t>ИТОГО по Устьянскому району</t>
  </si>
  <si>
    <t>МУП "Бестужевское"</t>
  </si>
  <si>
    <t>ООО "Березник"</t>
  </si>
  <si>
    <t>МУП "Лойгинское"</t>
  </si>
  <si>
    <t>ООО "ТеплоСнаб"</t>
  </si>
  <si>
    <t>МУП "Плосское"</t>
  </si>
  <si>
    <t>МУП "Строевское"</t>
  </si>
  <si>
    <t>ООО "УТэК"</t>
  </si>
  <si>
    <t>ООО "ЖКХ "Ростово"</t>
  </si>
  <si>
    <t>ООО "ЖКХ "Малодоры"</t>
  </si>
  <si>
    <t>МУП "Дмитриевское"</t>
  </si>
  <si>
    <t>ООО "Шангальский жилкомсервис"</t>
  </si>
  <si>
    <t>ИТОГО по Виноградовскому району</t>
  </si>
  <si>
    <t>Жилфонд (питьевая вода, ВО)</t>
  </si>
  <si>
    <t>Жилфонд (подвоз воды, очистка)</t>
  </si>
  <si>
    <t>Рочегда (питьевая вода)</t>
  </si>
  <si>
    <t>РЭП Правобережье (питьевая вода, ВО)</t>
  </si>
  <si>
    <t>ИТОГО по г. Северодвинску</t>
  </si>
  <si>
    <t>Севмаш (питьевая вода, ВО)</t>
  </si>
  <si>
    <t>Севмаш (техническая вода)</t>
  </si>
  <si>
    <t>Звездочка (питьевая вода, ВО)</t>
  </si>
  <si>
    <t>ИТОГО по г. Котласу</t>
  </si>
  <si>
    <t>Горводоканал (питьевая вода, ВО)</t>
  </si>
  <si>
    <t>Горводоканал (техническая вода, очистка)</t>
  </si>
  <si>
    <t>РЖД (питьевая вода, ВО)</t>
  </si>
  <si>
    <t>АО "ГУ ЖКХ" тех вода</t>
  </si>
  <si>
    <t>АО "ГУ ЖКХ" Ненокса</t>
  </si>
  <si>
    <t>АО "ГУ ЖКХ" Ягры</t>
  </si>
  <si>
    <t>АО "ГУ ЖКХ" Байка</t>
  </si>
  <si>
    <t>ИТОГО по Архангельской области</t>
  </si>
  <si>
    <t>ВСЕГО Архангельская область</t>
  </si>
  <si>
    <t>МП "Водоканал" Няндома</t>
  </si>
  <si>
    <t xml:space="preserve">Количество </t>
  </si>
  <si>
    <t>РСО</t>
  </si>
  <si>
    <t>льготные тарифы</t>
  </si>
  <si>
    <t>корректировок</t>
  </si>
  <si>
    <t>закрытых дел (не обязательно)</t>
  </si>
  <si>
    <t>ИТОГО</t>
  </si>
  <si>
    <t>Вельский р-он</t>
  </si>
  <si>
    <t>Коношский р-он</t>
  </si>
  <si>
    <t>Онежский р-он</t>
  </si>
  <si>
    <t>В-Тоемский р-он</t>
  </si>
  <si>
    <t>Шенкурский р-он</t>
  </si>
  <si>
    <t>Приморский</t>
  </si>
  <si>
    <t>Пинежский район</t>
  </si>
  <si>
    <t>Няндомскому району</t>
  </si>
  <si>
    <t>Котласскому району</t>
  </si>
  <si>
    <t>Вилегодскому району</t>
  </si>
  <si>
    <t>Красноборскому району</t>
  </si>
  <si>
    <t>г. Архангельску</t>
  </si>
  <si>
    <t>г. Котласу</t>
  </si>
  <si>
    <t>г. Коряжме</t>
  </si>
  <si>
    <t>г. Новодвинску</t>
  </si>
  <si>
    <t>Каргопольскому району</t>
  </si>
  <si>
    <t>Ленскому району</t>
  </si>
  <si>
    <t>Холмогорскому району</t>
  </si>
  <si>
    <t>Плесецкому району:</t>
  </si>
  <si>
    <t>Устьянскому району:</t>
  </si>
  <si>
    <t>г. Северодвинску:</t>
  </si>
  <si>
    <t>Виноградовскому району</t>
  </si>
  <si>
    <t>г. Мирный</t>
  </si>
  <si>
    <t>Архангельск</t>
  </si>
  <si>
    <t>Новодвинск</t>
  </si>
  <si>
    <t>Мирный</t>
  </si>
  <si>
    <t>Коряжма</t>
  </si>
  <si>
    <t>Северодвинск</t>
  </si>
  <si>
    <t>Котлас</t>
  </si>
  <si>
    <t>Верхнетоемский р-он</t>
  </si>
  <si>
    <t>Вилегодский район</t>
  </si>
  <si>
    <t>Виноградовский район</t>
  </si>
  <si>
    <t>Каргопольский район</t>
  </si>
  <si>
    <t>Котласский район</t>
  </si>
  <si>
    <t>Красноборский район</t>
  </si>
  <si>
    <t>Ленский район</t>
  </si>
  <si>
    <t>Лешуконский район</t>
  </si>
  <si>
    <t>Мезенский район</t>
  </si>
  <si>
    <t>Няндомский район</t>
  </si>
  <si>
    <t>Плесецкий район</t>
  </si>
  <si>
    <t>Приморский район</t>
  </si>
  <si>
    <t>Холмогорский район</t>
  </si>
  <si>
    <t>Устьянский район</t>
  </si>
  <si>
    <t>Тарифы на услуги водоснабжения и водоотведения на 2016 год в среднем по Архангельской области и по муниципальным образованиям (городским округам и муниципальным районам)</t>
  </si>
  <si>
    <t>Изменение, 2 п к 1 п, %</t>
  </si>
  <si>
    <t>рост к пред. тарифу, %</t>
  </si>
  <si>
    <t>Прочие потребители (ЭОТ)</t>
  </si>
  <si>
    <t>2 полугодие 2016 г.</t>
  </si>
  <si>
    <t xml:space="preserve">1 полугодие 2016 г. </t>
  </si>
  <si>
    <t>1 полугодие 2016 г.</t>
  </si>
  <si>
    <t>Рост, %</t>
  </si>
  <si>
    <t>Тариф на питьевую и техническую воду, руб./м3 (без НДС)</t>
  </si>
  <si>
    <t>тариф на водоотведение, руб./м3 (без НДС)</t>
  </si>
  <si>
    <t>Тарифы на питьевую и техническую воду и услуги водоотведения на 2016 год по муниципальному образованию "Город Архангельск"</t>
  </si>
  <si>
    <t xml:space="preserve">1 полугодие </t>
  </si>
  <si>
    <t>2 полугодие</t>
  </si>
  <si>
    <t xml:space="preserve">2 полугодие </t>
  </si>
  <si>
    <t>В среднем по МО</t>
  </si>
  <si>
    <t>рост, %</t>
  </si>
  <si>
    <t>Тарифы на питьевую и техническую воду и услуги водоотведения на 2016 год по муниципальному образованию "Северодвинск"</t>
  </si>
  <si>
    <t>ОАО "ПО "Севмаш"(питьевая вода)</t>
  </si>
  <si>
    <t>ОАО "ПО "Севмаш" (техническая вода)</t>
  </si>
  <si>
    <t>ОАО "ЦС "Звездочка" (питьевая вода)</t>
  </si>
  <si>
    <t>Наименование муниципального образования</t>
  </si>
  <si>
    <t>Лисестровское</t>
  </si>
  <si>
    <t>Талажское</t>
  </si>
  <si>
    <t>Боброво-Лявленское (пос. Боброво)</t>
  </si>
  <si>
    <t>Боброво-Лявленское (дер. Емельяновская)</t>
  </si>
  <si>
    <t>Лисестровское (пос. Васьково)</t>
  </si>
  <si>
    <t>Заостровское</t>
  </si>
  <si>
    <t>Приморское</t>
  </si>
  <si>
    <t>Катунинское</t>
  </si>
  <si>
    <t>Уемское</t>
  </si>
  <si>
    <t>Талажское (дер. Повракула)</t>
  </si>
  <si>
    <t>Островное (дер. Ластола)</t>
  </si>
  <si>
    <t>Островное (дер. Пустошь)</t>
  </si>
  <si>
    <t>Островное (с. Вознесенье)</t>
  </si>
  <si>
    <t>ООО "ЖКХ-Сервис"</t>
  </si>
  <si>
    <t>Козьминское</t>
  </si>
  <si>
    <t>Урдомское</t>
  </si>
  <si>
    <t>Сафроновское</t>
  </si>
  <si>
    <t>Холмогорское</t>
  </si>
  <si>
    <t>Матигорское</t>
  </si>
  <si>
    <t>Емецкое</t>
  </si>
  <si>
    <t>Луковецкое</t>
  </si>
  <si>
    <t>Белогорское</t>
  </si>
  <si>
    <t>Ракульское</t>
  </si>
  <si>
    <t>Светлозерское</t>
  </si>
  <si>
    <t>Двинское</t>
  </si>
  <si>
    <t>Савинское</t>
  </si>
  <si>
    <t>Североонежское, Ундозерское</t>
  </si>
  <si>
    <t>Североонежское</t>
  </si>
  <si>
    <t>Оксовское</t>
  </si>
  <si>
    <t>Ярнемское</t>
  </si>
  <si>
    <t>Федовское</t>
  </si>
  <si>
    <t>Обозерское</t>
  </si>
  <si>
    <t>Плесецкое</t>
  </si>
  <si>
    <t>Коневское</t>
  </si>
  <si>
    <t>Бестужевское</t>
  </si>
  <si>
    <t>Березницкое</t>
  </si>
  <si>
    <t>Лойгинское</t>
  </si>
  <si>
    <t>Киземское</t>
  </si>
  <si>
    <t>Плосское</t>
  </si>
  <si>
    <t>Строевское</t>
  </si>
  <si>
    <t>Октябрьское</t>
  </si>
  <si>
    <t>Малодорское</t>
  </si>
  <si>
    <t>Дмитриевское</t>
  </si>
  <si>
    <t>Шангальское</t>
  </si>
  <si>
    <t>Город Архангельск</t>
  </si>
  <si>
    <t>Лешуконский муниципальный район</t>
  </si>
  <si>
    <t>Каменское, Мезенское</t>
  </si>
  <si>
    <t>Мезенское</t>
  </si>
  <si>
    <t>Кушкопальское, Лавельское, Сосновское</t>
  </si>
  <si>
    <t>Сийское</t>
  </si>
  <si>
    <t>Междуреченское</t>
  </si>
  <si>
    <t>Шилегское</t>
  </si>
  <si>
    <t>Пинежское</t>
  </si>
  <si>
    <t>Ухтостровское</t>
  </si>
  <si>
    <t>Коношское</t>
  </si>
  <si>
    <t>Соловецкое</t>
  </si>
  <si>
    <t>Боброво-Лявленское</t>
  </si>
  <si>
    <t>Сольвычегодское</t>
  </si>
  <si>
    <t>Черемушское</t>
  </si>
  <si>
    <t>Приводинское</t>
  </si>
  <si>
    <t>Шипицынское</t>
  </si>
  <si>
    <t>Няндомское</t>
  </si>
  <si>
    <t>Мошинское</t>
  </si>
  <si>
    <t>Шалакушское</t>
  </si>
  <si>
    <t>МУП "Северянин"</t>
  </si>
  <si>
    <t>Дорогорское</t>
  </si>
  <si>
    <t>МУП "ЖКХ Жердь"</t>
  </si>
  <si>
    <t>Жердское</t>
  </si>
  <si>
    <t>ООО "Водоканал"</t>
  </si>
  <si>
    <t>ООО "Водоканал Кулой"</t>
  </si>
  <si>
    <t>ООО "Водоресурс"</t>
  </si>
  <si>
    <t>ООО "ЖКХ Кокшеньга"</t>
  </si>
  <si>
    <t>Ракуло-Кокшеньгское</t>
  </si>
  <si>
    <t>Вохтомское</t>
  </si>
  <si>
    <t>Волошское</t>
  </si>
  <si>
    <t>Ерцевское</t>
  </si>
  <si>
    <t>Климовское</t>
  </si>
  <si>
    <t>Тавреньгское</t>
  </si>
  <si>
    <t>Подюжское</t>
  </si>
  <si>
    <t>МУП "Кодинский ПК"</t>
  </si>
  <si>
    <t>Кодинское</t>
  </si>
  <si>
    <t>МУП "Нименьгское коммун.хоз-во"</t>
  </si>
  <si>
    <t>Нименьгское</t>
  </si>
  <si>
    <t>Шастовское</t>
  </si>
  <si>
    <t>ООО "Онега-ВК"</t>
  </si>
  <si>
    <t>Онежское</t>
  </si>
  <si>
    <t>ООО "Водоканал 15"</t>
  </si>
  <si>
    <t>ООО "МПМК"</t>
  </si>
  <si>
    <t>Верхнетоемское</t>
  </si>
  <si>
    <t>ООО "УК Сервис"</t>
  </si>
  <si>
    <t>Пучужское</t>
  </si>
  <si>
    <t>Федьковское</t>
  </si>
  <si>
    <t>ООО "Искра"</t>
  </si>
  <si>
    <t>Шенкурское,Федогорское</t>
  </si>
  <si>
    <t>АО "ЦС "Звездочка" (питьевая вода, ВО)</t>
  </si>
  <si>
    <t>МП "Горводоканал" (питьевая вода, ВО)</t>
  </si>
  <si>
    <t>МП "Горводоканал" (техническая вода, очистка)</t>
  </si>
  <si>
    <t>ОАО "РЖД" (питьевая вода, ВО)</t>
  </si>
  <si>
    <t>ООО "Жилфонд" (питьевая вода, ВО)</t>
  </si>
  <si>
    <t>ООО "Жилфонд" (подвоз воды, очистка)</t>
  </si>
  <si>
    <t>Березниковское</t>
  </si>
  <si>
    <t>Борецкое</t>
  </si>
  <si>
    <t>Алексеевское</t>
  </si>
  <si>
    <t>Телеговское</t>
  </si>
  <si>
    <t>Никольское</t>
  </si>
  <si>
    <t>Ильинское</t>
  </si>
  <si>
    <t>Ильинское, Беляевское</t>
  </si>
  <si>
    <t>Вилегодское</t>
  </si>
  <si>
    <t>Горячее водоснабжение (без НДС)</t>
  </si>
  <si>
    <t>МП "Объединение котельных и тепловых сетей"</t>
  </si>
  <si>
    <t>МП "ПУ ЖКХ пос.Вычегодский"</t>
  </si>
  <si>
    <t>ОАО "РЖД "</t>
  </si>
  <si>
    <t>ОАО "ТГК № 2"</t>
  </si>
  <si>
    <t>ООО "ПКТС"</t>
  </si>
  <si>
    <t>Малошуйское</t>
  </si>
  <si>
    <t>МУП "Жилкомсервис"</t>
  </si>
  <si>
    <t>ООО "Теплоэнерго"</t>
  </si>
  <si>
    <t>ООО "Кулой ЖКХ"</t>
  </si>
  <si>
    <t>Кулойское</t>
  </si>
  <si>
    <t>ООО "Теплосервис"</t>
  </si>
  <si>
    <t>Благовещенское</t>
  </si>
  <si>
    <t>Солгинское</t>
  </si>
  <si>
    <t>Верхнешоношское</t>
  </si>
  <si>
    <t>Липовское</t>
  </si>
  <si>
    <t>Пежемское</t>
  </si>
  <si>
    <t>Попонаволоцкое</t>
  </si>
  <si>
    <t>есть</t>
  </si>
  <si>
    <t>нет</t>
  </si>
  <si>
    <t>ООО "Пежма"</t>
  </si>
  <si>
    <t>2 полугодие 2017 года</t>
  </si>
  <si>
    <t>Изменение, 2 п к 2 п, %</t>
  </si>
  <si>
    <t>Система налогообложения (ОСНО, УСНО)</t>
  </si>
  <si>
    <t>ОСНО</t>
  </si>
  <si>
    <t>УСНО</t>
  </si>
  <si>
    <t>ЗАНЕСТИ ДАННЫЕ ЗА 2 ПОЛУГОДИЕ 2017 ГОДА (ИЗ ПОСТАНОВЛЕНИЙ , НО С УЧЕТОМ ВОЗМОЖНОЙ КОРРЕКТИРОВКИ)</t>
  </si>
  <si>
    <t>тариф, руб./м3, с НДС</t>
  </si>
  <si>
    <t>ДОБАВИТЬ НЕДОСТАЮЩИЕ ПРЕДПРИЯТИЯ, ПРОВЕРИТЬ ИМЕЮЩИЕСЯ, УКАЗАТЬ СИСТЕМУ НАЛОГООБЛОЖЕНИЯ</t>
  </si>
  <si>
    <t>ТАРИФ ДЛЯ НАСЕЛЕНИЯ ЗА 2 ПОЛУГОДИЕ 2017 ГОДА ЗАНОСИТЬ СТРОГО ИЗ ПОСТАНОВЛЕНИЙ (без НДС)</t>
  </si>
  <si>
    <t xml:space="preserve">без НДС </t>
  </si>
  <si>
    <t>ООО "Марайс" (Боброво)</t>
  </si>
  <si>
    <t>ООО "Марайс" (Емельяновская)</t>
  </si>
  <si>
    <t>ООО "Марайс" (Заостровское)</t>
  </si>
  <si>
    <t>ООО "Ремэнерго" (Беломорье)</t>
  </si>
  <si>
    <t>ООО "Север" (Ластола)</t>
  </si>
  <si>
    <t>ООО "Север" (Пустошь)</t>
  </si>
  <si>
    <t>МУП Холмогорский Водоканал МО Холмогорское</t>
  </si>
  <si>
    <t>МУП Холмогорский Водоканал МО Луковецкое</t>
  </si>
  <si>
    <t>МУП Холмогорский Водоканал МО Матигорское</t>
  </si>
  <si>
    <t>МУП Холмогорский Водоканал  деревни МО Матигорское</t>
  </si>
  <si>
    <t>МУП Холмогорский Водоканал МО Усть - Пинежское</t>
  </si>
  <si>
    <t>МО "Вельское"</t>
  </si>
  <si>
    <t>МО "Аргуновское", "Муравьёвское"</t>
  </si>
  <si>
    <t>пос.Нименьга</t>
  </si>
  <si>
    <t>пос.Шаста</t>
  </si>
  <si>
    <t>ООО "Шангальский ЖКС" (вместо ООО ""Шангальский жилкомсервис")</t>
  </si>
  <si>
    <t>ООО "Искра" (питьевая вода, ВО)</t>
  </si>
  <si>
    <t>ООО "Виноградовское водоснабжающее предприятие" (Моржегорское)</t>
  </si>
  <si>
    <t>ООО "Виноградовское водоснабжающее предприятие" (Осиновское)</t>
  </si>
  <si>
    <t>ООО "Виноградовское водоснабжающее предприятие" (Рочегодское)</t>
  </si>
  <si>
    <t>ООО "Комфорт" на территории деревень Курцево, Куимиха, Медведка МО "Приводинское"</t>
  </si>
  <si>
    <t>ОАО "Группа Илим" (тех вода)</t>
  </si>
  <si>
    <t>ОАО "РЖД"  МО Коношское</t>
  </si>
  <si>
    <t>ОАО "РЖД" МО Малошуйское</t>
  </si>
  <si>
    <t xml:space="preserve">ОАО "РЖД" </t>
  </si>
  <si>
    <t>Расчет тарифов для предельного индекса на 2017 год в сфере водоснабжения и водоотведения по Архангельской области в разрезе муниципальных образований</t>
  </si>
  <si>
    <t xml:space="preserve">Питьевое и техническое водоснабжение </t>
  </si>
  <si>
    <t xml:space="preserve">Водоотведение </t>
  </si>
  <si>
    <t>ИП Скумин Б.П.</t>
  </si>
  <si>
    <t>Субсидия по воде</t>
  </si>
  <si>
    <t>Субсидия по в/о</t>
  </si>
  <si>
    <t xml:space="preserve"> </t>
  </si>
  <si>
    <t>ООО "БиоРесурс" только ВО</t>
  </si>
  <si>
    <t>ООО "Водоканал" только ХВС</t>
  </si>
  <si>
    <t>Водоотведение</t>
  </si>
  <si>
    <t>Вельский район</t>
  </si>
  <si>
    <t>МУП Холмогорская Водоочистка МО Матигорское</t>
  </si>
  <si>
    <t>МУП Холмогорская Водоочистка МО Холмогорское</t>
  </si>
  <si>
    <t>ООО "Марайс" (Боброво Лявленское)</t>
  </si>
  <si>
    <t>ООО "Ремэнерго" (Рикасиха)</t>
  </si>
  <si>
    <r>
      <t xml:space="preserve">ООО "КЭТС" МО "Шипицынское </t>
    </r>
    <r>
      <rPr>
        <sz val="12"/>
        <color rgb="FFFF0000"/>
        <rFont val="Times New Roman"/>
        <family val="1"/>
        <charset val="204"/>
      </rPr>
      <t>(Концессия-НДС!)</t>
    </r>
  </si>
  <si>
    <t>ИП Матюшина ЛК</t>
  </si>
  <si>
    <t>ООО "Альянс" МО "Тавреньгское"</t>
  </si>
  <si>
    <t>ООО "Исток" (МО Пуксоозерское)</t>
  </si>
  <si>
    <t>ООО "Водные ресурсы Севера" (МО Холмогорское)</t>
  </si>
  <si>
    <t>ООО "КЭТС" МО "Шипицынское (очистка сточных вод)</t>
  </si>
  <si>
    <t>ООО "Водные ресурсы Севера" (МО Обозерское, вместо ООО "Обком")</t>
  </si>
  <si>
    <t>МУП "Хозьминское" (концессия, изменилась СНО)</t>
  </si>
  <si>
    <t>ООО "Управляющая жилищная компания"(ул.Заводская)</t>
  </si>
  <si>
    <t>ООО "Управляющая жилищная компания"(Военный городок)</t>
  </si>
  <si>
    <t>ООО "Управляющая жилищная компания"(ул.Большесельская)</t>
  </si>
  <si>
    <t>ООО "Управляющая компания "Беломорканал"</t>
  </si>
  <si>
    <t>МУП "ПУ ЖКХ"</t>
  </si>
  <si>
    <t>АО "ГУ ЖКХ" Примоское Талажское</t>
  </si>
  <si>
    <t>1 полугодие 2017 года</t>
  </si>
  <si>
    <t>ООО "КЭТС" МО "Сольвычегодское"(кроме деревни Григорово)</t>
  </si>
  <si>
    <t>ООО "КЭТС" МО "Сольвычегодское"(кроме деревни Григорово) в стадии очистки сточных вод</t>
  </si>
  <si>
    <t>ООО "КЭТС" МО "Сольвычегодское" на территории деревни Григорово</t>
  </si>
  <si>
    <t>,,,</t>
  </si>
  <si>
    <t>ООО "ТеплоСнаб" (перешли на ОСНО с 02.12.2016)</t>
  </si>
  <si>
    <t>ООО "Кристал" (вместо ООО "Жильё")</t>
  </si>
  <si>
    <t>МУП "ТеплоСервис"</t>
  </si>
  <si>
    <t>МУП "Ерцевские теплосети"</t>
  </si>
  <si>
    <t>МУП "Коношское благоустройство" (с 21.09.2016 вместо МУП "Жилкомсервис")</t>
  </si>
  <si>
    <t>ООО "Атлант" (вместо ЖКХ Волошка)</t>
  </si>
  <si>
    <t>ООО "Атлант" (вместо МУП "Благоустройство")</t>
  </si>
  <si>
    <t>МУП "Водоочистка" (питьевая вода) с 13.01.2017</t>
  </si>
  <si>
    <t>Изменение с НДС</t>
  </si>
  <si>
    <t>г. Коряжма</t>
  </si>
  <si>
    <t>г. Новодвинск</t>
  </si>
  <si>
    <t>г. Архангельск</t>
  </si>
  <si>
    <t>1 полугодие</t>
  </si>
  <si>
    <t>Тариф для населения, 
руб./куб.м (с НДС)</t>
  </si>
  <si>
    <t>ЭОТ, руб./куб.м (с НДС)</t>
  </si>
  <si>
    <t>Тариф для населения, руб./куб.м (с НДС)</t>
  </si>
  <si>
    <t>1.3. Информация о средневзвешенных тарифах в сфере холодного водоснабжения и водоотведения на 2017 год</t>
  </si>
  <si>
    <t>Субсидия 
по воде, тыс. руб.</t>
  </si>
  <si>
    <t>Субсидия 
по ВО, тыс. руб.</t>
  </si>
  <si>
    <t>ВСЕГО по Архангельской
области</t>
  </si>
  <si>
    <t>Наименование 
муниципального района, городского округа</t>
  </si>
  <si>
    <t>Коношский район</t>
  </si>
  <si>
    <t>Онежский район</t>
  </si>
  <si>
    <t>Верхнетоемский район</t>
  </si>
  <si>
    <t>Шенкурский район</t>
  </si>
</sst>
</file>

<file path=xl/styles.xml><?xml version="1.0" encoding="utf-8"?>
<styleSheet xmlns="http://schemas.openxmlformats.org/spreadsheetml/2006/main">
  <numFmts count="1">
    <numFmt numFmtId="164" formatCode="0.0%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i/>
      <sz val="11"/>
      <name val="Calibri"/>
      <family val="2"/>
      <charset val="204"/>
      <scheme val="minor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ahoma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0" fillId="0" borderId="0"/>
    <xf numFmtId="0" fontId="33" fillId="0" borderId="0"/>
    <xf numFmtId="0" fontId="20" fillId="0" borderId="0"/>
  </cellStyleXfs>
  <cellXfs count="391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5" fillId="0" borderId="0" xfId="0" applyFont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/>
    </xf>
    <xf numFmtId="4" fontId="5" fillId="3" borderId="1" xfId="0" applyNumberFormat="1" applyFont="1" applyFill="1" applyBorder="1" applyAlignment="1">
      <alignment horizontal="center"/>
    </xf>
    <xf numFmtId="10" fontId="5" fillId="2" borderId="1" xfId="1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10" fontId="5" fillId="3" borderId="1" xfId="1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10" fontId="7" fillId="4" borderId="1" xfId="1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/>
    </xf>
    <xf numFmtId="2" fontId="5" fillId="3" borderId="1" xfId="1" applyNumberFormat="1" applyFont="1" applyFill="1" applyBorder="1" applyAlignment="1">
      <alignment horizontal="center"/>
    </xf>
    <xf numFmtId="2" fontId="5" fillId="3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2" fillId="0" borderId="0" xfId="0" applyFont="1" applyAlignment="1">
      <alignment vertical="center"/>
    </xf>
    <xf numFmtId="0" fontId="7" fillId="4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5" fillId="3" borderId="1" xfId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wrapText="1"/>
    </xf>
    <xf numFmtId="10" fontId="7" fillId="2" borderId="1" xfId="1" applyNumberFormat="1" applyFont="1" applyFill="1" applyBorder="1" applyAlignment="1">
      <alignment horizontal="center" vertical="center"/>
    </xf>
    <xf numFmtId="10" fontId="7" fillId="2" borderId="1" xfId="1" applyNumberFormat="1" applyFont="1" applyFill="1" applyBorder="1" applyAlignment="1">
      <alignment horizontal="center"/>
    </xf>
    <xf numFmtId="10" fontId="6" fillId="2" borderId="1" xfId="1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10" fontId="6" fillId="2" borderId="1" xfId="1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/>
    </xf>
    <xf numFmtId="0" fontId="5" fillId="3" borderId="1" xfId="1" applyNumberFormat="1" applyFont="1" applyFill="1" applyBorder="1" applyAlignment="1">
      <alignment horizontal="center"/>
    </xf>
    <xf numFmtId="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2" fontId="5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/>
    <xf numFmtId="0" fontId="5" fillId="3" borderId="1" xfId="0" applyFont="1" applyFill="1" applyBorder="1"/>
    <xf numFmtId="4" fontId="5" fillId="2" borderId="1" xfId="0" applyNumberFormat="1" applyFont="1" applyFill="1" applyBorder="1" applyAlignment="1">
      <alignment horizontal="center" vertical="center"/>
    </xf>
    <xf numFmtId="10" fontId="10" fillId="4" borderId="1" xfId="1" applyNumberFormat="1" applyFont="1" applyFill="1" applyBorder="1" applyAlignment="1">
      <alignment horizontal="center" vertical="center"/>
    </xf>
    <xf numFmtId="10" fontId="11" fillId="4" borderId="1" xfId="1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10" fontId="12" fillId="2" borderId="1" xfId="1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0" fontId="13" fillId="2" borderId="1" xfId="1" applyNumberFormat="1" applyFont="1" applyFill="1" applyBorder="1" applyAlignment="1">
      <alignment horizontal="center"/>
    </xf>
    <xf numFmtId="4" fontId="12" fillId="3" borderId="1" xfId="0" applyNumberFormat="1" applyFont="1" applyFill="1" applyBorder="1" applyAlignment="1">
      <alignment horizontal="center"/>
    </xf>
    <xf numFmtId="10" fontId="12" fillId="2" borderId="1" xfId="1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4" fillId="3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164" fontId="7" fillId="5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/>
    </xf>
    <xf numFmtId="164" fontId="11" fillId="4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164" fontId="12" fillId="2" borderId="1" xfId="1" applyNumberFormat="1" applyFont="1" applyFill="1" applyBorder="1" applyAlignment="1">
      <alignment horizontal="center" vertical="center"/>
    </xf>
    <xf numFmtId="164" fontId="9" fillId="4" borderId="1" xfId="1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4" fontId="17" fillId="0" borderId="1" xfId="0" applyNumberFormat="1" applyFont="1" applyFill="1" applyBorder="1" applyAlignment="1">
      <alignment horizontal="center" vertical="center"/>
    </xf>
    <xf numFmtId="164" fontId="17" fillId="0" borderId="1" xfId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/>
    </xf>
    <xf numFmtId="164" fontId="17" fillId="0" borderId="1" xfId="0" applyNumberFormat="1" applyFont="1" applyFill="1" applyBorder="1" applyAlignment="1">
      <alignment horizontal="center" vertical="center"/>
    </xf>
    <xf numFmtId="2" fontId="17" fillId="0" borderId="1" xfId="1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/>
    </xf>
    <xf numFmtId="164" fontId="17" fillId="0" borderId="1" xfId="1" applyNumberFormat="1" applyFont="1" applyFill="1" applyBorder="1" applyAlignment="1">
      <alignment horizontal="center"/>
    </xf>
    <xf numFmtId="4" fontId="18" fillId="0" borderId="1" xfId="0" applyNumberFormat="1" applyFont="1" applyFill="1" applyBorder="1" applyAlignment="1">
      <alignment horizontal="center" vertical="center"/>
    </xf>
    <xf numFmtId="164" fontId="18" fillId="0" borderId="1" xfId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wrapText="1"/>
    </xf>
    <xf numFmtId="4" fontId="18" fillId="0" borderId="1" xfId="0" applyNumberFormat="1" applyFont="1" applyFill="1" applyBorder="1" applyAlignment="1">
      <alignment horizontal="center"/>
    </xf>
    <xf numFmtId="164" fontId="18" fillId="0" borderId="1" xfId="1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/>
    <xf numFmtId="2" fontId="17" fillId="0" borderId="1" xfId="0" applyNumberFormat="1" applyFont="1" applyFill="1" applyBorder="1"/>
    <xf numFmtId="0" fontId="17" fillId="0" borderId="1" xfId="0" applyFont="1" applyFill="1" applyBorder="1" applyAlignment="1">
      <alignment horizontal="center"/>
    </xf>
    <xf numFmtId="2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vertical="center" wrapText="1"/>
    </xf>
    <xf numFmtId="4" fontId="17" fillId="0" borderId="1" xfId="1" applyNumberFormat="1" applyFont="1" applyFill="1" applyBorder="1" applyAlignment="1">
      <alignment horizontal="center" vertical="center"/>
    </xf>
    <xf numFmtId="2" fontId="17" fillId="0" borderId="1" xfId="1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right"/>
    </xf>
    <xf numFmtId="2" fontId="17" fillId="0" borderId="1" xfId="0" applyNumberFormat="1" applyFont="1" applyFill="1" applyBorder="1" applyAlignment="1">
      <alignment horizontal="center"/>
    </xf>
    <xf numFmtId="0" fontId="17" fillId="0" borderId="1" xfId="1" applyNumberFormat="1" applyFont="1" applyFill="1" applyBorder="1" applyAlignment="1">
      <alignment horizontal="center"/>
    </xf>
    <xf numFmtId="10" fontId="17" fillId="0" borderId="1" xfId="1" applyNumberFormat="1" applyFont="1" applyFill="1" applyBorder="1" applyAlignment="1">
      <alignment horizontal="center" vertical="center"/>
    </xf>
    <xf numFmtId="10" fontId="17" fillId="0" borderId="1" xfId="1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2" fontId="5" fillId="0" borderId="1" xfId="1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4" fontId="12" fillId="0" borderId="1" xfId="0" applyNumberFormat="1" applyFont="1" applyFill="1" applyBorder="1" applyAlignment="1">
      <alignment horizontal="center"/>
    </xf>
    <xf numFmtId="164" fontId="12" fillId="0" borderId="1" xfId="1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0" fontId="5" fillId="0" borderId="1" xfId="0" applyFont="1" applyFill="1" applyBorder="1"/>
    <xf numFmtId="164" fontId="13" fillId="0" borderId="1" xfId="1" applyNumberFormat="1" applyFont="1" applyFill="1" applyBorder="1" applyAlignment="1">
      <alignment horizontal="center"/>
    </xf>
    <xf numFmtId="2" fontId="5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0" fontId="0" fillId="6" borderId="0" xfId="0" applyFill="1"/>
    <xf numFmtId="164" fontId="7" fillId="6" borderId="1" xfId="1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4" fontId="5" fillId="7" borderId="1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left" wrapText="1"/>
    </xf>
    <xf numFmtId="4" fontId="12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/>
    </xf>
    <xf numFmtId="0" fontId="5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/>
    </xf>
    <xf numFmtId="4" fontId="5" fillId="8" borderId="1" xfId="1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15" fillId="0" borderId="0" xfId="0" applyFont="1"/>
    <xf numFmtId="164" fontId="0" fillId="0" borderId="0" xfId="1" applyNumberFormat="1" applyFont="1"/>
    <xf numFmtId="0" fontId="21" fillId="0" borderId="0" xfId="0" applyFont="1"/>
    <xf numFmtId="0" fontId="16" fillId="2" borderId="9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4" fontId="16" fillId="5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/>
    </xf>
    <xf numFmtId="164" fontId="14" fillId="2" borderId="1" xfId="1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2" fontId="14" fillId="3" borderId="1" xfId="1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/>
    </xf>
    <xf numFmtId="164" fontId="9" fillId="4" borderId="1" xfId="1" applyNumberFormat="1" applyFont="1" applyFill="1" applyBorder="1" applyAlignment="1">
      <alignment horizontal="center"/>
    </xf>
    <xf numFmtId="4" fontId="23" fillId="4" borderId="1" xfId="0" applyNumberFormat="1" applyFont="1" applyFill="1" applyBorder="1" applyAlignment="1">
      <alignment horizontal="center" vertical="center"/>
    </xf>
    <xf numFmtId="164" fontId="23" fillId="4" borderId="1" xfId="1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2" fontId="14" fillId="3" borderId="1" xfId="0" applyNumberFormat="1" applyFont="1" applyFill="1" applyBorder="1" applyAlignment="1">
      <alignment horizontal="center" vertical="center"/>
    </xf>
    <xf numFmtId="164" fontId="14" fillId="2" borderId="1" xfId="1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wrapText="1"/>
    </xf>
    <xf numFmtId="164" fontId="14" fillId="3" borderId="1" xfId="1" applyNumberFormat="1" applyFont="1" applyFill="1" applyBorder="1" applyAlignment="1">
      <alignment horizontal="center" vertical="center"/>
    </xf>
    <xf numFmtId="4" fontId="14" fillId="6" borderId="1" xfId="0" applyNumberFormat="1" applyFont="1" applyFill="1" applyBorder="1" applyAlignment="1">
      <alignment horizontal="center" vertical="center"/>
    </xf>
    <xf numFmtId="164" fontId="14" fillId="6" borderId="1" xfId="1" applyNumberFormat="1" applyFont="1" applyFill="1" applyBorder="1" applyAlignment="1">
      <alignment horizontal="center" vertical="center"/>
    </xf>
    <xf numFmtId="2" fontId="14" fillId="6" borderId="1" xfId="0" applyNumberFormat="1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/>
    </xf>
    <xf numFmtId="4" fontId="14" fillId="11" borderId="1" xfId="0" applyNumberFormat="1" applyFont="1" applyFill="1" applyBorder="1" applyAlignment="1">
      <alignment horizontal="center" vertical="center"/>
    </xf>
    <xf numFmtId="164" fontId="14" fillId="11" borderId="1" xfId="1" applyNumberFormat="1" applyFont="1" applyFill="1" applyBorder="1" applyAlignment="1">
      <alignment horizontal="center" vertical="center"/>
    </xf>
    <xf numFmtId="164" fontId="14" fillId="11" borderId="1" xfId="1" applyNumberFormat="1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/>
    </xf>
    <xf numFmtId="164" fontId="22" fillId="11" borderId="1" xfId="1" applyNumberFormat="1" applyFont="1" applyFill="1" applyBorder="1" applyAlignment="1">
      <alignment horizontal="center" vertical="center"/>
    </xf>
    <xf numFmtId="0" fontId="0" fillId="11" borderId="0" xfId="0" applyFill="1"/>
    <xf numFmtId="0" fontId="14" fillId="11" borderId="1" xfId="0" applyFont="1" applyFill="1" applyBorder="1" applyAlignment="1">
      <alignment horizontal="left"/>
    </xf>
    <xf numFmtId="164" fontId="14" fillId="9" borderId="1" xfId="1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6" fillId="12" borderId="2" xfId="0" applyFont="1" applyFill="1" applyBorder="1" applyAlignment="1">
      <alignment vertical="center"/>
    </xf>
    <xf numFmtId="0" fontId="16" fillId="12" borderId="7" xfId="0" applyFont="1" applyFill="1" applyBorder="1" applyAlignment="1">
      <alignment vertical="center"/>
    </xf>
    <xf numFmtId="4" fontId="14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/>
    <xf numFmtId="0" fontId="0" fillId="4" borderId="0" xfId="0" applyFill="1"/>
    <xf numFmtId="0" fontId="2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164" fontId="24" fillId="9" borderId="1" xfId="1" applyNumberFormat="1" applyFont="1" applyFill="1" applyBorder="1" applyAlignment="1">
      <alignment horizontal="center" vertical="center"/>
    </xf>
    <xf numFmtId="0" fontId="0" fillId="5" borderId="0" xfId="0" applyFill="1"/>
    <xf numFmtId="3" fontId="16" fillId="5" borderId="1" xfId="0" applyNumberFormat="1" applyFont="1" applyFill="1" applyBorder="1" applyAlignment="1">
      <alignment horizontal="center" vertical="center"/>
    </xf>
    <xf numFmtId="3" fontId="14" fillId="4" borderId="1" xfId="0" applyNumberFormat="1" applyFont="1" applyFill="1" applyBorder="1" applyAlignment="1">
      <alignment horizontal="center" vertical="center"/>
    </xf>
    <xf numFmtId="3" fontId="14" fillId="14" borderId="1" xfId="0" applyNumberFormat="1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center" vertical="center"/>
    </xf>
    <xf numFmtId="0" fontId="25" fillId="4" borderId="0" xfId="0" applyFont="1" applyFill="1"/>
    <xf numFmtId="4" fontId="24" fillId="15" borderId="1" xfId="0" applyNumberFormat="1" applyFont="1" applyFill="1" applyBorder="1" applyAlignment="1">
      <alignment horizontal="center" vertical="center"/>
    </xf>
    <xf numFmtId="4" fontId="14" fillId="15" borderId="1" xfId="0" applyNumberFormat="1" applyFont="1" applyFill="1" applyBorder="1" applyAlignment="1">
      <alignment horizontal="center" vertical="center"/>
    </xf>
    <xf numFmtId="164" fontId="14" fillId="15" borderId="1" xfId="1" applyNumberFormat="1" applyFont="1" applyFill="1" applyBorder="1" applyAlignment="1">
      <alignment horizontal="center" vertical="center"/>
    </xf>
    <xf numFmtId="3" fontId="14" fillId="15" borderId="1" xfId="0" applyNumberFormat="1" applyFont="1" applyFill="1" applyBorder="1" applyAlignment="1">
      <alignment horizontal="center" vertical="center"/>
    </xf>
    <xf numFmtId="0" fontId="0" fillId="15" borderId="0" xfId="0" applyFill="1"/>
    <xf numFmtId="0" fontId="0" fillId="3" borderId="0" xfId="0" applyFill="1"/>
    <xf numFmtId="0" fontId="0" fillId="2" borderId="0" xfId="0" applyFill="1"/>
    <xf numFmtId="0" fontId="14" fillId="15" borderId="1" xfId="0" applyFont="1" applyFill="1" applyBorder="1"/>
    <xf numFmtId="4" fontId="14" fillId="15" borderId="1" xfId="1" applyNumberFormat="1" applyFont="1" applyFill="1" applyBorder="1" applyAlignment="1">
      <alignment horizontal="center" vertical="center"/>
    </xf>
    <xf numFmtId="0" fontId="14" fillId="15" borderId="1" xfId="0" applyFont="1" applyFill="1" applyBorder="1" applyAlignment="1">
      <alignment horizontal="left" vertical="center"/>
    </xf>
    <xf numFmtId="0" fontId="14" fillId="15" borderId="1" xfId="0" applyFont="1" applyFill="1" applyBorder="1" applyAlignment="1">
      <alignment horizontal="center"/>
    </xf>
    <xf numFmtId="164" fontId="14" fillId="15" borderId="1" xfId="1" applyNumberFormat="1" applyFont="1" applyFill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center" vertical="center"/>
    </xf>
    <xf numFmtId="2" fontId="14" fillId="15" borderId="1" xfId="0" applyNumberFormat="1" applyFont="1" applyFill="1" applyBorder="1" applyAlignment="1">
      <alignment horizontal="center" vertical="center"/>
    </xf>
    <xf numFmtId="164" fontId="22" fillId="15" borderId="1" xfId="1" applyNumberFormat="1" applyFont="1" applyFill="1" applyBorder="1" applyAlignment="1">
      <alignment horizontal="center" vertical="center"/>
    </xf>
    <xf numFmtId="164" fontId="14" fillId="15" borderId="1" xfId="1" applyNumberFormat="1" applyFont="1" applyFill="1" applyBorder="1" applyAlignment="1">
      <alignment horizontal="right" vertical="center" wrapText="1"/>
    </xf>
    <xf numFmtId="4" fontId="24" fillId="15" borderId="1" xfId="0" applyNumberFormat="1" applyFont="1" applyFill="1" applyBorder="1" applyAlignment="1">
      <alignment horizontal="center"/>
    </xf>
    <xf numFmtId="4" fontId="14" fillId="15" borderId="1" xfId="0" applyNumberFormat="1" applyFont="1" applyFill="1" applyBorder="1" applyAlignment="1">
      <alignment horizontal="center"/>
    </xf>
    <xf numFmtId="0" fontId="14" fillId="15" borderId="1" xfId="0" applyFont="1" applyFill="1" applyBorder="1" applyAlignment="1">
      <alignment horizontal="left" wrapText="1"/>
    </xf>
    <xf numFmtId="0" fontId="14" fillId="15" borderId="1" xfId="0" applyFont="1" applyFill="1" applyBorder="1" applyAlignment="1">
      <alignment horizontal="left"/>
    </xf>
    <xf numFmtId="0" fontId="14" fillId="15" borderId="1" xfId="0" applyNumberFormat="1" applyFont="1" applyFill="1" applyBorder="1" applyAlignment="1">
      <alignment horizontal="center" vertical="center"/>
    </xf>
    <xf numFmtId="0" fontId="2" fillId="15" borderId="0" xfId="0" applyFont="1" applyFill="1"/>
    <xf numFmtId="164" fontId="14" fillId="15" borderId="1" xfId="0" applyNumberFormat="1" applyFont="1" applyFill="1" applyBorder="1" applyAlignment="1">
      <alignment horizontal="center" vertical="center"/>
    </xf>
    <xf numFmtId="164" fontId="14" fillId="15" borderId="1" xfId="1" applyNumberFormat="1" applyFont="1" applyFill="1" applyBorder="1" applyAlignment="1">
      <alignment horizontal="center"/>
    </xf>
    <xf numFmtId="2" fontId="14" fillId="15" borderId="1" xfId="1" applyNumberFormat="1" applyFont="1" applyFill="1" applyBorder="1" applyAlignment="1">
      <alignment horizontal="center"/>
    </xf>
    <xf numFmtId="2" fontId="14" fillId="15" borderId="1" xfId="1" applyNumberFormat="1" applyFont="1" applyFill="1" applyBorder="1" applyAlignment="1">
      <alignment horizontal="center" vertical="center"/>
    </xf>
    <xf numFmtId="0" fontId="14" fillId="15" borderId="1" xfId="0" applyFont="1" applyFill="1" applyBorder="1" applyAlignment="1">
      <alignment horizontal="left" vertical="center" wrapText="1"/>
    </xf>
    <xf numFmtId="2" fontId="14" fillId="15" borderId="1" xfId="0" applyNumberFormat="1" applyFont="1" applyFill="1" applyBorder="1" applyAlignment="1">
      <alignment horizontal="center"/>
    </xf>
    <xf numFmtId="0" fontId="14" fillId="15" borderId="1" xfId="0" applyFont="1" applyFill="1" applyBorder="1" applyAlignment="1">
      <alignment wrapText="1"/>
    </xf>
    <xf numFmtId="164" fontId="22" fillId="15" borderId="1" xfId="1" applyNumberFormat="1" applyFont="1" applyFill="1" applyBorder="1" applyAlignment="1">
      <alignment horizontal="center"/>
    </xf>
    <xf numFmtId="0" fontId="14" fillId="15" borderId="1" xfId="0" applyFont="1" applyFill="1" applyBorder="1" applyAlignment="1">
      <alignment vertical="center" wrapText="1"/>
    </xf>
    <xf numFmtId="0" fontId="14" fillId="15" borderId="1" xfId="1" applyNumberFormat="1" applyFont="1" applyFill="1" applyBorder="1" applyAlignment="1">
      <alignment horizontal="center" vertical="center"/>
    </xf>
    <xf numFmtId="0" fontId="24" fillId="15" borderId="1" xfId="0" applyFont="1" applyFill="1" applyBorder="1" applyAlignment="1">
      <alignment horizontal="center" vertical="center"/>
    </xf>
    <xf numFmtId="164" fontId="9" fillId="15" borderId="1" xfId="1" applyNumberFormat="1" applyFont="1" applyFill="1" applyBorder="1" applyAlignment="1">
      <alignment horizontal="center" vertical="center"/>
    </xf>
    <xf numFmtId="0" fontId="0" fillId="15" borderId="0" xfId="0" applyFill="1" applyAlignment="1">
      <alignment vertical="center"/>
    </xf>
    <xf numFmtId="164" fontId="24" fillId="15" borderId="1" xfId="1" applyNumberFormat="1" applyFont="1" applyFill="1" applyBorder="1" applyAlignment="1">
      <alignment horizontal="center" vertical="center"/>
    </xf>
    <xf numFmtId="164" fontId="24" fillId="15" borderId="1" xfId="0" applyNumberFormat="1" applyFont="1" applyFill="1" applyBorder="1" applyAlignment="1">
      <alignment horizontal="center" vertical="center"/>
    </xf>
    <xf numFmtId="164" fontId="26" fillId="15" borderId="1" xfId="1" applyNumberFormat="1" applyFont="1" applyFill="1" applyBorder="1" applyAlignment="1">
      <alignment horizontal="center" vertical="center"/>
    </xf>
    <xf numFmtId="164" fontId="24" fillId="15" borderId="1" xfId="1" applyNumberFormat="1" applyFont="1" applyFill="1" applyBorder="1" applyAlignment="1">
      <alignment horizontal="center"/>
    </xf>
    <xf numFmtId="164" fontId="16" fillId="15" borderId="1" xfId="1" applyNumberFormat="1" applyFont="1" applyFill="1" applyBorder="1" applyAlignment="1">
      <alignment horizontal="center"/>
    </xf>
    <xf numFmtId="2" fontId="14" fillId="15" borderId="1" xfId="0" applyNumberFormat="1" applyFont="1" applyFill="1" applyBorder="1"/>
    <xf numFmtId="164" fontId="16" fillId="9" borderId="1" xfId="1" applyNumberFormat="1" applyFont="1" applyFill="1" applyBorder="1" applyAlignment="1">
      <alignment horizontal="center" vertical="center"/>
    </xf>
    <xf numFmtId="0" fontId="14" fillId="15" borderId="1" xfId="0" applyFont="1" applyFill="1" applyBorder="1" applyAlignment="1">
      <alignment horizontal="right" vertical="center"/>
    </xf>
    <xf numFmtId="0" fontId="22" fillId="15" borderId="1" xfId="0" applyFont="1" applyFill="1" applyBorder="1" applyAlignment="1">
      <alignment horizontal="right"/>
    </xf>
    <xf numFmtId="0" fontId="14" fillId="15" borderId="1" xfId="1" applyNumberFormat="1" applyFont="1" applyFill="1" applyBorder="1" applyAlignment="1">
      <alignment horizontal="center"/>
    </xf>
    <xf numFmtId="3" fontId="14" fillId="13" borderId="1" xfId="0" applyNumberFormat="1" applyFont="1" applyFill="1" applyBorder="1" applyAlignment="1">
      <alignment horizontal="center" vertical="center"/>
    </xf>
    <xf numFmtId="0" fontId="24" fillId="15" borderId="1" xfId="0" applyFont="1" applyFill="1" applyBorder="1" applyAlignment="1">
      <alignment horizontal="left" vertical="center" wrapText="1"/>
    </xf>
    <xf numFmtId="0" fontId="24" fillId="15" borderId="1" xfId="0" applyNumberFormat="1" applyFont="1" applyFill="1" applyBorder="1" applyAlignment="1">
      <alignment horizontal="center" vertical="center"/>
    </xf>
    <xf numFmtId="2" fontId="24" fillId="15" borderId="1" xfId="0" applyNumberFormat="1" applyFont="1" applyFill="1" applyBorder="1" applyAlignment="1">
      <alignment horizontal="center" vertical="center"/>
    </xf>
    <xf numFmtId="3" fontId="24" fillId="15" borderId="1" xfId="0" applyNumberFormat="1" applyFont="1" applyFill="1" applyBorder="1" applyAlignment="1">
      <alignment horizontal="center" vertical="center"/>
    </xf>
    <xf numFmtId="0" fontId="27" fillId="15" borderId="0" xfId="0" applyFont="1" applyFill="1"/>
    <xf numFmtId="0" fontId="30" fillId="15" borderId="1" xfId="0" applyFont="1" applyFill="1" applyBorder="1" applyAlignment="1">
      <alignment horizontal="left" vertical="center"/>
    </xf>
    <xf numFmtId="0" fontId="0" fillId="15" borderId="0" xfId="0" applyFont="1" applyFill="1"/>
    <xf numFmtId="0" fontId="0" fillId="0" borderId="0" xfId="0" applyFont="1"/>
    <xf numFmtId="0" fontId="16" fillId="2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6" fillId="2" borderId="11" xfId="0" applyFont="1" applyFill="1" applyBorder="1" applyAlignment="1">
      <alignment horizontal="center" vertical="center"/>
    </xf>
    <xf numFmtId="0" fontId="27" fillId="6" borderId="0" xfId="0" applyFont="1" applyFill="1"/>
    <xf numFmtId="0" fontId="2" fillId="6" borderId="0" xfId="0" applyFont="1" applyFill="1"/>
    <xf numFmtId="4" fontId="0" fillId="0" borderId="0" xfId="0" applyNumberFormat="1"/>
    <xf numFmtId="164" fontId="9" fillId="5" borderId="1" xfId="1" applyNumberFormat="1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vertical="center"/>
    </xf>
    <xf numFmtId="0" fontId="16" fillId="1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/>
    </xf>
    <xf numFmtId="164" fontId="9" fillId="9" borderId="1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4" fontId="14" fillId="2" borderId="15" xfId="0" applyNumberFormat="1" applyFont="1" applyFill="1" applyBorder="1" applyAlignment="1">
      <alignment horizontal="center" vertical="center"/>
    </xf>
    <xf numFmtId="4" fontId="14" fillId="16" borderId="15" xfId="0" applyNumberFormat="1" applyFont="1" applyFill="1" applyBorder="1" applyAlignment="1">
      <alignment horizontal="center" vertical="center"/>
    </xf>
    <xf numFmtId="4" fontId="14" fillId="3" borderId="15" xfId="0" applyNumberFormat="1" applyFont="1" applyFill="1" applyBorder="1" applyAlignment="1">
      <alignment horizontal="center" vertical="center"/>
    </xf>
    <xf numFmtId="4" fontId="14" fillId="2" borderId="18" xfId="0" applyNumberFormat="1" applyFont="1" applyFill="1" applyBorder="1" applyAlignment="1">
      <alignment horizontal="center" vertical="center"/>
    </xf>
    <xf numFmtId="4" fontId="14" fillId="16" borderId="18" xfId="0" applyNumberFormat="1" applyFont="1" applyFill="1" applyBorder="1" applyAlignment="1">
      <alignment horizontal="center" vertical="center"/>
    </xf>
    <xf numFmtId="4" fontId="14" fillId="3" borderId="1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4" fillId="0" borderId="1" xfId="0" applyFont="1" applyBorder="1" applyAlignment="1">
      <alignment horizontal="center" vertical="center"/>
    </xf>
    <xf numFmtId="0" fontId="34" fillId="0" borderId="0" xfId="0" applyFont="1" applyFill="1"/>
    <xf numFmtId="0" fontId="3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2" fillId="0" borderId="19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/>
    </xf>
    <xf numFmtId="164" fontId="22" fillId="0" borderId="17" xfId="1" applyNumberFormat="1" applyFont="1" applyFill="1" applyBorder="1" applyAlignment="1">
      <alignment horizontal="center" vertical="center"/>
    </xf>
    <xf numFmtId="164" fontId="22" fillId="0" borderId="14" xfId="1" applyNumberFormat="1" applyFont="1" applyFill="1" applyBorder="1" applyAlignment="1">
      <alignment horizontal="center" vertical="center"/>
    </xf>
    <xf numFmtId="3" fontId="14" fillId="0" borderId="22" xfId="0" applyNumberFormat="1" applyFont="1" applyFill="1" applyBorder="1" applyAlignment="1">
      <alignment horizontal="center" vertical="center"/>
    </xf>
    <xf numFmtId="3" fontId="14" fillId="0" borderId="23" xfId="0" applyNumberFormat="1" applyFont="1" applyFill="1" applyBorder="1" applyAlignment="1">
      <alignment horizontal="center" vertical="center"/>
    </xf>
    <xf numFmtId="4" fontId="14" fillId="0" borderId="23" xfId="0" applyNumberFormat="1" applyFont="1" applyFill="1" applyBorder="1" applyAlignment="1">
      <alignment horizontal="center" vertical="center"/>
    </xf>
    <xf numFmtId="4" fontId="22" fillId="0" borderId="14" xfId="0" applyNumberFormat="1" applyFont="1" applyFill="1" applyBorder="1" applyAlignment="1">
      <alignment horizontal="center" vertical="center"/>
    </xf>
    <xf numFmtId="164" fontId="22" fillId="0" borderId="20" xfId="1" applyNumberFormat="1" applyFont="1" applyFill="1" applyBorder="1" applyAlignment="1">
      <alignment horizontal="center" vertical="center"/>
    </xf>
    <xf numFmtId="164" fontId="22" fillId="0" borderId="21" xfId="1" applyNumberFormat="1" applyFont="1" applyFill="1" applyBorder="1" applyAlignment="1">
      <alignment horizontal="center" vertical="center"/>
    </xf>
    <xf numFmtId="3" fontId="14" fillId="0" borderId="24" xfId="0" applyNumberFormat="1" applyFont="1" applyFill="1" applyBorder="1" applyAlignment="1">
      <alignment horizontal="center" vertical="center"/>
    </xf>
    <xf numFmtId="3" fontId="14" fillId="0" borderId="25" xfId="0" applyNumberFormat="1" applyFont="1" applyFill="1" applyBorder="1" applyAlignment="1">
      <alignment horizontal="center" vertical="center"/>
    </xf>
    <xf numFmtId="4" fontId="14" fillId="0" borderId="25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4" fontId="14" fillId="3" borderId="16" xfId="0" applyNumberFormat="1" applyFont="1" applyFill="1" applyBorder="1" applyAlignment="1">
      <alignment horizontal="center" vertical="center"/>
    </xf>
    <xf numFmtId="4" fontId="14" fillId="16" borderId="16" xfId="0" applyNumberFormat="1" applyFont="1" applyFill="1" applyBorder="1" applyAlignment="1">
      <alignment horizontal="center" vertical="center"/>
    </xf>
    <xf numFmtId="0" fontId="22" fillId="17" borderId="26" xfId="0" applyFont="1" applyFill="1" applyBorder="1" applyAlignment="1">
      <alignment horizontal="left" vertical="center" wrapText="1"/>
    </xf>
    <xf numFmtId="2" fontId="5" fillId="17" borderId="26" xfId="0" applyNumberFormat="1" applyFont="1" applyFill="1" applyBorder="1" applyAlignment="1">
      <alignment horizontal="center" vertical="center"/>
    </xf>
    <xf numFmtId="2" fontId="5" fillId="17" borderId="28" xfId="0" applyNumberFormat="1" applyFont="1" applyFill="1" applyBorder="1" applyAlignment="1">
      <alignment horizontal="center" vertical="center"/>
    </xf>
    <xf numFmtId="164" fontId="5" fillId="17" borderId="29" xfId="1" applyNumberFormat="1" applyFont="1" applyFill="1" applyBorder="1" applyAlignment="1">
      <alignment horizontal="center" vertical="center"/>
    </xf>
    <xf numFmtId="164" fontId="5" fillId="17" borderId="27" xfId="1" applyNumberFormat="1" applyFont="1" applyFill="1" applyBorder="1" applyAlignment="1">
      <alignment horizontal="center" vertical="center"/>
    </xf>
    <xf numFmtId="3" fontId="5" fillId="17" borderId="1" xfId="0" applyNumberFormat="1" applyFont="1" applyFill="1" applyBorder="1" applyAlignment="1">
      <alignment horizontal="center" vertical="center"/>
    </xf>
    <xf numFmtId="3" fontId="5" fillId="17" borderId="7" xfId="0" applyNumberFormat="1" applyFont="1" applyFill="1" applyBorder="1" applyAlignment="1">
      <alignment horizontal="center" vertical="center"/>
    </xf>
    <xf numFmtId="4" fontId="14" fillId="3" borderId="19" xfId="0" applyNumberFormat="1" applyFont="1" applyFill="1" applyBorder="1" applyAlignment="1">
      <alignment horizontal="center" vertical="center"/>
    </xf>
    <xf numFmtId="4" fontId="14" fillId="16" borderId="19" xfId="0" applyNumberFormat="1" applyFont="1" applyFill="1" applyBorder="1" applyAlignment="1">
      <alignment horizontal="center" vertical="center"/>
    </xf>
    <xf numFmtId="0" fontId="16" fillId="13" borderId="11" xfId="0" applyFont="1" applyFill="1" applyBorder="1" applyAlignment="1">
      <alignment horizontal="center" vertical="center" wrapText="1"/>
    </xf>
    <xf numFmtId="0" fontId="16" fillId="13" borderId="0" xfId="0" applyFont="1" applyFill="1" applyBorder="1" applyAlignment="1">
      <alignment horizontal="center" vertical="center" wrapText="1"/>
    </xf>
    <xf numFmtId="0" fontId="16" fillId="13" borderId="13" xfId="0" applyFont="1" applyFill="1" applyBorder="1" applyAlignment="1">
      <alignment horizontal="center" vertical="center" wrapText="1"/>
    </xf>
    <xf numFmtId="0" fontId="16" fillId="12" borderId="7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5">
    <cellStyle name="Обычный" xfId="0" builtinId="0"/>
    <cellStyle name="Обычный 2" xfId="4"/>
    <cellStyle name="Обычный 4" xfId="2"/>
    <cellStyle name="Обычный 7 2" xfId="3"/>
    <cellStyle name="Процентный" xfId="1" builtinId="5"/>
  </cellStyles>
  <dxfs count="0"/>
  <tableStyles count="0" defaultTableStyle="TableStyleMedium2" defaultPivotStyle="PivotStyleLight16"/>
  <colors>
    <mruColors>
      <color rgb="FFCCFFCC"/>
      <color rgb="FFCCFFFF"/>
      <color rgb="FF99FFCC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rolov\&#1056;&#1072;&#1073;&#1086;&#1095;&#1080;&#1081;%20&#1089;&#1090;&#1086;&#1083;\&#1069;&#1082;&#1089;&#1087;&#1077;&#1088;&#1090;&#1080;&#1079;&#1072;%20&#1042;&#1054;&#1044;&#1040;\&#1042;&#1077;&#1083;&#1100;&#1089;&#1082;&#1080;&#1081;%20&#1088;-&#1086;&#1085;\&#1050;&#1091;&#1083;&#1086;&#1081;%20&#1046;&#1050;&#1061;%20&#1054;&#1054;&#1054;%20(&#1043;&#1042;&#1057;)\2016\&#1055;&#1088;&#1086;&#1090;&#1086;&#1082;&#1086;&#1083;70%20&#1050;&#1091;&#1083;&#1086;&#1081;&#1046;&#1050;&#1061;%20&#1043;&#1042;&#1057;-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rolov\&#1056;&#1072;&#1073;&#1086;&#1095;&#1080;&#1081;%20&#1089;&#1090;&#1086;&#1083;\&#1069;&#1082;&#1089;&#1087;&#1077;&#1088;&#1090;&#1080;&#1079;&#1072;%20&#1042;&#1054;&#1044;&#1040;\&#1042;&#1077;&#1083;&#1100;&#1089;&#1082;&#1080;&#1081;%20&#1088;-&#1086;&#1085;\&#1058;&#1077;&#1087;&#1083;&#1086;&#1089;&#1077;&#1088;&#1074;&#1080;&#1089;%20(&#1043;&#1042;&#1057;)\&#1043;&#1042;&#1057;-16\&#1055;&#1088;&#1086;&#1090;&#1086;&#1082;&#1086;&#1083;66%20&#1058;&#1077;&#1087;&#1083;&#1086;&#1089;&#1077;&#1088;&#1074;&#1080;&#1089;%20&#1043;&#1042;&#105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rolov\&#1056;&#1072;&#1073;&#1086;&#1095;&#1080;&#1081;%20&#1089;&#1090;&#1086;&#1083;\&#1069;&#1082;&#1089;&#1087;&#1077;&#1088;&#1090;&#1080;&#1079;&#1072;%20&#1042;&#1054;&#1044;&#1040;\&#1050;&#1086;&#1085;&#1086;&#1096;&#1089;&#1082;&#1080;&#1081;%20&#1088;-&#1086;&#1085;\&#1046;&#1080;&#1083;&#1082;&#1086;&#1084;&#1089;&#1077;&#1088;&#1074;&#1080;&#1089;%20&#1052;&#1059;&#1055;\&#1043;&#1042;&#1057;\&#1055;&#1088;&#1086;&#1090;&#1086;&#1082;&#1086;&#1083;70%20&#1046;&#1050;&#1057;%20&#1043;&#1042;&#1057;-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rolov\&#1056;&#1072;&#1073;&#1086;&#1095;&#1080;&#1081;%20&#1089;&#1090;&#1086;&#1083;\&#1069;&#1082;&#1089;&#1087;&#1077;&#1088;&#1090;&#1080;&#1079;&#1072;%20&#1042;&#1054;&#1044;&#1040;\&#1050;&#1086;&#1085;&#1086;&#1096;&#1089;&#1082;&#1080;&#1081;%20&#1088;-&#1086;&#1085;\&#1058;&#1077;&#1087;&#1083;&#1086;&#1101;&#1085;&#1077;&#1088;&#1075;&#1086;%20(&#1043;&#1042;&#1057;)\&#1069;&#1047;-&#1058;&#1077;&#1087;&#1083;&#1086;&#1101;&#1085;&#1077;&#1088;&#1075;&#1086;%20&#1043;&#1042;&#1057;-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rolov\&#1056;&#1072;&#1073;&#1086;&#1095;&#1080;&#1081;%20&#1089;&#1090;&#1086;&#1083;\&#1069;&#1082;&#1089;&#1087;&#1077;&#1088;&#1090;&#1080;&#1079;&#1072;%20&#1042;&#1054;&#1044;&#1040;\&#1054;&#1085;&#1077;&#1078;&#1089;&#1082;&#1080;&#1081;%20&#1088;-&#1086;&#1085;\&#1055;&#1050;&#1058;&#1057;%20(&#1055;&#1088;&#1077;&#1076;%20&#1082;&#1086;&#1090;.&#1080;%20&#1090;&#1077;&#1087;&#1083;.&#1089;&#1077;&#1090;&#1077;&#1081;%20&#1043;&#1042;&#1057;)\2016\&#1055;&#1050;&#1058;&#1057;%20(&#1054;&#1085;&#1077;&#1075;&#1072;)%20&#1043;&#1042;&#1057;%2016-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3">
          <cell r="D23">
            <v>9.0250000000000004</v>
          </cell>
        </row>
        <row r="41">
          <cell r="D41">
            <v>28.32</v>
          </cell>
        </row>
        <row r="44">
          <cell r="D44">
            <v>30.325999999999997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3">
          <cell r="D23">
            <v>2.0699999999999998</v>
          </cell>
        </row>
        <row r="41">
          <cell r="D41">
            <v>24</v>
          </cell>
        </row>
        <row r="44">
          <cell r="D44">
            <v>25.7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0">
          <cell r="D20">
            <v>44.4</v>
          </cell>
        </row>
        <row r="23">
          <cell r="D23">
            <v>7.71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для прочих"/>
      <sheetName val="для населн"/>
      <sheetName val="Лист1"/>
      <sheetName val="Лист2"/>
      <sheetName val="по реш депутатов"/>
      <sheetName val="НВВ"/>
      <sheetName val="по 0,065"/>
      <sheetName val="ЭЗ-13-14-15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6">
          <cell r="U16">
            <v>6.3940000000000001</v>
          </cell>
        </row>
        <row r="75">
          <cell r="U75">
            <v>52.391999999999996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для прочих"/>
      <sheetName val="для населн"/>
      <sheetName val="Лист1"/>
      <sheetName val="Лист2"/>
      <sheetName val="НВВ"/>
      <sheetName val="ЭЗ-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8">
          <cell r="I18">
            <v>7.1369999999999996</v>
          </cell>
        </row>
        <row r="20">
          <cell r="I20">
            <v>32.71</v>
          </cell>
        </row>
        <row r="21">
          <cell r="I21">
            <v>34.159999999999997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B233"/>
  <sheetViews>
    <sheetView topLeftCell="A3" zoomScale="80" zoomScaleNormal="80" workbookViewId="0">
      <pane xSplit="5" ySplit="9" topLeftCell="R12" activePane="bottomRight" state="frozen"/>
      <selection activeCell="A3" sqref="A3"/>
      <selection pane="topRight" activeCell="F3" sqref="F3"/>
      <selection pane="bottomLeft" activeCell="A12" sqref="A12"/>
      <selection pane="bottomRight" activeCell="AZ143" sqref="AZ143"/>
    </sheetView>
  </sheetViews>
  <sheetFormatPr defaultRowHeight="15"/>
  <cols>
    <col min="1" max="1" width="62.7109375" style="5" customWidth="1"/>
    <col min="2" max="2" width="10.85546875" style="5" customWidth="1"/>
    <col min="3" max="3" width="11.5703125" style="5" hidden="1" customWidth="1"/>
    <col min="4" max="4" width="11" style="5" hidden="1" customWidth="1"/>
    <col min="5" max="5" width="9.7109375" style="5" hidden="1" customWidth="1"/>
    <col min="6" max="7" width="13.140625" style="5" hidden="1" customWidth="1"/>
    <col min="8" max="8" width="11.7109375" style="5" customWidth="1"/>
    <col min="9" max="9" width="13" style="5" hidden="1" customWidth="1"/>
    <col min="10" max="10" width="14.28515625" style="5" hidden="1" customWidth="1"/>
    <col min="11" max="11" width="11.7109375" style="5" customWidth="1"/>
    <col min="12" max="12" width="11" style="5" hidden="1" customWidth="1"/>
    <col min="13" max="13" width="14.7109375" style="5" hidden="1" customWidth="1"/>
    <col min="14" max="14" width="28.85546875" style="171" hidden="1" customWidth="1"/>
    <col min="15" max="15" width="12.140625" style="5" hidden="1" customWidth="1"/>
    <col min="16" max="17" width="11.7109375" style="5" hidden="1" customWidth="1"/>
    <col min="18" max="18" width="11.7109375" style="5" customWidth="1"/>
    <col min="19" max="19" width="14.28515625" style="5" hidden="1" customWidth="1"/>
    <col min="20" max="20" width="14.7109375" style="5" hidden="1" customWidth="1"/>
    <col min="21" max="21" width="13.85546875" style="5" customWidth="1"/>
    <col min="22" max="22" width="13.42578125" style="5" hidden="1" customWidth="1"/>
    <col min="23" max="23" width="12.140625" style="5" hidden="1" customWidth="1"/>
    <col min="24" max="24" width="14.28515625" style="5" customWidth="1"/>
    <col min="25" max="25" width="13.5703125" style="5" hidden="1" customWidth="1"/>
    <col min="26" max="26" width="14.85546875" style="5" hidden="1" customWidth="1"/>
    <col min="27" max="27" width="12.5703125" style="5" hidden="1" customWidth="1"/>
    <col min="28" max="28" width="11.28515625" style="5" hidden="1" customWidth="1"/>
    <col min="29" max="29" width="11.7109375" style="5" hidden="1" customWidth="1"/>
    <col min="30" max="30" width="11.7109375" style="5" customWidth="1"/>
    <col min="31" max="31" width="12.42578125" style="5" customWidth="1"/>
    <col min="32" max="32" width="11.28515625" style="5" hidden="1" customWidth="1"/>
    <col min="33" max="33" width="12.140625" style="5" hidden="1" customWidth="1"/>
    <col min="34" max="34" width="11.7109375" style="5" customWidth="1"/>
    <col min="35" max="35" width="11.140625" style="5" hidden="1" customWidth="1"/>
    <col min="36" max="36" width="10.28515625" style="5" hidden="1" customWidth="1"/>
    <col min="37" max="37" width="11.7109375" style="5" customWidth="1"/>
    <col min="38" max="38" width="13.85546875" style="5" hidden="1" customWidth="1"/>
    <col min="39" max="39" width="14.5703125" style="5" hidden="1" customWidth="1"/>
    <col min="40" max="40" width="10.7109375" style="5" hidden="1" customWidth="1"/>
    <col min="41" max="41" width="12.5703125" style="5" hidden="1" customWidth="1"/>
    <col min="42" max="42" width="11.7109375" style="5" hidden="1" customWidth="1"/>
    <col min="43" max="43" width="11.7109375" style="5" customWidth="1"/>
    <col min="44" max="45" width="10.7109375" style="5" hidden="1" customWidth="1"/>
    <col min="46" max="46" width="11.7109375" style="5" customWidth="1"/>
    <col min="47" max="47" width="11.140625" style="5" hidden="1" customWidth="1"/>
    <col min="48" max="48" width="10.28515625" style="5" hidden="1" customWidth="1"/>
    <col min="49" max="49" width="11.7109375" style="5" customWidth="1"/>
    <col min="50" max="50" width="14.28515625" style="5" hidden="1" customWidth="1"/>
    <col min="51" max="51" width="14.42578125" style="5" hidden="1" customWidth="1"/>
    <col min="52" max="52" width="14.42578125" style="5" customWidth="1"/>
    <col min="53" max="53" width="15.85546875" style="5" customWidth="1"/>
    <col min="54" max="54" width="15.5703125" customWidth="1"/>
  </cols>
  <sheetData>
    <row r="2" spans="1:54" ht="18.75">
      <c r="A2" s="338" t="s">
        <v>429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338"/>
      <c r="AY2" s="338"/>
      <c r="AZ2" s="282"/>
      <c r="BA2"/>
    </row>
    <row r="4" spans="1:54" hidden="1">
      <c r="A4" s="173" t="s">
        <v>401</v>
      </c>
    </row>
    <row r="5" spans="1:54" hidden="1">
      <c r="A5" s="173" t="s">
        <v>399</v>
      </c>
    </row>
    <row r="6" spans="1:54" hidden="1">
      <c r="A6" s="173" t="s">
        <v>402</v>
      </c>
    </row>
    <row r="7" spans="1:54" ht="38.25" customHeight="1">
      <c r="A7" s="339"/>
      <c r="B7" s="355" t="s">
        <v>396</v>
      </c>
      <c r="C7" s="346" t="s">
        <v>430</v>
      </c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47"/>
      <c r="V7" s="347"/>
      <c r="W7" s="347"/>
      <c r="X7" s="347"/>
      <c r="Y7" s="347"/>
      <c r="Z7" s="348"/>
      <c r="AA7" s="210" t="s">
        <v>431</v>
      </c>
      <c r="AB7" s="211"/>
      <c r="AC7" s="211"/>
      <c r="AD7" s="288"/>
      <c r="AE7" s="333" t="s">
        <v>433</v>
      </c>
      <c r="AF7" s="359" t="s">
        <v>438</v>
      </c>
      <c r="AG7" s="359"/>
      <c r="AH7" s="359"/>
      <c r="AI7" s="359"/>
      <c r="AJ7" s="359"/>
      <c r="AK7" s="359"/>
      <c r="AL7" s="359"/>
      <c r="AM7" s="359"/>
      <c r="AN7" s="359"/>
      <c r="AO7" s="359"/>
      <c r="AP7" s="359"/>
      <c r="AQ7" s="359"/>
      <c r="AR7" s="359"/>
      <c r="AS7" s="359"/>
      <c r="AT7" s="359"/>
      <c r="AU7" s="359"/>
      <c r="AV7" s="359"/>
      <c r="AW7" s="359"/>
      <c r="AX7" s="359"/>
      <c r="AY7" s="360"/>
      <c r="AZ7" s="283"/>
      <c r="BA7" s="333" t="s">
        <v>434</v>
      </c>
    </row>
    <row r="8" spans="1:54" ht="15.75">
      <c r="A8" s="339"/>
      <c r="B8" s="356"/>
      <c r="C8" s="342" t="s">
        <v>2</v>
      </c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174"/>
      <c r="O8" s="343" t="s">
        <v>3</v>
      </c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5"/>
      <c r="AA8" s="212" t="s">
        <v>2</v>
      </c>
      <c r="AB8" s="213"/>
      <c r="AC8" s="213"/>
      <c r="AD8" s="289"/>
      <c r="AE8" s="334"/>
      <c r="AF8" s="336" t="s">
        <v>2</v>
      </c>
      <c r="AG8" s="336"/>
      <c r="AH8" s="336"/>
      <c r="AI8" s="336"/>
      <c r="AJ8" s="336"/>
      <c r="AK8" s="336"/>
      <c r="AL8" s="336"/>
      <c r="AM8" s="337"/>
      <c r="AN8" s="343" t="s">
        <v>3</v>
      </c>
      <c r="AO8" s="344"/>
      <c r="AP8" s="344"/>
      <c r="AQ8" s="344"/>
      <c r="AR8" s="344"/>
      <c r="AS8" s="344"/>
      <c r="AT8" s="344"/>
      <c r="AU8" s="344"/>
      <c r="AV8" s="344"/>
      <c r="AW8" s="344"/>
      <c r="AX8" s="344"/>
      <c r="AY8" s="345"/>
      <c r="AZ8" s="292"/>
      <c r="BA8" s="334"/>
    </row>
    <row r="9" spans="1:54" ht="29.25" customHeight="1">
      <c r="A9" s="339"/>
      <c r="B9" s="356"/>
      <c r="C9" s="349" t="s">
        <v>0</v>
      </c>
      <c r="D9" s="350"/>
      <c r="E9" s="351"/>
      <c r="F9" s="349" t="s">
        <v>458</v>
      </c>
      <c r="G9" s="350"/>
      <c r="H9" s="351"/>
      <c r="I9" s="352" t="s">
        <v>394</v>
      </c>
      <c r="J9" s="353"/>
      <c r="K9" s="354"/>
      <c r="L9" s="340" t="s">
        <v>245</v>
      </c>
      <c r="M9" s="340" t="s">
        <v>395</v>
      </c>
      <c r="N9" s="174"/>
      <c r="O9" s="349" t="s">
        <v>0</v>
      </c>
      <c r="P9" s="350"/>
      <c r="Q9" s="351"/>
      <c r="R9" s="340" t="s">
        <v>471</v>
      </c>
      <c r="S9" s="358" t="s">
        <v>458</v>
      </c>
      <c r="T9" s="359"/>
      <c r="U9" s="360"/>
      <c r="V9" s="352" t="s">
        <v>394</v>
      </c>
      <c r="W9" s="353"/>
      <c r="X9" s="354"/>
      <c r="Y9" s="340" t="s">
        <v>245</v>
      </c>
      <c r="Z9" s="340" t="s">
        <v>395</v>
      </c>
      <c r="AA9" s="349" t="s">
        <v>0</v>
      </c>
      <c r="AB9" s="350"/>
      <c r="AC9" s="351"/>
      <c r="AD9" s="290"/>
      <c r="AE9" s="334"/>
      <c r="AF9" s="349" t="s">
        <v>458</v>
      </c>
      <c r="AG9" s="350"/>
      <c r="AH9" s="351"/>
      <c r="AI9" s="352" t="s">
        <v>394</v>
      </c>
      <c r="AJ9" s="353"/>
      <c r="AK9" s="354"/>
      <c r="AL9" s="340" t="s">
        <v>245</v>
      </c>
      <c r="AM9" s="340" t="s">
        <v>395</v>
      </c>
      <c r="AN9" s="349" t="s">
        <v>0</v>
      </c>
      <c r="AO9" s="350"/>
      <c r="AP9" s="351"/>
      <c r="AQ9" s="281"/>
      <c r="AR9" s="358" t="s">
        <v>458</v>
      </c>
      <c r="AS9" s="359"/>
      <c r="AT9" s="360"/>
      <c r="AU9" s="349" t="s">
        <v>394</v>
      </c>
      <c r="AV9" s="350"/>
      <c r="AW9" s="351"/>
      <c r="AX9" s="340" t="s">
        <v>245</v>
      </c>
      <c r="AY9" s="340" t="s">
        <v>395</v>
      </c>
      <c r="AZ9" s="290"/>
      <c r="BA9" s="334"/>
      <c r="BB9" s="286"/>
    </row>
    <row r="10" spans="1:54" ht="78" customHeight="1">
      <c r="A10" s="339"/>
      <c r="B10" s="357"/>
      <c r="C10" s="175" t="s">
        <v>6</v>
      </c>
      <c r="D10" s="175" t="s">
        <v>7</v>
      </c>
      <c r="E10" s="175" t="s">
        <v>400</v>
      </c>
      <c r="F10" s="175" t="s">
        <v>6</v>
      </c>
      <c r="G10" s="175" t="s">
        <v>7</v>
      </c>
      <c r="H10" s="175" t="s">
        <v>400</v>
      </c>
      <c r="I10" s="175" t="s">
        <v>6</v>
      </c>
      <c r="J10" s="175" t="s">
        <v>7</v>
      </c>
      <c r="K10" s="175" t="s">
        <v>400</v>
      </c>
      <c r="L10" s="341"/>
      <c r="M10" s="341"/>
      <c r="N10" s="176"/>
      <c r="O10" s="175" t="s">
        <v>8</v>
      </c>
      <c r="P10" s="175" t="s">
        <v>7</v>
      </c>
      <c r="Q10" s="175" t="s">
        <v>400</v>
      </c>
      <c r="R10" s="341"/>
      <c r="S10" s="175" t="s">
        <v>8</v>
      </c>
      <c r="T10" s="175" t="s">
        <v>7</v>
      </c>
      <c r="U10" s="175" t="s">
        <v>400</v>
      </c>
      <c r="V10" s="175" t="s">
        <v>6</v>
      </c>
      <c r="W10" s="175" t="s">
        <v>7</v>
      </c>
      <c r="X10" s="175" t="s">
        <v>400</v>
      </c>
      <c r="Y10" s="341"/>
      <c r="Z10" s="341"/>
      <c r="AA10" s="175" t="s">
        <v>6</v>
      </c>
      <c r="AB10" s="175" t="s">
        <v>7</v>
      </c>
      <c r="AC10" s="175" t="s">
        <v>400</v>
      </c>
      <c r="AD10" s="291"/>
      <c r="AE10" s="335"/>
      <c r="AF10" s="175" t="s">
        <v>6</v>
      </c>
      <c r="AG10" s="175" t="s">
        <v>7</v>
      </c>
      <c r="AH10" s="175" t="s">
        <v>400</v>
      </c>
      <c r="AI10" s="175" t="s">
        <v>6</v>
      </c>
      <c r="AJ10" s="175" t="s">
        <v>7</v>
      </c>
      <c r="AK10" s="175" t="s">
        <v>400</v>
      </c>
      <c r="AL10" s="341"/>
      <c r="AM10" s="341"/>
      <c r="AN10" s="175" t="s">
        <v>8</v>
      </c>
      <c r="AO10" s="175" t="s">
        <v>7</v>
      </c>
      <c r="AP10" s="175" t="s">
        <v>400</v>
      </c>
      <c r="AQ10" s="175"/>
      <c r="AR10" s="175" t="s">
        <v>8</v>
      </c>
      <c r="AS10" s="175" t="s">
        <v>7</v>
      </c>
      <c r="AT10" s="175" t="s">
        <v>400</v>
      </c>
      <c r="AU10" s="175" t="s">
        <v>6</v>
      </c>
      <c r="AV10" s="175" t="s">
        <v>7</v>
      </c>
      <c r="AW10" s="175" t="s">
        <v>400</v>
      </c>
      <c r="AX10" s="341"/>
      <c r="AY10" s="341"/>
      <c r="AZ10" s="291"/>
      <c r="BA10" s="335"/>
      <c r="BB10" s="286"/>
    </row>
    <row r="11" spans="1:54" s="220" customFormat="1" ht="15.75">
      <c r="A11" s="177" t="s">
        <v>193</v>
      </c>
      <c r="B11" s="177"/>
      <c r="C11" s="178">
        <f>C12+C22+C28+C32+C36+C44+C49+C58+C64+C66+C71+C79+C95+C115+C129+C136+C141+C143+C170+C175+C180+C191+C198+C215+C226</f>
        <v>38610.241912794991</v>
      </c>
      <c r="D11" s="179">
        <f>(C12*D12+C22*D22+C28*D28+C32*D32+C36*D36+C44*D44+C49+D49+C58*D58+C64*D64+C66*D66+C71*D71+C79*D79+C95*D95+C115*D115+C129*D129+C136*D136+C141*D141+C143*D143+C170*D170+C175*D175+C180*D180+C191*D191+C198*D198+C215*D215+C226*D226)/C11</f>
        <v>28.840762673321688</v>
      </c>
      <c r="E11" s="179">
        <f>(C12*E12+C22*E22+C28*E28+C32*E32+C36*E36+C44*E44+C49+E49+C58*E58+C64*E64+C66*E66+C71*E71+C79*E79+C95*E95+C115*E115+C129*E129+C136*E136+C141*E141+C143*E143+C170*E170+C175*E175+C180*E180+C191*E191+C198*E198+C215*E215+C226*E226)/C11</f>
        <v>33.372231193800047</v>
      </c>
      <c r="F11" s="178">
        <f>F12+F22+F28+F32+F36+F44+F49+F58+F64+F66+F71+F79+F95+F115+F129+F136+F141+F143+F170+F175+F180+F191+F198+F215+F226</f>
        <v>39797.439912795016</v>
      </c>
      <c r="G11" s="179">
        <f>(F12*G12+F22*G22+F28*G28+F32*G32+F36*G36+F44*G44+F49+G49+F58*G58+F64*G64+F66*G66+F71*G71+F79*G79+F95*G95+F115*G115+F129*G129+F136*G136+F141*G141+F143*G143+F170*G170+F175*G175+F180*G180+F191*G191+F198*G198+F215*G215+F226*G226)/F11</f>
        <v>36.508709707808308</v>
      </c>
      <c r="H11" s="179">
        <f>(F12*H12+F22*H22+F28*H28+F32*H32+F36*H36+F44*H44+F49+H49+F58*H58+F64*H64+F66*H66+F71*H71+F79*H79+F95*H95+F115*H115+F129*H129+F136*H136+F141*H141+F143*H143+F170*H170+F175*H175+F180*H180+F191*H191+F198*H198+F215*H215+F226*H226)/F11</f>
        <v>42.253222726670742</v>
      </c>
      <c r="I11" s="178">
        <f>I12+I22+I28+I32+I36+I44+I49+I58+I64+I66+I71+I79+I95+I115+I129+I136+I141+I143+I170+I175+I180+I191+I198+I215+I226</f>
        <v>39847.97100000002</v>
      </c>
      <c r="J11" s="179">
        <f>(I12*J12+I22*J22+I28*J28+I32*J32+I36*J36+I44*J44+I49+J49+I58*J58+I64*J64+I66*J66+I71*J71+I79*J79+I95*J95+I115*J115+I129*J129+I136*J136+I141*J141+I143*J143+I170*J170+I175*J175+I180*J180+I191*J191+I198*J198+I215*J215+I226*J226)/I11</f>
        <v>39.745730291517127</v>
      </c>
      <c r="K11" s="179">
        <f>(I12*K12+I22*K22+I28*K28+I32*K32+I36*K36+I44*K44+I49+K49+I58*K58+I64*K64+I66*K66+I71*K71+I79*K79+I95*K95+I115*K115+I129*K129+I136*K136+I141*K141+I143*K143+I170*K170+I175*K175+I180*K180+I191*K191+I198*K198+I215*K215+I226*K226)/I11</f>
        <v>45.985761965451069</v>
      </c>
      <c r="L11" s="180">
        <f>G11/D11</f>
        <v>1.2658718537141749</v>
      </c>
      <c r="M11" s="180">
        <f>J11/G11</f>
        <v>1.0886643381706942</v>
      </c>
      <c r="N11" s="180"/>
      <c r="O11" s="178">
        <f>O12+O22+O28+O32+O36+O44+O49+O58+O64+O66+O71+O79+O95+O115+O129+O136+O141+O143+O170+O175+O180+O191+O198+O215+O226</f>
        <v>18809.419499999996</v>
      </c>
      <c r="P11" s="179">
        <f>(O12*P12+O22*P22+O28*P28+O32*P32+O36*P36+O44*P44+O49+P49+O58*P58+O64*P64+O66*P66+O71*P71+O79*P79+O95*P95+O115*P115+O129*P129+O136*P136+O141*P141+O143*P143+O170*P170+O175*P175+O180*P180+O191*P191+O198*P198+O215*P215+O226*P226)/O11</f>
        <v>24.194439178275875</v>
      </c>
      <c r="Q11" s="179">
        <f>(O12*Q12+O22*Q22+O28*Q28+O32*Q32+O36*Q36+O44*Q44+O49+Q49+O58*Q58+O64*Q64+O66*Q66+O71*Q71+O79*Q79+O95*Q95+O115*Q115+O129*Q129+O136*Q136+O141*Q141+O143*Q143+O170*Q170+O175*Q175+O180*Q180+O191*Q191+O198*Q198+O215*Q215+O226*Q226)/O11</f>
        <v>27.88252879347764</v>
      </c>
      <c r="R11" s="287">
        <f>K11/H11</f>
        <v>1.0883373858350527</v>
      </c>
      <c r="S11" s="178">
        <f>S12+S22+S28+S32+S36+S44+S49+S58+S64+S66+S71+S79+S95+S115+S129+S136+S141+S143+S170+S175+S180+S191+S198+S215+S226</f>
        <v>18356.943094999999</v>
      </c>
      <c r="T11" s="179">
        <f>(S12*T12+S22*T22+S28*T28+S32*T32+S36*T36+S44*T44+S49+T49+S58*T58+S64*T64+S66*T66+S71*T71+S79*T79+S95*T95+S115*T115+S129*T129+S136*T136+S141*T141+S143*T143+S170*T170+S175*T175+S180*T180+S191*T191+S198*T198+S215*T215+S226*T226)/S11</f>
        <v>27.077274601917917</v>
      </c>
      <c r="U11" s="179">
        <f>(S12*U12+S22*U22+S28*U28+S32*U32+S36*U36+S44*U44+S49+U49+S58*U58+S64*U64+S66*U66+S71*U71+S79*U79+S95*U95+S115*U115+S129*U129+S136*U136+S141*U141+S143*U143+S170*U170+S175*U175+S180*U180+S191*U191+S198*U198+S215*U215+S226*U226)/S11</f>
        <v>31.213872083727633</v>
      </c>
      <c r="V11" s="178">
        <f>V12+V22+V28+V32+V36+V44+V49+V58+V64+V66+V71+V79+V95+V115+V129+V136+V141+V143+V170+V175+V180+V191+V198+V215+V226</f>
        <v>18407.381845</v>
      </c>
      <c r="W11" s="179">
        <f>(V12*W12+V22*W22+V28*W28+V32*W32+V36*W36+V44*W44+V49+W49+V58*W58+V64*W64+V66*W66+V71*W71+V79*W79+V95*W95+V115*W115+V129*W129+V136*W136+V141*W141+V143*W143+V170*W170+V175*W175+V180*W180+V191*W191+V198*W198+V215*W215+V226*W226)/V11</f>
        <v>29.476511215062281</v>
      </c>
      <c r="X11" s="179">
        <f>(V12*X12+V22*X22+V28*X28+V32*X32+V36*X36+V44*X44+V49+X49+V58*X58+V64*X64+V66*X66+V71*X71+V79*X79+V95*X95+V115*X115+V129*X129+V136*X136+V141*X141+V143*X143+V170*X170+V175*X175+V180*X180+V191*X191+V198*X198+V215*X215+V226*X226)/V11</f>
        <v>34.010648377725261</v>
      </c>
      <c r="Y11" s="180">
        <f>T11/P11</f>
        <v>1.1191528103792765</v>
      </c>
      <c r="Z11" s="180">
        <f>W11/T11</f>
        <v>1.088607020034964</v>
      </c>
      <c r="AA11" s="178">
        <f>AA12+AA22+AA28+AA32+AA36+AA44+AA49+AA58+AA64+AA66+AA71+AA79+AA95+AA115+AA129+AA136+AA141+AA143+AA170+AA175+AA180+AA191+AA198+AA215+AA226</f>
        <v>45245.739113424381</v>
      </c>
      <c r="AB11" s="179">
        <f>(AA12*AB12+AA22*AB22+AA28*AB28+AA32*AB32+AA36*AB36+AA44*AB44+AA49+AB49+AA58*AB58+AA64*AB64+AA66*AB66+AA71*AB71+AA79*AB79+AA95*AB95+AA115*AB115+AA129*AB129+AA136*AB136+AA141*AB141+AA143*AB143+AA170*AB170+AA175*AB175+AA180*AB180+AA191*AB191+AA198*AB198+AA215*AB215+AA226*AB226)/AA11</f>
        <v>20.867852186460425</v>
      </c>
      <c r="AC11" s="179">
        <f>(AA12*AC12+AA22*AC22+AA28*AC28+AA32*AC32+AA36*AC36+AA44*AC44+AA49+AC49+AA58*AC58+AA64*AC64+AA66*AC66+AA71*AC71+AA79*AC79+AA95*AC95+AA115*AC115+AA129*AC129+AA136*AC136+AA141*AC141+AA143*AC143+AA170*AC170+AA175*AC175+AA180*AC180+AA191*AC191+AA198*AC198+AA215*AC215+AA226*AC226)/AA11</f>
        <v>24.189366097060041</v>
      </c>
      <c r="AD11" s="287">
        <f>X11/U11</f>
        <v>1.0896004278641112</v>
      </c>
      <c r="AE11" s="221">
        <f>AE12+AE22+AE28+AE32+AE36+AE44+AE49+AE58+AE64+AE66+AE71+AE79+AE95+AE115+AE129+AE136+AE141+AE143+AE170+AE175+AE180+AE191+AE198+AE215+AE226</f>
        <v>661845.93699367449</v>
      </c>
      <c r="AF11" s="178">
        <f>AF12+AF22+AF28+AF32+AF36+AF44+AF49+AF58+AF64+AF66+AF71+AF79+AF95+AF115+AF129+AF136+AF141+AF143+AF170+AF175+AF180+AF191+AF198+AF215+AF226</f>
        <v>45060.105500000005</v>
      </c>
      <c r="AG11" s="179">
        <f>(AF12*AG12+AF22*AG22+AF28*AG28+AF32*AG32+AF36*AG36+AF44*AG44+AF49+AG49+AF58*AG58+AF64*AG64+AF66*AG66+AF71*AG71+AF79*AG79+AF95*AG95+AF115*AG115+AF129*AG129+AF136*AG136+AF141*AG141+AF143*AG143+AF170*AG170+AF175*AG175+AF180*AG180+AF191*AG191+AF198*AG198+AF215*AG215+AF226*AG226)/AF11</f>
        <v>25.037022811675396</v>
      </c>
      <c r="AH11" s="179">
        <f>(AF12*AH12+AF22*AH22+AF28*AH28+AF32*AH32+AF36*AH36+AF44*AH44+AF49+AH49+AF58*AH58+AF64*AH64+AF66*AH66+AF71*AH71+AF79*AH79+AF95*AH95+AF115*AH115+AF129*AH129+AF136*AH136+AF141*AH141+AF143*AH143+AF170*AH170+AF175*AH175+AF180*AH180+AF191*AH191+AF198*AH198+AF215*AH215+AF226*AH226)/AF11</f>
        <v>29.093513876204746</v>
      </c>
      <c r="AI11" s="178">
        <f>AI12+AI22+AI28+AI32+AI36+AI44+AI49+AI58+AI64+AI66+AI71+AI79+AI95+AI115+AI129+AI136+AI141+AI143+AI170+AI175+AI180+AI191+AI198+AI215+AI226</f>
        <v>45060.105500000005</v>
      </c>
      <c r="AJ11" s="179">
        <f>(AI12*AJ12+AI22*AJ22+AI28*AJ28+AI32*AJ32+AI36*AJ36+AI44*AJ44+AI49+AJ49+AI58*AJ58+AI64*AJ64+AI66*AJ66+AI71*AJ71+AI79*AJ79+AI95*AJ95+AI115*AJ115+AI129*AJ129+AI136*AJ136+AI141*AJ141+AI143*AJ143+AI170*AJ170+AI175*AJ175+AI180*AJ180+AI191*AJ191+AI198*AJ198+AI215*AJ215+AI226*AJ226)/AI11</f>
        <v>26.921475741551468</v>
      </c>
      <c r="AK11" s="179">
        <f>(AI12*AK12+AI22*AK22+AI28*AK28+AI32*AK32+AI36*AK36+AI44*AK44+AI49+AK49+AI58*AK58+AI64*AK64+AI66*AK66+AI71*AK71+AI79*AK79+AI95*AK95+AI115*AK115+AI129*AK129+AI136*AK136+AI141*AK141+AI143*AK143+AI170*AK170+AI175*AK175+AI180*AK180+AI191*AK191+AI198*AK198+AI215*AK215+AI226*AK226)/AI11</f>
        <v>31.277975765420699</v>
      </c>
      <c r="AL11" s="180">
        <f>AG11/AB11</f>
        <v>1.1997891583648475</v>
      </c>
      <c r="AM11" s="180">
        <f>AJ11/AG11</f>
        <v>1.0752666538689777</v>
      </c>
      <c r="AN11" s="178">
        <f>AN12+AN22+AN28+AN32+AN36+AN44+AN49+AN58+AN64+AN66+AN71+AN79+AN95+AN115+AN129+AN136+AN141+AN143+AN170+AN175+AN180+AN191+AN198+AN215+AN226</f>
        <v>20091.018500000002</v>
      </c>
      <c r="AO11" s="179">
        <f>(AN12*AO12+AN22*AO22+AN28*AO28+AN32*AO32+AN36*AO36+AN44*AO44+AN49+AO49+AN58*AO58+AN64*AO64+AN66*AO66+AN71*AO71+AN79*AO79+AN95*AO95+AN115*AO115+AN129*AO129+AN136*AO136+AN141*AO141+AN143*AO143+AN170*AO170+AN175*AO175+AN180*AO180+AN191*AO191+AN198*AO198+AN215*AO215+AN226*AO226)/AN11</f>
        <v>21.321325349817133</v>
      </c>
      <c r="AP11" s="179">
        <f>(AN12*AP12+AN22*AP22+AN28*AP28+AN32*AP32+AN36*AP36+AN44*AP44+AN49+AP49+AN58*AP58+AN64*AP64+AN66*AP66+AN71*AP71+AN79*AP79+AN95*AP95+AN115*AP115+AN129*AP129+AN136*AP136+AN141*AP141+AN143*AP143+AN170*AP170+AN175*AP175+AN180*AP180+AN191*AP191+AN198*AP198+AN215*AP215+AN226*AP226)/AN11</f>
        <v>24.764268837345409</v>
      </c>
      <c r="AQ11" s="293">
        <f>AK11/AH11</f>
        <v>1.0750841544445615</v>
      </c>
      <c r="AR11" s="178">
        <f>AR12+AR22+AR28+AR32+AR36+AR44+AR49+AR58+AR64+AR66+AR71+AR79+AR95+AR115+AR129+AR136+AR141+AR143+AR170+AR175+AR180+AR191+AR198+AR215+AR226</f>
        <v>19793.363208333336</v>
      </c>
      <c r="AS11" s="179">
        <f>(AR12*AS12+AR22*AS22+AR28*AS28+AR32*AS32+AR36*AS36+AR44*AS44+AR49+AS49+AR58*AS58+AR64*AS64+AR66*AS66+AR71*AS71+AR79*AS79+AR95*AS95+AR115*AS115+AR129*AS129+AR136*AS136+AR141*AS141+AR143*AS143+AR170*AS170+AR175*AS175+AR180*AS180+AR191*AS191+AR198*AS198+AR215*AS215+AR226*AS226)/AR11</f>
        <v>24.470265537819142</v>
      </c>
      <c r="AT11" s="179">
        <f>(AR12*AT12+AR22*AT22+AR28*AT28+AR32*AT32+AR36*AT36+AR44*AT44+AR49+AT49+AR58*AT58+AR64*AT64+AR66*AT66+AR71*AT71+AR79*AT79+AR95*AT95+AR115*AT115+AR129*AT129+AR136*AT136+AR141*AT141+AR143*AT143+AR170*AT170+AR175*AT175+AR180*AT180+AR191*AT191+AR198*AT198+AR215*AT215+AR226*AT226)/AR11</f>
        <v>28.363499617050891</v>
      </c>
      <c r="AU11" s="178">
        <f>AU12+AU22+AU28+AU32+AU36+AU44+AU49+AU58+AU64+AU66+AU71+AU79+AU95+AU115+AU129+AU136+AU141+AU143+AU170+AU175+AU180+AU191+AU198+AU215+AU226</f>
        <v>19842.867118000002</v>
      </c>
      <c r="AV11" s="179">
        <f>(AU12*AV12+AU22*AV22+AU28*AV28+AU32*AV32+AU36*AV36+AU44*AV44+AU49+AV49+AU58*AV58+AU64*AV64+AU66*AV66+AU71*AV71+AU79*AV79+AU95*AV95+AU115*AV115+AU129*AV129+AU136*AV136+AU141*AV141+AU143*AV143+AU170*AV170+AU175*AV175+AU180*AV180+AU191*AV191+AU198*AV198+AU215*AV215+AU226*AV226)/AU11</f>
        <v>26.453333112516791</v>
      </c>
      <c r="AW11" s="179">
        <f>(AU12*AW12+AU22*AW22+AU28*AW28+AU32*AW32+AU36*AW36+AU44*AW44+AU49+AW49+AU58*AW58+AU64*AW64+AU66*AW66+AU71*AW71+AU79*AW79+AU95*AW95+AU115*AW115+AU129*AW129+AU136*AW136+AU141*AW141+AU143*AW143+AU170*AW170+AU175*AW175+AU180*AW180+AU191*AW191+AU198*AW198+AU215*AW215+AU226*AW226)/AU11</f>
        <v>30.685872369893417</v>
      </c>
      <c r="AX11" s="180">
        <f>AS11/AO11</f>
        <v>1.1476897020395129</v>
      </c>
      <c r="AY11" s="180">
        <f>AV11/AS11</f>
        <v>1.0810398878439955</v>
      </c>
      <c r="AZ11" s="180">
        <f>AW11/AT11</f>
        <v>1.081878921296666</v>
      </c>
      <c r="BA11" s="221">
        <f>BA12+BA22+BA28+BA32+BA36+BA44+BA49+BA58+BA64+BA66+BA71+BA79+BA95+BA115+BA129+BA136+BA141+BA143+BA170+BA175+BA180+BA191+BA198+BA215+BA226</f>
        <v>286048.35965152661</v>
      </c>
    </row>
    <row r="12" spans="1:54" s="215" customFormat="1" ht="15.75">
      <c r="A12" s="43" t="s">
        <v>10</v>
      </c>
      <c r="B12" s="43"/>
      <c r="C12" s="42">
        <f>SUM(C13:C21)</f>
        <v>11332.857</v>
      </c>
      <c r="D12" s="42">
        <f>SUMPRODUCT(C13:C21,D13:D21)/C12</f>
        <v>30.93402315232602</v>
      </c>
      <c r="E12" s="42">
        <f>SUMPRODUCT(C13:C21,E13:E21)/C12</f>
        <v>36.502147319744708</v>
      </c>
      <c r="F12" s="42">
        <f>SUM(F13:F21)</f>
        <v>11019.993499999999</v>
      </c>
      <c r="G12" s="42">
        <f>SUMPRODUCT(F13:F21,G13:G21)/F12</f>
        <v>54.633354358602851</v>
      </c>
      <c r="H12" s="42">
        <f>SUMPRODUCT(F13:F21,H13:H21)/F12</f>
        <v>64.467358143151372</v>
      </c>
      <c r="I12" s="42">
        <f>SUM(I13:I21)</f>
        <v>11019.993499999999</v>
      </c>
      <c r="J12" s="42">
        <f>SUMPRODUCT(I13:I21,J13:J21)/I12</f>
        <v>59.611190923569971</v>
      </c>
      <c r="K12" s="42">
        <f>SUMPRODUCT(I13:I21,K13:K21)/I12</f>
        <v>70.341205289812578</v>
      </c>
      <c r="L12" s="84">
        <f>G12/D12</f>
        <v>1.7661250878870829</v>
      </c>
      <c r="M12" s="84">
        <f>J12/G12</f>
        <v>1.0911135079185064</v>
      </c>
      <c r="N12" s="84"/>
      <c r="O12" s="42">
        <f>SUM(O13:O21)</f>
        <v>8501.6435000000019</v>
      </c>
      <c r="P12" s="42">
        <f>SUMPRODUCT(O13:O21,P13:P21)/O12</f>
        <v>21.569999999999993</v>
      </c>
      <c r="Q12" s="42">
        <f>SUMPRODUCT(O13:O21,Q13:Q21)/O12</f>
        <v>25.452599999999997</v>
      </c>
      <c r="R12" s="84">
        <f>K12/H12</f>
        <v>1.0911135079185064</v>
      </c>
      <c r="S12" s="42">
        <f>SUM(S13:S21)</f>
        <v>8132.8162499999989</v>
      </c>
      <c r="T12" s="42">
        <f>SUMPRODUCT(S13:S21,T13:T21)/S12</f>
        <v>26.554416365302735</v>
      </c>
      <c r="U12" s="42">
        <f>SUMPRODUCT(S13:S21,U13:U21)/S12</f>
        <v>31.334211311057228</v>
      </c>
      <c r="V12" s="42">
        <f>SUM(V13:V21)</f>
        <v>8183.258499999999</v>
      </c>
      <c r="W12" s="42">
        <f>SUMPRODUCT(V13:V21,W13:W21)/V12</f>
        <v>29.810000000000002</v>
      </c>
      <c r="X12" s="42">
        <f>SUMPRODUCT(V13:V21,X13:X21)/V12</f>
        <v>35.175799999999995</v>
      </c>
      <c r="Y12" s="84">
        <f>T12/P12</f>
        <v>1.2310809626936832</v>
      </c>
      <c r="Z12" s="84">
        <f>W12/T12</f>
        <v>1.1226004589937502</v>
      </c>
      <c r="AA12" s="42">
        <f>SUM(AA13:AA21)</f>
        <v>23656.382499999996</v>
      </c>
      <c r="AB12" s="42">
        <f>SUMPRODUCT(AA13:AA21,AB13:AB21)/AA12</f>
        <v>16.361984203417411</v>
      </c>
      <c r="AC12" s="42">
        <f>SUMPRODUCT(AA13:AA21,AC13:AC21)/AA12</f>
        <v>19.307141360032546</v>
      </c>
      <c r="AD12" s="84">
        <f>X12/U12</f>
        <v>1.1226004589937499</v>
      </c>
      <c r="AE12" s="222">
        <f>SUM(AE13:AE21)</f>
        <v>490396.10717999993</v>
      </c>
      <c r="AF12" s="42">
        <f>SUM(AF13:AF21)</f>
        <v>23616.587999999996</v>
      </c>
      <c r="AG12" s="42">
        <f>SUMPRODUCT(AF13:AF21,AG13:AG21)/AF12</f>
        <v>22.653950467146228</v>
      </c>
      <c r="AH12" s="42">
        <f>SUMPRODUCT(AF13:AF21,AH13:AH21)/AF12</f>
        <v>26.731661551232552</v>
      </c>
      <c r="AI12" s="42">
        <f>SUM(AI13:AI21)</f>
        <v>23616.587999999996</v>
      </c>
      <c r="AJ12" s="42">
        <f>SUMPRODUCT(AI13:AI21,AJ13:AJ21)/AI12</f>
        <v>24.221037767182967</v>
      </c>
      <c r="AK12" s="42">
        <f>SUMPRODUCT(AI13:AI21,AK13:AK21)/AI12</f>
        <v>28.580824565275908</v>
      </c>
      <c r="AL12" s="84">
        <f>AG12/AB12</f>
        <v>1.3845478754596683</v>
      </c>
      <c r="AM12" s="84">
        <f>AJ12/AG12</f>
        <v>1.0691750122041364</v>
      </c>
      <c r="AN12" s="42">
        <f>SUM(AN13:AN21)</f>
        <v>8150.375</v>
      </c>
      <c r="AO12" s="42">
        <f>SUMPRODUCT(AN13:AN21,AO13:AO21)/AN12</f>
        <v>19.760000000000002</v>
      </c>
      <c r="AP12" s="42">
        <f>SUMPRODUCT(AN13:AN21,AP13:AP21)/AN12</f>
        <v>23.316800000000004</v>
      </c>
      <c r="AQ12" s="84">
        <f>AK12/AH12</f>
        <v>1.0691750122041364</v>
      </c>
      <c r="AR12" s="42">
        <f>SUM(AR13:AR21)</f>
        <v>7670.8142083333332</v>
      </c>
      <c r="AS12" s="42">
        <f>SUMPRODUCT(AR13:AR21,AS13:AS21)/AR12</f>
        <v>24.364332246162416</v>
      </c>
      <c r="AT12" s="42">
        <f>SUMPRODUCT(AR13:AR21,AT13:AT21)/AR12</f>
        <v>28.749912050471643</v>
      </c>
      <c r="AU12" s="42">
        <f>SUM(AU13:AU21)</f>
        <v>7720.3180000000002</v>
      </c>
      <c r="AV12" s="42">
        <f>SUMPRODUCT(AU13:AU21,AV13:AV21)/AU12</f>
        <v>27.309999999999992</v>
      </c>
      <c r="AW12" s="42">
        <f>SUMPRODUCT(AU13:AU21,AW13:AW21)/AU12</f>
        <v>32.2258</v>
      </c>
      <c r="AX12" s="84">
        <f>AS12/AO12</f>
        <v>1.2330127654940493</v>
      </c>
      <c r="AY12" s="84">
        <f>AV12/AS12</f>
        <v>1.1209008202677724</v>
      </c>
      <c r="AZ12" s="84">
        <f>AW12/AT12</f>
        <v>1.120900820267773</v>
      </c>
      <c r="BA12" s="224">
        <f>SUM(BA13:BA21)</f>
        <v>189474.13727916661</v>
      </c>
    </row>
    <row r="13" spans="1:54" s="248" customFormat="1" ht="15.75" hidden="1">
      <c r="A13" s="253" t="s">
        <v>29</v>
      </c>
      <c r="B13" s="253" t="s">
        <v>397</v>
      </c>
      <c r="C13" s="228">
        <f>18691.5/2</f>
        <v>9345.75</v>
      </c>
      <c r="D13" s="228">
        <v>23.89</v>
      </c>
      <c r="E13" s="228">
        <f>IF(B13="ОСНО",D13*1.18,D13)</f>
        <v>28.190200000000001</v>
      </c>
      <c r="F13" s="228">
        <f>18552.3/2</f>
        <v>9276.15</v>
      </c>
      <c r="G13" s="228">
        <v>47.7</v>
      </c>
      <c r="H13" s="228">
        <f>IF(B13="ОСНО",G13*1.18,G13)</f>
        <v>56.286000000000001</v>
      </c>
      <c r="I13" s="228">
        <f>F13</f>
        <v>9276.15</v>
      </c>
      <c r="J13" s="228">
        <v>51.01</v>
      </c>
      <c r="K13" s="228">
        <f>IF(B13="ОСНО",J13*1.18,J13)</f>
        <v>60.191799999999994</v>
      </c>
      <c r="L13" s="229">
        <f t="shared" ref="L13:L21" si="0">(G13*F13)/(D13*C13)</f>
        <v>1.9817817862135891</v>
      </c>
      <c r="M13" s="229">
        <f t="shared" ref="M13:M21" si="1">(K13*I13)/(H13*F13)</f>
        <v>1.0693920335429767</v>
      </c>
      <c r="N13" s="229" t="s">
        <v>309</v>
      </c>
      <c r="O13" s="247">
        <f>14951/2</f>
        <v>7475.5</v>
      </c>
      <c r="P13" s="247">
        <v>21.57</v>
      </c>
      <c r="Q13" s="228">
        <f t="shared" ref="Q13:Q21" si="2">IF(B13="ОСНО",P13*1.18,P13)</f>
        <v>25.4526</v>
      </c>
      <c r="R13" s="228"/>
      <c r="S13" s="240">
        <f>14302.3/2</f>
        <v>7151.15</v>
      </c>
      <c r="T13" s="240">
        <v>27.1</v>
      </c>
      <c r="U13" s="228">
        <f>IF(B13="ОСНО",T13*1.18,T13)</f>
        <v>31.978000000000002</v>
      </c>
      <c r="V13" s="228">
        <f>S13</f>
        <v>7151.15</v>
      </c>
      <c r="W13" s="228">
        <v>29.81</v>
      </c>
      <c r="X13" s="228">
        <f>IF(B13="ОСНО",W13*1.18,W13)</f>
        <v>35.175799999999995</v>
      </c>
      <c r="Y13" s="229">
        <f>(T13*S13)/(P13*O13)</f>
        <v>1.2018625082393244</v>
      </c>
      <c r="Z13" s="229">
        <f>(X13*V13)/(U13*S13)</f>
        <v>1.0999999999999999</v>
      </c>
      <c r="AA13" s="228">
        <f>21018.87/2</f>
        <v>10509.434999999999</v>
      </c>
      <c r="AB13" s="228">
        <v>19.760000000000002</v>
      </c>
      <c r="AC13" s="228">
        <f t="shared" ref="AC13:AC21" si="3">IF(B13="ОСНО",AB13*1.18,AB13)</f>
        <v>23.316800000000001</v>
      </c>
      <c r="AD13" s="228"/>
      <c r="AE13" s="230">
        <f>(J13-W13)*V13+(G13-T13)*S13</f>
        <v>298918.06999999995</v>
      </c>
      <c r="AF13" s="228">
        <f>21018.87/2</f>
        <v>10509.434999999999</v>
      </c>
      <c r="AG13" s="228">
        <v>32.119999999999997</v>
      </c>
      <c r="AH13" s="228">
        <f t="shared" ref="AH13:AH21" si="4">IF(B13="ОСНО",AG13*1.18,AG13)</f>
        <v>37.901599999999995</v>
      </c>
      <c r="AI13" s="228">
        <f>AF13</f>
        <v>10509.434999999999</v>
      </c>
      <c r="AJ13" s="228">
        <v>34.229999999999997</v>
      </c>
      <c r="AK13" s="228">
        <f t="shared" ref="AK13:AK21" si="5">IF(B13="ОСНО",AJ13*1.18,AJ13)</f>
        <v>40.391399999999997</v>
      </c>
      <c r="AL13" s="229">
        <f>(AG13*AF13)/(AB13*AA13)</f>
        <v>1.6255060728744939</v>
      </c>
      <c r="AM13" s="229">
        <f>(AK13*AI13)/(AH13*AF13)</f>
        <v>1.0656911581569117</v>
      </c>
      <c r="AN13" s="228">
        <f>14381.5/2</f>
        <v>7190.75</v>
      </c>
      <c r="AO13" s="228">
        <v>19.760000000000002</v>
      </c>
      <c r="AP13" s="228">
        <f t="shared" ref="AP13:AP21" si="6">IF(B13="ОСНО",AO13*1.18,AO13)</f>
        <v>23.316800000000001</v>
      </c>
      <c r="AQ13" s="228"/>
      <c r="AR13" s="228">
        <f>13616/2</f>
        <v>6808</v>
      </c>
      <c r="AS13" s="228">
        <v>24.83</v>
      </c>
      <c r="AT13" s="228">
        <f t="shared" ref="AT13:AT21" si="7">IF(B13="ОСНО",AS13*1.18,AS13)</f>
        <v>29.299399999999995</v>
      </c>
      <c r="AU13" s="228">
        <f>AR13</f>
        <v>6808</v>
      </c>
      <c r="AV13" s="228">
        <v>27.31</v>
      </c>
      <c r="AW13" s="228">
        <f t="shared" ref="AW13:AW21" si="8">IF(B13="ОСНО",AV13*1.18,AV13)</f>
        <v>32.2258</v>
      </c>
      <c r="AX13" s="229">
        <f>(AS13*AR13)/(AO13*AN13)</f>
        <v>1.1896936305231318</v>
      </c>
      <c r="AY13" s="229">
        <f>(AW13*AU13)/(AT13*AR13)</f>
        <v>1.09987917841321</v>
      </c>
      <c r="AZ13" s="229"/>
      <c r="BA13" s="230">
        <f>(AG13-AS13)*AR13+(AJ13-AV13)*AU13</f>
        <v>96741.679999999978</v>
      </c>
      <c r="BB13" s="285"/>
    </row>
    <row r="14" spans="1:54" s="248" customFormat="1" ht="15.75" hidden="1">
      <c r="A14" s="253" t="s">
        <v>30</v>
      </c>
      <c r="B14" s="253" t="s">
        <v>397</v>
      </c>
      <c r="C14" s="228">
        <f>7.79/2</f>
        <v>3.895</v>
      </c>
      <c r="D14" s="228">
        <v>9.7200000000000006</v>
      </c>
      <c r="E14" s="228">
        <f t="shared" ref="E14:E21" si="9">IF(B14="ОСНО",D14*1.18,D14)</f>
        <v>11.4696</v>
      </c>
      <c r="F14" s="228">
        <f>C14</f>
        <v>3.895</v>
      </c>
      <c r="G14" s="228">
        <v>10.199999999999999</v>
      </c>
      <c r="H14" s="228">
        <f t="shared" ref="H14:H76" si="10">IF(B14="ОСНО",G14*1.18,G14)</f>
        <v>12.035999999999998</v>
      </c>
      <c r="I14" s="228">
        <f>F14</f>
        <v>3.895</v>
      </c>
      <c r="J14" s="228">
        <v>10.93</v>
      </c>
      <c r="K14" s="228">
        <f t="shared" ref="K14:K76" si="11">IF(B14="ОСНО",J14*1.18,J14)</f>
        <v>12.897399999999999</v>
      </c>
      <c r="L14" s="229">
        <f t="shared" si="0"/>
        <v>1.0493827160493827</v>
      </c>
      <c r="M14" s="229">
        <f t="shared" si="1"/>
        <v>1.0715686274509804</v>
      </c>
      <c r="N14" s="229" t="s">
        <v>309</v>
      </c>
      <c r="O14" s="247"/>
      <c r="P14" s="247"/>
      <c r="Q14" s="228">
        <f t="shared" si="2"/>
        <v>0</v>
      </c>
      <c r="R14" s="228"/>
      <c r="S14" s="240"/>
      <c r="T14" s="247"/>
      <c r="U14" s="228"/>
      <c r="V14" s="228"/>
      <c r="W14" s="228">
        <f t="shared" ref="W14:W18" si="12">T14*1.042</f>
        <v>0</v>
      </c>
      <c r="X14" s="228"/>
      <c r="Y14" s="229"/>
      <c r="Z14" s="229"/>
      <c r="AA14" s="228"/>
      <c r="AB14" s="228"/>
      <c r="AC14" s="228">
        <f t="shared" si="3"/>
        <v>0</v>
      </c>
      <c r="AD14" s="228"/>
      <c r="AE14" s="230"/>
      <c r="AF14" s="228"/>
      <c r="AG14" s="228"/>
      <c r="AH14" s="228">
        <f t="shared" si="4"/>
        <v>0</v>
      </c>
      <c r="AI14" s="228"/>
      <c r="AJ14" s="228"/>
      <c r="AK14" s="228">
        <f t="shared" si="5"/>
        <v>0</v>
      </c>
      <c r="AL14" s="229"/>
      <c r="AM14" s="229"/>
      <c r="AN14" s="228"/>
      <c r="AO14" s="228"/>
      <c r="AP14" s="228">
        <f t="shared" si="6"/>
        <v>0</v>
      </c>
      <c r="AQ14" s="228"/>
      <c r="AR14" s="228"/>
      <c r="AS14" s="228"/>
      <c r="AT14" s="228">
        <f t="shared" si="7"/>
        <v>0</v>
      </c>
      <c r="AU14" s="228"/>
      <c r="AV14" s="228">
        <f t="shared" ref="AV14:AV19" si="13">AS14*1.042</f>
        <v>0</v>
      </c>
      <c r="AW14" s="228">
        <f t="shared" si="8"/>
        <v>0</v>
      </c>
      <c r="AX14" s="229"/>
      <c r="AY14" s="229"/>
      <c r="AZ14" s="229"/>
      <c r="BA14" s="230">
        <f t="shared" ref="BA14:BA76" si="14">(AG14-AS14)*AR14+(AJ14-AV14)*AU14</f>
        <v>0</v>
      </c>
      <c r="BB14" s="285"/>
    </row>
    <row r="15" spans="1:54" s="277" customFormat="1" ht="15.75" hidden="1">
      <c r="A15" s="273" t="s">
        <v>27</v>
      </c>
      <c r="B15" s="273" t="s">
        <v>397</v>
      </c>
      <c r="C15" s="227">
        <f>1117.41/2</f>
        <v>558.70500000000004</v>
      </c>
      <c r="D15" s="227">
        <v>135.32</v>
      </c>
      <c r="E15" s="227">
        <f t="shared" si="9"/>
        <v>159.67759999999998</v>
      </c>
      <c r="F15" s="227">
        <f>1085.083/2</f>
        <v>542.54150000000004</v>
      </c>
      <c r="G15" s="227">
        <v>148.69</v>
      </c>
      <c r="H15" s="227">
        <f t="shared" si="10"/>
        <v>175.45419999999999</v>
      </c>
      <c r="I15" s="227">
        <f>F15</f>
        <v>542.54150000000004</v>
      </c>
      <c r="J15" s="227">
        <v>180.73</v>
      </c>
      <c r="K15" s="227">
        <f t="shared" si="11"/>
        <v>213.26139999999998</v>
      </c>
      <c r="L15" s="262">
        <f t="shared" si="0"/>
        <v>1.0670141483963473</v>
      </c>
      <c r="M15" s="262">
        <f t="shared" si="1"/>
        <v>1.2154818750420338</v>
      </c>
      <c r="N15" s="262" t="s">
        <v>309</v>
      </c>
      <c r="O15" s="274">
        <f>847.45/2</f>
        <v>423.72500000000002</v>
      </c>
      <c r="P15" s="274">
        <v>21.57</v>
      </c>
      <c r="Q15" s="227">
        <f t="shared" si="2"/>
        <v>25.4526</v>
      </c>
      <c r="R15" s="227"/>
      <c r="S15" s="275">
        <f>843.283/2</f>
        <v>421.64150000000001</v>
      </c>
      <c r="T15" s="274">
        <v>22.58</v>
      </c>
      <c r="U15" s="227">
        <f>IF(B15="ОСНО",T15*1.18,T15)</f>
        <v>26.644399999999997</v>
      </c>
      <c r="V15" s="227">
        <f>S15</f>
        <v>421.64150000000001</v>
      </c>
      <c r="W15" s="228">
        <v>29.81</v>
      </c>
      <c r="X15" s="227">
        <f>IF(B15="ОСНО",W15*1.18,W15)</f>
        <v>35.175799999999995</v>
      </c>
      <c r="Y15" s="262">
        <f>(T15*S15)/(P15*O15)</f>
        <v>1.0416769488153024</v>
      </c>
      <c r="Z15" s="262">
        <f>(X15*V15)/(U15*S15)</f>
        <v>1.3201948627103632</v>
      </c>
      <c r="AA15" s="227">
        <f>906/2</f>
        <v>453</v>
      </c>
      <c r="AB15" s="227">
        <v>111.34</v>
      </c>
      <c r="AC15" s="227">
        <f t="shared" si="3"/>
        <v>131.38120000000001</v>
      </c>
      <c r="AD15" s="227"/>
      <c r="AE15" s="276">
        <f>(J15-W15)*V15+(G15-T15)*S15</f>
        <v>116807.34474499999</v>
      </c>
      <c r="AF15" s="227">
        <f>841.265/2</f>
        <v>420.63249999999999</v>
      </c>
      <c r="AG15" s="227">
        <v>148.13</v>
      </c>
      <c r="AH15" s="227">
        <f t="shared" si="4"/>
        <v>174.79339999999999</v>
      </c>
      <c r="AI15" s="227">
        <f>AF15</f>
        <v>420.63249999999999</v>
      </c>
      <c r="AJ15" s="227">
        <v>172.62</v>
      </c>
      <c r="AK15" s="227">
        <f t="shared" si="5"/>
        <v>203.69159999999999</v>
      </c>
      <c r="AL15" s="262">
        <f t="shared" ref="AL15" si="15">(AG15*AF15)/(AB15*AA15)</f>
        <v>1.2353682320049835</v>
      </c>
      <c r="AM15" s="262">
        <f t="shared" ref="AM15:AM21" si="16">(AK15*AI15)/(AH15*AF15)</f>
        <v>1.1653277526496997</v>
      </c>
      <c r="AN15" s="227">
        <f>718.1/2</f>
        <v>359.05</v>
      </c>
      <c r="AO15" s="227">
        <v>19.760000000000002</v>
      </c>
      <c r="AP15" s="227">
        <f t="shared" si="6"/>
        <v>23.316800000000001</v>
      </c>
      <c r="AQ15" s="227"/>
      <c r="AR15" s="227">
        <f>629.665/2</f>
        <v>314.83249999999998</v>
      </c>
      <c r="AS15" s="227">
        <v>20.69</v>
      </c>
      <c r="AT15" s="227">
        <f t="shared" si="7"/>
        <v>24.414200000000001</v>
      </c>
      <c r="AU15" s="227">
        <f>AR15</f>
        <v>314.83249999999998</v>
      </c>
      <c r="AV15" s="228">
        <v>27.31</v>
      </c>
      <c r="AW15" s="227">
        <f t="shared" si="8"/>
        <v>32.2258</v>
      </c>
      <c r="AX15" s="262">
        <f t="shared" ref="AX15:AX17" si="17">(AS15*AR15)/(AO15*AN15)</f>
        <v>0.91811731376715544</v>
      </c>
      <c r="AY15" s="262">
        <f t="shared" ref="AY15:AY20" si="18">(AW15*AU15)/(AT15*AR15)</f>
        <v>1.3199613339777669</v>
      </c>
      <c r="AZ15" s="262"/>
      <c r="BA15" s="276">
        <f>(AG15-AS15)*AR15+(AJ15-AV15)*AU15</f>
        <v>85870.564374999987</v>
      </c>
      <c r="BB15" s="284"/>
    </row>
    <row r="16" spans="1:54" s="248" customFormat="1" ht="15.75" hidden="1">
      <c r="A16" s="253" t="s">
        <v>28</v>
      </c>
      <c r="B16" s="253" t="s">
        <v>397</v>
      </c>
      <c r="C16" s="228">
        <f>5.8/2</f>
        <v>2.9</v>
      </c>
      <c r="D16" s="228">
        <v>57.32</v>
      </c>
      <c r="E16" s="228">
        <f t="shared" si="9"/>
        <v>67.637599999999992</v>
      </c>
      <c r="F16" s="228">
        <f t="shared" ref="F16:F21" si="19">C16</f>
        <v>2.9</v>
      </c>
      <c r="G16" s="228">
        <v>60</v>
      </c>
      <c r="H16" s="228">
        <f t="shared" si="10"/>
        <v>70.8</v>
      </c>
      <c r="I16" s="228">
        <f>F16</f>
        <v>2.9</v>
      </c>
      <c r="J16" s="228">
        <v>65.180000000000007</v>
      </c>
      <c r="K16" s="228">
        <f t="shared" si="11"/>
        <v>76.912400000000005</v>
      </c>
      <c r="L16" s="229">
        <f t="shared" si="0"/>
        <v>1.0467550593161199</v>
      </c>
      <c r="M16" s="229">
        <f t="shared" si="1"/>
        <v>1.0863333333333334</v>
      </c>
      <c r="N16" s="229" t="s">
        <v>309</v>
      </c>
      <c r="O16" s="247"/>
      <c r="P16" s="247"/>
      <c r="Q16" s="228">
        <f t="shared" si="2"/>
        <v>0</v>
      </c>
      <c r="R16" s="228"/>
      <c r="S16" s="240"/>
      <c r="T16" s="247"/>
      <c r="U16" s="228"/>
      <c r="V16" s="228"/>
      <c r="W16" s="228">
        <f t="shared" si="12"/>
        <v>0</v>
      </c>
      <c r="X16" s="228"/>
      <c r="Y16" s="229"/>
      <c r="Z16" s="229"/>
      <c r="AA16" s="228"/>
      <c r="AB16" s="228"/>
      <c r="AC16" s="228">
        <f t="shared" si="3"/>
        <v>0</v>
      </c>
      <c r="AD16" s="228"/>
      <c r="AE16" s="230"/>
      <c r="AF16" s="228"/>
      <c r="AG16" s="228"/>
      <c r="AH16" s="228">
        <f t="shared" si="4"/>
        <v>0</v>
      </c>
      <c r="AI16" s="228"/>
      <c r="AJ16" s="228"/>
      <c r="AK16" s="228">
        <f t="shared" si="5"/>
        <v>0</v>
      </c>
      <c r="AL16" s="229"/>
      <c r="AM16" s="229"/>
      <c r="AN16" s="228"/>
      <c r="AO16" s="228"/>
      <c r="AP16" s="228">
        <f t="shared" si="6"/>
        <v>0</v>
      </c>
      <c r="AQ16" s="228"/>
      <c r="AR16" s="228"/>
      <c r="AS16" s="228"/>
      <c r="AT16" s="228">
        <f t="shared" si="7"/>
        <v>0</v>
      </c>
      <c r="AU16" s="228"/>
      <c r="AV16" s="228">
        <f t="shared" si="13"/>
        <v>0</v>
      </c>
      <c r="AW16" s="228">
        <f t="shared" si="8"/>
        <v>0</v>
      </c>
      <c r="AX16" s="229"/>
      <c r="AY16" s="229"/>
      <c r="AZ16" s="229"/>
      <c r="BA16" s="230">
        <f t="shared" si="14"/>
        <v>0</v>
      </c>
      <c r="BB16" s="285"/>
    </row>
    <row r="17" spans="1:54" s="248" customFormat="1" ht="15.75" hidden="1">
      <c r="A17" s="273" t="s">
        <v>470</v>
      </c>
      <c r="B17" s="253" t="s">
        <v>397</v>
      </c>
      <c r="C17" s="228">
        <f>1387.91/2</f>
        <v>693.95500000000004</v>
      </c>
      <c r="D17" s="228">
        <v>38.76</v>
      </c>
      <c r="E17" s="228">
        <f t="shared" si="9"/>
        <v>45.736799999999995</v>
      </c>
      <c r="F17" s="228">
        <f>1348.014/2</f>
        <v>674.00699999999995</v>
      </c>
      <c r="G17" s="228">
        <v>88.56</v>
      </c>
      <c r="H17" s="228">
        <f t="shared" si="10"/>
        <v>104.5008</v>
      </c>
      <c r="I17" s="228">
        <f>F17</f>
        <v>674.00699999999995</v>
      </c>
      <c r="J17" s="228">
        <v>92.1</v>
      </c>
      <c r="K17" s="228">
        <f t="shared" si="11"/>
        <v>108.67799999999998</v>
      </c>
      <c r="L17" s="229">
        <f t="shared" si="0"/>
        <v>2.219151423372109</v>
      </c>
      <c r="M17" s="229">
        <f t="shared" si="1"/>
        <v>1.0399728997289972</v>
      </c>
      <c r="N17" s="229" t="s">
        <v>309</v>
      </c>
      <c r="O17" s="258">
        <f>1194.27/2</f>
        <v>597.13499999999999</v>
      </c>
      <c r="P17" s="258">
        <v>21.57</v>
      </c>
      <c r="Q17" s="228">
        <f t="shared" si="2"/>
        <v>25.4526</v>
      </c>
      <c r="R17" s="228"/>
      <c r="S17" s="240">
        <f>1210.614/12*5.5</f>
        <v>554.86474999999996</v>
      </c>
      <c r="T17" s="258">
        <v>22.58</v>
      </c>
      <c r="U17" s="228">
        <f>IF(B17="ОСНО",T17*1.18,T17)</f>
        <v>26.644399999999997</v>
      </c>
      <c r="V17" s="240">
        <f>1210.614/12*6</f>
        <v>605.30700000000002</v>
      </c>
      <c r="W17" s="228">
        <v>29.81</v>
      </c>
      <c r="X17" s="228">
        <f>IF(B17="ОСНО",W17*1.18,W17)</f>
        <v>35.175799999999995</v>
      </c>
      <c r="Y17" s="229">
        <f>(T17*S17)/(P17*O17)</f>
        <v>0.97272124331870413</v>
      </c>
      <c r="Z17" s="229">
        <f>X17/U17</f>
        <v>1.320194862710363</v>
      </c>
      <c r="AA17" s="228">
        <f>1827.73/2</f>
        <v>913.86500000000001</v>
      </c>
      <c r="AB17" s="228">
        <v>26.12</v>
      </c>
      <c r="AC17" s="228">
        <f t="shared" si="3"/>
        <v>30.8216</v>
      </c>
      <c r="AD17" s="228"/>
      <c r="AE17" s="230">
        <f>(J17-W17)*V17+(G17-T17)*S17</f>
        <v>74314.549234999999</v>
      </c>
      <c r="AF17" s="228">
        <f>1827.73/2</f>
        <v>913.86500000000001</v>
      </c>
      <c r="AG17" s="228">
        <v>29.35</v>
      </c>
      <c r="AH17" s="228">
        <f t="shared" si="4"/>
        <v>34.633000000000003</v>
      </c>
      <c r="AI17" s="228">
        <f>AF17</f>
        <v>913.86500000000001</v>
      </c>
      <c r="AJ17" s="228">
        <v>30.53</v>
      </c>
      <c r="AK17" s="228">
        <f t="shared" si="5"/>
        <v>36.025399999999998</v>
      </c>
      <c r="AL17" s="229">
        <f>(AG17*AF17)/(AB17*AA17)</f>
        <v>1.1236600306278715</v>
      </c>
      <c r="AM17" s="229">
        <f t="shared" si="16"/>
        <v>1.0402044293015331</v>
      </c>
      <c r="AN17" s="228">
        <f>1194.27/2</f>
        <v>597.13499999999999</v>
      </c>
      <c r="AO17" s="228">
        <v>19.760000000000002</v>
      </c>
      <c r="AP17" s="228">
        <f t="shared" si="6"/>
        <v>23.316800000000001</v>
      </c>
      <c r="AQ17" s="228"/>
      <c r="AR17" s="228">
        <f>1188.091/12*5.5</f>
        <v>544.5417083333333</v>
      </c>
      <c r="AS17" s="228">
        <v>20.69</v>
      </c>
      <c r="AT17" s="228">
        <f t="shared" si="7"/>
        <v>24.414200000000001</v>
      </c>
      <c r="AU17" s="228">
        <f>1188.091/12*6</f>
        <v>594.04549999999995</v>
      </c>
      <c r="AV17" s="228">
        <v>27.31</v>
      </c>
      <c r="AW17" s="228">
        <f t="shared" si="8"/>
        <v>32.2258</v>
      </c>
      <c r="AX17" s="229">
        <f t="shared" si="17"/>
        <v>0.95484344843597369</v>
      </c>
      <c r="AY17" s="229">
        <f>AW17/AT17</f>
        <v>1.3199613339777669</v>
      </c>
      <c r="AZ17" s="229"/>
      <c r="BA17" s="230">
        <f>(AG17-AS17)*AR17+(AJ17-AV17)*AU17</f>
        <v>6628.5577041666675</v>
      </c>
      <c r="BB17" s="285"/>
    </row>
    <row r="18" spans="1:54" s="231" customFormat="1" ht="15.75" hidden="1">
      <c r="A18" s="236" t="s">
        <v>12</v>
      </c>
      <c r="B18" s="236" t="s">
        <v>397</v>
      </c>
      <c r="C18" s="228">
        <f>62.1/2</f>
        <v>31.05</v>
      </c>
      <c r="D18" s="228">
        <v>18.079999999999998</v>
      </c>
      <c r="E18" s="228">
        <f t="shared" si="9"/>
        <v>21.334399999999995</v>
      </c>
      <c r="F18" s="228">
        <f t="shared" si="19"/>
        <v>31.05</v>
      </c>
      <c r="G18" s="228">
        <v>35.36</v>
      </c>
      <c r="H18" s="228">
        <f t="shared" si="10"/>
        <v>41.724799999999995</v>
      </c>
      <c r="I18" s="228">
        <f t="shared" ref="I18:I21" si="20">F18</f>
        <v>31.05</v>
      </c>
      <c r="J18" s="228">
        <v>28.22</v>
      </c>
      <c r="K18" s="228">
        <f t="shared" si="11"/>
        <v>33.299599999999998</v>
      </c>
      <c r="L18" s="229">
        <f t="shared" si="0"/>
        <v>1.9557522123893807</v>
      </c>
      <c r="M18" s="229">
        <f t="shared" si="1"/>
        <v>0.79807692307692302</v>
      </c>
      <c r="N18" s="229" t="s">
        <v>309</v>
      </c>
      <c r="O18" s="247"/>
      <c r="P18" s="247"/>
      <c r="Q18" s="228">
        <f t="shared" si="2"/>
        <v>0</v>
      </c>
      <c r="R18" s="228"/>
      <c r="S18" s="240"/>
      <c r="T18" s="247"/>
      <c r="U18" s="228"/>
      <c r="V18" s="228">
        <f>S18</f>
        <v>0</v>
      </c>
      <c r="W18" s="228">
        <f t="shared" si="12"/>
        <v>0</v>
      </c>
      <c r="X18" s="228"/>
      <c r="Y18" s="229"/>
      <c r="Z18" s="229"/>
      <c r="AA18" s="228">
        <f>22854.607/2</f>
        <v>11427.3035</v>
      </c>
      <c r="AB18" s="228">
        <v>7.67</v>
      </c>
      <c r="AC18" s="228">
        <f t="shared" si="3"/>
        <v>9.0505999999999993</v>
      </c>
      <c r="AD18" s="228"/>
      <c r="AE18" s="230"/>
      <c r="AF18" s="228">
        <f>AA18</f>
        <v>11427.3035</v>
      </c>
      <c r="AG18" s="228">
        <v>7.9</v>
      </c>
      <c r="AH18" s="228">
        <f t="shared" si="4"/>
        <v>9.3219999999999992</v>
      </c>
      <c r="AI18" s="228">
        <f t="shared" ref="AI18:AI21" si="21">AF18</f>
        <v>11427.3035</v>
      </c>
      <c r="AJ18" s="228">
        <v>7.92</v>
      </c>
      <c r="AK18" s="228">
        <f t="shared" si="5"/>
        <v>9.3455999999999992</v>
      </c>
      <c r="AL18" s="229">
        <f>(AG18*AF18)/(AB18*AA18)</f>
        <v>1.0299869621903519</v>
      </c>
      <c r="AM18" s="229">
        <f t="shared" ref="AM18" si="22">(AK18*AI18)/(AH18*AF18)</f>
        <v>1.0025316455696203</v>
      </c>
      <c r="AN18" s="239"/>
      <c r="AO18" s="239"/>
      <c r="AP18" s="228">
        <f t="shared" si="6"/>
        <v>0</v>
      </c>
      <c r="AQ18" s="228"/>
      <c r="AR18" s="239"/>
      <c r="AS18" s="239"/>
      <c r="AT18" s="228">
        <f t="shared" si="7"/>
        <v>0</v>
      </c>
      <c r="AU18" s="228"/>
      <c r="AV18" s="228">
        <f t="shared" si="13"/>
        <v>0</v>
      </c>
      <c r="AW18" s="228">
        <f t="shared" si="8"/>
        <v>0</v>
      </c>
      <c r="AX18" s="229"/>
      <c r="AY18" s="229"/>
      <c r="AZ18" s="229"/>
      <c r="BA18" s="230">
        <f t="shared" si="14"/>
        <v>0</v>
      </c>
    </row>
    <row r="19" spans="1:54" s="232" customFormat="1" ht="15.75" hidden="1">
      <c r="A19" s="236" t="s">
        <v>15</v>
      </c>
      <c r="B19" s="236" t="s">
        <v>397</v>
      </c>
      <c r="C19" s="181">
        <f>1230.024/2</f>
        <v>615.01199999999994</v>
      </c>
      <c r="D19" s="181">
        <v>32.71</v>
      </c>
      <c r="E19" s="181">
        <f t="shared" si="9"/>
        <v>38.597799999999999</v>
      </c>
      <c r="F19" s="228">
        <f>I19</f>
        <v>415.29399999999998</v>
      </c>
      <c r="G19" s="228">
        <v>34.159999999999997</v>
      </c>
      <c r="H19" s="228">
        <f t="shared" si="10"/>
        <v>40.308799999999991</v>
      </c>
      <c r="I19" s="228">
        <f>830.588/2</f>
        <v>415.29399999999998</v>
      </c>
      <c r="J19" s="228">
        <v>36.07</v>
      </c>
      <c r="K19" s="228">
        <f t="shared" si="11"/>
        <v>42.562599999999996</v>
      </c>
      <c r="L19" s="197">
        <f t="shared" si="0"/>
        <v>0.70519526048106196</v>
      </c>
      <c r="M19" s="229">
        <f t="shared" si="1"/>
        <v>1.0559133489461359</v>
      </c>
      <c r="N19" s="197" t="s">
        <v>309</v>
      </c>
      <c r="O19" s="183">
        <f>3.687/2</f>
        <v>1.8434999999999999</v>
      </c>
      <c r="P19" s="183">
        <v>21.57</v>
      </c>
      <c r="Q19" s="181">
        <f t="shared" si="2"/>
        <v>25.4526</v>
      </c>
      <c r="R19" s="181"/>
      <c r="S19" s="240">
        <f>V19</f>
        <v>1.72</v>
      </c>
      <c r="T19" s="247">
        <v>22.58</v>
      </c>
      <c r="U19" s="228">
        <f>IF(B19="ОСНО",T19*1.18,T19)</f>
        <v>26.644399999999997</v>
      </c>
      <c r="V19" s="228">
        <f>3.44/2</f>
        <v>1.72</v>
      </c>
      <c r="W19" s="228">
        <v>29.81</v>
      </c>
      <c r="X19" s="228">
        <f>IF(B19="ОСНО",W19*1.18,W19)</f>
        <v>35.175799999999995</v>
      </c>
      <c r="Y19" s="229">
        <f>(T19*S19)/(P19*O19)</f>
        <v>0.97669529913707753</v>
      </c>
      <c r="Z19" s="229">
        <f>(X19*V19)/(U19*S19)</f>
        <v>1.320194862710363</v>
      </c>
      <c r="AA19" s="228">
        <f>502.758/2</f>
        <v>251.37899999999999</v>
      </c>
      <c r="AB19" s="228">
        <v>52.27</v>
      </c>
      <c r="AC19" s="228">
        <f t="shared" si="3"/>
        <v>61.678600000000003</v>
      </c>
      <c r="AD19" s="228"/>
      <c r="AE19" s="230">
        <f>(J19-W19)*V19+(G19-T19)*S19</f>
        <v>30.684799999999999</v>
      </c>
      <c r="AF19" s="228">
        <f>AI19</f>
        <v>243.95099999999999</v>
      </c>
      <c r="AG19" s="228">
        <v>55.52</v>
      </c>
      <c r="AH19" s="228">
        <f t="shared" si="4"/>
        <v>65.513599999999997</v>
      </c>
      <c r="AI19" s="228">
        <f>487.902/2</f>
        <v>243.95099999999999</v>
      </c>
      <c r="AJ19" s="228">
        <v>58.79</v>
      </c>
      <c r="AK19" s="228">
        <f t="shared" si="5"/>
        <v>69.372199999999992</v>
      </c>
      <c r="AL19" s="229">
        <f>(AG19*AF19)/(AB19*AA19)</f>
        <v>1.0307908761040316</v>
      </c>
      <c r="AM19" s="229">
        <f t="shared" si="16"/>
        <v>1.0588976945244957</v>
      </c>
      <c r="AN19" s="184"/>
      <c r="AO19" s="184"/>
      <c r="AP19" s="181">
        <f t="shared" si="6"/>
        <v>0</v>
      </c>
      <c r="AQ19" s="181"/>
      <c r="AR19" s="239"/>
      <c r="AS19" s="239"/>
      <c r="AT19" s="228">
        <f t="shared" si="7"/>
        <v>0</v>
      </c>
      <c r="AU19" s="228"/>
      <c r="AV19" s="228">
        <f t="shared" si="13"/>
        <v>0</v>
      </c>
      <c r="AW19" s="228">
        <f t="shared" si="8"/>
        <v>0</v>
      </c>
      <c r="AX19" s="229"/>
      <c r="AY19" s="229"/>
      <c r="AZ19" s="229"/>
      <c r="BA19" s="230">
        <f t="shared" si="14"/>
        <v>0</v>
      </c>
      <c r="BB19" s="159"/>
    </row>
    <row r="20" spans="1:54" s="231" customFormat="1" ht="15.75" hidden="1">
      <c r="A20" s="236" t="s">
        <v>53</v>
      </c>
      <c r="B20" s="236" t="s">
        <v>397</v>
      </c>
      <c r="C20" s="228">
        <f>125.6/2</f>
        <v>62.8</v>
      </c>
      <c r="D20" s="228">
        <v>46.66</v>
      </c>
      <c r="E20" s="228">
        <f t="shared" si="9"/>
        <v>55.058799999999991</v>
      </c>
      <c r="F20" s="228">
        <v>55.366</v>
      </c>
      <c r="G20" s="228">
        <v>49.52</v>
      </c>
      <c r="H20" s="228">
        <f t="shared" si="10"/>
        <v>58.433599999999998</v>
      </c>
      <c r="I20" s="228">
        <f>F20</f>
        <v>55.366</v>
      </c>
      <c r="J20" s="228">
        <v>97.48</v>
      </c>
      <c r="K20" s="228">
        <f t="shared" si="11"/>
        <v>115.0264</v>
      </c>
      <c r="L20" s="229">
        <f t="shared" si="0"/>
        <v>0.93566289269713709</v>
      </c>
      <c r="M20" s="229">
        <f t="shared" si="1"/>
        <v>1.9684975767366719</v>
      </c>
      <c r="N20" s="229" t="s">
        <v>309</v>
      </c>
      <c r="O20" s="228">
        <f>6.88/2</f>
        <v>3.44</v>
      </c>
      <c r="P20" s="228">
        <v>21.57</v>
      </c>
      <c r="Q20" s="228">
        <f t="shared" si="2"/>
        <v>25.4526</v>
      </c>
      <c r="R20" s="228"/>
      <c r="S20" s="240">
        <f>O20</f>
        <v>3.44</v>
      </c>
      <c r="T20" s="228">
        <v>22.58</v>
      </c>
      <c r="U20" s="228">
        <f>IF(B20="ОСНО",T20*1.18,T20)</f>
        <v>26.644399999999997</v>
      </c>
      <c r="V20" s="228">
        <f>S20</f>
        <v>3.44</v>
      </c>
      <c r="W20" s="228">
        <v>29.81</v>
      </c>
      <c r="X20" s="228">
        <f>IF(B20="ОСНО",W20*1.18,W20)</f>
        <v>35.175799999999995</v>
      </c>
      <c r="Y20" s="229">
        <f>(T20*S20)/(P20*O20)</f>
        <v>1.0468242929995362</v>
      </c>
      <c r="Z20" s="229">
        <f>(X20*V20)/(U20*S20)</f>
        <v>1.320194862710363</v>
      </c>
      <c r="AA20" s="228">
        <f>127.02/2</f>
        <v>63.51</v>
      </c>
      <c r="AB20" s="228">
        <v>44.74</v>
      </c>
      <c r="AC20" s="228">
        <f t="shared" si="3"/>
        <v>52.793199999999999</v>
      </c>
      <c r="AD20" s="228"/>
      <c r="AE20" s="230">
        <f>(G20-T20)*S20+(J20-W20)*V20</f>
        <v>325.45839999999998</v>
      </c>
      <c r="AF20" s="228">
        <v>63.511000000000003</v>
      </c>
      <c r="AG20" s="228">
        <v>47.51</v>
      </c>
      <c r="AH20" s="228">
        <f t="shared" si="4"/>
        <v>56.061799999999998</v>
      </c>
      <c r="AI20" s="228">
        <f t="shared" si="21"/>
        <v>63.511000000000003</v>
      </c>
      <c r="AJ20" s="228">
        <v>68.319999999999993</v>
      </c>
      <c r="AK20" s="228">
        <f t="shared" si="5"/>
        <v>80.617599999999982</v>
      </c>
      <c r="AL20" s="229">
        <f t="shared" ref="AL20" si="23">(AG20*AF20)/(AB20*AA20)</f>
        <v>1.0619299971204714</v>
      </c>
      <c r="AM20" s="229">
        <f t="shared" si="16"/>
        <v>1.4380130498842345</v>
      </c>
      <c r="AN20" s="239">
        <f>6.88/2</f>
        <v>3.44</v>
      </c>
      <c r="AO20" s="239">
        <v>19.760000000000002</v>
      </c>
      <c r="AP20" s="228">
        <f t="shared" si="6"/>
        <v>23.316800000000001</v>
      </c>
      <c r="AQ20" s="228"/>
      <c r="AR20" s="239">
        <f>AN20</f>
        <v>3.44</v>
      </c>
      <c r="AS20" s="239">
        <v>20.69</v>
      </c>
      <c r="AT20" s="228">
        <f t="shared" si="7"/>
        <v>24.414200000000001</v>
      </c>
      <c r="AU20" s="228">
        <f t="shared" ref="AU20" si="24">AR20</f>
        <v>3.44</v>
      </c>
      <c r="AV20" s="228">
        <v>27.31</v>
      </c>
      <c r="AW20" s="228">
        <f t="shared" si="8"/>
        <v>32.2258</v>
      </c>
      <c r="AX20" s="241">
        <f t="shared" ref="AX20" si="25">AS20/AO20</f>
        <v>1.0470647773279351</v>
      </c>
      <c r="AY20" s="229">
        <f t="shared" si="18"/>
        <v>1.3199613339777669</v>
      </c>
      <c r="AZ20" s="229"/>
      <c r="BA20" s="230">
        <f>(AG20-AS20)*AR20+(AJ20-AV20)*AU20</f>
        <v>233.33519999999996</v>
      </c>
    </row>
    <row r="21" spans="1:54" s="231" customFormat="1" ht="15.75" hidden="1">
      <c r="A21" s="236" t="s">
        <v>13</v>
      </c>
      <c r="B21" s="236" t="s">
        <v>397</v>
      </c>
      <c r="C21" s="228">
        <f>37.58/2</f>
        <v>18.79</v>
      </c>
      <c r="D21" s="228">
        <v>52.5</v>
      </c>
      <c r="E21" s="228">
        <f t="shared" si="9"/>
        <v>61.949999999999996</v>
      </c>
      <c r="F21" s="228">
        <f t="shared" si="19"/>
        <v>18.79</v>
      </c>
      <c r="G21" s="228">
        <v>52.5</v>
      </c>
      <c r="H21" s="228">
        <f t="shared" si="10"/>
        <v>61.949999999999996</v>
      </c>
      <c r="I21" s="228">
        <f t="shared" si="20"/>
        <v>18.79</v>
      </c>
      <c r="J21" s="228">
        <v>113.06</v>
      </c>
      <c r="K21" s="228">
        <f t="shared" si="11"/>
        <v>133.41079999999999</v>
      </c>
      <c r="L21" s="229">
        <f t="shared" si="0"/>
        <v>1</v>
      </c>
      <c r="M21" s="229">
        <f t="shared" si="1"/>
        <v>2.1535238095238096</v>
      </c>
      <c r="N21" s="229"/>
      <c r="O21" s="247"/>
      <c r="P21" s="247"/>
      <c r="Q21" s="228">
        <f t="shared" si="2"/>
        <v>0</v>
      </c>
      <c r="R21" s="228"/>
      <c r="S21" s="247"/>
      <c r="T21" s="247"/>
      <c r="U21" s="228"/>
      <c r="V21" s="228"/>
      <c r="W21" s="228"/>
      <c r="X21" s="228"/>
      <c r="Y21" s="229"/>
      <c r="Z21" s="229"/>
      <c r="AA21" s="228">
        <f>75.78/2</f>
        <v>37.89</v>
      </c>
      <c r="AB21" s="228">
        <v>38.619999999999997</v>
      </c>
      <c r="AC21" s="228">
        <f t="shared" si="3"/>
        <v>45.571599999999997</v>
      </c>
      <c r="AD21" s="228"/>
      <c r="AE21" s="230">
        <f>(J21-W21)*V21+(G21-T21)*O21</f>
        <v>0</v>
      </c>
      <c r="AF21" s="228">
        <f>AA21</f>
        <v>37.89</v>
      </c>
      <c r="AG21" s="228">
        <v>39.020000000000003</v>
      </c>
      <c r="AH21" s="228">
        <f t="shared" si="4"/>
        <v>46.043599999999998</v>
      </c>
      <c r="AI21" s="228">
        <f t="shared" si="21"/>
        <v>37.89</v>
      </c>
      <c r="AJ21" s="228">
        <v>68.23</v>
      </c>
      <c r="AK21" s="228">
        <f t="shared" si="5"/>
        <v>80.511399999999995</v>
      </c>
      <c r="AL21" s="229">
        <f>(AG21*AF21)/(AB21*AA21)</f>
        <v>1.0103573278094253</v>
      </c>
      <c r="AM21" s="229">
        <f t="shared" si="16"/>
        <v>1.748590466427473</v>
      </c>
      <c r="AN21" s="239"/>
      <c r="AO21" s="239"/>
      <c r="AP21" s="228">
        <f t="shared" si="6"/>
        <v>0</v>
      </c>
      <c r="AQ21" s="228"/>
      <c r="AR21" s="239"/>
      <c r="AS21" s="239"/>
      <c r="AT21" s="228">
        <f t="shared" si="7"/>
        <v>0</v>
      </c>
      <c r="AU21" s="228"/>
      <c r="AV21" s="228"/>
      <c r="AW21" s="228">
        <f t="shared" si="8"/>
        <v>0</v>
      </c>
      <c r="AX21" s="229"/>
      <c r="AY21" s="229"/>
      <c r="AZ21" s="229"/>
      <c r="BA21" s="230">
        <f t="shared" si="14"/>
        <v>0</v>
      </c>
    </row>
    <row r="22" spans="1:54" s="216" customFormat="1" ht="15.75">
      <c r="A22" s="185" t="s">
        <v>31</v>
      </c>
      <c r="B22" s="185"/>
      <c r="C22" s="42">
        <f>SUM(C23:C27)</f>
        <v>1099.2099999999996</v>
      </c>
      <c r="D22" s="42">
        <f>SUMPRODUCT(C23:C27,D23:D27)/C22</f>
        <v>25.176161024735954</v>
      </c>
      <c r="E22" s="42">
        <f>SUMPRODUCT(C23:C27,E23:E27)/C22</f>
        <v>29.707870009188426</v>
      </c>
      <c r="F22" s="42">
        <f>SUM(F23:F27)</f>
        <v>1099.2099999999996</v>
      </c>
      <c r="G22" s="42">
        <f>SUMPRODUCT(F23:F27,G23:G27)/F22</f>
        <v>27.813802039646664</v>
      </c>
      <c r="H22" s="42">
        <f>SUMPRODUCT(F23:F27,H23:H27)/F22</f>
        <v>32.820286406783062</v>
      </c>
      <c r="I22" s="42">
        <f>SUM(I23:I27)</f>
        <v>1099.2099999999996</v>
      </c>
      <c r="J22" s="42">
        <f>SUMPRODUCT(I23:I27,J23:J27)/I22</f>
        <v>29.311261869888384</v>
      </c>
      <c r="K22" s="42">
        <f>SUMPRODUCT(I23:I27,K23:K27)/I22</f>
        <v>34.587289006468289</v>
      </c>
      <c r="L22" s="84">
        <f>G22/D22</f>
        <v>1.1047674032716579</v>
      </c>
      <c r="M22" s="84">
        <f>J22/G22</f>
        <v>1.0538387318679838</v>
      </c>
      <c r="N22" s="84"/>
      <c r="O22" s="42">
        <f>SUM(O23:O27)</f>
        <v>732.98</v>
      </c>
      <c r="P22" s="42">
        <f>SUMPRODUCT(O23:O27,P23:P27)/O22</f>
        <v>31.77</v>
      </c>
      <c r="Q22" s="42">
        <f>SUMPRODUCT(O23:O27,Q23:Q27)/O22</f>
        <v>37.488599999999998</v>
      </c>
      <c r="R22" s="84">
        <f>K22/H22</f>
        <v>1.0538387318679838</v>
      </c>
      <c r="S22" s="42">
        <f>SUM(S23:S27)</f>
        <v>677.971</v>
      </c>
      <c r="T22" s="42">
        <f>SUMPRODUCT(S23:S27,T23:T27)/S22</f>
        <v>35.03</v>
      </c>
      <c r="U22" s="42">
        <f>SUMPRODUCT(S23:S27,U23:U27)/S22</f>
        <v>41.3354</v>
      </c>
      <c r="V22" s="42">
        <f>SUM(V23:V27)</f>
        <v>677.971</v>
      </c>
      <c r="W22" s="42">
        <f>SUMPRODUCT(V23:V27,W23:W27)/V22</f>
        <v>36.9</v>
      </c>
      <c r="X22" s="42">
        <f>SUMPRODUCT(V23:V27,X23:X27)/V22</f>
        <v>43.541999999999994</v>
      </c>
      <c r="Y22" s="84">
        <f>T22/P22</f>
        <v>1.102612527541706</v>
      </c>
      <c r="Z22" s="84">
        <f>W22/T22</f>
        <v>1.0533828147302311</v>
      </c>
      <c r="AA22" s="42">
        <f>SUM(AA23:AA27)</f>
        <v>1684.7000000000003</v>
      </c>
      <c r="AB22" s="42">
        <f>SUMPRODUCT(AA23:AA27,AB23:AB27)/AA22</f>
        <v>13.503225381373538</v>
      </c>
      <c r="AC22" s="42">
        <f>SUMPRODUCT(AA23:AA27,AC23:AC27)/AA22</f>
        <v>15.933805950020771</v>
      </c>
      <c r="AD22" s="84">
        <f>X22/U22</f>
        <v>1.0533828147302311</v>
      </c>
      <c r="AE22" s="222">
        <f>SUM(AE23:AE27)</f>
        <v>0</v>
      </c>
      <c r="AF22" s="42">
        <f>SUM(AF23:AF27)</f>
        <v>1620.8600000000001</v>
      </c>
      <c r="AG22" s="42">
        <f>SUMPRODUCT(AF23:AF27,AG23:AG27)/AF22</f>
        <v>15.186307515763236</v>
      </c>
      <c r="AH22" s="42">
        <f>SUMPRODUCT(AF23:AF27,AH23:AH27)/AF22</f>
        <v>17.919842868600618</v>
      </c>
      <c r="AI22" s="42">
        <f>SUM(AI23:AI27)</f>
        <v>1620.8600000000001</v>
      </c>
      <c r="AJ22" s="42">
        <f>SUMPRODUCT(AI23:AI27,AJ23:AJ27)/AI22</f>
        <v>15.846768814086348</v>
      </c>
      <c r="AK22" s="42">
        <f>SUMPRODUCT(AI23:AI27,AK23:AK27)/AI22</f>
        <v>18.699187200621889</v>
      </c>
      <c r="AL22" s="84">
        <f>AG22/AB22</f>
        <v>1.1246429713534483</v>
      </c>
      <c r="AM22" s="84">
        <f>AJ22/AG22</f>
        <v>1.0434905784462456</v>
      </c>
      <c r="AN22" s="42">
        <f>SUM(AN23:AN27)</f>
        <v>1106.665</v>
      </c>
      <c r="AO22" s="42">
        <f>SUMPRODUCT(AN23:AN27,AO23:AO27)/AN22</f>
        <v>15.02</v>
      </c>
      <c r="AP22" s="42">
        <f>SUMPRODUCT(AN23:AN27,AP23:AP27)/AN22</f>
        <v>17.723599999999998</v>
      </c>
      <c r="AQ22" s="84">
        <f>AK22/AH22</f>
        <v>1.0434905784462456</v>
      </c>
      <c r="AR22" s="42">
        <f>SUM(AR23:AR27)</f>
        <v>1044.175</v>
      </c>
      <c r="AS22" s="42">
        <f>SUMPRODUCT(AR23:AR27,AS23:AS27)/AR22</f>
        <v>17.010000000000002</v>
      </c>
      <c r="AT22" s="42">
        <f>SUMPRODUCT(AR23:AR27,AT23:AT27)/AR22</f>
        <v>20.0718</v>
      </c>
      <c r="AU22" s="42">
        <f>SUM(AU23:AU27)</f>
        <v>1044.175</v>
      </c>
      <c r="AV22" s="42">
        <f>SUMPRODUCT(AU23:AU27,AV23:AV27)/AU22</f>
        <v>17.73</v>
      </c>
      <c r="AW22" s="42">
        <f>SUMPRODUCT(AU23:AU27,AW23:AW27)/AU22</f>
        <v>20.921399999999998</v>
      </c>
      <c r="AX22" s="84">
        <f>AS22/AO22</f>
        <v>1.1324900133155793</v>
      </c>
      <c r="AY22" s="84">
        <f>AV22/AS22</f>
        <v>1.0423280423280423</v>
      </c>
      <c r="AZ22" s="84">
        <f>AW22/AT22</f>
        <v>1.0423280423280423</v>
      </c>
      <c r="BA22" s="224">
        <f>SUM(BA23:BA27)</f>
        <v>0</v>
      </c>
    </row>
    <row r="23" spans="1:54" ht="15.75" hidden="1">
      <c r="A23" s="236" t="s">
        <v>32</v>
      </c>
      <c r="B23" s="236" t="s">
        <v>397</v>
      </c>
      <c r="C23" s="228">
        <f>1.5/2</f>
        <v>0.75</v>
      </c>
      <c r="D23" s="228">
        <v>17.579999999999998</v>
      </c>
      <c r="E23" s="228">
        <f>IF(B23="ОСНО",D23*1.18,D23)</f>
        <v>20.744399999999995</v>
      </c>
      <c r="F23" s="228">
        <f>C23</f>
        <v>0.75</v>
      </c>
      <c r="G23" s="228">
        <v>18.09</v>
      </c>
      <c r="H23" s="228">
        <f>IF(B23="ОСНО",G23*1.18,G23)</f>
        <v>21.3462</v>
      </c>
      <c r="I23" s="228">
        <f>F23</f>
        <v>0.75</v>
      </c>
      <c r="J23" s="228">
        <v>20.440000000000001</v>
      </c>
      <c r="K23" s="228">
        <f>IF(B23="ОСНО",J23*1.18,J23)</f>
        <v>24.119199999999999</v>
      </c>
      <c r="L23" s="229">
        <f>(G23*F23)/(D23*C23)</f>
        <v>1.0290102389078499</v>
      </c>
      <c r="M23" s="229">
        <f>(K23*I23)/(H23*F23)</f>
        <v>1.1299060254284132</v>
      </c>
      <c r="N23" s="229"/>
      <c r="O23" s="228"/>
      <c r="P23" s="228"/>
      <c r="Q23" s="228">
        <f>IF(B23="ОСНО",P23*1.18,P23)</f>
        <v>0</v>
      </c>
      <c r="R23" s="228"/>
      <c r="S23" s="228"/>
      <c r="T23" s="228"/>
      <c r="U23" s="228"/>
      <c r="V23" s="228"/>
      <c r="W23" s="228"/>
      <c r="X23" s="228"/>
      <c r="Y23" s="229"/>
      <c r="Z23" s="229"/>
      <c r="AA23" s="228">
        <f>5285.17/2-3028.63/2-2147.25/2</f>
        <v>54.644999999999982</v>
      </c>
      <c r="AB23" s="228">
        <v>7.52</v>
      </c>
      <c r="AC23" s="228">
        <f>IF(B23="ОСНО",AB23*1.18,AB23)</f>
        <v>8.8735999999999997</v>
      </c>
      <c r="AD23" s="228"/>
      <c r="AE23" s="230">
        <f>(J23-W23)*V23+(G23-T23)*O23</f>
        <v>0</v>
      </c>
      <c r="AF23" s="228">
        <v>54.645000000000003</v>
      </c>
      <c r="AG23" s="228">
        <v>7.77</v>
      </c>
      <c r="AH23" s="228">
        <f>IF(B23="ОСНО",AG23*1.18,AG23)</f>
        <v>9.1685999999999996</v>
      </c>
      <c r="AI23" s="228">
        <f>AF23</f>
        <v>54.645000000000003</v>
      </c>
      <c r="AJ23" s="228">
        <v>9</v>
      </c>
      <c r="AK23" s="228">
        <f>IF(B23="ОСНО",AJ23*1.18,AJ23)</f>
        <v>10.62</v>
      </c>
      <c r="AL23" s="229">
        <f>(AG23*AF23)/(AB23*AA23)</f>
        <v>1.0332446808510642</v>
      </c>
      <c r="AM23" s="229">
        <f>(AK23*AI23)/(AH23*AF23)</f>
        <v>1.1583011583011582</v>
      </c>
      <c r="AN23" s="228"/>
      <c r="AO23" s="228"/>
      <c r="AP23" s="228">
        <f>IF(B23="ОСНО",AO23*1.18,AO23)</f>
        <v>0</v>
      </c>
      <c r="AQ23" s="228"/>
      <c r="AR23" s="228"/>
      <c r="AS23" s="228"/>
      <c r="AT23" s="228">
        <f>IF(B23="ОСНО",AS23*1.18,AS23)</f>
        <v>0</v>
      </c>
      <c r="AU23" s="228"/>
      <c r="AV23" s="228"/>
      <c r="AW23" s="228">
        <f>IF(B23="ОСНО",AV23*1.18,AV23)</f>
        <v>0</v>
      </c>
      <c r="AX23" s="249"/>
      <c r="AY23" s="229"/>
      <c r="AZ23" s="229"/>
      <c r="BA23" s="230">
        <f t="shared" si="14"/>
        <v>0</v>
      </c>
    </row>
    <row r="24" spans="1:54" ht="15.75" hidden="1">
      <c r="A24" s="236" t="s">
        <v>33</v>
      </c>
      <c r="B24" s="236" t="s">
        <v>397</v>
      </c>
      <c r="C24" s="228">
        <v>80.61</v>
      </c>
      <c r="D24" s="228">
        <v>8.32</v>
      </c>
      <c r="E24" s="228">
        <f t="shared" ref="E24:E27" si="26">IF(B24="ОСНО",D24*1.18,D24)</f>
        <v>9.8176000000000005</v>
      </c>
      <c r="F24" s="228">
        <f>C24</f>
        <v>80.61</v>
      </c>
      <c r="G24" s="228">
        <v>9.77</v>
      </c>
      <c r="H24" s="228">
        <f t="shared" si="10"/>
        <v>11.528599999999999</v>
      </c>
      <c r="I24" s="228">
        <f t="shared" ref="I24:I27" si="27">F24</f>
        <v>80.61</v>
      </c>
      <c r="J24" s="228">
        <v>10.84</v>
      </c>
      <c r="K24" s="228">
        <f t="shared" si="11"/>
        <v>12.7912</v>
      </c>
      <c r="L24" s="229">
        <f>(G24*F24)/(D24*C24)</f>
        <v>1.174278846153846</v>
      </c>
      <c r="M24" s="229">
        <f>(K24*I24)/(H24*F24)</f>
        <v>1.1095189355168884</v>
      </c>
      <c r="N24" s="229"/>
      <c r="O24" s="228"/>
      <c r="P24" s="228"/>
      <c r="Q24" s="228">
        <f>IF(B24="ОСНО",P24*1.18,P24)</f>
        <v>0</v>
      </c>
      <c r="R24" s="228"/>
      <c r="S24" s="228"/>
      <c r="T24" s="228"/>
      <c r="U24" s="228"/>
      <c r="V24" s="228"/>
      <c r="W24" s="228"/>
      <c r="X24" s="228"/>
      <c r="Y24" s="229"/>
      <c r="Z24" s="229"/>
      <c r="AA24" s="228">
        <f>183.61/2</f>
        <v>91.805000000000007</v>
      </c>
      <c r="AB24" s="228">
        <v>1.26</v>
      </c>
      <c r="AC24" s="228">
        <f>IF(B24="ОСНО",AB24*1.18,AB24)</f>
        <v>1.4867999999999999</v>
      </c>
      <c r="AD24" s="228"/>
      <c r="AE24" s="230">
        <f>(J24-W24)*V24+(G24-T24)*O24</f>
        <v>0</v>
      </c>
      <c r="AF24" s="228">
        <f>AA24</f>
        <v>91.805000000000007</v>
      </c>
      <c r="AG24" s="228">
        <v>1.33</v>
      </c>
      <c r="AH24" s="228">
        <f>IF(B24="ОСНО",AG24*1.18,AG24)</f>
        <v>1.5693999999999999</v>
      </c>
      <c r="AI24" s="228">
        <f t="shared" ref="AI24:AI25" si="28">AF24</f>
        <v>91.805000000000007</v>
      </c>
      <c r="AJ24" s="228">
        <v>1.44</v>
      </c>
      <c r="AK24" s="228">
        <f>IF(B24="ОСНО",AJ24*1.18,AJ24)</f>
        <v>1.6991999999999998</v>
      </c>
      <c r="AL24" s="229">
        <f>(AG24*AF24)/(AB24*AA24)</f>
        <v>1.0555555555555556</v>
      </c>
      <c r="AM24" s="229">
        <f t="shared" ref="AM24:AM27" si="29">(AK24*AI24)/(AH24*AF24)</f>
        <v>1.0827067669172932</v>
      </c>
      <c r="AN24" s="228"/>
      <c r="AO24" s="228"/>
      <c r="AP24" s="228">
        <f>IF(B24="ОСНО",AO24*1.18,AO24)</f>
        <v>0</v>
      </c>
      <c r="AQ24" s="228"/>
      <c r="AR24" s="228"/>
      <c r="AS24" s="228"/>
      <c r="AT24" s="228">
        <f>IF(B24="ОСНО",AS24*1.18,AS24)</f>
        <v>0</v>
      </c>
      <c r="AU24" s="228"/>
      <c r="AV24" s="228"/>
      <c r="AW24" s="228">
        <f>IF(B24="ОСНО",AV24*1.18,AV24)</f>
        <v>0</v>
      </c>
      <c r="AX24" s="249"/>
      <c r="AY24" s="229"/>
      <c r="AZ24" s="229"/>
      <c r="BA24" s="230">
        <f t="shared" si="14"/>
        <v>0</v>
      </c>
    </row>
    <row r="25" spans="1:54" ht="15.75" hidden="1">
      <c r="A25" s="236" t="s">
        <v>34</v>
      </c>
      <c r="B25" s="236" t="s">
        <v>397</v>
      </c>
      <c r="C25" s="228">
        <v>166.578</v>
      </c>
      <c r="D25" s="228">
        <v>1.44</v>
      </c>
      <c r="E25" s="228">
        <f t="shared" si="26"/>
        <v>1.6991999999999998</v>
      </c>
      <c r="F25" s="228">
        <f>C25</f>
        <v>166.578</v>
      </c>
      <c r="G25" s="228">
        <v>1.66</v>
      </c>
      <c r="H25" s="228">
        <f t="shared" si="10"/>
        <v>1.9587999999999999</v>
      </c>
      <c r="I25" s="228">
        <f t="shared" si="27"/>
        <v>166.578</v>
      </c>
      <c r="J25" s="228">
        <v>1.57</v>
      </c>
      <c r="K25" s="228">
        <f t="shared" si="11"/>
        <v>1.8526</v>
      </c>
      <c r="L25" s="229">
        <f>(G25*F25)/(D25*C25)</f>
        <v>1.1527777777777777</v>
      </c>
      <c r="M25" s="229">
        <f>(K25*I25)/(H25*F25)</f>
        <v>0.94578313253012058</v>
      </c>
      <c r="N25" s="229"/>
      <c r="O25" s="228"/>
      <c r="P25" s="228"/>
      <c r="Q25" s="228">
        <f>IF(B25="ОСНО",P25*1.18,P25)</f>
        <v>0</v>
      </c>
      <c r="R25" s="228"/>
      <c r="S25" s="228"/>
      <c r="T25" s="228"/>
      <c r="U25" s="228"/>
      <c r="V25" s="228"/>
      <c r="W25" s="228"/>
      <c r="X25" s="228"/>
      <c r="Y25" s="229"/>
      <c r="Z25" s="229"/>
      <c r="AA25" s="228">
        <f>188.11/2</f>
        <v>94.055000000000007</v>
      </c>
      <c r="AB25" s="228">
        <v>5.64</v>
      </c>
      <c r="AC25" s="228">
        <f>IF(B25="ОСНО",AB25*1.18,AB25)</f>
        <v>6.6551999999999989</v>
      </c>
      <c r="AD25" s="228"/>
      <c r="AE25" s="230">
        <f>(J25-W25)*V25+(G25-T25)*O25</f>
        <v>0</v>
      </c>
      <c r="AF25" s="228">
        <v>93.66</v>
      </c>
      <c r="AG25" s="228">
        <v>6.21</v>
      </c>
      <c r="AH25" s="228">
        <f>IF(B25="ОСНО",AG25*1.18,AG25)</f>
        <v>7.3277999999999999</v>
      </c>
      <c r="AI25" s="228">
        <f t="shared" si="28"/>
        <v>93.66</v>
      </c>
      <c r="AJ25" s="228">
        <v>6.2</v>
      </c>
      <c r="AK25" s="228">
        <f>IF(B25="ОСНО",AJ25*1.18,AJ25)</f>
        <v>7.3159999999999998</v>
      </c>
      <c r="AL25" s="229">
        <f>(AG25*AF25)/(AB25*AA25)</f>
        <v>1.0964397246065849</v>
      </c>
      <c r="AM25" s="229">
        <f t="shared" si="29"/>
        <v>0.99838969404186795</v>
      </c>
      <c r="AN25" s="228"/>
      <c r="AO25" s="228"/>
      <c r="AP25" s="228">
        <f>IF(B25="ОСНО",AO25*1.18,AO25)</f>
        <v>0</v>
      </c>
      <c r="AQ25" s="228"/>
      <c r="AR25" s="228"/>
      <c r="AS25" s="228"/>
      <c r="AT25" s="228">
        <f>IF(B25="ОСНО",AS25*1.18,AS25)</f>
        <v>0</v>
      </c>
      <c r="AU25" s="228"/>
      <c r="AV25" s="228"/>
      <c r="AW25" s="228">
        <f>IF(B25="ОСНО",AV25*1.18,AV25)</f>
        <v>0</v>
      </c>
      <c r="AX25" s="249"/>
      <c r="AY25" s="229"/>
      <c r="AZ25" s="229"/>
      <c r="BA25" s="230">
        <f t="shared" si="14"/>
        <v>0</v>
      </c>
    </row>
    <row r="26" spans="1:54" ht="15.75" hidden="1">
      <c r="A26" s="236" t="s">
        <v>35</v>
      </c>
      <c r="B26" s="236" t="s">
        <v>397</v>
      </c>
      <c r="C26" s="228">
        <f>31590.53/2-31570.23/2</f>
        <v>10.149999999999636</v>
      </c>
      <c r="D26" s="228">
        <v>2.73</v>
      </c>
      <c r="E26" s="228">
        <f t="shared" si="26"/>
        <v>3.2213999999999996</v>
      </c>
      <c r="F26" s="228">
        <f>C26</f>
        <v>10.149999999999636</v>
      </c>
      <c r="G26" s="228">
        <v>3.06</v>
      </c>
      <c r="H26" s="228">
        <f t="shared" si="10"/>
        <v>3.6107999999999998</v>
      </c>
      <c r="I26" s="228">
        <f t="shared" si="27"/>
        <v>10.149999999999636</v>
      </c>
      <c r="J26" s="228">
        <v>3.07</v>
      </c>
      <c r="K26" s="228">
        <f t="shared" si="11"/>
        <v>3.6225999999999998</v>
      </c>
      <c r="L26" s="229">
        <f>(G26*F26)/(D26*C26)</f>
        <v>1.1208791208791209</v>
      </c>
      <c r="M26" s="229">
        <f>(K26*I26)/(H26*F26)</f>
        <v>1.0032679738562091</v>
      </c>
      <c r="N26" s="229"/>
      <c r="O26" s="228"/>
      <c r="P26" s="228"/>
      <c r="Q26" s="228">
        <f>IF(B26="ОСНО",P26*1.18,P26)</f>
        <v>0</v>
      </c>
      <c r="R26" s="228"/>
      <c r="S26" s="228"/>
      <c r="T26" s="228"/>
      <c r="U26" s="228"/>
      <c r="V26" s="228"/>
      <c r="W26" s="228"/>
      <c r="X26" s="228"/>
      <c r="Y26" s="229"/>
      <c r="Z26" s="229"/>
      <c r="AA26" s="228"/>
      <c r="AB26" s="228"/>
      <c r="AC26" s="228">
        <f>IF(B26="ОСНО",AB26*1.18,AB26)</f>
        <v>0</v>
      </c>
      <c r="AD26" s="228"/>
      <c r="AE26" s="230">
        <f>(J26-W26)*V26+(G26-T26)*O26</f>
        <v>0</v>
      </c>
      <c r="AF26" s="228"/>
      <c r="AG26" s="228"/>
      <c r="AH26" s="228">
        <f>IF(B26="ОСНО",AG26*1.18,AG26)</f>
        <v>0</v>
      </c>
      <c r="AI26" s="228"/>
      <c r="AJ26" s="228"/>
      <c r="AK26" s="228">
        <f>IF(B26="ОСНО",AJ26*1.18,AJ26)</f>
        <v>0</v>
      </c>
      <c r="AL26" s="229"/>
      <c r="AM26" s="229"/>
      <c r="AN26" s="228"/>
      <c r="AO26" s="228"/>
      <c r="AP26" s="228">
        <f>IF(B26="ОСНО",AO26*1.18,AO26)</f>
        <v>0</v>
      </c>
      <c r="AQ26" s="228"/>
      <c r="AR26" s="228"/>
      <c r="AS26" s="228"/>
      <c r="AT26" s="228">
        <f>IF(B26="ОСНО",AS26*1.18,AS26)</f>
        <v>0</v>
      </c>
      <c r="AU26" s="228"/>
      <c r="AV26" s="228"/>
      <c r="AW26" s="228">
        <f>IF(B26="ОСНО",AV26*1.18,AV26)</f>
        <v>0</v>
      </c>
      <c r="AX26" s="249"/>
      <c r="AY26" s="229"/>
      <c r="AZ26" s="229"/>
      <c r="BA26" s="230">
        <f t="shared" si="14"/>
        <v>0</v>
      </c>
    </row>
    <row r="27" spans="1:54" s="233" customFormat="1" ht="18.75" hidden="1" customHeight="1">
      <c r="A27" s="236" t="s">
        <v>36</v>
      </c>
      <c r="B27" s="236" t="s">
        <v>397</v>
      </c>
      <c r="C27" s="228">
        <v>841.12199999999996</v>
      </c>
      <c r="D27" s="228">
        <v>31.77</v>
      </c>
      <c r="E27" s="228">
        <f t="shared" si="26"/>
        <v>37.488599999999998</v>
      </c>
      <c r="F27" s="228">
        <f>C27</f>
        <v>841.12199999999996</v>
      </c>
      <c r="G27" s="228">
        <v>35.03</v>
      </c>
      <c r="H27" s="228">
        <f t="shared" si="10"/>
        <v>41.3354</v>
      </c>
      <c r="I27" s="228">
        <f t="shared" si="27"/>
        <v>841.12199999999996</v>
      </c>
      <c r="J27" s="228">
        <v>36.9</v>
      </c>
      <c r="K27" s="228">
        <f t="shared" si="11"/>
        <v>43.541999999999994</v>
      </c>
      <c r="L27" s="229">
        <f>(G27*F27)/(D27*C27)</f>
        <v>1.102612527541706</v>
      </c>
      <c r="M27" s="229">
        <f>(K27*I27)/(H27*F27)</f>
        <v>1.0533828147302311</v>
      </c>
      <c r="N27" s="229" t="s">
        <v>225</v>
      </c>
      <c r="O27" s="228">
        <f>1465.96/2</f>
        <v>732.98</v>
      </c>
      <c r="P27" s="228">
        <v>31.77</v>
      </c>
      <c r="Q27" s="228">
        <f>IF(B27="ОСНО",P27*1.18,P27)</f>
        <v>37.488599999999998</v>
      </c>
      <c r="R27" s="228"/>
      <c r="S27" s="228">
        <v>677.971</v>
      </c>
      <c r="T27" s="228">
        <v>35.03</v>
      </c>
      <c r="U27" s="228">
        <f>IF(B27="ОСНО",T27*1.18,T27)</f>
        <v>41.3354</v>
      </c>
      <c r="V27" s="228">
        <f>S27</f>
        <v>677.971</v>
      </c>
      <c r="W27" s="228">
        <f>J27</f>
        <v>36.9</v>
      </c>
      <c r="X27" s="228">
        <f>IF(B27="ОСНО",W27*1.18,W27)</f>
        <v>43.541999999999994</v>
      </c>
      <c r="Y27" s="229">
        <f>(T27*S27)/(P27*O27)</f>
        <v>1.0198631857758438</v>
      </c>
      <c r="Z27" s="229">
        <f>(X27*V27)/(U27*S27)</f>
        <v>1.0533828147302311</v>
      </c>
      <c r="AA27" s="228">
        <f>3028.63/2-140.24/2</f>
        <v>1444.1950000000002</v>
      </c>
      <c r="AB27" s="228">
        <v>15.02</v>
      </c>
      <c r="AC27" s="228">
        <f>IF(B27="ОСНО",AB27*1.18,AB27)</f>
        <v>17.723599999999998</v>
      </c>
      <c r="AD27" s="228"/>
      <c r="AE27" s="230">
        <f>(J27-W27)*V27+(G27-T27)*O27</f>
        <v>0</v>
      </c>
      <c r="AF27" s="228">
        <v>1380.75</v>
      </c>
      <c r="AG27" s="228">
        <v>17.010000000000002</v>
      </c>
      <c r="AH27" s="228">
        <f>IF(B27="ОСНО",AG27*1.18,AG27)</f>
        <v>20.0718</v>
      </c>
      <c r="AI27" s="228">
        <f>AF27</f>
        <v>1380.75</v>
      </c>
      <c r="AJ27" s="228">
        <v>17.73</v>
      </c>
      <c r="AK27" s="228">
        <f>IF(B27="ОСНО",AJ27*1.18,AJ27)</f>
        <v>20.921399999999998</v>
      </c>
      <c r="AL27" s="229">
        <f>(AG27*AF27)/(AB27*AA27)</f>
        <v>1.0827385400762957</v>
      </c>
      <c r="AM27" s="229">
        <f t="shared" si="29"/>
        <v>1.0423280423280423</v>
      </c>
      <c r="AN27" s="228">
        <f>2213.33/2</f>
        <v>1106.665</v>
      </c>
      <c r="AO27" s="228">
        <v>15.02</v>
      </c>
      <c r="AP27" s="228">
        <f>IF(B27="ОСНО",AO27*1.18,AO27)</f>
        <v>17.723599999999998</v>
      </c>
      <c r="AQ27" s="228"/>
      <c r="AR27" s="228">
        <v>1044.175</v>
      </c>
      <c r="AS27" s="228">
        <v>17.010000000000002</v>
      </c>
      <c r="AT27" s="228">
        <f>IF(B27="ОСНО",AS27*1.18,AS27)</f>
        <v>20.0718</v>
      </c>
      <c r="AU27" s="228">
        <f>AR27</f>
        <v>1044.175</v>
      </c>
      <c r="AV27" s="228">
        <v>17.73</v>
      </c>
      <c r="AW27" s="228">
        <f>IF(B27="ОСНО",AV27*1.18,AV27)</f>
        <v>20.921399999999998</v>
      </c>
      <c r="AX27" s="229">
        <f>(AS27*AR27)/(AO27*AN27)</f>
        <v>1.0685417535151063</v>
      </c>
      <c r="AY27" s="229">
        <f t="shared" ref="AY27" si="30">(AW27*AU27)/(AT27*AR27)</f>
        <v>1.0423280423280423</v>
      </c>
      <c r="AZ27" s="229"/>
      <c r="BA27" s="230">
        <f t="shared" si="14"/>
        <v>0</v>
      </c>
    </row>
    <row r="28" spans="1:54" s="216" customFormat="1" ht="15.75">
      <c r="A28" s="185" t="s">
        <v>55</v>
      </c>
      <c r="B28" s="185"/>
      <c r="C28" s="42">
        <f>SUM(C29:C31)</f>
        <v>2063.4050000000002</v>
      </c>
      <c r="D28" s="42">
        <f>SUMPRODUCT(C29:C31,D29:D31)/C28</f>
        <v>34.540719611515911</v>
      </c>
      <c r="E28" s="42">
        <f>SUMPRODUCT(C29:C31,E29:E31)/C28</f>
        <v>40.758049141588771</v>
      </c>
      <c r="F28" s="42">
        <f>SUM(F29:F31)</f>
        <v>1974.12</v>
      </c>
      <c r="G28" s="42">
        <f>SUMPRODUCT(F29:F31,G29:G31)/F28</f>
        <v>36.651296881648534</v>
      </c>
      <c r="H28" s="42">
        <f>SUMPRODUCT(F29:F31,H29:H31)/F28</f>
        <v>43.248530320345267</v>
      </c>
      <c r="I28" s="42">
        <f>SUM(I29:I31)</f>
        <v>2024.6550000000002</v>
      </c>
      <c r="J28" s="42">
        <f>SUMPRODUCT(I29:I31,J29:J31)/I28</f>
        <v>38.2969460722938</v>
      </c>
      <c r="K28" s="42">
        <f>SUMPRODUCT(I29:I31,K29:K31)/I28</f>
        <v>45.190396365306682</v>
      </c>
      <c r="L28" s="84">
        <f>G28/D28</f>
        <v>1.061104032975299</v>
      </c>
      <c r="M28" s="84">
        <f>J28/G28</f>
        <v>1.0449001626316052</v>
      </c>
      <c r="N28" s="84"/>
      <c r="O28" s="42">
        <f>SUM(O29:O31)</f>
        <v>950.94499999999994</v>
      </c>
      <c r="P28" s="42">
        <f>SUMPRODUCT(O29:O31,P29:P31)/O28</f>
        <v>20.93</v>
      </c>
      <c r="Q28" s="42">
        <f>SUMPRODUCT(O29:O31,Q29:Q31)/O28</f>
        <v>24.697400000000002</v>
      </c>
      <c r="R28" s="84">
        <f>K28/H28</f>
        <v>1.0449001626316052</v>
      </c>
      <c r="S28" s="42">
        <f>SUM(S29:S31)</f>
        <v>950.94499999999994</v>
      </c>
      <c r="T28" s="42">
        <f>SUMPRODUCT(S29:S31,T29:T31)/S28</f>
        <v>21.949328720378151</v>
      </c>
      <c r="U28" s="42">
        <f>SUMPRODUCT(S29:S31,U29:U31)/S28</f>
        <v>25.900207890046218</v>
      </c>
      <c r="V28" s="42">
        <f>SUM(V29:V31)</f>
        <v>950.94499999999994</v>
      </c>
      <c r="W28" s="42">
        <f>SUMPRODUCT(V29:V31,W29:W31)/V28</f>
        <v>23.047010657819328</v>
      </c>
      <c r="X28" s="42">
        <f>SUMPRODUCT(V29:V31,X29:X31)/V28</f>
        <v>27.195472576226805</v>
      </c>
      <c r="Y28" s="84">
        <f>T28/P28</f>
        <v>1.0487018022158696</v>
      </c>
      <c r="Z28" s="84">
        <f>W28/T28</f>
        <v>1.0500098181327098</v>
      </c>
      <c r="AA28" s="42">
        <f>SUM(AA29:AA31)</f>
        <v>1945.2950000000001</v>
      </c>
      <c r="AB28" s="42">
        <f>SUMPRODUCT(AA29:AA31,AB29:AB31)/AA28</f>
        <v>27.691892052362235</v>
      </c>
      <c r="AC28" s="42">
        <f>SUMPRODUCT(AA29:AA31,AC29:AC31)/AA28</f>
        <v>32.676432621787441</v>
      </c>
      <c r="AD28" s="84">
        <f>X28/U28</f>
        <v>1.0500098181327098</v>
      </c>
      <c r="AE28" s="222">
        <f>AE29+AE30+AE31</f>
        <v>2295.9047999999998</v>
      </c>
      <c r="AF28" s="42">
        <f>SUM(AF29:AF31)</f>
        <v>1913.32</v>
      </c>
      <c r="AG28" s="42">
        <f>SUMPRODUCT(AF29:AF31,AG29:AG31)/AF28</f>
        <v>30.069398453996197</v>
      </c>
      <c r="AH28" s="42">
        <f>SUMPRODUCT(AF29:AF31,AH29:AH31)/AF28</f>
        <v>35.481890175715506</v>
      </c>
      <c r="AI28" s="42">
        <f>SUM(AI29:AI31)</f>
        <v>1913.32</v>
      </c>
      <c r="AJ28" s="42">
        <f>SUMPRODUCT(AI29:AI31,AJ29:AJ31)/AI28</f>
        <v>31.94280023728388</v>
      </c>
      <c r="AK28" s="42">
        <f>SUMPRODUCT(AI29:AI31,AK29:AK31)/AI28</f>
        <v>37.692504279994985</v>
      </c>
      <c r="AL28" s="84">
        <f>AG28/AB28</f>
        <v>1.0858556864636901</v>
      </c>
      <c r="AM28" s="84">
        <f>AJ28/AG28</f>
        <v>1.0623026026328342</v>
      </c>
      <c r="AN28" s="42">
        <f>SUM(AN29:AN31)</f>
        <v>981.13499999999999</v>
      </c>
      <c r="AO28" s="42">
        <f>SUMPRODUCT(AN29:AN31,AO29:AO31)/AN28</f>
        <v>18.59</v>
      </c>
      <c r="AP28" s="42">
        <f>SUMPRODUCT(AN29:AN31,AP29:AP31)/AN28</f>
        <v>21.936200000000003</v>
      </c>
      <c r="AQ28" s="84">
        <f>AK28/AH28</f>
        <v>1.0623026026328346</v>
      </c>
      <c r="AR28" s="42">
        <f>SUM(AR29:AR31)</f>
        <v>981.13499999999999</v>
      </c>
      <c r="AS28" s="42">
        <f>SUMPRODUCT(AR29:AR31,AS29:AS31)/AR28</f>
        <v>20.887710101056431</v>
      </c>
      <c r="AT28" s="42">
        <f>SUMPRODUCT(AR29:AR31,AT29:AT31)/AR28</f>
        <v>24.647497919246586</v>
      </c>
      <c r="AU28" s="42">
        <f>SUM(AU29:AU31)</f>
        <v>981.13499999999999</v>
      </c>
      <c r="AV28" s="42">
        <f>SUMPRODUCT(AU29:AU31,AV29:AV31)/AU28</f>
        <v>21.763310321209623</v>
      </c>
      <c r="AW28" s="42">
        <f>SUMPRODUCT(AU29:AU31,AW29:AW31)/AU28</f>
        <v>25.680706179027354</v>
      </c>
      <c r="AX28" s="84">
        <f>AS28/AO28</f>
        <v>1.1235992523430034</v>
      </c>
      <c r="AY28" s="84">
        <f>AV28/AS28</f>
        <v>1.0419193973832923</v>
      </c>
      <c r="AZ28" s="84">
        <f>AW28/AT28</f>
        <v>1.0419193973832923</v>
      </c>
      <c r="BA28" s="222">
        <f>BA29+BA30+BA31</f>
        <v>1177.1015279999997</v>
      </c>
    </row>
    <row r="29" spans="1:54" s="231" customFormat="1" ht="15.75" hidden="1">
      <c r="A29" s="246" t="s">
        <v>56</v>
      </c>
      <c r="B29" s="246" t="s">
        <v>397</v>
      </c>
      <c r="C29" s="228">
        <f>2180.07/2</f>
        <v>1090.0350000000001</v>
      </c>
      <c r="D29" s="228">
        <v>20.93</v>
      </c>
      <c r="E29" s="228">
        <f>IF(B29="ОСНО",D29*1.18,D29)</f>
        <v>24.697399999999998</v>
      </c>
      <c r="F29" s="228">
        <v>1039.5</v>
      </c>
      <c r="G29" s="228">
        <v>21.92</v>
      </c>
      <c r="H29" s="228">
        <f t="shared" si="10"/>
        <v>25.865600000000001</v>
      </c>
      <c r="I29" s="228">
        <f>C29</f>
        <v>1090.0350000000001</v>
      </c>
      <c r="J29" s="228">
        <v>23.03</v>
      </c>
      <c r="K29" s="228">
        <f t="shared" si="11"/>
        <v>27.1754</v>
      </c>
      <c r="L29" s="229">
        <f>(G29*F29)/(D29*C29)</f>
        <v>0.99874673411502402</v>
      </c>
      <c r="M29" s="229">
        <f>(K29*I29)/(H29*F29)</f>
        <v>1.1017151902234019</v>
      </c>
      <c r="N29" s="229" t="s">
        <v>226</v>
      </c>
      <c r="O29" s="252">
        <f>1790.33/2</f>
        <v>895.16499999999996</v>
      </c>
      <c r="P29" s="252">
        <v>20.93</v>
      </c>
      <c r="Q29" s="228">
        <f>IF(B29="ОСНО",P29*1.18,P29)</f>
        <v>24.697399999999998</v>
      </c>
      <c r="R29" s="228"/>
      <c r="S29" s="252">
        <f>O29</f>
        <v>895.16499999999996</v>
      </c>
      <c r="T29" s="252">
        <v>21.92</v>
      </c>
      <c r="U29" s="228">
        <f>IF(B29="ОСНО",T29*1.18,T29)</f>
        <v>25.865600000000001</v>
      </c>
      <c r="V29" s="228">
        <f>S29</f>
        <v>895.16499999999996</v>
      </c>
      <c r="W29" s="228">
        <f>J29</f>
        <v>23.03</v>
      </c>
      <c r="X29" s="228">
        <f>23.03*1.18</f>
        <v>27.1754</v>
      </c>
      <c r="Y29" s="229">
        <f>(T29*S29)/(P29*O29)</f>
        <v>1.0473005255613952</v>
      </c>
      <c r="Z29" s="229">
        <f>(X29*V29)/(U29*S29)</f>
        <v>1.050638686131387</v>
      </c>
      <c r="AA29" s="228">
        <f>2024.78/2</f>
        <v>1012.39</v>
      </c>
      <c r="AB29" s="228">
        <v>18.59</v>
      </c>
      <c r="AC29" s="228">
        <f>IF(B29="ОСНО",AB29*1.18,AB29)</f>
        <v>21.936199999999999</v>
      </c>
      <c r="AD29" s="228"/>
      <c r="AE29" s="230">
        <f>(J29-W29)*V29+(G29-T29)*O29</f>
        <v>0</v>
      </c>
      <c r="AF29" s="228">
        <v>980.41499999999996</v>
      </c>
      <c r="AG29" s="228">
        <v>20.66</v>
      </c>
      <c r="AH29" s="228">
        <f>IF(B29="ОСНО",AG29*1.18,AG29)</f>
        <v>24.378799999999998</v>
      </c>
      <c r="AI29" s="228">
        <f>AF29</f>
        <v>980.41499999999996</v>
      </c>
      <c r="AJ29" s="228">
        <v>21.53</v>
      </c>
      <c r="AK29" s="228">
        <f>IF(B29="ОСНО",AJ29*1.18,AJ29)</f>
        <v>25.4054</v>
      </c>
      <c r="AL29" s="229">
        <f>(AG29*AF29)/(AB29*AA29)</f>
        <v>1.0762496615295818</v>
      </c>
      <c r="AM29" s="229">
        <f>(AK29*AI29)/(AH29*AF29)</f>
        <v>1.0421103581800584</v>
      </c>
      <c r="AN29" s="239">
        <f>1804.38/2</f>
        <v>902.19</v>
      </c>
      <c r="AO29" s="239">
        <v>18.59</v>
      </c>
      <c r="AP29" s="228">
        <f>IF(B29="ОСНО",AO29*1.18,AO29)</f>
        <v>21.936199999999999</v>
      </c>
      <c r="AQ29" s="228"/>
      <c r="AR29" s="239">
        <f>AN29</f>
        <v>902.19</v>
      </c>
      <c r="AS29" s="239">
        <v>20.66</v>
      </c>
      <c r="AT29" s="228">
        <f>IF(B29="ОСНО",AS29*1.18,AS29)</f>
        <v>24.378799999999998</v>
      </c>
      <c r="AU29" s="228">
        <f>AR29</f>
        <v>902.19</v>
      </c>
      <c r="AV29" s="228">
        <f>AJ29</f>
        <v>21.53</v>
      </c>
      <c r="AW29" s="228">
        <f>IF(B29="ОСНО",AV29*1.18,AV29)</f>
        <v>25.4054</v>
      </c>
      <c r="AX29" s="241">
        <f t="shared" ref="AX29:AX30" si="31">AS29/AO29</f>
        <v>1.1113501882732653</v>
      </c>
      <c r="AY29" s="229">
        <f>(AW29*AU29)/(AT29*AR29)</f>
        <v>1.0421103581800584</v>
      </c>
      <c r="AZ29" s="229"/>
      <c r="BA29" s="230">
        <f>(AG29-AS29)*AR29+(AJ29-AV29)*AU29</f>
        <v>0</v>
      </c>
    </row>
    <row r="30" spans="1:54" s="231" customFormat="1" ht="15.75" hidden="1">
      <c r="A30" s="246" t="s">
        <v>57</v>
      </c>
      <c r="B30" s="246" t="s">
        <v>397</v>
      </c>
      <c r="C30" s="228">
        <f>396.74/2</f>
        <v>198.37</v>
      </c>
      <c r="D30" s="228">
        <v>40.299999999999997</v>
      </c>
      <c r="E30" s="228">
        <f t="shared" ref="E30:E31" si="32">IF(B30="ОСНО",D30*1.18,D30)</f>
        <v>47.553999999999995</v>
      </c>
      <c r="F30" s="228">
        <f>C30</f>
        <v>198.37</v>
      </c>
      <c r="G30" s="228">
        <v>43.11</v>
      </c>
      <c r="H30" s="228">
        <f t="shared" si="10"/>
        <v>50.869799999999998</v>
      </c>
      <c r="I30" s="228">
        <f t="shared" ref="I30:I31" si="33">F30</f>
        <v>198.37</v>
      </c>
      <c r="J30" s="228">
        <v>43.79</v>
      </c>
      <c r="K30" s="228">
        <f t="shared" si="11"/>
        <v>51.672199999999997</v>
      </c>
      <c r="L30" s="229">
        <f>(G30*F30)/(D30*C30)</f>
        <v>1.069727047146402</v>
      </c>
      <c r="M30" s="229">
        <f>(K30*I30)/(H30*F30)</f>
        <v>1.0157736024124333</v>
      </c>
      <c r="N30" s="229" t="s">
        <v>226</v>
      </c>
      <c r="O30" s="252">
        <f>111.56/2</f>
        <v>55.78</v>
      </c>
      <c r="P30" s="252">
        <v>20.93</v>
      </c>
      <c r="Q30" s="228">
        <f>IF(B30="ОСНО",P30*1.18,P30)</f>
        <v>24.697399999999998</v>
      </c>
      <c r="R30" s="228"/>
      <c r="S30" s="252">
        <f t="shared" ref="S30" si="34">O30</f>
        <v>55.78</v>
      </c>
      <c r="T30" s="252">
        <v>22.42</v>
      </c>
      <c r="U30" s="228">
        <f>IF(B30="ОСНО",T30*1.18,T30)</f>
        <v>26.4556</v>
      </c>
      <c r="V30" s="228">
        <f>S30</f>
        <v>55.78</v>
      </c>
      <c r="W30" s="228">
        <v>23.32</v>
      </c>
      <c r="X30" s="228">
        <f>IF(B30="ОСНО",W30*1.18,W30)</f>
        <v>27.517599999999998</v>
      </c>
      <c r="Y30" s="229">
        <f>(T30*S30)/(P30*O30)</f>
        <v>1.071189679885332</v>
      </c>
      <c r="Z30" s="229">
        <f>(X30*V30)/(U30*S30)</f>
        <v>1.0401427297056201</v>
      </c>
      <c r="AA30" s="228">
        <f>580.81/2</f>
        <v>290.40499999999997</v>
      </c>
      <c r="AB30" s="228">
        <v>28.01</v>
      </c>
      <c r="AC30" s="228">
        <f>IF(B30="ОСНО",AB30*1.18,AB30)</f>
        <v>33.0518</v>
      </c>
      <c r="AD30" s="228"/>
      <c r="AE30" s="230">
        <f>(J30-W30)*V30+(G30-T30)*O30</f>
        <v>2295.9047999999998</v>
      </c>
      <c r="AF30" s="228">
        <f t="shared" ref="AF30:AF31" si="35">AA30</f>
        <v>290.40499999999997</v>
      </c>
      <c r="AG30" s="228">
        <v>29.71</v>
      </c>
      <c r="AH30" s="228">
        <f>IF(B30="ОСНО",AG30*1.18,AG30)</f>
        <v>35.0578</v>
      </c>
      <c r="AI30" s="228">
        <f t="shared" ref="AI30:AI31" si="36">AF30</f>
        <v>290.40499999999997</v>
      </c>
      <c r="AJ30" s="228">
        <v>33.119999999999997</v>
      </c>
      <c r="AK30" s="228">
        <f>IF(B30="ОСНО",AJ30*1.18,AJ30)</f>
        <v>39.081599999999995</v>
      </c>
      <c r="AL30" s="229">
        <f t="shared" ref="AL30:AL31" si="37">(AG30*AF30)/(AB30*AA30)</f>
        <v>1.0606926097822207</v>
      </c>
      <c r="AM30" s="229">
        <f t="shared" ref="AM30:AM31" si="38">(AK30*AI30)/(AH30*AF30)</f>
        <v>1.1147761696398517</v>
      </c>
      <c r="AN30" s="239">
        <f>157.89/2</f>
        <v>78.944999999999993</v>
      </c>
      <c r="AO30" s="239">
        <v>18.59</v>
      </c>
      <c r="AP30" s="228">
        <f>IF(B30="ОСНО",AO30*1.18,AO30)</f>
        <v>21.936199999999999</v>
      </c>
      <c r="AQ30" s="228"/>
      <c r="AR30" s="239">
        <f t="shared" ref="AR30" si="39">AN30</f>
        <v>78.944999999999993</v>
      </c>
      <c r="AS30" s="239">
        <v>23.49</v>
      </c>
      <c r="AT30" s="228">
        <f>IF(B30="ОСНО",AS30*1.18,AS30)</f>
        <v>27.718199999999996</v>
      </c>
      <c r="AU30" s="228">
        <f>AR30</f>
        <v>78.944999999999993</v>
      </c>
      <c r="AV30" s="228">
        <f>AS30*1.04</f>
        <v>24.429600000000001</v>
      </c>
      <c r="AW30" s="228">
        <f>IF(B30="ОСНО",AV30*1.18,AV30)</f>
        <v>28.826927999999999</v>
      </c>
      <c r="AX30" s="241">
        <f t="shared" si="31"/>
        <v>1.2635825712748789</v>
      </c>
      <c r="AY30" s="229">
        <f t="shared" ref="AY30" si="40">(AW30*AU30)/(AT30*AR30)</f>
        <v>1.04</v>
      </c>
      <c r="AZ30" s="229"/>
      <c r="BA30" s="230">
        <f t="shared" si="14"/>
        <v>1177.1015279999997</v>
      </c>
    </row>
    <row r="31" spans="1:54" s="231" customFormat="1" ht="15.75" hidden="1">
      <c r="A31" s="246" t="s">
        <v>57</v>
      </c>
      <c r="B31" s="246" t="s">
        <v>397</v>
      </c>
      <c r="C31" s="228">
        <v>775</v>
      </c>
      <c r="D31" s="228">
        <v>52.21</v>
      </c>
      <c r="E31" s="228">
        <f t="shared" si="32"/>
        <v>61.607799999999997</v>
      </c>
      <c r="F31" s="228">
        <v>736.25</v>
      </c>
      <c r="G31" s="228">
        <v>55.71</v>
      </c>
      <c r="H31" s="228">
        <f t="shared" si="10"/>
        <v>65.737799999999993</v>
      </c>
      <c r="I31" s="228">
        <f t="shared" si="33"/>
        <v>736.25</v>
      </c>
      <c r="J31" s="228">
        <v>59.42</v>
      </c>
      <c r="K31" s="228">
        <f t="shared" si="11"/>
        <v>70.115600000000001</v>
      </c>
      <c r="L31" s="229">
        <f>(G31*F31)/(D31*C31)</f>
        <v>1.0136851177935262</v>
      </c>
      <c r="M31" s="229">
        <f>(K31*I31)/(H31*F31)</f>
        <v>1.0665948662717648</v>
      </c>
      <c r="N31" s="229"/>
      <c r="O31" s="252"/>
      <c r="P31" s="252"/>
      <c r="Q31" s="228">
        <f>IF(B31="ОСНО",P31*1.18,P31)</f>
        <v>0</v>
      </c>
      <c r="R31" s="228"/>
      <c r="S31" s="252"/>
      <c r="T31" s="252"/>
      <c r="U31" s="228">
        <f>IF(B31="ОСНО",T31*1.18,T31)</f>
        <v>0</v>
      </c>
      <c r="V31" s="228"/>
      <c r="W31" s="228"/>
      <c r="X31" s="228"/>
      <c r="Y31" s="229"/>
      <c r="Z31" s="229"/>
      <c r="AA31" s="228">
        <f>1285/2</f>
        <v>642.5</v>
      </c>
      <c r="AB31" s="228">
        <v>41.89</v>
      </c>
      <c r="AC31" s="228">
        <f>IF(B31="ОСНО",AB31*1.18,AB31)</f>
        <v>49.430199999999999</v>
      </c>
      <c r="AD31" s="228"/>
      <c r="AE31" s="230">
        <f>(J31-W31)*V31+(G31-T31)*O31</f>
        <v>0</v>
      </c>
      <c r="AF31" s="228">
        <f t="shared" si="35"/>
        <v>642.5</v>
      </c>
      <c r="AG31" s="228">
        <v>44.59</v>
      </c>
      <c r="AH31" s="228">
        <f>IF(B31="ОСНО",AG31*1.18,AG31)</f>
        <v>52.616199999999999</v>
      </c>
      <c r="AI31" s="228">
        <f t="shared" si="36"/>
        <v>642.5</v>
      </c>
      <c r="AJ31" s="228">
        <v>47.3</v>
      </c>
      <c r="AK31" s="228">
        <f>IF(B31="ОСНО",AJ31*1.18,AJ31)</f>
        <v>55.813999999999993</v>
      </c>
      <c r="AL31" s="229">
        <f t="shared" si="37"/>
        <v>1.0644545237526857</v>
      </c>
      <c r="AM31" s="229">
        <f t="shared" si="38"/>
        <v>1.0607759587351424</v>
      </c>
      <c r="AN31" s="239"/>
      <c r="AO31" s="239"/>
      <c r="AP31" s="228">
        <f>IF(B31="ОСНО",AO31*1.18,AO31)</f>
        <v>0</v>
      </c>
      <c r="AQ31" s="228"/>
      <c r="AR31" s="239"/>
      <c r="AS31" s="239"/>
      <c r="AT31" s="228">
        <f>IF(B31="ОСНО",AS31*1.18,AS31)</f>
        <v>0</v>
      </c>
      <c r="AU31" s="228"/>
      <c r="AV31" s="228"/>
      <c r="AW31" s="228">
        <f>IF(B31="ОСНО",AV31*1.18,AV31)</f>
        <v>0</v>
      </c>
      <c r="AX31" s="241"/>
      <c r="AY31" s="229"/>
      <c r="AZ31" s="229"/>
      <c r="BA31" s="230">
        <f t="shared" si="14"/>
        <v>0</v>
      </c>
    </row>
    <row r="32" spans="1:54" s="215" customFormat="1" ht="15.75">
      <c r="A32" s="185" t="s">
        <v>14</v>
      </c>
      <c r="B32" s="185"/>
      <c r="C32" s="187">
        <f>SUM(C33:C35)</f>
        <v>1920.192</v>
      </c>
      <c r="D32" s="187">
        <f>SUMPRODUCT(C33:C35,D33:D35)/C32</f>
        <v>10.247535871412859</v>
      </c>
      <c r="E32" s="42">
        <f>SUMPRODUCT(C33:C35,E33:E35)/C32</f>
        <v>12.092092328267174</v>
      </c>
      <c r="F32" s="187">
        <f>SUM(F33:F35)</f>
        <v>1877.912</v>
      </c>
      <c r="G32" s="187">
        <f>SUMPRODUCT(F33:F35,G33:G35)/F32</f>
        <v>10.151514234958826</v>
      </c>
      <c r="H32" s="42">
        <f>SUMPRODUCT(F33:F35,H33:H35)/F32</f>
        <v>11.978786797251416</v>
      </c>
      <c r="I32" s="187">
        <f>SUM(I33:I35)</f>
        <v>1877.912</v>
      </c>
      <c r="J32" s="187">
        <f>SUMPRODUCT(I33:I35,J33:J35)/I32</f>
        <v>11.339109436437916</v>
      </c>
      <c r="K32" s="42">
        <f>SUMPRODUCT(I33:I35,K33:K35)/I32</f>
        <v>13.380149134996739</v>
      </c>
      <c r="L32" s="188">
        <f>G32/D32</f>
        <v>0.99062978284156089</v>
      </c>
      <c r="M32" s="84">
        <f>J32/G32</f>
        <v>1.1169870005589275</v>
      </c>
      <c r="N32" s="188"/>
      <c r="O32" s="187">
        <f>SUM(O33:O35)</f>
        <v>726.42499999999995</v>
      </c>
      <c r="P32" s="187">
        <f>SUMPRODUCT(O33:O35,P33:P35)/O32</f>
        <v>17.2</v>
      </c>
      <c r="Q32" s="42">
        <f>SUMPRODUCT(O33:O35,Q33:Q35)/O32</f>
        <v>20.295999999999999</v>
      </c>
      <c r="R32" s="84">
        <f>K32/H32</f>
        <v>1.1169870005589273</v>
      </c>
      <c r="S32" s="187">
        <f>SUM(S33:S35)</f>
        <v>700.22</v>
      </c>
      <c r="T32" s="187">
        <f>SUMPRODUCT(S33:S35,T33:T35)/S32</f>
        <v>17.3</v>
      </c>
      <c r="U32" s="42">
        <f>SUMPRODUCT(S33:S35,U33:U35)/S32</f>
        <v>20.414000000000001</v>
      </c>
      <c r="V32" s="187">
        <f>SUM(V33:V35)</f>
        <v>700.22</v>
      </c>
      <c r="W32" s="187">
        <f>SUMPRODUCT(V33:V35,W33:W35)/V32</f>
        <v>19.29</v>
      </c>
      <c r="X32" s="42">
        <f>SUMPRODUCT(V33:V35,X33:X35)/V32</f>
        <v>22.762199999999996</v>
      </c>
      <c r="Y32" s="188">
        <f>T32/P32</f>
        <v>1.0058139534883721</v>
      </c>
      <c r="Z32" s="84">
        <f>W32/T32</f>
        <v>1.115028901734104</v>
      </c>
      <c r="AA32" s="42">
        <f>SUM(AA33:AA35)</f>
        <v>1977.0435000000002</v>
      </c>
      <c r="AB32" s="42">
        <f>SUMPRODUCT(AA33:AA35,AB33:AB35)/AA32</f>
        <v>14.11663817715695</v>
      </c>
      <c r="AC32" s="42">
        <f>SUMPRODUCT(AA33:AA35,AC33:AC35)/AA32</f>
        <v>16.657633049045199</v>
      </c>
      <c r="AD32" s="84">
        <f>X32/U32</f>
        <v>1.1150289017341037</v>
      </c>
      <c r="AE32" s="222">
        <f>AE33+AE34+AE35</f>
        <v>0</v>
      </c>
      <c r="AF32" s="42">
        <f>SUM(AF33:AF35)</f>
        <v>1934.8119999999999</v>
      </c>
      <c r="AG32" s="42">
        <f>SUMPRODUCT(AF33:AF35,AG33:AG35)/AF32</f>
        <v>14.999276715257089</v>
      </c>
      <c r="AH32" s="42">
        <f>SUMPRODUCT(AF33:AF35,AH33:AH35)/AF32</f>
        <v>17.699146524003364</v>
      </c>
      <c r="AI32" s="187">
        <f>SUM(AI33:AI35)</f>
        <v>1934.8119999999999</v>
      </c>
      <c r="AJ32" s="187">
        <f>SUMPRODUCT(AI33:AI35,AJ33:AJ35)/AI32</f>
        <v>16.367886146044164</v>
      </c>
      <c r="AK32" s="42">
        <f>SUMPRODUCT(AI33:AI35,AK33:AK35)/AI32</f>
        <v>19.314105652332113</v>
      </c>
      <c r="AL32" s="84">
        <f>AG32/AB32</f>
        <v>1.0625246979502807</v>
      </c>
      <c r="AM32" s="84">
        <f>AJ32/AG32</f>
        <v>1.0912450284616018</v>
      </c>
      <c r="AN32" s="42">
        <f>SUM(AN33:AN35)</f>
        <v>1250.8565000000001</v>
      </c>
      <c r="AO32" s="42">
        <f>SUMPRODUCT(AN33:AN35,AO33:AO35)/AN32</f>
        <v>17.18</v>
      </c>
      <c r="AP32" s="42">
        <f>SUMPRODUCT(AN33:AN35,AP33:AP35)/AN32</f>
        <v>20.272399999999998</v>
      </c>
      <c r="AQ32" s="84">
        <f>AK32/AH32</f>
        <v>1.091245028461602</v>
      </c>
      <c r="AR32" s="42">
        <f>SUM(AR33:AR35)</f>
        <v>1007.31</v>
      </c>
      <c r="AS32" s="42">
        <f>SUMPRODUCT(AR33:AR35,AS33:AS35)/AR32</f>
        <v>18.7</v>
      </c>
      <c r="AT32" s="42">
        <f>SUMPRODUCT(AR33:AR35,AT33:AT35)/AR32</f>
        <v>22.065999999999999</v>
      </c>
      <c r="AU32" s="187">
        <f>SUM(AU33:AU35)</f>
        <v>1007.31</v>
      </c>
      <c r="AV32" s="187">
        <f>SUMPRODUCT(AU33:AU35,AV33:AV35)/AU32</f>
        <v>20.23</v>
      </c>
      <c r="AW32" s="42">
        <f>SUMPRODUCT(AU33:AU35,AW33:AW35)/AU32</f>
        <v>23.871399999999998</v>
      </c>
      <c r="AX32" s="84">
        <f>AS32/AO32</f>
        <v>1.0884749708963912</v>
      </c>
      <c r="AY32" s="84">
        <f>AV32/AS32</f>
        <v>1.0818181818181818</v>
      </c>
      <c r="AZ32" s="84">
        <f>AW32/AT32</f>
        <v>1.0818181818181818</v>
      </c>
      <c r="BA32" s="222">
        <f>BA33+BA34+BA35</f>
        <v>0</v>
      </c>
    </row>
    <row r="33" spans="1:53" s="231" customFormat="1" ht="15.75" hidden="1">
      <c r="A33" s="246" t="s">
        <v>16</v>
      </c>
      <c r="B33" s="246" t="s">
        <v>397</v>
      </c>
      <c r="C33" s="228">
        <v>709.11199999999997</v>
      </c>
      <c r="D33" s="228">
        <v>5.45</v>
      </c>
      <c r="E33" s="228">
        <f>IF(B33="ОСНО",D33*1.18,D33)</f>
        <v>6.431</v>
      </c>
      <c r="F33" s="228">
        <f>C33</f>
        <v>709.11199999999997</v>
      </c>
      <c r="G33" s="228">
        <v>5.45</v>
      </c>
      <c r="H33" s="228">
        <f t="shared" si="10"/>
        <v>6.431</v>
      </c>
      <c r="I33" s="228">
        <f>F33</f>
        <v>709.11199999999997</v>
      </c>
      <c r="J33" s="228">
        <v>6.14</v>
      </c>
      <c r="K33" s="228">
        <f t="shared" si="11"/>
        <v>7.2451999999999996</v>
      </c>
      <c r="L33" s="229">
        <f>(G33*F33)/(D33*C33)</f>
        <v>1</v>
      </c>
      <c r="M33" s="229">
        <f>(K33*I33)/(H33*F33)</f>
        <v>1.1266055045871557</v>
      </c>
      <c r="N33" s="229"/>
      <c r="O33" s="258"/>
      <c r="P33" s="258"/>
      <c r="Q33" s="228">
        <f>IF(B33="ОСНО",P33*1.18,P33)</f>
        <v>0</v>
      </c>
      <c r="R33" s="228"/>
      <c r="S33" s="258"/>
      <c r="T33" s="258"/>
      <c r="U33" s="228">
        <f>IF(B33="ОСНО",T33*1.18,T33)</f>
        <v>0</v>
      </c>
      <c r="V33" s="228"/>
      <c r="W33" s="228"/>
      <c r="X33" s="228"/>
      <c r="Y33" s="229"/>
      <c r="Z33" s="229"/>
      <c r="AA33" s="228">
        <v>726.18700000000001</v>
      </c>
      <c r="AB33" s="228">
        <v>8.84</v>
      </c>
      <c r="AC33" s="228">
        <f>IF(B33="ОСНО",AB33*1.18,AB33)</f>
        <v>10.431199999999999</v>
      </c>
      <c r="AD33" s="228"/>
      <c r="AE33" s="230">
        <f>(J33-W33)*V33+(G33-T33)*O33</f>
        <v>0</v>
      </c>
      <c r="AF33" s="228">
        <f>AA33</f>
        <v>726.18700000000001</v>
      </c>
      <c r="AG33" s="228">
        <v>8.84</v>
      </c>
      <c r="AH33" s="228">
        <f>IF(B33="ОСНО",AG33*1.18,AG33)</f>
        <v>10.431199999999999</v>
      </c>
      <c r="AI33" s="228">
        <f>AF33</f>
        <v>726.18700000000001</v>
      </c>
      <c r="AJ33" s="228">
        <v>9.94</v>
      </c>
      <c r="AK33" s="228">
        <f>IF(B33="ОСНО",AJ33*1.18,AJ33)</f>
        <v>11.729199999999999</v>
      </c>
      <c r="AL33" s="229">
        <f>(AG33*AF33)/(AB33*AA33)</f>
        <v>1</v>
      </c>
      <c r="AM33" s="229">
        <f>(AK33*AI33)/(AH33*AF33)</f>
        <v>1.1244343891402715</v>
      </c>
      <c r="AN33" s="239"/>
      <c r="AO33" s="239"/>
      <c r="AP33" s="228">
        <f>IF(B33="ОСНО",AO33*1.18,AO33)</f>
        <v>0</v>
      </c>
      <c r="AQ33" s="228"/>
      <c r="AR33" s="239"/>
      <c r="AS33" s="239"/>
      <c r="AT33" s="228">
        <f>IF(B33="ОСНО",AS33*1.18,AS33)</f>
        <v>0</v>
      </c>
      <c r="AU33" s="228"/>
      <c r="AV33" s="228"/>
      <c r="AW33" s="228">
        <f>IF(B33="ОСНО",AV33*1.18,AV33)</f>
        <v>0</v>
      </c>
      <c r="AX33" s="249"/>
      <c r="AY33" s="229"/>
      <c r="AZ33" s="229"/>
      <c r="BA33" s="230">
        <f t="shared" si="14"/>
        <v>0</v>
      </c>
    </row>
    <row r="34" spans="1:53" s="231" customFormat="1" ht="15.75" hidden="1">
      <c r="A34" s="246" t="s">
        <v>425</v>
      </c>
      <c r="B34" s="246" t="s">
        <v>397</v>
      </c>
      <c r="C34" s="228">
        <v>325</v>
      </c>
      <c r="D34" s="228">
        <v>1.76</v>
      </c>
      <c r="E34" s="228">
        <f t="shared" ref="E34:E35" si="41">IF(B34="ОСНО",D34*1.18,D34)</f>
        <v>2.0768</v>
      </c>
      <c r="F34" s="228">
        <v>325</v>
      </c>
      <c r="G34" s="228">
        <v>1.85</v>
      </c>
      <c r="H34" s="228">
        <f t="shared" si="10"/>
        <v>2.1829999999999998</v>
      </c>
      <c r="I34" s="228">
        <f t="shared" ref="I34:I35" si="42">F34</f>
        <v>325</v>
      </c>
      <c r="J34" s="228">
        <v>2.04</v>
      </c>
      <c r="K34" s="228">
        <f t="shared" si="11"/>
        <v>2.4072</v>
      </c>
      <c r="L34" s="229">
        <f>(G34*F34)/(D34*C34)</f>
        <v>1.0511363636363635</v>
      </c>
      <c r="M34" s="229">
        <f>(K34*I34)/(H34*F34)</f>
        <v>1.102702702702703</v>
      </c>
      <c r="N34" s="229"/>
      <c r="O34" s="258"/>
      <c r="P34" s="258"/>
      <c r="Q34" s="228">
        <f>IF(B34="ОСНО",P34*1.18,P34)</f>
        <v>0</v>
      </c>
      <c r="R34" s="228"/>
      <c r="S34" s="258"/>
      <c r="T34" s="258"/>
      <c r="U34" s="228">
        <f>IF(B34="ОСНО",T34*1.18,T34)</f>
        <v>0</v>
      </c>
      <c r="V34" s="228"/>
      <c r="W34" s="228"/>
      <c r="X34" s="228"/>
      <c r="Y34" s="229"/>
      <c r="Z34" s="229"/>
      <c r="AA34" s="228"/>
      <c r="AB34" s="228"/>
      <c r="AC34" s="228">
        <f>IF(B34="ОСНО",AB34*1.18,AB34)</f>
        <v>0</v>
      </c>
      <c r="AD34" s="228"/>
      <c r="AE34" s="230">
        <f>(J34-W34)*V34+(G34-T34)*O34</f>
        <v>0</v>
      </c>
      <c r="AF34" s="228"/>
      <c r="AG34" s="228"/>
      <c r="AH34" s="228">
        <f>IF(B34="ОСНО",AG34*1.18,AG34)</f>
        <v>0</v>
      </c>
      <c r="AI34" s="228">
        <f t="shared" ref="AI34:AI35" si="43">AF34</f>
        <v>0</v>
      </c>
      <c r="AJ34" s="228"/>
      <c r="AK34" s="228">
        <f>IF(B34="ОСНО",AJ34*1.18,AJ34)</f>
        <v>0</v>
      </c>
      <c r="AL34" s="229"/>
      <c r="AM34" s="229"/>
      <c r="AN34" s="239"/>
      <c r="AO34" s="239"/>
      <c r="AP34" s="228">
        <f>IF(B34="ОСНО",AO34*1.18,AO34)</f>
        <v>0</v>
      </c>
      <c r="AQ34" s="228"/>
      <c r="AR34" s="239"/>
      <c r="AS34" s="239"/>
      <c r="AT34" s="228">
        <f>IF(B34="ОСНО",AS34*1.18,AS34)</f>
        <v>0</v>
      </c>
      <c r="AU34" s="228"/>
      <c r="AV34" s="228"/>
      <c r="AW34" s="228">
        <f>IF(B34="ОСНО",AV34*1.18,AV34)</f>
        <v>0</v>
      </c>
      <c r="AX34" s="249"/>
      <c r="AY34" s="229"/>
      <c r="AZ34" s="229"/>
      <c r="BA34" s="230">
        <f t="shared" si="14"/>
        <v>0</v>
      </c>
    </row>
    <row r="35" spans="1:53" s="231" customFormat="1" ht="15.75" hidden="1">
      <c r="A35" s="246" t="s">
        <v>456</v>
      </c>
      <c r="B35" s="246" t="s">
        <v>397</v>
      </c>
      <c r="C35" s="228">
        <v>886.08</v>
      </c>
      <c r="D35" s="228">
        <v>17.2</v>
      </c>
      <c r="E35" s="228">
        <f t="shared" si="41"/>
        <v>20.295999999999999</v>
      </c>
      <c r="F35" s="228">
        <f>1687.6/2</f>
        <v>843.8</v>
      </c>
      <c r="G35" s="228">
        <v>17.3</v>
      </c>
      <c r="H35" s="228">
        <f t="shared" si="10"/>
        <v>20.414000000000001</v>
      </c>
      <c r="I35" s="228">
        <f t="shared" si="42"/>
        <v>843.8</v>
      </c>
      <c r="J35" s="228">
        <v>19.29</v>
      </c>
      <c r="K35" s="228">
        <f t="shared" si="11"/>
        <v>22.762199999999996</v>
      </c>
      <c r="L35" s="229">
        <f>(G35*F35)/(D35*C35)</f>
        <v>0.95782075428120295</v>
      </c>
      <c r="M35" s="229">
        <f>(K35*I35)/(H35*F35)</f>
        <v>1.1150289017341037</v>
      </c>
      <c r="N35" s="229"/>
      <c r="O35" s="258">
        <v>726.42499999999995</v>
      </c>
      <c r="P35" s="258">
        <v>17.2</v>
      </c>
      <c r="Q35" s="228">
        <f>IF(B35="ОСНО",P35*1.18,P35)</f>
        <v>20.295999999999999</v>
      </c>
      <c r="R35" s="228"/>
      <c r="S35" s="252">
        <f>1400.44/2</f>
        <v>700.22</v>
      </c>
      <c r="T35" s="258">
        <v>17.3</v>
      </c>
      <c r="U35" s="228">
        <f>IF(B35="ОСНО",T35*1.18,T35)</f>
        <v>20.414000000000001</v>
      </c>
      <c r="V35" s="228">
        <f>S35</f>
        <v>700.22</v>
      </c>
      <c r="W35" s="228">
        <v>19.29</v>
      </c>
      <c r="X35" s="228">
        <f>IF(B35="ОСНО",W35*1.18,W35)</f>
        <v>22.762199999999996</v>
      </c>
      <c r="Y35" s="229">
        <f>(T35*S35)/(P35*O35)</f>
        <v>0.96953029770675292</v>
      </c>
      <c r="Z35" s="229">
        <f>(X35*V35)/(U35*S35)</f>
        <v>1.1150289017341037</v>
      </c>
      <c r="AA35" s="228">
        <f>2501.713/2</f>
        <v>1250.8565000000001</v>
      </c>
      <c r="AB35" s="228">
        <v>17.18</v>
      </c>
      <c r="AC35" s="228">
        <f>IF(B35="ОСНО",AB35*1.18,AB35)</f>
        <v>20.272399999999998</v>
      </c>
      <c r="AD35" s="228"/>
      <c r="AE35" s="230">
        <f>(J35-W35)*V35+(G35-T35)*O35</f>
        <v>0</v>
      </c>
      <c r="AF35" s="228">
        <f>2417.25/2</f>
        <v>1208.625</v>
      </c>
      <c r="AG35" s="228">
        <v>18.7</v>
      </c>
      <c r="AH35" s="228">
        <f>IF(B35="ОСНО",AG35*1.18,AG35)</f>
        <v>22.065999999999999</v>
      </c>
      <c r="AI35" s="228">
        <f t="shared" si="43"/>
        <v>1208.625</v>
      </c>
      <c r="AJ35" s="228">
        <v>20.23</v>
      </c>
      <c r="AK35" s="228">
        <f>IF(B35="ОСНО",AJ35*1.18,AJ35)</f>
        <v>23.871399999999998</v>
      </c>
      <c r="AL35" s="229">
        <f>(AG35*AF35)/(AB35*AA35)</f>
        <v>1.0517258068368758</v>
      </c>
      <c r="AM35" s="229">
        <f t="shared" ref="AM35" si="44">(AK35*AI35)/(AH35*AF35)</f>
        <v>1.0818181818181818</v>
      </c>
      <c r="AN35" s="228">
        <f>2501.713/2</f>
        <v>1250.8565000000001</v>
      </c>
      <c r="AO35" s="228">
        <v>17.18</v>
      </c>
      <c r="AP35" s="228">
        <f>IF(B35="ОСНО",AO35*1.18,AO35)</f>
        <v>20.272399999999998</v>
      </c>
      <c r="AQ35" s="228"/>
      <c r="AR35" s="228">
        <f>2014.62/2</f>
        <v>1007.31</v>
      </c>
      <c r="AS35" s="228">
        <v>18.7</v>
      </c>
      <c r="AT35" s="228">
        <f>IF(B35="ОСНО",AS35*1.18,AS35)</f>
        <v>22.065999999999999</v>
      </c>
      <c r="AU35" s="228">
        <f>AR35</f>
        <v>1007.31</v>
      </c>
      <c r="AV35" s="228">
        <v>20.23</v>
      </c>
      <c r="AW35" s="228">
        <f>IF(B35="ОСНО",AV35*1.18,AV35)</f>
        <v>23.871399999999998</v>
      </c>
      <c r="AX35" s="229">
        <f>(AS35*AR35)/(AO35*AN35)</f>
        <v>0.87654476987059948</v>
      </c>
      <c r="AY35" s="229">
        <f t="shared" ref="AY35" si="45">(AW35*AU35)/(AT35*AR35)</f>
        <v>1.0818181818181818</v>
      </c>
      <c r="AZ35" s="229"/>
      <c r="BA35" s="230">
        <f t="shared" si="14"/>
        <v>0</v>
      </c>
    </row>
    <row r="36" spans="1:53" s="216" customFormat="1" ht="19.5" customHeight="1">
      <c r="A36" s="185" t="s">
        <v>180</v>
      </c>
      <c r="B36" s="185"/>
      <c r="C36" s="189">
        <f>SUM(C37:C43)</f>
        <v>14057.858999999999</v>
      </c>
      <c r="D36" s="189">
        <f>SUMPRODUCT(C37:C43,D37:D43)/C36</f>
        <v>22.253153259682005</v>
      </c>
      <c r="E36" s="42">
        <f>SUMPRODUCT(C37:C43,E37:E43)/C36</f>
        <v>26.258720846424762</v>
      </c>
      <c r="F36" s="189">
        <f>SUM(F37:F43)</f>
        <v>15493.224999999999</v>
      </c>
      <c r="G36" s="189">
        <f>SUMPRODUCT(F37:F43,G37:G43)/F36</f>
        <v>23.389978284701865</v>
      </c>
      <c r="H36" s="42">
        <f>SUMPRODUCT(F37:F43,H37:H43)/F36</f>
        <v>27.600174375948203</v>
      </c>
      <c r="I36" s="189">
        <f>SUM(I37:I43)</f>
        <v>15493.224999999999</v>
      </c>
      <c r="J36" s="189">
        <f>SUMPRODUCT(I37:I43,J37:J43)/I36</f>
        <v>25.607986403734539</v>
      </c>
      <c r="K36" s="42">
        <f>SUMPRODUCT(I37:I43,K37:K43)/I36</f>
        <v>30.217423956406751</v>
      </c>
      <c r="L36" s="190">
        <f>G36/D36</f>
        <v>1.0510860196644376</v>
      </c>
      <c r="M36" s="84">
        <f>J36/G36</f>
        <v>1.0948272842340925</v>
      </c>
      <c r="N36" s="190"/>
      <c r="O36" s="189">
        <f>SUM(O37:O43)</f>
        <v>3254.8249999999998</v>
      </c>
      <c r="P36" s="189">
        <f>SUMPRODUCT(O37:O43,P37:P43)/O36</f>
        <v>22.297321054127334</v>
      </c>
      <c r="Q36" s="42">
        <f>SUMPRODUCT(O37:O43,Q37:Q43)/O36</f>
        <v>26.310838843870254</v>
      </c>
      <c r="R36" s="84">
        <f>K36/H36</f>
        <v>1.0948272842340923</v>
      </c>
      <c r="S36" s="189">
        <f>SUM(S37:S43)</f>
        <v>3188.5139999999997</v>
      </c>
      <c r="T36" s="189">
        <f>SUMPRODUCT(S37:S43,T37:T43)/S36</f>
        <v>23.47</v>
      </c>
      <c r="U36" s="42">
        <f>SUMPRODUCT(S37:S43,U37:U43)/S36</f>
        <v>27.694599999999998</v>
      </c>
      <c r="V36" s="189">
        <f>SUM(V37:V43)</f>
        <v>3188.5139999999997</v>
      </c>
      <c r="W36" s="189">
        <f>SUMPRODUCT(V37:V43,W37:W43)/V36</f>
        <v>25.518914990243108</v>
      </c>
      <c r="X36" s="42">
        <f>SUMPRODUCT(V37:V43,X37:X43)/V36</f>
        <v>30.112319688486863</v>
      </c>
      <c r="Y36" s="190">
        <f>T36/P36</f>
        <v>1.0525928179006776</v>
      </c>
      <c r="Z36" s="84">
        <f>W36/T36</f>
        <v>1.087299317862936</v>
      </c>
      <c r="AA36" s="189">
        <f>SUM(AA37:AA43)</f>
        <v>10083.5365</v>
      </c>
      <c r="AB36" s="189">
        <f>SUMPRODUCT(AA37:AA43,AB37:AB43)/AA36</f>
        <v>22.653672788311916</v>
      </c>
      <c r="AC36" s="42">
        <f>SUMPRODUCT(AA37:AA43,AC37:AC43)/AA36</f>
        <v>26.731333890208063</v>
      </c>
      <c r="AD36" s="84">
        <f>X36/U36</f>
        <v>1.087299317862936</v>
      </c>
      <c r="AE36" s="222">
        <f>SUM(AE37:AE43)</f>
        <v>18499.736748800002</v>
      </c>
      <c r="AF36" s="189">
        <f>SUM(AF37:AF43)</f>
        <v>9975.2950000000001</v>
      </c>
      <c r="AG36" s="189">
        <f>SUMPRODUCT(AF37:AF43,AG37:AG43)/AF36</f>
        <v>23.746149156491114</v>
      </c>
      <c r="AH36" s="42">
        <f>SUMPRODUCT(AF37:AF43,AH37:AH43)/AF36</f>
        <v>28.020456004659508</v>
      </c>
      <c r="AI36" s="189">
        <f>SUM(AI37:AI43)</f>
        <v>9975.2950000000001</v>
      </c>
      <c r="AJ36" s="189">
        <f>SUMPRODUCT(AI37:AI43,AJ37:AJ43)/AI36</f>
        <v>25.359042865398973</v>
      </c>
      <c r="AK36" s="42">
        <f>SUMPRODUCT(AI37:AI43,AK37:AK43)/AI36</f>
        <v>29.923670581170782</v>
      </c>
      <c r="AL36" s="190">
        <f>AG36/AB36</f>
        <v>1.0482251323389318</v>
      </c>
      <c r="AM36" s="84">
        <f>AJ36/AG36</f>
        <v>1.0679223270383176</v>
      </c>
      <c r="AN36" s="189">
        <f>SUM(AN37:AN43)</f>
        <v>5227.2150000000001</v>
      </c>
      <c r="AO36" s="189">
        <f>SUMPRODUCT(AN37:AN43,AO37:AO43)/AN36</f>
        <v>21.687294371859583</v>
      </c>
      <c r="AP36" s="42">
        <f>SUMPRODUCT(AN37:AN43,AP37:AP43)/AN36</f>
        <v>25.591007358794307</v>
      </c>
      <c r="AQ36" s="84">
        <f>AK36/AH36</f>
        <v>1.0679223270383176</v>
      </c>
      <c r="AR36" s="189">
        <f>SUM(AR37:AR43)</f>
        <v>5141.1130000000003</v>
      </c>
      <c r="AS36" s="189">
        <f>SUMPRODUCT(AR37:AR43,AS37:AS43)/AR36</f>
        <v>22.889786098846688</v>
      </c>
      <c r="AT36" s="42">
        <f>SUMPRODUCT(AR37:AR43,AT37:AT43)/AR36</f>
        <v>27.009947596639087</v>
      </c>
      <c r="AU36" s="189">
        <f>SUM(AU37:AU43)</f>
        <v>5141.1130000000003</v>
      </c>
      <c r="AV36" s="189">
        <f>SUMPRODUCT(AU37:AU43,AV37:AV43)/AU36</f>
        <v>24.317313382374593</v>
      </c>
      <c r="AW36" s="42">
        <f>SUMPRODUCT(AU37:AU43,AW37:AW43)/AU36</f>
        <v>28.694429791202019</v>
      </c>
      <c r="AX36" s="190">
        <f>AS36/AO36</f>
        <v>1.0554468301286768</v>
      </c>
      <c r="AY36" s="84">
        <f>AV36/AS36</f>
        <v>1.0623652522292391</v>
      </c>
      <c r="AZ36" s="84">
        <f>AW36/AT36</f>
        <v>1.0623652522292393</v>
      </c>
      <c r="BA36" s="222">
        <f>SUM(BA37:BA43)</f>
        <v>6582.4089548000011</v>
      </c>
    </row>
    <row r="37" spans="1:53" s="231" customFormat="1" ht="15.75" hidden="1">
      <c r="A37" s="245" t="s">
        <v>181</v>
      </c>
      <c r="B37" s="245" t="s">
        <v>397</v>
      </c>
      <c r="C37" s="243">
        <f>25724.898/2-3100/2</f>
        <v>11312.449000000001</v>
      </c>
      <c r="D37" s="243">
        <v>22.27</v>
      </c>
      <c r="E37" s="228">
        <f>IF(B37="ОСНО",D37*1.18,D37)</f>
        <v>26.278599999999997</v>
      </c>
      <c r="F37" s="243">
        <f>25579.9/2</f>
        <v>12789.95</v>
      </c>
      <c r="G37" s="243">
        <v>23.47</v>
      </c>
      <c r="H37" s="228">
        <f t="shared" si="10"/>
        <v>27.694599999999998</v>
      </c>
      <c r="I37" s="243">
        <f>F37</f>
        <v>12789.95</v>
      </c>
      <c r="J37" s="243">
        <v>25.53</v>
      </c>
      <c r="K37" s="228">
        <f t="shared" si="11"/>
        <v>30.125399999999999</v>
      </c>
      <c r="L37" s="265">
        <f>(G37*F37)/(D37*C37)</f>
        <v>1.1915302842487143</v>
      </c>
      <c r="M37" s="229">
        <f t="shared" ref="M37:M43" si="46">(K37*I37)/(H37*F37)</f>
        <v>1.0877716233489561</v>
      </c>
      <c r="N37" s="265"/>
      <c r="O37" s="227">
        <f>5323.98/2</f>
        <v>2661.99</v>
      </c>
      <c r="P37" s="227">
        <v>22.27</v>
      </c>
      <c r="Q37" s="228">
        <f t="shared" ref="Q37:Q43" si="47">IF(B37="ОСНО",P37*1.18,P37)</f>
        <v>26.278599999999997</v>
      </c>
      <c r="R37" s="228"/>
      <c r="S37" s="227">
        <f>5193.98/2</f>
        <v>2596.9899999999998</v>
      </c>
      <c r="T37" s="227">
        <v>23.47</v>
      </c>
      <c r="U37" s="228">
        <f t="shared" ref="U37:U43" si="48">IF(B37="ОСНО",T37*1.18,T37)</f>
        <v>27.694599999999998</v>
      </c>
      <c r="V37" s="243">
        <f>S37</f>
        <v>2596.9899999999998</v>
      </c>
      <c r="W37" s="243">
        <v>25.53</v>
      </c>
      <c r="X37" s="228">
        <f>IF(B37="ОСНО",W37*1.18,W37)</f>
        <v>30.125399999999999</v>
      </c>
      <c r="Y37" s="262">
        <f>(T37*S37)/(P37*O37)</f>
        <v>1.0281505927212033</v>
      </c>
      <c r="Z37" s="229">
        <f>(X37*V37)/(U37*S37)</f>
        <v>1.0877716233489563</v>
      </c>
      <c r="AA37" s="227">
        <f>17258/2</f>
        <v>8629</v>
      </c>
      <c r="AB37" s="227">
        <v>22.13</v>
      </c>
      <c r="AC37" s="228">
        <f t="shared" ref="AC37:AC43" si="49">IF(B37="ОСНО",AB37*1.18,AB37)</f>
        <v>26.113399999999999</v>
      </c>
      <c r="AD37" s="228"/>
      <c r="AE37" s="230">
        <f>(J37-W37)*V37+(G37-T37)*O37</f>
        <v>0</v>
      </c>
      <c r="AF37" s="227">
        <f>17045/2</f>
        <v>8522.5</v>
      </c>
      <c r="AG37" s="227">
        <v>23.24</v>
      </c>
      <c r="AH37" s="228">
        <f>IF(B37="ОСНО",AG37*1.18,AG37)</f>
        <v>27.423199999999998</v>
      </c>
      <c r="AI37" s="243">
        <f>AF37</f>
        <v>8522.5</v>
      </c>
      <c r="AJ37" s="243">
        <v>24.8</v>
      </c>
      <c r="AK37" s="228">
        <f>IF(B37="ОСНО",AJ37*1.18,AJ37)</f>
        <v>29.263999999999999</v>
      </c>
      <c r="AL37" s="262">
        <f>(AG37*AF37)/(AB37*AA37)</f>
        <v>1.0371969970428849</v>
      </c>
      <c r="AM37" s="229">
        <f>(AK37*AI37)/(AH37*AF37)</f>
        <v>1.0671256454388987</v>
      </c>
      <c r="AN37" s="259">
        <f>8520/2</f>
        <v>4260</v>
      </c>
      <c r="AO37" s="259">
        <v>22.13</v>
      </c>
      <c r="AP37" s="228">
        <f>IF(B37="ОСНО",AO37*1.18,AO37)</f>
        <v>26.113399999999999</v>
      </c>
      <c r="AQ37" s="228"/>
      <c r="AR37" s="259">
        <f>8350/2</f>
        <v>4175</v>
      </c>
      <c r="AS37" s="259">
        <v>23.24</v>
      </c>
      <c r="AT37" s="228">
        <f>IF(B37="ОСНО",AS37*1.18,AS37)</f>
        <v>27.423199999999998</v>
      </c>
      <c r="AU37" s="243">
        <f>AR37</f>
        <v>4175</v>
      </c>
      <c r="AV37" s="243">
        <v>24.8</v>
      </c>
      <c r="AW37" s="228">
        <f>IF(B37="ОСНО",AV37*1.18,AV37)</f>
        <v>29.263999999999999</v>
      </c>
      <c r="AX37" s="262">
        <f t="shared" ref="AX37:AX48" si="50">(AS37*AR37)/(AO37*AN37)</f>
        <v>1.0292042964216994</v>
      </c>
      <c r="AY37" s="229">
        <f>(AW37*AU37)/(AT37*AR37)</f>
        <v>1.0671256454388987</v>
      </c>
      <c r="AZ37" s="229"/>
      <c r="BA37" s="230">
        <f>(AG37-AS37)*AR37+(AJ37-AV37)*AU37</f>
        <v>0</v>
      </c>
    </row>
    <row r="38" spans="1:53" s="231" customFormat="1" ht="15.75" hidden="1">
      <c r="A38" s="245" t="s">
        <v>182</v>
      </c>
      <c r="B38" s="245" t="s">
        <v>397</v>
      </c>
      <c r="C38" s="243">
        <f>2510/2</f>
        <v>1255</v>
      </c>
      <c r="D38" s="243">
        <v>2.1</v>
      </c>
      <c r="E38" s="228">
        <f t="shared" ref="E38:E94" si="51">IF(B38="ОСНО",D38*1.18,D38)</f>
        <v>2.4779999999999998</v>
      </c>
      <c r="F38" s="243">
        <f>2437.48/2</f>
        <v>1218.74</v>
      </c>
      <c r="G38" s="243">
        <v>2.91</v>
      </c>
      <c r="H38" s="228">
        <f t="shared" si="10"/>
        <v>3.4338000000000002</v>
      </c>
      <c r="I38" s="243">
        <f>F38</f>
        <v>1218.74</v>
      </c>
      <c r="J38" s="243">
        <v>2.91</v>
      </c>
      <c r="K38" s="228">
        <f t="shared" si="11"/>
        <v>3.4338000000000002</v>
      </c>
      <c r="L38" s="265">
        <f>(G38*F38)/(D38*C38)</f>
        <v>1.3456776323278317</v>
      </c>
      <c r="M38" s="229">
        <f t="shared" si="46"/>
        <v>1</v>
      </c>
      <c r="N38" s="265"/>
      <c r="O38" s="227"/>
      <c r="P38" s="227"/>
      <c r="Q38" s="228">
        <f t="shared" si="47"/>
        <v>0</v>
      </c>
      <c r="R38" s="228"/>
      <c r="S38" s="227"/>
      <c r="T38" s="227"/>
      <c r="U38" s="228">
        <f t="shared" si="48"/>
        <v>0</v>
      </c>
      <c r="V38" s="243"/>
      <c r="W38" s="243"/>
      <c r="X38" s="228"/>
      <c r="Y38" s="262" t="e">
        <f>(T38*S38)/(P38*O38)</f>
        <v>#DIV/0!</v>
      </c>
      <c r="Z38" s="229"/>
      <c r="AA38" s="227"/>
      <c r="AB38" s="227"/>
      <c r="AC38" s="228">
        <f t="shared" si="49"/>
        <v>0</v>
      </c>
      <c r="AD38" s="228"/>
      <c r="AE38" s="230">
        <f>(J38-W38)*V38+(G38-T38)*O38</f>
        <v>0</v>
      </c>
      <c r="AF38" s="227"/>
      <c r="AG38" s="227"/>
      <c r="AH38" s="228"/>
      <c r="AI38" s="243"/>
      <c r="AJ38" s="243"/>
      <c r="AK38" s="228"/>
      <c r="AL38" s="263"/>
      <c r="AM38" s="229"/>
      <c r="AN38" s="227"/>
      <c r="AO38" s="227"/>
      <c r="AP38" s="228"/>
      <c r="AQ38" s="228"/>
      <c r="AR38" s="227"/>
      <c r="AS38" s="227"/>
      <c r="AT38" s="228"/>
      <c r="AU38" s="243"/>
      <c r="AV38" s="243"/>
      <c r="AW38" s="228"/>
      <c r="AX38" s="263"/>
      <c r="AY38" s="229"/>
      <c r="AZ38" s="229"/>
      <c r="BA38" s="230">
        <f t="shared" si="14"/>
        <v>0</v>
      </c>
    </row>
    <row r="39" spans="1:53" s="231" customFormat="1" ht="15.75" hidden="1">
      <c r="A39" s="246" t="s">
        <v>188</v>
      </c>
      <c r="B39" s="246" t="s">
        <v>397</v>
      </c>
      <c r="C39" s="244">
        <f>2.09/2</f>
        <v>1.0449999999999999</v>
      </c>
      <c r="D39" s="244">
        <v>5.62</v>
      </c>
      <c r="E39" s="228">
        <f t="shared" si="51"/>
        <v>6.6315999999999997</v>
      </c>
      <c r="F39" s="244">
        <f>C39</f>
        <v>1.0449999999999999</v>
      </c>
      <c r="G39" s="244">
        <v>5.77</v>
      </c>
      <c r="H39" s="228">
        <f t="shared" si="10"/>
        <v>6.8085999999999993</v>
      </c>
      <c r="I39" s="244">
        <f>F39</f>
        <v>1.0449999999999999</v>
      </c>
      <c r="J39" s="244">
        <v>7.48</v>
      </c>
      <c r="K39" s="228">
        <f t="shared" si="11"/>
        <v>8.8263999999999996</v>
      </c>
      <c r="L39" s="250">
        <f>(G39*F39)/(D39*C39)</f>
        <v>1.0266903914590746</v>
      </c>
      <c r="M39" s="229">
        <f t="shared" si="46"/>
        <v>1.296360485268631</v>
      </c>
      <c r="N39" s="250"/>
      <c r="O39" s="228"/>
      <c r="P39" s="228"/>
      <c r="Q39" s="228">
        <f t="shared" si="47"/>
        <v>0</v>
      </c>
      <c r="R39" s="228"/>
      <c r="S39" s="228"/>
      <c r="T39" s="228"/>
      <c r="U39" s="228">
        <f t="shared" si="48"/>
        <v>0</v>
      </c>
      <c r="V39" s="244"/>
      <c r="W39" s="244"/>
      <c r="X39" s="228"/>
      <c r="Y39" s="262"/>
      <c r="Z39" s="229"/>
      <c r="AA39" s="228"/>
      <c r="AB39" s="228"/>
      <c r="AC39" s="228">
        <f t="shared" si="49"/>
        <v>0</v>
      </c>
      <c r="AD39" s="228"/>
      <c r="AE39" s="230">
        <f>(J39-W39)*V39+(G39-T39)*O39</f>
        <v>0</v>
      </c>
      <c r="AF39" s="228"/>
      <c r="AG39" s="228"/>
      <c r="AH39" s="228"/>
      <c r="AI39" s="244"/>
      <c r="AJ39" s="244"/>
      <c r="AK39" s="228"/>
      <c r="AL39" s="229"/>
      <c r="AM39" s="229"/>
      <c r="AN39" s="234"/>
      <c r="AO39" s="234"/>
      <c r="AP39" s="228"/>
      <c r="AQ39" s="228"/>
      <c r="AR39" s="234"/>
      <c r="AS39" s="234"/>
      <c r="AT39" s="228"/>
      <c r="AU39" s="244"/>
      <c r="AV39" s="244"/>
      <c r="AW39" s="228"/>
      <c r="AX39" s="266"/>
      <c r="AY39" s="229"/>
      <c r="AZ39" s="229"/>
      <c r="BA39" s="230">
        <f t="shared" si="14"/>
        <v>0</v>
      </c>
    </row>
    <row r="40" spans="1:53" s="231" customFormat="1" ht="15.75" hidden="1">
      <c r="A40" s="246" t="s">
        <v>53</v>
      </c>
      <c r="B40" s="246" t="s">
        <v>397</v>
      </c>
      <c r="C40" s="244">
        <f>136.84/2</f>
        <v>68.42</v>
      </c>
      <c r="D40" s="244">
        <v>75.14</v>
      </c>
      <c r="E40" s="228">
        <f t="shared" si="51"/>
        <v>88.665199999999999</v>
      </c>
      <c r="F40" s="244">
        <v>64.998999999999995</v>
      </c>
      <c r="G40" s="244">
        <v>76.77</v>
      </c>
      <c r="H40" s="228">
        <f t="shared" si="10"/>
        <v>90.588599999999985</v>
      </c>
      <c r="I40" s="244">
        <f t="shared" ref="I40:I42" si="52">F40</f>
        <v>64.998999999999995</v>
      </c>
      <c r="J40" s="244">
        <v>82.88</v>
      </c>
      <c r="K40" s="228">
        <f t="shared" si="11"/>
        <v>97.798399999999987</v>
      </c>
      <c r="L40" s="250">
        <f t="shared" ref="L40:L42" si="53">(G40*F40)/(D40*C40)</f>
        <v>0.97060819803034326</v>
      </c>
      <c r="M40" s="229">
        <f t="shared" si="46"/>
        <v>1.0795883808779472</v>
      </c>
      <c r="N40" s="250"/>
      <c r="O40" s="228"/>
      <c r="P40" s="228"/>
      <c r="Q40" s="228">
        <f t="shared" si="47"/>
        <v>0</v>
      </c>
      <c r="R40" s="228"/>
      <c r="S40" s="228"/>
      <c r="T40" s="228"/>
      <c r="U40" s="228">
        <f t="shared" si="48"/>
        <v>0</v>
      </c>
      <c r="V40" s="244"/>
      <c r="W40" s="244"/>
      <c r="X40" s="228"/>
      <c r="Y40" s="262"/>
      <c r="Z40" s="229"/>
      <c r="AA40" s="228">
        <f>136.84/2</f>
        <v>68.42</v>
      </c>
      <c r="AB40" s="228">
        <v>72.7</v>
      </c>
      <c r="AC40" s="228">
        <f t="shared" si="49"/>
        <v>85.786000000000001</v>
      </c>
      <c r="AD40" s="228"/>
      <c r="AE40" s="230">
        <f>(J40-W40)*V40+(G40-T40)*O40</f>
        <v>0</v>
      </c>
      <c r="AF40" s="228">
        <f>AA40</f>
        <v>68.42</v>
      </c>
      <c r="AG40" s="228">
        <v>75.17</v>
      </c>
      <c r="AH40" s="228">
        <f>IF(B40="ОСНО",AG40*1.18,AG40)</f>
        <v>88.700599999999994</v>
      </c>
      <c r="AI40" s="244">
        <f>AF40</f>
        <v>68.42</v>
      </c>
      <c r="AJ40" s="244">
        <v>75.17</v>
      </c>
      <c r="AK40" s="228">
        <f>IF(B40="ОСНО",AJ40*1.18,AJ40)</f>
        <v>88.700599999999994</v>
      </c>
      <c r="AL40" s="229">
        <f t="shared" ref="AL40:AL42" si="54">(AG40*AF40)/(AB40*AA40)</f>
        <v>1.0339752407152683</v>
      </c>
      <c r="AM40" s="229">
        <f t="shared" ref="AM40:AM43" si="55">(AK40*AI40)/(AH40*AF40)</f>
        <v>1</v>
      </c>
      <c r="AN40" s="234"/>
      <c r="AO40" s="234"/>
      <c r="AP40" s="228">
        <f>IF(B40="ОСНО",AO40*1.18,AO40)</f>
        <v>0</v>
      </c>
      <c r="AQ40" s="228"/>
      <c r="AR40" s="267"/>
      <c r="AS40" s="234"/>
      <c r="AT40" s="228"/>
      <c r="AU40" s="244"/>
      <c r="AV40" s="244"/>
      <c r="AW40" s="228"/>
      <c r="AX40" s="250"/>
      <c r="AY40" s="229"/>
      <c r="AZ40" s="229"/>
      <c r="BA40" s="230">
        <f t="shared" si="14"/>
        <v>0</v>
      </c>
    </row>
    <row r="41" spans="1:53" s="231" customFormat="1" ht="15.75" hidden="1">
      <c r="A41" s="246" t="s">
        <v>189</v>
      </c>
      <c r="B41" s="246" t="s">
        <v>397</v>
      </c>
      <c r="C41" s="244">
        <f>98.19/2</f>
        <v>49.094999999999999</v>
      </c>
      <c r="D41" s="244">
        <v>87.02</v>
      </c>
      <c r="E41" s="228">
        <f t="shared" si="51"/>
        <v>102.68359999999998</v>
      </c>
      <c r="F41" s="244">
        <v>46.640999999999998</v>
      </c>
      <c r="G41" s="244">
        <v>84.83</v>
      </c>
      <c r="H41" s="228">
        <f t="shared" si="10"/>
        <v>100.09939999999999</v>
      </c>
      <c r="I41" s="244">
        <f>F41</f>
        <v>46.640999999999998</v>
      </c>
      <c r="J41" s="244">
        <v>85.83</v>
      </c>
      <c r="K41" s="228">
        <f t="shared" si="11"/>
        <v>101.2794</v>
      </c>
      <c r="L41" s="250">
        <f t="shared" si="53"/>
        <v>0.92610659510338689</v>
      </c>
      <c r="M41" s="229">
        <f t="shared" si="46"/>
        <v>1.0117882824472475</v>
      </c>
      <c r="N41" s="250" t="s">
        <v>228</v>
      </c>
      <c r="O41" s="228">
        <f>29.56/2</f>
        <v>14.78</v>
      </c>
      <c r="P41" s="228">
        <v>22.42</v>
      </c>
      <c r="Q41" s="228">
        <f t="shared" si="47"/>
        <v>26.4556</v>
      </c>
      <c r="R41" s="228"/>
      <c r="S41" s="228">
        <v>13.468999999999999</v>
      </c>
      <c r="T41" s="228">
        <v>23.47</v>
      </c>
      <c r="U41" s="228">
        <f t="shared" si="48"/>
        <v>27.694599999999998</v>
      </c>
      <c r="V41" s="244">
        <f>S41</f>
        <v>13.468999999999999</v>
      </c>
      <c r="W41" s="244">
        <f>T41*1.04</f>
        <v>24.408799999999999</v>
      </c>
      <c r="X41" s="228">
        <f>IF(B41="ОСНО",W41*1.18,W41)</f>
        <v>28.802383999999996</v>
      </c>
      <c r="Y41" s="229">
        <f>(T41*S41)/(P41*O41)</f>
        <v>0.95397808958992947</v>
      </c>
      <c r="Z41" s="229">
        <f>(X41*V41)/(U41*S41)</f>
        <v>1.04</v>
      </c>
      <c r="AA41" s="228">
        <f>69.6/2</f>
        <v>34.799999999999997</v>
      </c>
      <c r="AB41" s="228">
        <v>54.98</v>
      </c>
      <c r="AC41" s="228">
        <f t="shared" si="49"/>
        <v>64.87639999999999</v>
      </c>
      <c r="AD41" s="228"/>
      <c r="AE41" s="230">
        <f>(85.83-T41)*S41+(J41-W41)*V41</f>
        <v>1667.2089827999998</v>
      </c>
      <c r="AF41" s="228">
        <v>33.06</v>
      </c>
      <c r="AG41" s="228">
        <v>59.27</v>
      </c>
      <c r="AH41" s="228">
        <f>IF(B41="ОСНО",AG41*1.18,AG41)</f>
        <v>69.938599999999994</v>
      </c>
      <c r="AI41" s="244">
        <f>AF41</f>
        <v>33.06</v>
      </c>
      <c r="AJ41" s="244">
        <v>60.06</v>
      </c>
      <c r="AK41" s="228">
        <f>IF(B41="ОСНО",AJ41*1.18,AJ41)</f>
        <v>70.870800000000003</v>
      </c>
      <c r="AL41" s="229">
        <f t="shared" si="54"/>
        <v>1.0241269552564571</v>
      </c>
      <c r="AM41" s="229">
        <f t="shared" si="55"/>
        <v>1.0133288341488109</v>
      </c>
      <c r="AN41" s="234">
        <f>44.1/2</f>
        <v>22.05</v>
      </c>
      <c r="AO41" s="234">
        <v>15.77</v>
      </c>
      <c r="AP41" s="228">
        <f>IF(B41="ОСНО",AO41*1.18,AO41)</f>
        <v>18.608599999999999</v>
      </c>
      <c r="AQ41" s="228"/>
      <c r="AR41" s="267">
        <v>20.948</v>
      </c>
      <c r="AS41" s="234">
        <v>16.510000000000002</v>
      </c>
      <c r="AT41" s="228">
        <f>IF(B41="ОСНО",AS41*1.18,AS41)</f>
        <v>19.4818</v>
      </c>
      <c r="AU41" s="244">
        <f>AR41</f>
        <v>20.948</v>
      </c>
      <c r="AV41" s="244">
        <f>AS41*1.04</f>
        <v>17.170400000000001</v>
      </c>
      <c r="AW41" s="228">
        <f>IF(B41="ОСНО",AV41*1.18,AV41)</f>
        <v>20.261071999999999</v>
      </c>
      <c r="AX41" s="250">
        <f t="shared" ref="AX41:AX42" si="56">AS41/AO41</f>
        <v>1.0469245402663285</v>
      </c>
      <c r="AY41" s="229">
        <f t="shared" ref="AY41:AY43" si="57">(AW41*AU41)/(AT41*AR41)</f>
        <v>1.04</v>
      </c>
      <c r="AZ41" s="229"/>
      <c r="BA41" s="230">
        <f t="shared" si="14"/>
        <v>1794.1878208000003</v>
      </c>
    </row>
    <row r="42" spans="1:53" s="231" customFormat="1" ht="15.75" hidden="1">
      <c r="A42" s="246" t="s">
        <v>190</v>
      </c>
      <c r="B42" s="246" t="s">
        <v>397</v>
      </c>
      <c r="C42" s="244">
        <f>56.1/2</f>
        <v>28.05</v>
      </c>
      <c r="D42" s="244">
        <v>40.299999999999997</v>
      </c>
      <c r="E42" s="228">
        <f t="shared" si="51"/>
        <v>47.553999999999995</v>
      </c>
      <c r="F42" s="244">
        <f t="shared" ref="F42" si="58">C42</f>
        <v>28.05</v>
      </c>
      <c r="G42" s="244">
        <v>43.11</v>
      </c>
      <c r="H42" s="228">
        <f t="shared" si="10"/>
        <v>50.869799999999998</v>
      </c>
      <c r="I42" s="244">
        <f t="shared" si="52"/>
        <v>28.05</v>
      </c>
      <c r="J42" s="244">
        <v>43.79</v>
      </c>
      <c r="K42" s="228">
        <f t="shared" si="11"/>
        <v>51.672199999999997</v>
      </c>
      <c r="L42" s="250">
        <f t="shared" si="53"/>
        <v>1.069727047146402</v>
      </c>
      <c r="M42" s="229">
        <f t="shared" si="46"/>
        <v>1.0157736024124333</v>
      </c>
      <c r="N42" s="250" t="s">
        <v>228</v>
      </c>
      <c r="O42" s="228">
        <f>36.11/2</f>
        <v>18.055</v>
      </c>
      <c r="P42" s="228">
        <v>22.42</v>
      </c>
      <c r="Q42" s="228">
        <f t="shared" si="47"/>
        <v>26.4556</v>
      </c>
      <c r="R42" s="228"/>
      <c r="S42" s="228">
        <f t="shared" ref="S42" si="59">O42</f>
        <v>18.055</v>
      </c>
      <c r="T42" s="228">
        <v>23.47</v>
      </c>
      <c r="U42" s="228">
        <f t="shared" si="48"/>
        <v>27.694599999999998</v>
      </c>
      <c r="V42" s="244">
        <f>S42</f>
        <v>18.055</v>
      </c>
      <c r="W42" s="244">
        <f>T42*1.04</f>
        <v>24.408799999999999</v>
      </c>
      <c r="X42" s="228">
        <f>IF(B42="ОСНО",W42*1.18,W42)</f>
        <v>28.802383999999996</v>
      </c>
      <c r="Y42" s="229">
        <f>(T42*S42)/(P42*O42)</f>
        <v>1.0468331846565564</v>
      </c>
      <c r="Z42" s="229">
        <f>(X42*V42)/(U42*S42)</f>
        <v>1.04</v>
      </c>
      <c r="AA42" s="228">
        <f>73.9/2</f>
        <v>36.950000000000003</v>
      </c>
      <c r="AB42" s="228">
        <v>28.01</v>
      </c>
      <c r="AC42" s="228">
        <f t="shared" si="49"/>
        <v>33.0518</v>
      </c>
      <c r="AD42" s="228"/>
      <c r="AE42" s="230">
        <f>(G42-T42)*S42+(J42-W42)*V42</f>
        <v>704.52776600000004</v>
      </c>
      <c r="AF42" s="228">
        <f t="shared" ref="AF42" si="60">AA42</f>
        <v>36.950000000000003</v>
      </c>
      <c r="AG42" s="228">
        <v>29.71</v>
      </c>
      <c r="AH42" s="228">
        <f>IF(B42="ОСНО",AG42*1.18,AG42)</f>
        <v>35.0578</v>
      </c>
      <c r="AI42" s="244">
        <f t="shared" ref="AI42" si="61">AF42</f>
        <v>36.950000000000003</v>
      </c>
      <c r="AJ42" s="244">
        <v>33.119999999999997</v>
      </c>
      <c r="AK42" s="228">
        <f>IF(B42="ОСНО",AJ42*1.18,AJ42)</f>
        <v>39.081599999999995</v>
      </c>
      <c r="AL42" s="229">
        <f t="shared" si="54"/>
        <v>1.0606926097822207</v>
      </c>
      <c r="AM42" s="229">
        <f t="shared" si="55"/>
        <v>1.1147761696398519</v>
      </c>
      <c r="AN42" s="267">
        <f>40.33/2</f>
        <v>20.164999999999999</v>
      </c>
      <c r="AO42" s="234">
        <v>19.829999999999998</v>
      </c>
      <c r="AP42" s="228">
        <f>IF(B42="ОСНО",AO42*1.18,AO42)</f>
        <v>23.399399999999996</v>
      </c>
      <c r="AQ42" s="228"/>
      <c r="AR42" s="267">
        <f t="shared" ref="AR42" si="62">AN42</f>
        <v>20.164999999999999</v>
      </c>
      <c r="AS42" s="234">
        <v>20.76</v>
      </c>
      <c r="AT42" s="228">
        <f>IF(B42="ОСНО",AS42*1.18,AS42)</f>
        <v>24.4968</v>
      </c>
      <c r="AU42" s="244">
        <f>AR42</f>
        <v>20.164999999999999</v>
      </c>
      <c r="AV42" s="244">
        <f>AS42*1.04</f>
        <v>21.590400000000002</v>
      </c>
      <c r="AW42" s="228">
        <f>IF(B42="ОСНО",AV42*1.18,AV42)</f>
        <v>25.476672000000001</v>
      </c>
      <c r="AX42" s="250">
        <f t="shared" si="56"/>
        <v>1.0468986384266266</v>
      </c>
      <c r="AY42" s="229">
        <f t="shared" si="57"/>
        <v>1.04</v>
      </c>
      <c r="AZ42" s="229"/>
      <c r="BA42" s="230">
        <f t="shared" si="14"/>
        <v>412.97113399999989</v>
      </c>
    </row>
    <row r="43" spans="1:53" s="231" customFormat="1" ht="15.75" hidden="1">
      <c r="A43" s="245" t="s">
        <v>359</v>
      </c>
      <c r="B43" s="245" t="s">
        <v>397</v>
      </c>
      <c r="C43" s="243">
        <f>2687.6/2</f>
        <v>1343.8</v>
      </c>
      <c r="D43" s="243">
        <v>35.51</v>
      </c>
      <c r="E43" s="228">
        <f t="shared" si="51"/>
        <v>41.901799999999994</v>
      </c>
      <c r="F43" s="243">
        <f>2687.6/2</f>
        <v>1343.8</v>
      </c>
      <c r="G43" s="243">
        <v>36.090000000000003</v>
      </c>
      <c r="H43" s="228">
        <f t="shared" si="10"/>
        <v>42.586200000000005</v>
      </c>
      <c r="I43" s="244">
        <f>F43</f>
        <v>1343.8</v>
      </c>
      <c r="J43" s="243">
        <v>41.71</v>
      </c>
      <c r="K43" s="228">
        <f t="shared" si="11"/>
        <v>49.217799999999997</v>
      </c>
      <c r="L43" s="265">
        <f>(G43*F43)/(D43*C43)</f>
        <v>1.0163334272036049</v>
      </c>
      <c r="M43" s="229">
        <f t="shared" si="46"/>
        <v>1.1557218065946244</v>
      </c>
      <c r="N43" s="265" t="s">
        <v>228</v>
      </c>
      <c r="O43" s="227">
        <f>1120/2</f>
        <v>560</v>
      </c>
      <c r="P43" s="227">
        <v>22.42</v>
      </c>
      <c r="Q43" s="228">
        <f t="shared" si="47"/>
        <v>26.4556</v>
      </c>
      <c r="R43" s="228"/>
      <c r="S43" s="227">
        <f>1120/2</f>
        <v>560</v>
      </c>
      <c r="T43" s="227">
        <v>23.47</v>
      </c>
      <c r="U43" s="228">
        <f t="shared" si="48"/>
        <v>27.694599999999998</v>
      </c>
      <c r="V43" s="244">
        <f>S43</f>
        <v>560</v>
      </c>
      <c r="W43" s="243">
        <f>W37</f>
        <v>25.53</v>
      </c>
      <c r="X43" s="228">
        <f>IF(B43="ОСНО",W43*1.18,W43)</f>
        <v>30.125399999999999</v>
      </c>
      <c r="Y43" s="262">
        <f>(T43*S43)/(P43*O43)</f>
        <v>1.0468331846565564</v>
      </c>
      <c r="Z43" s="229">
        <f>(X43*V43)/(U43*S43)</f>
        <v>1.0877716233489561</v>
      </c>
      <c r="AA43" s="227">
        <f>2628.733/2</f>
        <v>1314.3665000000001</v>
      </c>
      <c r="AB43" s="227">
        <v>22.48</v>
      </c>
      <c r="AC43" s="228">
        <f t="shared" si="49"/>
        <v>26.526399999999999</v>
      </c>
      <c r="AD43" s="228"/>
      <c r="AE43" s="230">
        <f>(J43-W43)*V43+(G43-T43)*O43</f>
        <v>16128.000000000002</v>
      </c>
      <c r="AF43" s="227">
        <f>2628.73/2</f>
        <v>1314.365</v>
      </c>
      <c r="AG43" s="227">
        <v>23.29</v>
      </c>
      <c r="AH43" s="228">
        <f>IF(B43="ОСНО",AG43*1.18,AG43)</f>
        <v>27.482199999999999</v>
      </c>
      <c r="AI43" s="243">
        <f>AF43</f>
        <v>1314.365</v>
      </c>
      <c r="AJ43" s="243">
        <v>25.3</v>
      </c>
      <c r="AK43" s="228">
        <f>IF(B43="ОСНО",AJ43*1.18,AJ43)</f>
        <v>29.853999999999999</v>
      </c>
      <c r="AL43" s="262">
        <f>(AG43*AF43)/(AB43*AA43)</f>
        <v>1.0360308461145684</v>
      </c>
      <c r="AM43" s="229">
        <f t="shared" si="55"/>
        <v>1.086303134392443</v>
      </c>
      <c r="AN43" s="227">
        <f>1850/2</f>
        <v>925</v>
      </c>
      <c r="AO43" s="227">
        <v>19.829999999999998</v>
      </c>
      <c r="AP43" s="228">
        <f>IF(B43="ОСНО",AO43*1.18,AO43)</f>
        <v>23.399399999999996</v>
      </c>
      <c r="AQ43" s="228"/>
      <c r="AR43" s="227">
        <f>1850/2</f>
        <v>925</v>
      </c>
      <c r="AS43" s="227">
        <v>21.5</v>
      </c>
      <c r="AT43" s="228">
        <f>IF(B43="ОСНО",AS43*1.18,AS43)</f>
        <v>25.369999999999997</v>
      </c>
      <c r="AU43" s="243">
        <f>AR43</f>
        <v>925</v>
      </c>
      <c r="AV43" s="243">
        <f>AS43*1.04</f>
        <v>22.36</v>
      </c>
      <c r="AW43" s="228">
        <f>IF(B43="ОСНО",AV43*1.18,AV43)</f>
        <v>26.384799999999998</v>
      </c>
      <c r="AX43" s="262">
        <f t="shared" si="50"/>
        <v>1.0842158345940494</v>
      </c>
      <c r="AY43" s="229">
        <f t="shared" si="57"/>
        <v>1.04</v>
      </c>
      <c r="AZ43" s="229"/>
      <c r="BA43" s="230">
        <f t="shared" si="14"/>
        <v>4375.2500000000009</v>
      </c>
    </row>
    <row r="44" spans="1:53" s="216" customFormat="1" ht="15.75">
      <c r="A44" s="185" t="s">
        <v>184</v>
      </c>
      <c r="B44" s="185"/>
      <c r="C44" s="189">
        <f>SUM(C45:C48)</f>
        <v>2627.7269999999999</v>
      </c>
      <c r="D44" s="189">
        <f>SUMPRODUCT(C45:C48,D45:D48)/C44</f>
        <v>33.87263684355338</v>
      </c>
      <c r="E44" s="42">
        <f>SUMPRODUCT(C45:C48,E45:E48)/C44</f>
        <v>39.969711475392998</v>
      </c>
      <c r="F44" s="189">
        <f>SUM(F45:F48)</f>
        <v>2513.7199999999998</v>
      </c>
      <c r="G44" s="189">
        <f>SUMPRODUCT(F45:F48,G45:G48)/F44</f>
        <v>35.630145461706157</v>
      </c>
      <c r="H44" s="42">
        <f>SUMPRODUCT(F45:F48,H45:H48)/F44</f>
        <v>42.043571644813262</v>
      </c>
      <c r="I44" s="189">
        <f>SUM(I45:I48)</f>
        <v>2513.7199999999998</v>
      </c>
      <c r="J44" s="189">
        <f>SUMPRODUCT(I45:I48,J45:J48)/I44</f>
        <v>38.129223939022644</v>
      </c>
      <c r="K44" s="42">
        <f>SUMPRODUCT(I45:I48,K45:K48)/I44</f>
        <v>44.992484248046722</v>
      </c>
      <c r="L44" s="190">
        <f>G44/D44</f>
        <v>1.0518857928383354</v>
      </c>
      <c r="M44" s="84">
        <f>J44/G44</f>
        <v>1.0701394407722078</v>
      </c>
      <c r="N44" s="190"/>
      <c r="O44" s="189">
        <f>SUM(O45:O48)</f>
        <v>1395.8589999999999</v>
      </c>
      <c r="P44" s="189">
        <f>SUMPRODUCT(O45:O48,P45:P48)/O44</f>
        <v>25.884590406337605</v>
      </c>
      <c r="Q44" s="42">
        <f>SUMPRODUCT(O45:O48,Q45:Q48)/O44</f>
        <v>30.543816679478372</v>
      </c>
      <c r="R44" s="84">
        <f>K44/H44</f>
        <v>1.070139440772208</v>
      </c>
      <c r="S44" s="189">
        <f>SUM(S45:S48)</f>
        <v>1410.28</v>
      </c>
      <c r="T44" s="189">
        <f>SUMPRODUCT(S45:S48,T45:T48)/S44</f>
        <v>27.713169228805629</v>
      </c>
      <c r="U44" s="42">
        <f>SUMPRODUCT(S45:S48,U45:U48)/S44</f>
        <v>32.701539689990639</v>
      </c>
      <c r="V44" s="189">
        <f>SUM(V45:V48)</f>
        <v>1410.28</v>
      </c>
      <c r="W44" s="189">
        <f>SUMPRODUCT(V45:V48,W45:W48)/V44</f>
        <v>28.871409223700258</v>
      </c>
      <c r="X44" s="42">
        <f>SUMPRODUCT(V45:V48,X45:X48)/V44</f>
        <v>34.068262883966305</v>
      </c>
      <c r="Y44" s="190">
        <f>T44/P44</f>
        <v>1.0706435293648808</v>
      </c>
      <c r="Z44" s="84">
        <f>W44/T44</f>
        <v>1.0417938484527685</v>
      </c>
      <c r="AA44" s="189">
        <f>SUM(AA45:AA48)</f>
        <v>2313.84</v>
      </c>
      <c r="AB44" s="189">
        <f>SUMPRODUCT(AA45:AA48,AB45:AB48)/AA44</f>
        <v>28.00516375375998</v>
      </c>
      <c r="AC44" s="42">
        <f>SUMPRODUCT(AA45:AA48,AC45:AC48)/AA44</f>
        <v>33.046093229436778</v>
      </c>
      <c r="AD44" s="84">
        <f>X44/U44</f>
        <v>1.0417938484527687</v>
      </c>
      <c r="AE44" s="222">
        <f>AE45+AE46+AE47+AE48</f>
        <v>21871.292569999998</v>
      </c>
      <c r="AF44" s="189">
        <f>SUM(AF45:AF48)</f>
        <v>2206.79</v>
      </c>
      <c r="AG44" s="189">
        <f>SUMPRODUCT(AF45:AF48,AG45:AG48)/AF44</f>
        <v>29.143793496436004</v>
      </c>
      <c r="AH44" s="42">
        <f>SUMPRODUCT(AF45:AF48,AH45:AH48)/AF44</f>
        <v>34.389676325794483</v>
      </c>
      <c r="AI44" s="189">
        <f>SUM(AI45:AI48)</f>
        <v>2206.79</v>
      </c>
      <c r="AJ44" s="189">
        <f>SUMPRODUCT(AI45:AI48,AJ45:AJ48)/AI44</f>
        <v>32.370456432193365</v>
      </c>
      <c r="AK44" s="42">
        <f>SUMPRODUCT(AI45:AI48,AK45:AK48)/AI44</f>
        <v>38.197138589988171</v>
      </c>
      <c r="AL44" s="190">
        <f>AG44/AB44</f>
        <v>1.0406578498411083</v>
      </c>
      <c r="AM44" s="84">
        <f>AJ44/AG44</f>
        <v>1.1107152689697706</v>
      </c>
      <c r="AN44" s="189">
        <f>SUM(AN45:AN48)</f>
        <v>1506.8549999999998</v>
      </c>
      <c r="AO44" s="189">
        <f>SUMPRODUCT(AN45:AN48,AO45:AO48)/AN44</f>
        <v>23.163502958147934</v>
      </c>
      <c r="AP44" s="42">
        <f>SUMPRODUCT(AN45:AN48,AP45:AP48)/AN44</f>
        <v>27.332933490614561</v>
      </c>
      <c r="AQ44" s="84">
        <f>AK44/AH44</f>
        <v>1.1107152689697706</v>
      </c>
      <c r="AR44" s="189">
        <f>SUM(AR45:AR48)</f>
        <v>1418.3249999999998</v>
      </c>
      <c r="AS44" s="189">
        <f>SUMPRODUCT(AR45:AR48,AS45:AS48)/AR44</f>
        <v>24.811453157774135</v>
      </c>
      <c r="AT44" s="42">
        <f>SUMPRODUCT(AR45:AR48,AT45:AT48)/AR44</f>
        <v>29.277514726173475</v>
      </c>
      <c r="AU44" s="189">
        <f>SUM(AU45:AU48)</f>
        <v>1418.3249999999998</v>
      </c>
      <c r="AV44" s="189">
        <f>SUMPRODUCT(AU45:AU48,AV45:AV48)/AU44</f>
        <v>25.873602773694326</v>
      </c>
      <c r="AW44" s="42">
        <f>SUMPRODUCT(AU45:AU48,AW45:AW48)/AU44</f>
        <v>30.530851272959303</v>
      </c>
      <c r="AX44" s="190">
        <f>AS44/AO44</f>
        <v>1.071144256661168</v>
      </c>
      <c r="AY44" s="84">
        <f>AV44/AS44</f>
        <v>1.0428088435274654</v>
      </c>
      <c r="AZ44" s="84">
        <f>AW44/AT44</f>
        <v>1.0428088435274656</v>
      </c>
      <c r="BA44" s="222">
        <f>SUM(BA45:BA48)</f>
        <v>10924.827500000001</v>
      </c>
    </row>
    <row r="45" spans="1:53" s="231" customFormat="1" ht="15.75" hidden="1">
      <c r="A45" s="245" t="s">
        <v>360</v>
      </c>
      <c r="B45" s="245" t="s">
        <v>397</v>
      </c>
      <c r="C45" s="227">
        <f>3989.217/2</f>
        <v>1994.6085</v>
      </c>
      <c r="D45" s="227">
        <v>31.52</v>
      </c>
      <c r="E45" s="228">
        <f t="shared" si="51"/>
        <v>37.193599999999996</v>
      </c>
      <c r="F45" s="227">
        <f>3771/2</f>
        <v>1885.5</v>
      </c>
      <c r="G45" s="227">
        <v>33.72</v>
      </c>
      <c r="H45" s="228">
        <f t="shared" si="10"/>
        <v>39.7896</v>
      </c>
      <c r="I45" s="227">
        <f>F45</f>
        <v>1885.5</v>
      </c>
      <c r="J45" s="227">
        <v>36.03</v>
      </c>
      <c r="K45" s="228">
        <f t="shared" si="11"/>
        <v>42.5154</v>
      </c>
      <c r="L45" s="262">
        <f>(G45*F45)/(D45*C45)</f>
        <v>1.0112772292710104</v>
      </c>
      <c r="M45" s="229">
        <f>(K45*I45)/(H45*F45)</f>
        <v>1.0685053380782918</v>
      </c>
      <c r="N45" s="262" t="s">
        <v>229</v>
      </c>
      <c r="O45" s="227">
        <f>2428.56/2</f>
        <v>1214.28</v>
      </c>
      <c r="P45" s="227">
        <v>25.95</v>
      </c>
      <c r="Q45" s="228">
        <f>IF(B45="ОСНО",P45*1.18,P45)</f>
        <v>30.620999999999999</v>
      </c>
      <c r="R45" s="228"/>
      <c r="S45" s="227">
        <f>2380/2</f>
        <v>1190</v>
      </c>
      <c r="T45" s="227">
        <v>27.8</v>
      </c>
      <c r="U45" s="228">
        <f>IF(B45="ОСНО",T45*1.18,T45)</f>
        <v>32.804000000000002</v>
      </c>
      <c r="V45" s="227">
        <f>S45</f>
        <v>1190</v>
      </c>
      <c r="W45" s="227">
        <v>28.96</v>
      </c>
      <c r="X45" s="228">
        <f>IF(B45="ОСНО",W45*1.18,W45)</f>
        <v>34.172800000000002</v>
      </c>
      <c r="Y45" s="262">
        <f>(T45*S45)/(P45*O45)</f>
        <v>1.0498700658058633</v>
      </c>
      <c r="Z45" s="229">
        <f>(X45*V45)/(U45*S45)</f>
        <v>1.041726618705036</v>
      </c>
      <c r="AA45" s="227">
        <f>3445/2</f>
        <v>1722.5</v>
      </c>
      <c r="AB45" s="227">
        <v>24.29</v>
      </c>
      <c r="AC45" s="228">
        <f>IF(B45="ОСНО",AB45*1.18,AB45)</f>
        <v>28.662199999999999</v>
      </c>
      <c r="AD45" s="228"/>
      <c r="AE45" s="230">
        <f>(J45-W45)*V45+(G45-T45)*O45</f>
        <v>15601.837599999999</v>
      </c>
      <c r="AF45" s="227">
        <f>3272.75/2</f>
        <v>1636.375</v>
      </c>
      <c r="AG45" s="227">
        <v>25.13</v>
      </c>
      <c r="AH45" s="228">
        <f>IF(B45="ОСНО",AG45*1.18,AG45)</f>
        <v>29.653399999999998</v>
      </c>
      <c r="AI45" s="227">
        <f>AF45</f>
        <v>1636.375</v>
      </c>
      <c r="AJ45" s="227">
        <v>26.64</v>
      </c>
      <c r="AK45" s="228">
        <f>IF(B45="ОСНО",AJ45*1.18,AJ45)</f>
        <v>31.435199999999998</v>
      </c>
      <c r="AL45" s="262">
        <f>(AG45*AF45)/(AB45*AA45)</f>
        <v>0.98285302593659929</v>
      </c>
      <c r="AM45" s="229">
        <f>(AK45*AI45)/(AH45*AF45)</f>
        <v>1.0600875447672107</v>
      </c>
      <c r="AN45" s="259">
        <f>2448/2</f>
        <v>1224</v>
      </c>
      <c r="AO45" s="259">
        <v>21.01</v>
      </c>
      <c r="AP45" s="228">
        <f>IF(B45="ОСНО",AO45*1.18,AO45)</f>
        <v>24.791800000000002</v>
      </c>
      <c r="AQ45" s="228"/>
      <c r="AR45" s="259">
        <f>2300/2</f>
        <v>1150</v>
      </c>
      <c r="AS45" s="259">
        <v>22.5</v>
      </c>
      <c r="AT45" s="228">
        <f>IF(B45="ОСНО",AS45*1.18,AS45)</f>
        <v>26.549999999999997</v>
      </c>
      <c r="AU45" s="227">
        <f>AR45</f>
        <v>1150</v>
      </c>
      <c r="AV45" s="227">
        <v>23.47</v>
      </c>
      <c r="AW45" s="228">
        <f>IF(B45="ОСНО",AV45*1.18,AV45)</f>
        <v>27.694599999999998</v>
      </c>
      <c r="AX45" s="262">
        <f t="shared" si="50"/>
        <v>1.0061735308116582</v>
      </c>
      <c r="AY45" s="229">
        <f>(AW45*AU45)/(AT45*AR45)</f>
        <v>1.0431111111111111</v>
      </c>
      <c r="AZ45" s="229"/>
      <c r="BA45" s="230">
        <f t="shared" si="14"/>
        <v>6670</v>
      </c>
    </row>
    <row r="46" spans="1:53" s="231" customFormat="1" ht="15.75" hidden="1">
      <c r="A46" s="245" t="s">
        <v>361</v>
      </c>
      <c r="B46" s="245" t="s">
        <v>397</v>
      </c>
      <c r="C46" s="227">
        <f>21.42/2</f>
        <v>10.71</v>
      </c>
      <c r="D46" s="227">
        <v>16.059999999999999</v>
      </c>
      <c r="E46" s="228">
        <f t="shared" si="51"/>
        <v>18.950799999999997</v>
      </c>
      <c r="F46" s="227">
        <f>20.35/2</f>
        <v>10.175000000000001</v>
      </c>
      <c r="G46" s="227">
        <v>16.059999999999999</v>
      </c>
      <c r="H46" s="228">
        <f t="shared" si="10"/>
        <v>18.950799999999997</v>
      </c>
      <c r="I46" s="227">
        <f>F46</f>
        <v>10.175000000000001</v>
      </c>
      <c r="J46" s="227">
        <v>17.93</v>
      </c>
      <c r="K46" s="228">
        <f t="shared" si="11"/>
        <v>21.157399999999999</v>
      </c>
      <c r="L46" s="262">
        <f>(G46*F46)/(D46*C46)</f>
        <v>0.95004668534080294</v>
      </c>
      <c r="M46" s="229">
        <f>(K46*I46)/(H46*F46)</f>
        <v>1.1164383561643836</v>
      </c>
      <c r="N46" s="262" t="s">
        <v>229</v>
      </c>
      <c r="O46" s="227"/>
      <c r="P46" s="227"/>
      <c r="Q46" s="228">
        <f>IF(B46="ОСНО",P46*1.18,P46)</f>
        <v>0</v>
      </c>
      <c r="R46" s="228"/>
      <c r="S46" s="227"/>
      <c r="T46" s="227"/>
      <c r="U46" s="228">
        <f>IF(B46="ОСНО",T46*1.18,T46)</f>
        <v>0</v>
      </c>
      <c r="V46" s="227"/>
      <c r="W46" s="227"/>
      <c r="X46" s="228"/>
      <c r="Y46" s="263"/>
      <c r="Z46" s="229"/>
      <c r="AA46" s="227"/>
      <c r="AB46" s="227"/>
      <c r="AC46" s="228">
        <f>IF(B46="ОСНО",AB46*1.18,AB46)</f>
        <v>0</v>
      </c>
      <c r="AD46" s="228"/>
      <c r="AE46" s="230"/>
      <c r="AF46" s="227"/>
      <c r="AG46" s="227"/>
      <c r="AH46" s="228">
        <f>IF(B46="ОСНО",AG46*1.18,AG46)</f>
        <v>0</v>
      </c>
      <c r="AI46" s="227"/>
      <c r="AJ46" s="227"/>
      <c r="AK46" s="228">
        <f>IF(B46="ОСНО",AJ46*1.18,AJ46)</f>
        <v>0</v>
      </c>
      <c r="AL46" s="263"/>
      <c r="AM46" s="229"/>
      <c r="AN46" s="259">
        <f>18.93/2</f>
        <v>9.4649999999999999</v>
      </c>
      <c r="AO46" s="259">
        <v>13.79</v>
      </c>
      <c r="AP46" s="228">
        <f>IF(B46="ОСНО",AO46*1.18,AO46)</f>
        <v>16.272199999999998</v>
      </c>
      <c r="AQ46" s="228"/>
      <c r="AR46" s="259">
        <f>AN46</f>
        <v>9.4649999999999999</v>
      </c>
      <c r="AS46" s="259">
        <v>14.28</v>
      </c>
      <c r="AT46" s="228">
        <f>IF(B46="ОСНО",AS46*1.18,AS46)</f>
        <v>16.850399999999997</v>
      </c>
      <c r="AU46" s="227">
        <f>AR46</f>
        <v>9.4649999999999999</v>
      </c>
      <c r="AV46" s="227">
        <v>14.87</v>
      </c>
      <c r="AW46" s="228">
        <f>IF(B46="ОСНО",AV46*1.18,AV46)</f>
        <v>17.546599999999998</v>
      </c>
      <c r="AX46" s="262">
        <f t="shared" si="50"/>
        <v>1.0355329949238581</v>
      </c>
      <c r="AY46" s="229">
        <f t="shared" ref="AY46:AY48" si="63">(AW46*AU46)/(AT46*AR46)</f>
        <v>1.0413165266106443</v>
      </c>
      <c r="AZ46" s="229"/>
      <c r="BA46" s="230"/>
    </row>
    <row r="47" spans="1:53" s="231" customFormat="1" ht="15.75" hidden="1">
      <c r="A47" s="246" t="s">
        <v>191</v>
      </c>
      <c r="B47" s="246" t="s">
        <v>397</v>
      </c>
      <c r="C47" s="244">
        <f>27/2</f>
        <v>13.5</v>
      </c>
      <c r="D47" s="244">
        <v>40.299999999999997</v>
      </c>
      <c r="E47" s="228">
        <f t="shared" si="51"/>
        <v>47.553999999999995</v>
      </c>
      <c r="F47" s="244">
        <f>C47</f>
        <v>13.5</v>
      </c>
      <c r="G47" s="244">
        <v>43.11</v>
      </c>
      <c r="H47" s="228">
        <f t="shared" si="10"/>
        <v>50.869799999999998</v>
      </c>
      <c r="I47" s="244">
        <f>F47</f>
        <v>13.5</v>
      </c>
      <c r="J47" s="244">
        <v>43.79</v>
      </c>
      <c r="K47" s="228">
        <f t="shared" si="11"/>
        <v>51.672199999999997</v>
      </c>
      <c r="L47" s="229">
        <f t="shared" ref="L47" si="64">(G47*F47)/(D47*C47)</f>
        <v>1.0697270471464022</v>
      </c>
      <c r="M47" s="229">
        <f>(K47*I47)/(H47*F47)</f>
        <v>1.0157736024124333</v>
      </c>
      <c r="N47" s="229" t="s">
        <v>229</v>
      </c>
      <c r="O47" s="228">
        <f>18.62/2</f>
        <v>9.31</v>
      </c>
      <c r="P47" s="228">
        <v>25.95</v>
      </c>
      <c r="Q47" s="228">
        <f>IF(B47="ОСНО",P47*1.18,P47)</f>
        <v>30.620999999999999</v>
      </c>
      <c r="R47" s="228"/>
      <c r="S47" s="228">
        <f>O47</f>
        <v>9.31</v>
      </c>
      <c r="T47" s="228">
        <v>27.79</v>
      </c>
      <c r="U47" s="228">
        <f>IF(B47="ОСНО",T47*1.18,T47)</f>
        <v>32.792199999999994</v>
      </c>
      <c r="V47" s="244">
        <v>9.31</v>
      </c>
      <c r="W47" s="244">
        <v>28.91</v>
      </c>
      <c r="X47" s="228">
        <f>IF(B47="ОСНО",W47*1.18,W47)</f>
        <v>34.113799999999998</v>
      </c>
      <c r="Y47" s="229">
        <f>(T47*S47)/(P47*O47)</f>
        <v>1.0709055876685933</v>
      </c>
      <c r="Z47" s="229">
        <f>(X47*V47)/(U47*S47)</f>
        <v>1.040302267002519</v>
      </c>
      <c r="AA47" s="228">
        <f>18.62/2</f>
        <v>9.31</v>
      </c>
      <c r="AB47" s="228">
        <v>28.01</v>
      </c>
      <c r="AC47" s="228">
        <f>IF(B47="ОСНО",AB47*1.18,AB47)</f>
        <v>33.0518</v>
      </c>
      <c r="AD47" s="228"/>
      <c r="AE47" s="230">
        <f>(J47-W47)*V47+(G47-T47)*O47</f>
        <v>281.16200000000003</v>
      </c>
      <c r="AF47" s="228">
        <f>AA47</f>
        <v>9.31</v>
      </c>
      <c r="AG47" s="228">
        <v>29.71</v>
      </c>
      <c r="AH47" s="228">
        <f>IF(B47="ОСНО",AG47*1.18,AG47)</f>
        <v>35.0578</v>
      </c>
      <c r="AI47" s="244">
        <f>AF47</f>
        <v>9.31</v>
      </c>
      <c r="AJ47" s="244">
        <v>33.119999999999997</v>
      </c>
      <c r="AK47" s="228">
        <f>IF(B47="ОСНО",AJ47*1.18,AJ47)</f>
        <v>39.081599999999995</v>
      </c>
      <c r="AL47" s="229">
        <f t="shared" ref="AL47" si="65">(AG47*AF47)/(AB47*AA47)</f>
        <v>1.0606926097822205</v>
      </c>
      <c r="AM47" s="229">
        <f t="shared" ref="AM47:AM48" si="66">(AK47*AI47)/(AH47*AF47)</f>
        <v>1.1147761696398517</v>
      </c>
      <c r="AN47" s="237">
        <f>18.62/2</f>
        <v>9.31</v>
      </c>
      <c r="AO47" s="237">
        <v>28.01</v>
      </c>
      <c r="AP47" s="228">
        <f>IF(B47="ОСНО",AO47*1.18,AO47)</f>
        <v>33.0518</v>
      </c>
      <c r="AQ47" s="228"/>
      <c r="AR47" s="237">
        <f>AN47</f>
        <v>9.31</v>
      </c>
      <c r="AS47" s="237">
        <v>29.71</v>
      </c>
      <c r="AT47" s="228">
        <f>IF(B47="ОСНО",AS47*1.18,AS47)</f>
        <v>35.0578</v>
      </c>
      <c r="AU47" s="244">
        <f>AR47</f>
        <v>9.31</v>
      </c>
      <c r="AV47" s="244">
        <f>AS47*1.04</f>
        <v>30.898400000000002</v>
      </c>
      <c r="AW47" s="228">
        <f>IF(B47="ОСНО",AV47*1.18,AV47)</f>
        <v>36.460112000000002</v>
      </c>
      <c r="AX47" s="250">
        <f t="shared" ref="AX47" si="67">AS47/AO47</f>
        <v>1.0606926097822207</v>
      </c>
      <c r="AY47" s="229">
        <f t="shared" si="63"/>
        <v>1.04</v>
      </c>
      <c r="AZ47" s="229"/>
      <c r="BA47" s="230"/>
    </row>
    <row r="48" spans="1:53" s="231" customFormat="1" ht="15.75" hidden="1">
      <c r="A48" s="245" t="s">
        <v>362</v>
      </c>
      <c r="B48" s="245" t="s">
        <v>397</v>
      </c>
      <c r="C48" s="227">
        <f>1217.817/2</f>
        <v>608.9085</v>
      </c>
      <c r="D48" s="227">
        <v>41.75</v>
      </c>
      <c r="E48" s="228">
        <f t="shared" si="51"/>
        <v>49.265000000000001</v>
      </c>
      <c r="F48" s="227">
        <f>1209.09/2</f>
        <v>604.54499999999996</v>
      </c>
      <c r="G48" s="227">
        <f>41.75</f>
        <v>41.75</v>
      </c>
      <c r="H48" s="228">
        <f t="shared" si="10"/>
        <v>49.265000000000001</v>
      </c>
      <c r="I48" s="227">
        <f>F48</f>
        <v>604.54499999999996</v>
      </c>
      <c r="J48" s="227">
        <v>44.89</v>
      </c>
      <c r="K48" s="228">
        <f t="shared" si="11"/>
        <v>52.970199999999998</v>
      </c>
      <c r="L48" s="262">
        <f>(G48*F48)/(D48*C48)</f>
        <v>0.9928338986892119</v>
      </c>
      <c r="M48" s="229">
        <f>(K48*I48)/(H48*F48)</f>
        <v>1.0752095808383233</v>
      </c>
      <c r="N48" s="262" t="s">
        <v>229</v>
      </c>
      <c r="O48" s="227">
        <f>344.538/2</f>
        <v>172.26900000000001</v>
      </c>
      <c r="P48" s="227">
        <v>25.42</v>
      </c>
      <c r="Q48" s="228">
        <f>IF(B48="ОСНО",P48*1.18,P48)</f>
        <v>29.9956</v>
      </c>
      <c r="R48" s="228"/>
      <c r="S48" s="227">
        <f>421.94/2</f>
        <v>210.97</v>
      </c>
      <c r="T48" s="227">
        <v>27.22</v>
      </c>
      <c r="U48" s="228">
        <f>IF(B48="ОСНО",T48*1.18,T48)</f>
        <v>32.119599999999998</v>
      </c>
      <c r="V48" s="227">
        <f>S48</f>
        <v>210.97</v>
      </c>
      <c r="W48" s="227">
        <v>28.37</v>
      </c>
      <c r="X48" s="228">
        <f>IF(B48="ОСНО",W48*1.18,W48)</f>
        <v>33.476599999999998</v>
      </c>
      <c r="Y48" s="262">
        <f>(T48*S48)/(P48*O48)</f>
        <v>1.3113727196061487</v>
      </c>
      <c r="Z48" s="229">
        <f>(X48*V48)/(U48*S48)</f>
        <v>1.0422483468038208</v>
      </c>
      <c r="AA48" s="227">
        <f>1164.06/2</f>
        <v>582.03</v>
      </c>
      <c r="AB48" s="227">
        <v>39</v>
      </c>
      <c r="AC48" s="228">
        <f>IF(B48="ОСНО",AB48*1.18,AB48)</f>
        <v>46.019999999999996</v>
      </c>
      <c r="AD48" s="228"/>
      <c r="AE48" s="230">
        <f>(J48-W48)*V48+(G48-T48)*O48</f>
        <v>5988.2929700000004</v>
      </c>
      <c r="AF48" s="227">
        <f>1122.21/2</f>
        <v>561.10500000000002</v>
      </c>
      <c r="AG48" s="227">
        <v>40.840000000000003</v>
      </c>
      <c r="AH48" s="228">
        <f>IF(B48="ОСНО",AG48*1.18,AG48)</f>
        <v>48.191200000000002</v>
      </c>
      <c r="AI48" s="227">
        <f>AF48</f>
        <v>561.10500000000002</v>
      </c>
      <c r="AJ48" s="227">
        <v>49.07</v>
      </c>
      <c r="AK48" s="228">
        <f>IF(B48="ОСНО",AJ48*1.18,AJ48)</f>
        <v>57.9026</v>
      </c>
      <c r="AL48" s="262">
        <f t="shared" ref="AL48" si="68">(AG48*AF48)/(AB48*AA48)</f>
        <v>1.0095315467481853</v>
      </c>
      <c r="AM48" s="229">
        <f t="shared" si="66"/>
        <v>1.2015181194906952</v>
      </c>
      <c r="AN48" s="259">
        <f>528.16/2</f>
        <v>264.08</v>
      </c>
      <c r="AO48" s="259">
        <v>33.31</v>
      </c>
      <c r="AP48" s="228">
        <f>IF(B48="ОСНО",AO48*1.18,AO48)</f>
        <v>39.305799999999998</v>
      </c>
      <c r="AQ48" s="228"/>
      <c r="AR48" s="259">
        <f>499.1/2</f>
        <v>249.55</v>
      </c>
      <c r="AS48" s="259">
        <v>35.68</v>
      </c>
      <c r="AT48" s="228">
        <f>IF(B48="ОСНО",AS48*1.18,AS48)</f>
        <v>42.102399999999996</v>
      </c>
      <c r="AU48" s="227">
        <f>AR48</f>
        <v>249.55</v>
      </c>
      <c r="AV48" s="227">
        <v>37.18</v>
      </c>
      <c r="AW48" s="228">
        <f>IF(B48="ОСНО",AV48*1.18,AV48)</f>
        <v>43.872399999999999</v>
      </c>
      <c r="AX48" s="262">
        <f t="shared" si="50"/>
        <v>1.0122138511195946</v>
      </c>
      <c r="AY48" s="229">
        <f t="shared" si="63"/>
        <v>1.0420403587443947</v>
      </c>
      <c r="AZ48" s="229"/>
      <c r="BA48" s="230">
        <f t="shared" si="14"/>
        <v>4254.8275000000012</v>
      </c>
    </row>
    <row r="49" spans="1:53" s="217" customFormat="1" ht="29.25" customHeight="1">
      <c r="A49" s="193" t="s">
        <v>18</v>
      </c>
      <c r="B49" s="193"/>
      <c r="C49" s="42">
        <f>SUM(C50:C57)</f>
        <v>116.78150000000001</v>
      </c>
      <c r="D49" s="42">
        <f>SUMPRODUCT(C50:C57,D50:D57)/C49</f>
        <v>57.438001395769021</v>
      </c>
      <c r="E49" s="42">
        <f>SUMPRODUCT(C50:C57,E50:E57)/C49</f>
        <v>57.438001395769021</v>
      </c>
      <c r="F49" s="42">
        <f>SUM(F50:F57)</f>
        <v>116.7015</v>
      </c>
      <c r="G49" s="42">
        <f>SUMPRODUCT(F50:F57,G50:G57)/F49</f>
        <v>58.48173905219727</v>
      </c>
      <c r="H49" s="42">
        <f>SUMPRODUCT(F50:F57,H50:H57)/F49</f>
        <v>58.48173905219727</v>
      </c>
      <c r="I49" s="42">
        <f>SUM(I50:I57)</f>
        <v>116.7015</v>
      </c>
      <c r="J49" s="42">
        <f>SUMPRODUCT(I50:I57,J50:J57)/I49</f>
        <v>62.009340196998338</v>
      </c>
      <c r="K49" s="42">
        <f>SUMPRODUCT(I50:I57,K50:K57)/I49</f>
        <v>62.009340196998338</v>
      </c>
      <c r="L49" s="84">
        <f>G49/D49</f>
        <v>1.0181715524751029</v>
      </c>
      <c r="M49" s="84">
        <f>J49/G49</f>
        <v>1.0603197032436491</v>
      </c>
      <c r="N49" s="84"/>
      <c r="O49" s="42">
        <f>SUM(O50:O57)</f>
        <v>71.305000000000007</v>
      </c>
      <c r="P49" s="42">
        <f>SUMPRODUCT(O50:O57,P50:P57)/O49</f>
        <v>50.704421849800148</v>
      </c>
      <c r="Q49" s="42">
        <f>SUMPRODUCT(O50:O57,Q50:Q57)/O49</f>
        <v>50.704421849800148</v>
      </c>
      <c r="R49" s="84">
        <f>K49/H49</f>
        <v>1.0603197032436491</v>
      </c>
      <c r="S49" s="42">
        <f>SUM(S50:S57)</f>
        <v>71.301999999999992</v>
      </c>
      <c r="T49" s="42">
        <f>SUMPRODUCT(S50:S57,T50:T57)/S49</f>
        <v>54.037466200106579</v>
      </c>
      <c r="U49" s="42">
        <f>SUMPRODUCT(S50:S57,U50:U57)/S49</f>
        <v>54.037466200106579</v>
      </c>
      <c r="V49" s="42">
        <f>SUM(V50:V57)</f>
        <v>71.301999999999992</v>
      </c>
      <c r="W49" s="42">
        <f>SUMPRODUCT(V50:V57,W50:W57)/V49</f>
        <v>56.230771296737814</v>
      </c>
      <c r="X49" s="42">
        <f>SUMPRODUCT(V50:V57,X50:X57)/V49</f>
        <v>56.230771296737814</v>
      </c>
      <c r="Y49" s="84">
        <f>T49/P49</f>
        <v>1.0657347866065761</v>
      </c>
      <c r="Z49" s="84">
        <f>W49/T49</f>
        <v>1.0405885999263769</v>
      </c>
      <c r="AA49" s="42">
        <f>SUM(AA50:AA55)</f>
        <v>43.805</v>
      </c>
      <c r="AB49" s="42">
        <f>SUMPRODUCT(AA50:AA55,AB50:AB55)/AA49</f>
        <v>52.4</v>
      </c>
      <c r="AC49" s="42">
        <f>SUMPRODUCT(AA50:AA57,AC50:AC57)/AA49</f>
        <v>52.4</v>
      </c>
      <c r="AD49" s="84">
        <f>X49/U49</f>
        <v>1.0405885999263769</v>
      </c>
      <c r="AE49" s="222">
        <f>SUM(AE50:AE57)</f>
        <v>930.7762400000006</v>
      </c>
      <c r="AF49" s="42">
        <f>SUM(AF50:AF57)</f>
        <v>43.805</v>
      </c>
      <c r="AG49" s="42">
        <f>SUMPRODUCT(AF50:AF55,AG50:AG55)/AF49</f>
        <v>59.39</v>
      </c>
      <c r="AH49" s="42">
        <f>SUMPRODUCT(AF50:AF57,AH50:AH57)/AF49</f>
        <v>59.39</v>
      </c>
      <c r="AI49" s="42">
        <f>SUM(AI50:AI57)</f>
        <v>43.805</v>
      </c>
      <c r="AJ49" s="42">
        <f>SUMPRODUCT(AI50:AI57,AJ50:AJ57)/AI49</f>
        <v>59.39</v>
      </c>
      <c r="AK49" s="42">
        <f>SUMPRODUCT(AI50:AI57,AK50:AK57)/AI49</f>
        <v>59.39</v>
      </c>
      <c r="AL49" s="84">
        <f>AG49/AB49</f>
        <v>1.1333969465648854</v>
      </c>
      <c r="AM49" s="84">
        <f>AJ49/AG49</f>
        <v>1</v>
      </c>
      <c r="AN49" s="42">
        <f>SUM(AN50:AN55)</f>
        <v>24.024999999999999</v>
      </c>
      <c r="AO49" s="42">
        <f>SUMPRODUCT(AN50:AN55,AO50:AO55)/AN49</f>
        <v>41</v>
      </c>
      <c r="AP49" s="42">
        <f>SUMPRODUCT(AN50:AN57,AP50:AP57)/AN49</f>
        <v>41</v>
      </c>
      <c r="AQ49" s="84">
        <f>AK49/AH49</f>
        <v>1</v>
      </c>
      <c r="AR49" s="42">
        <f>SUM(AR50:AR55)</f>
        <v>24.024999999999999</v>
      </c>
      <c r="AS49" s="42">
        <f>SUMPRODUCT(AR50:AR55,AS50:AS55)/AR49</f>
        <v>43.91</v>
      </c>
      <c r="AT49" s="42">
        <f>SUMPRODUCT(AR50:AR57,AT50:AT57)/AR49</f>
        <v>43.91</v>
      </c>
      <c r="AU49" s="42">
        <f>SUM(AU50:AU57)</f>
        <v>24.024999999999999</v>
      </c>
      <c r="AV49" s="42">
        <f>SUMPRODUCT(AU50:AU57,AV50:AV57)/AU49</f>
        <v>45.67</v>
      </c>
      <c r="AW49" s="42">
        <f>SUMPRODUCT(AU50:AU57,AW50:AW57)/AU49</f>
        <v>45.67</v>
      </c>
      <c r="AX49" s="84">
        <f>AS49/AO49</f>
        <v>1.0709756097560974</v>
      </c>
      <c r="AY49" s="84">
        <f>AV49/AS49</f>
        <v>1.0400819858802097</v>
      </c>
      <c r="AZ49" s="84">
        <f>AW49/AT49</f>
        <v>1.0400819858802097</v>
      </c>
      <c r="BA49" s="222">
        <f>SUM(BA50:BA57)</f>
        <v>701.53</v>
      </c>
    </row>
    <row r="50" spans="1:53" s="248" customFormat="1" ht="21.75" hidden="1" customHeight="1">
      <c r="A50" s="245" t="s">
        <v>19</v>
      </c>
      <c r="B50" s="246" t="s">
        <v>398</v>
      </c>
      <c r="C50" s="228">
        <f>168.83/2</f>
        <v>84.415000000000006</v>
      </c>
      <c r="D50" s="228">
        <v>53.5</v>
      </c>
      <c r="E50" s="228">
        <f t="shared" si="51"/>
        <v>53.5</v>
      </c>
      <c r="F50" s="228">
        <f>C50</f>
        <v>84.415000000000006</v>
      </c>
      <c r="G50" s="228">
        <v>53.5</v>
      </c>
      <c r="H50" s="228">
        <f t="shared" si="10"/>
        <v>53.5</v>
      </c>
      <c r="I50" s="228">
        <f>F50</f>
        <v>84.415000000000006</v>
      </c>
      <c r="J50" s="228">
        <v>57.31</v>
      </c>
      <c r="K50" s="228">
        <f t="shared" si="11"/>
        <v>57.31</v>
      </c>
      <c r="L50" s="229">
        <f>(G50*F50)/(D50*C50)</f>
        <v>1</v>
      </c>
      <c r="M50" s="229">
        <f t="shared" ref="M50:M57" si="69">(K50*I50)/(H50*F50)</f>
        <v>1.071214953271028</v>
      </c>
      <c r="N50" s="229"/>
      <c r="O50" s="247">
        <f>110.36/2</f>
        <v>55.18</v>
      </c>
      <c r="P50" s="247">
        <v>43</v>
      </c>
      <c r="Q50" s="228">
        <f t="shared" ref="Q50:Q57" si="70">IF(B50="ОСНО",P50*1.18,P50)</f>
        <v>43</v>
      </c>
      <c r="R50" s="228"/>
      <c r="S50" s="247">
        <f>O50</f>
        <v>55.18</v>
      </c>
      <c r="T50" s="247">
        <v>46.05</v>
      </c>
      <c r="U50" s="228">
        <f t="shared" ref="U50:U57" si="71">IF(B50="ОСНО",T50*1.18,T50)</f>
        <v>46.05</v>
      </c>
      <c r="V50" s="228">
        <f t="shared" ref="V50:V57" si="72">S50</f>
        <v>55.18</v>
      </c>
      <c r="W50" s="227">
        <f>T50*1.04</f>
        <v>47.891999999999996</v>
      </c>
      <c r="X50" s="227">
        <f t="shared" ref="X50:X57" si="73">IF(B50="ОСНО",W50*1.18,W50)</f>
        <v>47.891999999999996</v>
      </c>
      <c r="Y50" s="264">
        <f t="shared" ref="Y50:Y57" si="74">(T50*S50)/(P50*O50)</f>
        <v>1.0709302325581396</v>
      </c>
      <c r="Z50" s="262">
        <f t="shared" ref="Z50:Z57" si="75">(X50*V50)/(U50*S50)</f>
        <v>1.04</v>
      </c>
      <c r="AA50" s="228">
        <f>87.61/2</f>
        <v>43.805</v>
      </c>
      <c r="AB50" s="228">
        <v>52.4</v>
      </c>
      <c r="AC50" s="228">
        <f t="shared" ref="AC50:AC57" si="76">IF(B50="ОСНО",AB50*1.18,AB50)</f>
        <v>52.4</v>
      </c>
      <c r="AD50" s="228"/>
      <c r="AE50" s="230">
        <f t="shared" ref="AE50:AE57" si="77">(J50-W50)*V50+(G50-T50)*O50</f>
        <v>930.7762400000006</v>
      </c>
      <c r="AF50" s="228">
        <f>AA50</f>
        <v>43.805</v>
      </c>
      <c r="AG50" s="228">
        <v>59.39</v>
      </c>
      <c r="AH50" s="228">
        <f t="shared" ref="AH50:AH57" si="78">IF(B50="ОСНО",AG50*1.18,AG50)</f>
        <v>59.39</v>
      </c>
      <c r="AI50" s="228">
        <f>AF50</f>
        <v>43.805</v>
      </c>
      <c r="AJ50" s="228">
        <f>AG50</f>
        <v>59.39</v>
      </c>
      <c r="AK50" s="228">
        <f t="shared" ref="AK50:AK57" si="79">IF(B50="ОСНО",AJ50*1.18,AJ50)</f>
        <v>59.39</v>
      </c>
      <c r="AL50" s="229">
        <f>(AG50*AF50)/(AB50*AA50)</f>
        <v>1.1333969465648854</v>
      </c>
      <c r="AM50" s="229">
        <f>(AK50*AI50)/(AH50*AF50)</f>
        <v>1</v>
      </c>
      <c r="AN50" s="228">
        <f>48.05/2</f>
        <v>24.024999999999999</v>
      </c>
      <c r="AO50" s="228">
        <v>41</v>
      </c>
      <c r="AP50" s="228">
        <f t="shared" ref="AP50:AP57" si="80">IF(B50="ОСНО",AO50*1.18,AO50)</f>
        <v>41</v>
      </c>
      <c r="AQ50" s="228"/>
      <c r="AR50" s="228">
        <f>AN50</f>
        <v>24.024999999999999</v>
      </c>
      <c r="AS50" s="228">
        <v>43.91</v>
      </c>
      <c r="AT50" s="228">
        <f t="shared" ref="AT50:AT57" si="81">IF(B50="ОСНО",AS50*1.18,AS50)</f>
        <v>43.91</v>
      </c>
      <c r="AU50" s="228">
        <f>AR50</f>
        <v>24.024999999999999</v>
      </c>
      <c r="AV50" s="228">
        <v>45.67</v>
      </c>
      <c r="AW50" s="228">
        <f t="shared" ref="AW50:AW57" si="82">IF(B50="ОСНО",AV50*1.18,AV50)</f>
        <v>45.67</v>
      </c>
      <c r="AX50" s="229">
        <f>(AS50*AR50)/(AO50*AN50)</f>
        <v>1.0709756097560974</v>
      </c>
      <c r="AY50" s="229">
        <f>(AW50*AU50)/(AT50*AR50)</f>
        <v>1.0400819858802097</v>
      </c>
      <c r="AZ50" s="229"/>
      <c r="BA50" s="230">
        <f t="shared" si="14"/>
        <v>701.53</v>
      </c>
    </row>
    <row r="51" spans="1:53" s="248" customFormat="1" ht="22.5" hidden="1" customHeight="1">
      <c r="A51" s="245" t="s">
        <v>20</v>
      </c>
      <c r="B51" s="246" t="s">
        <v>398</v>
      </c>
      <c r="C51" s="228">
        <f>13.06/2</f>
        <v>6.53</v>
      </c>
      <c r="D51" s="228">
        <v>91.26</v>
      </c>
      <c r="E51" s="228">
        <f t="shared" si="51"/>
        <v>91.26</v>
      </c>
      <c r="F51" s="228">
        <f>C51</f>
        <v>6.53</v>
      </c>
      <c r="G51" s="228">
        <v>94.88</v>
      </c>
      <c r="H51" s="228">
        <f t="shared" si="10"/>
        <v>94.88</v>
      </c>
      <c r="I51" s="228">
        <f t="shared" ref="I51:I57" si="83">F51</f>
        <v>6.53</v>
      </c>
      <c r="J51" s="228">
        <v>100.2</v>
      </c>
      <c r="K51" s="228">
        <f t="shared" si="11"/>
        <v>100.2</v>
      </c>
      <c r="L51" s="229">
        <f>(G51*F51)/(D51*C51)</f>
        <v>1.0396668858207319</v>
      </c>
      <c r="M51" s="229">
        <f t="shared" si="69"/>
        <v>1.0560708263069141</v>
      </c>
      <c r="N51" s="229"/>
      <c r="O51" s="247">
        <f>8.27/2</f>
        <v>4.1349999999999998</v>
      </c>
      <c r="P51" s="247">
        <v>91.26</v>
      </c>
      <c r="Q51" s="228">
        <f t="shared" si="70"/>
        <v>91.26</v>
      </c>
      <c r="R51" s="228"/>
      <c r="S51" s="247">
        <f t="shared" ref="S51:S57" si="84">O51</f>
        <v>4.1349999999999998</v>
      </c>
      <c r="T51" s="247">
        <v>94.88</v>
      </c>
      <c r="U51" s="228">
        <f t="shared" si="71"/>
        <v>94.88</v>
      </c>
      <c r="V51" s="228">
        <f t="shared" si="72"/>
        <v>4.1349999999999998</v>
      </c>
      <c r="W51" s="228">
        <v>100.2</v>
      </c>
      <c r="X51" s="228">
        <f t="shared" si="73"/>
        <v>100.2</v>
      </c>
      <c r="Y51" s="229">
        <f t="shared" si="74"/>
        <v>1.0396668858207319</v>
      </c>
      <c r="Z51" s="229">
        <f t="shared" si="75"/>
        <v>1.0560708263069141</v>
      </c>
      <c r="AA51" s="228"/>
      <c r="AB51" s="228"/>
      <c r="AC51" s="228">
        <f t="shared" si="76"/>
        <v>0</v>
      </c>
      <c r="AD51" s="228"/>
      <c r="AE51" s="230">
        <f t="shared" si="77"/>
        <v>0</v>
      </c>
      <c r="AF51" s="228"/>
      <c r="AG51" s="228"/>
      <c r="AH51" s="228">
        <f t="shared" si="78"/>
        <v>0</v>
      </c>
      <c r="AI51" s="228">
        <f t="shared" ref="AI51:AI57" si="85">AF51</f>
        <v>0</v>
      </c>
      <c r="AJ51" s="228"/>
      <c r="AK51" s="228">
        <f t="shared" si="79"/>
        <v>0</v>
      </c>
      <c r="AL51" s="229"/>
      <c r="AM51" s="229"/>
      <c r="AN51" s="228"/>
      <c r="AO51" s="228"/>
      <c r="AP51" s="228">
        <f t="shared" si="80"/>
        <v>0</v>
      </c>
      <c r="AQ51" s="228"/>
      <c r="AR51" s="228"/>
      <c r="AS51" s="228"/>
      <c r="AT51" s="228">
        <f t="shared" si="81"/>
        <v>0</v>
      </c>
      <c r="AU51" s="228">
        <f t="shared" ref="AU51:AU57" si="86">AR51</f>
        <v>0</v>
      </c>
      <c r="AV51" s="228"/>
      <c r="AW51" s="228">
        <f t="shared" si="82"/>
        <v>0</v>
      </c>
      <c r="AX51" s="229"/>
      <c r="AY51" s="229"/>
      <c r="AZ51" s="229"/>
      <c r="BA51" s="230">
        <f t="shared" si="14"/>
        <v>0</v>
      </c>
    </row>
    <row r="52" spans="1:53" s="248" customFormat="1" ht="14.25" hidden="1" customHeight="1">
      <c r="A52" s="245" t="s">
        <v>21</v>
      </c>
      <c r="B52" s="246" t="s">
        <v>398</v>
      </c>
      <c r="C52" s="228">
        <f>13/2</f>
        <v>6.5</v>
      </c>
      <c r="D52" s="228">
        <v>81.069999999999993</v>
      </c>
      <c r="E52" s="228">
        <f t="shared" si="51"/>
        <v>81.069999999999993</v>
      </c>
      <c r="F52" s="228">
        <f>C52</f>
        <v>6.5</v>
      </c>
      <c r="G52" s="228">
        <v>84.59</v>
      </c>
      <c r="H52" s="228">
        <f t="shared" si="10"/>
        <v>84.59</v>
      </c>
      <c r="I52" s="228">
        <f t="shared" si="83"/>
        <v>6.5</v>
      </c>
      <c r="J52" s="228">
        <v>86.36</v>
      </c>
      <c r="K52" s="228">
        <f t="shared" si="11"/>
        <v>86.36</v>
      </c>
      <c r="L52" s="229">
        <f>(G52*F52)/(D52*C52)</f>
        <v>1.0434192672998646</v>
      </c>
      <c r="M52" s="229">
        <f t="shared" si="69"/>
        <v>1.0209244591559286</v>
      </c>
      <c r="N52" s="229"/>
      <c r="O52" s="247">
        <f>8.61/2</f>
        <v>4.3049999999999997</v>
      </c>
      <c r="P52" s="247">
        <v>81.069999999999993</v>
      </c>
      <c r="Q52" s="228">
        <f t="shared" si="70"/>
        <v>81.069999999999993</v>
      </c>
      <c r="R52" s="228"/>
      <c r="S52" s="247">
        <f t="shared" si="84"/>
        <v>4.3049999999999997</v>
      </c>
      <c r="T52" s="247">
        <v>84.59</v>
      </c>
      <c r="U52" s="228">
        <f t="shared" si="71"/>
        <v>84.59</v>
      </c>
      <c r="V52" s="228">
        <f t="shared" si="72"/>
        <v>4.3049999999999997</v>
      </c>
      <c r="W52" s="228">
        <v>86.36</v>
      </c>
      <c r="X52" s="228">
        <f t="shared" si="73"/>
        <v>86.36</v>
      </c>
      <c r="Y52" s="229">
        <f t="shared" si="74"/>
        <v>1.0434192672998643</v>
      </c>
      <c r="Z52" s="229">
        <f t="shared" si="75"/>
        <v>1.0209244591559286</v>
      </c>
      <c r="AA52" s="228"/>
      <c r="AB52" s="228"/>
      <c r="AC52" s="228">
        <f t="shared" si="76"/>
        <v>0</v>
      </c>
      <c r="AD52" s="228"/>
      <c r="AE52" s="230">
        <f t="shared" si="77"/>
        <v>0</v>
      </c>
      <c r="AF52" s="228"/>
      <c r="AG52" s="228"/>
      <c r="AH52" s="228">
        <f t="shared" si="78"/>
        <v>0</v>
      </c>
      <c r="AI52" s="228">
        <f t="shared" si="85"/>
        <v>0</v>
      </c>
      <c r="AJ52" s="228"/>
      <c r="AK52" s="228">
        <f t="shared" si="79"/>
        <v>0</v>
      </c>
      <c r="AL52" s="229"/>
      <c r="AM52" s="229"/>
      <c r="AN52" s="228"/>
      <c r="AO52" s="228"/>
      <c r="AP52" s="228">
        <f t="shared" si="80"/>
        <v>0</v>
      </c>
      <c r="AQ52" s="228"/>
      <c r="AR52" s="228"/>
      <c r="AS52" s="228"/>
      <c r="AT52" s="228">
        <f t="shared" si="81"/>
        <v>0</v>
      </c>
      <c r="AU52" s="228">
        <f t="shared" si="86"/>
        <v>0</v>
      </c>
      <c r="AV52" s="228"/>
      <c r="AW52" s="228">
        <f t="shared" si="82"/>
        <v>0</v>
      </c>
      <c r="AX52" s="229"/>
      <c r="AY52" s="229"/>
      <c r="AZ52" s="229"/>
      <c r="BA52" s="230">
        <f t="shared" si="14"/>
        <v>0</v>
      </c>
    </row>
    <row r="53" spans="1:53" s="231" customFormat="1" ht="15.75" hidden="1">
      <c r="A53" s="234" t="s">
        <v>22</v>
      </c>
      <c r="B53" s="246" t="s">
        <v>398</v>
      </c>
      <c r="C53" s="228">
        <f>7.97/2</f>
        <v>3.9849999999999999</v>
      </c>
      <c r="D53" s="228">
        <v>87.3</v>
      </c>
      <c r="E53" s="228">
        <f t="shared" si="51"/>
        <v>87.3</v>
      </c>
      <c r="F53" s="228">
        <f>C53</f>
        <v>3.9849999999999999</v>
      </c>
      <c r="G53" s="228">
        <v>92.57</v>
      </c>
      <c r="H53" s="228">
        <f t="shared" si="10"/>
        <v>92.57</v>
      </c>
      <c r="I53" s="228">
        <f t="shared" si="83"/>
        <v>3.9849999999999999</v>
      </c>
      <c r="J53" s="228">
        <v>94.65</v>
      </c>
      <c r="K53" s="228">
        <f t="shared" si="11"/>
        <v>94.65</v>
      </c>
      <c r="L53" s="229">
        <f>(G53*F53)/(D53*C53)</f>
        <v>1.0603665521191294</v>
      </c>
      <c r="M53" s="229">
        <f t="shared" si="69"/>
        <v>1.0224694825537433</v>
      </c>
      <c r="N53" s="229"/>
      <c r="O53" s="258">
        <f>3.23/2</f>
        <v>1.615</v>
      </c>
      <c r="P53" s="258">
        <v>87.3</v>
      </c>
      <c r="Q53" s="228">
        <f t="shared" si="70"/>
        <v>87.3</v>
      </c>
      <c r="R53" s="228"/>
      <c r="S53" s="247">
        <f t="shared" si="84"/>
        <v>1.615</v>
      </c>
      <c r="T53" s="258">
        <v>92.57</v>
      </c>
      <c r="U53" s="228">
        <f t="shared" si="71"/>
        <v>92.57</v>
      </c>
      <c r="V53" s="228">
        <f t="shared" si="72"/>
        <v>1.615</v>
      </c>
      <c r="W53" s="228">
        <v>94.65</v>
      </c>
      <c r="X53" s="228">
        <f t="shared" si="73"/>
        <v>94.65</v>
      </c>
      <c r="Y53" s="229">
        <f t="shared" si="74"/>
        <v>1.0603665521191292</v>
      </c>
      <c r="Z53" s="229">
        <f t="shared" si="75"/>
        <v>1.0224694825537435</v>
      </c>
      <c r="AA53" s="228"/>
      <c r="AB53" s="228"/>
      <c r="AC53" s="228">
        <f t="shared" si="76"/>
        <v>0</v>
      </c>
      <c r="AD53" s="228"/>
      <c r="AE53" s="230">
        <f t="shared" si="77"/>
        <v>0</v>
      </c>
      <c r="AF53" s="228"/>
      <c r="AG53" s="228"/>
      <c r="AH53" s="228">
        <f t="shared" si="78"/>
        <v>0</v>
      </c>
      <c r="AI53" s="228">
        <f t="shared" si="85"/>
        <v>0</v>
      </c>
      <c r="AJ53" s="228"/>
      <c r="AK53" s="228">
        <f t="shared" si="79"/>
        <v>0</v>
      </c>
      <c r="AL53" s="229"/>
      <c r="AM53" s="229"/>
      <c r="AN53" s="239"/>
      <c r="AO53" s="239"/>
      <c r="AP53" s="228">
        <f t="shared" si="80"/>
        <v>0</v>
      </c>
      <c r="AQ53" s="228"/>
      <c r="AR53" s="239"/>
      <c r="AS53" s="239"/>
      <c r="AT53" s="228">
        <f t="shared" si="81"/>
        <v>0</v>
      </c>
      <c r="AU53" s="228">
        <f t="shared" si="86"/>
        <v>0</v>
      </c>
      <c r="AV53" s="228"/>
      <c r="AW53" s="228">
        <f t="shared" si="82"/>
        <v>0</v>
      </c>
      <c r="AX53" s="249"/>
      <c r="AY53" s="229"/>
      <c r="AZ53" s="229"/>
      <c r="BA53" s="230">
        <f t="shared" si="14"/>
        <v>0</v>
      </c>
    </row>
    <row r="54" spans="1:53" s="231" customFormat="1" ht="15.75" hidden="1">
      <c r="A54" s="234" t="s">
        <v>23</v>
      </c>
      <c r="B54" s="246" t="s">
        <v>398</v>
      </c>
      <c r="C54" s="228">
        <f>2.103/2</f>
        <v>1.0515000000000001</v>
      </c>
      <c r="D54" s="228">
        <v>99.44</v>
      </c>
      <c r="E54" s="228">
        <f t="shared" si="51"/>
        <v>99.44</v>
      </c>
      <c r="F54" s="228">
        <f>C54</f>
        <v>1.0515000000000001</v>
      </c>
      <c r="G54" s="228">
        <v>107.89</v>
      </c>
      <c r="H54" s="228">
        <f t="shared" si="10"/>
        <v>107.89</v>
      </c>
      <c r="I54" s="228">
        <f t="shared" si="83"/>
        <v>1.0515000000000001</v>
      </c>
      <c r="J54" s="228">
        <v>113.74</v>
      </c>
      <c r="K54" s="228">
        <f t="shared" si="11"/>
        <v>113.74</v>
      </c>
      <c r="L54" s="229">
        <f>(G54*F54)/(D54*C54)</f>
        <v>1.0849758648431216</v>
      </c>
      <c r="M54" s="229">
        <f t="shared" si="69"/>
        <v>1.0542218926684586</v>
      </c>
      <c r="N54" s="229"/>
      <c r="O54" s="258">
        <f>0.55/2</f>
        <v>0.27500000000000002</v>
      </c>
      <c r="P54" s="258">
        <v>99.44</v>
      </c>
      <c r="Q54" s="228">
        <f t="shared" si="70"/>
        <v>99.44</v>
      </c>
      <c r="R54" s="228"/>
      <c r="S54" s="247">
        <f t="shared" si="84"/>
        <v>0.27500000000000002</v>
      </c>
      <c r="T54" s="258">
        <v>107.89</v>
      </c>
      <c r="U54" s="228">
        <f t="shared" si="71"/>
        <v>107.89</v>
      </c>
      <c r="V54" s="228">
        <f t="shared" si="72"/>
        <v>0.27500000000000002</v>
      </c>
      <c r="W54" s="228">
        <v>113.74</v>
      </c>
      <c r="X54" s="228">
        <f t="shared" si="73"/>
        <v>113.74</v>
      </c>
      <c r="Y54" s="229">
        <f t="shared" si="74"/>
        <v>1.0849758648431216</v>
      </c>
      <c r="Z54" s="229">
        <f t="shared" si="75"/>
        <v>1.0542218926684586</v>
      </c>
      <c r="AA54" s="228"/>
      <c r="AB54" s="228"/>
      <c r="AC54" s="228">
        <f t="shared" si="76"/>
        <v>0</v>
      </c>
      <c r="AD54" s="228"/>
      <c r="AE54" s="230">
        <f t="shared" si="77"/>
        <v>0</v>
      </c>
      <c r="AF54" s="228"/>
      <c r="AG54" s="228"/>
      <c r="AH54" s="228">
        <f t="shared" si="78"/>
        <v>0</v>
      </c>
      <c r="AI54" s="228">
        <f t="shared" si="85"/>
        <v>0</v>
      </c>
      <c r="AJ54" s="228"/>
      <c r="AK54" s="228">
        <f t="shared" si="79"/>
        <v>0</v>
      </c>
      <c r="AL54" s="229"/>
      <c r="AM54" s="229"/>
      <c r="AN54" s="239"/>
      <c r="AO54" s="239"/>
      <c r="AP54" s="228">
        <f t="shared" si="80"/>
        <v>0</v>
      </c>
      <c r="AQ54" s="228"/>
      <c r="AR54" s="239"/>
      <c r="AS54" s="239"/>
      <c r="AT54" s="228">
        <f t="shared" si="81"/>
        <v>0</v>
      </c>
      <c r="AU54" s="228">
        <f t="shared" si="86"/>
        <v>0</v>
      </c>
      <c r="AV54" s="228"/>
      <c r="AW54" s="228">
        <f t="shared" si="82"/>
        <v>0</v>
      </c>
      <c r="AX54" s="249"/>
      <c r="AY54" s="229"/>
      <c r="AZ54" s="229"/>
      <c r="BA54" s="230">
        <f t="shared" si="14"/>
        <v>0</v>
      </c>
    </row>
    <row r="55" spans="1:53" s="231" customFormat="1" ht="15.75" hidden="1">
      <c r="A55" s="234" t="s">
        <v>24</v>
      </c>
      <c r="B55" s="246" t="s">
        <v>398</v>
      </c>
      <c r="C55" s="239">
        <f>7.4/2</f>
        <v>3.7</v>
      </c>
      <c r="D55" s="239">
        <v>73.23</v>
      </c>
      <c r="E55" s="228">
        <f t="shared" si="51"/>
        <v>73.23</v>
      </c>
      <c r="F55" s="228">
        <f>7.277/2</f>
        <v>3.6385000000000001</v>
      </c>
      <c r="G55" s="239">
        <v>79.430000000000007</v>
      </c>
      <c r="H55" s="228">
        <f t="shared" si="10"/>
        <v>79.430000000000007</v>
      </c>
      <c r="I55" s="228">
        <f t="shared" si="83"/>
        <v>3.6385000000000001</v>
      </c>
      <c r="J55" s="239">
        <v>84.14</v>
      </c>
      <c r="K55" s="228">
        <f t="shared" si="11"/>
        <v>84.14</v>
      </c>
      <c r="L55" s="229">
        <f t="shared" ref="L55:L57" si="87">(G55*F55)/(D55*C55)</f>
        <v>1.0666358677399235</v>
      </c>
      <c r="M55" s="229">
        <f t="shared" si="69"/>
        <v>1.0592974946493767</v>
      </c>
      <c r="N55" s="229"/>
      <c r="O55" s="247">
        <f>5.27/2</f>
        <v>2.6349999999999998</v>
      </c>
      <c r="P55" s="247">
        <v>73.23</v>
      </c>
      <c r="Q55" s="228">
        <f t="shared" si="70"/>
        <v>73.23</v>
      </c>
      <c r="R55" s="228"/>
      <c r="S55" s="247">
        <f>5.265/2</f>
        <v>2.6324999999999998</v>
      </c>
      <c r="T55" s="247">
        <v>79.430000000000007</v>
      </c>
      <c r="U55" s="228">
        <f t="shared" si="71"/>
        <v>79.430000000000007</v>
      </c>
      <c r="V55" s="228">
        <f t="shared" si="72"/>
        <v>2.6324999999999998</v>
      </c>
      <c r="W55" s="239">
        <v>84.14</v>
      </c>
      <c r="X55" s="228">
        <f t="shared" si="73"/>
        <v>84.14</v>
      </c>
      <c r="Y55" s="229">
        <f t="shared" si="74"/>
        <v>1.0836356611865452</v>
      </c>
      <c r="Z55" s="229">
        <f t="shared" si="75"/>
        <v>1.0592974946493767</v>
      </c>
      <c r="AA55" s="239"/>
      <c r="AB55" s="239"/>
      <c r="AC55" s="228">
        <f t="shared" si="76"/>
        <v>0</v>
      </c>
      <c r="AD55" s="228"/>
      <c r="AE55" s="230">
        <f t="shared" si="77"/>
        <v>0</v>
      </c>
      <c r="AF55" s="239"/>
      <c r="AG55" s="239"/>
      <c r="AH55" s="228">
        <f t="shared" si="78"/>
        <v>0</v>
      </c>
      <c r="AI55" s="228">
        <f t="shared" si="85"/>
        <v>0</v>
      </c>
      <c r="AJ55" s="239"/>
      <c r="AK55" s="228">
        <f t="shared" si="79"/>
        <v>0</v>
      </c>
      <c r="AL55" s="249"/>
      <c r="AM55" s="229"/>
      <c r="AN55" s="239"/>
      <c r="AO55" s="239"/>
      <c r="AP55" s="228">
        <f t="shared" si="80"/>
        <v>0</v>
      </c>
      <c r="AQ55" s="228"/>
      <c r="AR55" s="239"/>
      <c r="AS55" s="239"/>
      <c r="AT55" s="228">
        <f t="shared" si="81"/>
        <v>0</v>
      </c>
      <c r="AU55" s="228">
        <f t="shared" si="86"/>
        <v>0</v>
      </c>
      <c r="AV55" s="239"/>
      <c r="AW55" s="228">
        <f t="shared" si="82"/>
        <v>0</v>
      </c>
      <c r="AX55" s="249"/>
      <c r="AY55" s="229"/>
      <c r="AZ55" s="229"/>
      <c r="BA55" s="230">
        <f t="shared" si="14"/>
        <v>0</v>
      </c>
    </row>
    <row r="56" spans="1:53" s="231" customFormat="1" ht="15.75" hidden="1">
      <c r="A56" s="234" t="s">
        <v>25</v>
      </c>
      <c r="B56" s="246" t="s">
        <v>398</v>
      </c>
      <c r="C56" s="239">
        <f>2.6/2</f>
        <v>1.3</v>
      </c>
      <c r="D56" s="239">
        <v>94.21</v>
      </c>
      <c r="E56" s="228">
        <f t="shared" si="51"/>
        <v>94.21</v>
      </c>
      <c r="F56" s="228">
        <f>2.563/2</f>
        <v>1.2815000000000001</v>
      </c>
      <c r="G56" s="239">
        <v>102.22</v>
      </c>
      <c r="H56" s="228">
        <f t="shared" si="10"/>
        <v>102.22</v>
      </c>
      <c r="I56" s="228">
        <f t="shared" si="83"/>
        <v>1.2815000000000001</v>
      </c>
      <c r="J56" s="239">
        <v>108.21</v>
      </c>
      <c r="K56" s="228">
        <f t="shared" si="11"/>
        <v>108.21</v>
      </c>
      <c r="L56" s="229">
        <f t="shared" si="87"/>
        <v>1.069582111975701</v>
      </c>
      <c r="M56" s="229">
        <f t="shared" si="69"/>
        <v>1.0585990999804344</v>
      </c>
      <c r="N56" s="229"/>
      <c r="O56" s="247">
        <f>2.26/2</f>
        <v>1.1299999999999999</v>
      </c>
      <c r="P56" s="247">
        <v>94.21</v>
      </c>
      <c r="Q56" s="228">
        <f t="shared" si="70"/>
        <v>94.21</v>
      </c>
      <c r="R56" s="228"/>
      <c r="S56" s="247">
        <f>2.259/2</f>
        <v>1.1294999999999999</v>
      </c>
      <c r="T56" s="247">
        <v>102.22</v>
      </c>
      <c r="U56" s="228">
        <f t="shared" si="71"/>
        <v>102.22</v>
      </c>
      <c r="V56" s="228">
        <f t="shared" si="72"/>
        <v>1.1294999999999999</v>
      </c>
      <c r="W56" s="239">
        <v>108.21</v>
      </c>
      <c r="X56" s="228">
        <f t="shared" si="73"/>
        <v>108.21</v>
      </c>
      <c r="Y56" s="229">
        <f t="shared" si="74"/>
        <v>1.0845427227630233</v>
      </c>
      <c r="Z56" s="229">
        <f t="shared" si="75"/>
        <v>1.0585990999804344</v>
      </c>
      <c r="AA56" s="239"/>
      <c r="AB56" s="239"/>
      <c r="AC56" s="228">
        <f t="shared" si="76"/>
        <v>0</v>
      </c>
      <c r="AD56" s="228"/>
      <c r="AE56" s="230">
        <f t="shared" si="77"/>
        <v>0</v>
      </c>
      <c r="AF56" s="239"/>
      <c r="AG56" s="239"/>
      <c r="AH56" s="228">
        <f t="shared" si="78"/>
        <v>0</v>
      </c>
      <c r="AI56" s="228">
        <f t="shared" si="85"/>
        <v>0</v>
      </c>
      <c r="AJ56" s="239"/>
      <c r="AK56" s="228">
        <f t="shared" si="79"/>
        <v>0</v>
      </c>
      <c r="AL56" s="249"/>
      <c r="AM56" s="229"/>
      <c r="AN56" s="239"/>
      <c r="AO56" s="239"/>
      <c r="AP56" s="228">
        <f t="shared" si="80"/>
        <v>0</v>
      </c>
      <c r="AQ56" s="228"/>
      <c r="AR56" s="239"/>
      <c r="AS56" s="239"/>
      <c r="AT56" s="228">
        <f t="shared" si="81"/>
        <v>0</v>
      </c>
      <c r="AU56" s="228">
        <f t="shared" si="86"/>
        <v>0</v>
      </c>
      <c r="AV56" s="239"/>
      <c r="AW56" s="228">
        <f t="shared" si="82"/>
        <v>0</v>
      </c>
      <c r="AX56" s="249"/>
      <c r="AY56" s="229"/>
      <c r="AZ56" s="229"/>
      <c r="BA56" s="230">
        <f t="shared" si="14"/>
        <v>0</v>
      </c>
    </row>
    <row r="57" spans="1:53" s="231" customFormat="1" ht="18" hidden="1" customHeight="1">
      <c r="A57" s="257" t="s">
        <v>26</v>
      </c>
      <c r="B57" s="246" t="s">
        <v>398</v>
      </c>
      <c r="C57" s="239">
        <f>18.6/2</f>
        <v>9.3000000000000007</v>
      </c>
      <c r="D57" s="239">
        <v>23.95</v>
      </c>
      <c r="E57" s="228">
        <f t="shared" si="51"/>
        <v>23.95</v>
      </c>
      <c r="F57" s="228">
        <f t="shared" ref="F57" si="88">C57</f>
        <v>9.3000000000000007</v>
      </c>
      <c r="G57" s="239">
        <v>25.48</v>
      </c>
      <c r="H57" s="228">
        <f t="shared" si="10"/>
        <v>25.48</v>
      </c>
      <c r="I57" s="228">
        <f t="shared" si="83"/>
        <v>9.3000000000000007</v>
      </c>
      <c r="J57" s="239">
        <v>25.97</v>
      </c>
      <c r="K57" s="228">
        <f t="shared" si="11"/>
        <v>25.97</v>
      </c>
      <c r="L57" s="229">
        <f t="shared" si="87"/>
        <v>1.0638830897703551</v>
      </c>
      <c r="M57" s="229">
        <f t="shared" si="69"/>
        <v>1.0192307692307692</v>
      </c>
      <c r="N57" s="229"/>
      <c r="O57" s="247">
        <f>4.06/2</f>
        <v>2.0299999999999998</v>
      </c>
      <c r="P57" s="247">
        <v>23.95</v>
      </c>
      <c r="Q57" s="228">
        <f t="shared" si="70"/>
        <v>23.95</v>
      </c>
      <c r="R57" s="228"/>
      <c r="S57" s="247">
        <f t="shared" si="84"/>
        <v>2.0299999999999998</v>
      </c>
      <c r="T57" s="247">
        <v>25.48</v>
      </c>
      <c r="U57" s="228">
        <f t="shared" si="71"/>
        <v>25.48</v>
      </c>
      <c r="V57" s="228">
        <f t="shared" si="72"/>
        <v>2.0299999999999998</v>
      </c>
      <c r="W57" s="239">
        <v>25.97</v>
      </c>
      <c r="X57" s="228">
        <f t="shared" si="73"/>
        <v>25.97</v>
      </c>
      <c r="Y57" s="229">
        <f t="shared" si="74"/>
        <v>1.0638830897703548</v>
      </c>
      <c r="Z57" s="229">
        <f t="shared" si="75"/>
        <v>1.0192307692307692</v>
      </c>
      <c r="AA57" s="239"/>
      <c r="AB57" s="239"/>
      <c r="AC57" s="228">
        <f t="shared" si="76"/>
        <v>0</v>
      </c>
      <c r="AD57" s="228"/>
      <c r="AE57" s="230">
        <f t="shared" si="77"/>
        <v>0</v>
      </c>
      <c r="AF57" s="239"/>
      <c r="AG57" s="239"/>
      <c r="AH57" s="228">
        <f t="shared" si="78"/>
        <v>0</v>
      </c>
      <c r="AI57" s="228">
        <f t="shared" si="85"/>
        <v>0</v>
      </c>
      <c r="AJ57" s="239"/>
      <c r="AK57" s="228">
        <f t="shared" si="79"/>
        <v>0</v>
      </c>
      <c r="AL57" s="249"/>
      <c r="AM57" s="229"/>
      <c r="AN57" s="239"/>
      <c r="AO57" s="239"/>
      <c r="AP57" s="228">
        <f t="shared" si="80"/>
        <v>0</v>
      </c>
      <c r="AQ57" s="228"/>
      <c r="AR57" s="239"/>
      <c r="AS57" s="239"/>
      <c r="AT57" s="228">
        <f t="shared" si="81"/>
        <v>0</v>
      </c>
      <c r="AU57" s="228">
        <f t="shared" si="86"/>
        <v>0</v>
      </c>
      <c r="AV57" s="239"/>
      <c r="AW57" s="228">
        <f t="shared" si="82"/>
        <v>0</v>
      </c>
      <c r="AX57" s="249"/>
      <c r="AY57" s="229"/>
      <c r="AZ57" s="229"/>
      <c r="BA57" s="230">
        <f t="shared" si="14"/>
        <v>0</v>
      </c>
    </row>
    <row r="58" spans="1:53" s="218" customFormat="1" ht="18" customHeight="1">
      <c r="A58" s="43" t="s">
        <v>37</v>
      </c>
      <c r="B58" s="43"/>
      <c r="C58" s="42">
        <f>SUM(C59:C63)</f>
        <v>140.11099999999999</v>
      </c>
      <c r="D58" s="42">
        <f>SUMPRODUCT(C59:C63,D59:D63)/C58</f>
        <v>43.147345890044328</v>
      </c>
      <c r="E58" s="42">
        <f>SUMPRODUCT(C59:C63,E59:E63)/C58</f>
        <v>47.169150031046819</v>
      </c>
      <c r="F58" s="42">
        <f>SUM(F59:F63)</f>
        <v>140.11099999999999</v>
      </c>
      <c r="G58" s="42">
        <f>SUMPRODUCT(F59:F63,G59:G63)/F58</f>
        <v>51.420611301039898</v>
      </c>
      <c r="H58" s="42">
        <f>SUMPRODUCT(F59:F63,H59:H63)/F58</f>
        <v>56.801507875898395</v>
      </c>
      <c r="I58" s="42">
        <f>SUM(I59:I63)</f>
        <v>140.11099999999999</v>
      </c>
      <c r="J58" s="42">
        <f>SUMPRODUCT(I59:I63,J59:J63)/I58</f>
        <v>53.92553025815247</v>
      </c>
      <c r="K58" s="42">
        <f>SUMPRODUCT(I59:I63,K59:K63)/I58</f>
        <v>59.530538401695807</v>
      </c>
      <c r="L58" s="84">
        <f>G58/D58</f>
        <v>1.1917444802301158</v>
      </c>
      <c r="M58" s="84">
        <f>J58/G58</f>
        <v>1.0487142975109267</v>
      </c>
      <c r="N58" s="84"/>
      <c r="O58" s="42">
        <f>SUM(O59:O63)</f>
        <v>75.230999999999995</v>
      </c>
      <c r="P58" s="42">
        <f>SUMPRODUCT(O59:O63,P59:P63)/O58</f>
        <v>24.450159907484945</v>
      </c>
      <c r="Q58" s="42">
        <f>SUMPRODUCT(O59:O63,Q59:Q63)/O58</f>
        <v>26.175938708776965</v>
      </c>
      <c r="R58" s="84">
        <f>K58/H58</f>
        <v>1.0480450366169836</v>
      </c>
      <c r="S58" s="42">
        <f>SUM(S59:S63)</f>
        <v>75.230999999999995</v>
      </c>
      <c r="T58" s="42">
        <f>SUMPRODUCT(S59:S63,T59:T63)/S58</f>
        <v>26.105314431550823</v>
      </c>
      <c r="U58" s="42">
        <f>SUMPRODUCT(S59:S63,U59:U63)/S58</f>
        <v>27.953695218726324</v>
      </c>
      <c r="V58" s="42">
        <f>SUM(V59:V63)</f>
        <v>75.230999999999995</v>
      </c>
      <c r="W58" s="42">
        <f>SUMPRODUCT(V59:V63,W59:W63)/V58</f>
        <v>27.402257827225483</v>
      </c>
      <c r="X58" s="42">
        <f>SUMPRODUCT(V59:V63,X59:X63)/V58</f>
        <v>29.324573845888004</v>
      </c>
      <c r="Y58" s="84">
        <f>T58/P58</f>
        <v>1.0676950388189153</v>
      </c>
      <c r="Z58" s="84">
        <f>W58/T58</f>
        <v>1.0496812018516497</v>
      </c>
      <c r="AA58" s="42">
        <f>SUM(AA59:AA63)</f>
        <v>90.009999999999991</v>
      </c>
      <c r="AB58" s="42">
        <f>SUMPRODUCT(AA59:AA63,AB59:AB63)/AA58</f>
        <v>62.600576602599702</v>
      </c>
      <c r="AC58" s="42">
        <f>SUMPRODUCT(AA59:AA63,AC59:AC63)/AA58</f>
        <v>72.239981357626917</v>
      </c>
      <c r="AD58" s="84">
        <f>X58/U58</f>
        <v>1.0490410522270888</v>
      </c>
      <c r="AE58" s="222">
        <f>SUM(AE59:AE63)</f>
        <v>4017.7424713999999</v>
      </c>
      <c r="AF58" s="42">
        <f>SUM(AF59:AF63)</f>
        <v>90.009999999999991</v>
      </c>
      <c r="AG58" s="42">
        <f>SUMPRODUCT(AF59:AF63,AG59:AG63)/AF58</f>
        <v>71.412657482501942</v>
      </c>
      <c r="AH58" s="42">
        <f>SUMPRODUCT(AF59:AF63,AH59:AH63)/AF58</f>
        <v>82.540327674702809</v>
      </c>
      <c r="AI58" s="42">
        <f>SUM(AI59:AI63)</f>
        <v>90.009999999999991</v>
      </c>
      <c r="AJ58" s="42">
        <f>SUMPRODUCT(AI59:AI63,AJ59:AJ63)/AI58</f>
        <v>80.069430063326294</v>
      </c>
      <c r="AK58" s="42">
        <f>SUMPRODUCT(AI59:AI63,AK59:AK63)/AI58</f>
        <v>92.696285879346732</v>
      </c>
      <c r="AL58" s="84">
        <f>AG58/AB58</f>
        <v>1.1407667685849445</v>
      </c>
      <c r="AM58" s="84">
        <f>AJ58/AG58</f>
        <v>1.1212218237774654</v>
      </c>
      <c r="AN58" s="42">
        <f>SUM(AN59:AN63)</f>
        <v>44.945</v>
      </c>
      <c r="AO58" s="42">
        <f>SUMPRODUCT(AN59:AN63,AO59:AO63)/AN58</f>
        <v>26.60105709200133</v>
      </c>
      <c r="AP58" s="42">
        <f>SUMPRODUCT(AN59:AN63,AP59:AP63)/AN58</f>
        <v>30.60090383757926</v>
      </c>
      <c r="AQ58" s="84">
        <f>AK58/AH58</f>
        <v>1.1230423780805578</v>
      </c>
      <c r="AR58" s="42">
        <f>SUM(AR59:AR63)</f>
        <v>44.945</v>
      </c>
      <c r="AS58" s="42">
        <f>SUMPRODUCT(AR59:AR63,AS59:AS63)/AR58</f>
        <v>28.4954737790633</v>
      </c>
      <c r="AT58" s="42">
        <f>SUMPRODUCT(AR59:AR63,AT59:AT63)/AR58</f>
        <v>32.780367146957389</v>
      </c>
      <c r="AU58" s="42">
        <f>SUM(AU59:AU63)</f>
        <v>44.945</v>
      </c>
      <c r="AV58" s="42">
        <f>SUMPRODUCT(AU59:AU63,AV59:AV63)/AU58</f>
        <v>29.730447369896538</v>
      </c>
      <c r="AW58" s="42">
        <f>SUMPRODUCT(AU59:AU63,AW59:AW63)/AU58</f>
        <v>34.186974064016013</v>
      </c>
      <c r="AX58" s="84">
        <f>AS58/AO58</f>
        <v>1.0712158423069436</v>
      </c>
      <c r="AY58" s="84">
        <f>AV58/AS58</f>
        <v>1.0433392896152027</v>
      </c>
      <c r="AZ58" s="84">
        <f>AW58/AT58</f>
        <v>1.0429100415731367</v>
      </c>
      <c r="BA58" s="222">
        <f>SUM(BA59:BA63)</f>
        <v>4194.3061239600001</v>
      </c>
    </row>
    <row r="59" spans="1:53" s="159" customFormat="1" ht="18" hidden="1" customHeight="1">
      <c r="A59" s="246" t="s">
        <v>38</v>
      </c>
      <c r="B59" s="246" t="s">
        <v>397</v>
      </c>
      <c r="C59" s="228">
        <f>172.72/2</f>
        <v>86.36</v>
      </c>
      <c r="D59" s="228">
        <v>36.25</v>
      </c>
      <c r="E59" s="228">
        <f t="shared" si="51"/>
        <v>42.774999999999999</v>
      </c>
      <c r="F59" s="228">
        <f>C59</f>
        <v>86.36</v>
      </c>
      <c r="G59" s="228">
        <v>48.5</v>
      </c>
      <c r="H59" s="228">
        <f t="shared" si="10"/>
        <v>57.23</v>
      </c>
      <c r="I59" s="228">
        <f>F59</f>
        <v>86.36</v>
      </c>
      <c r="J59" s="228">
        <v>50.52</v>
      </c>
      <c r="K59" s="228">
        <f t="shared" si="11"/>
        <v>59.613599999999998</v>
      </c>
      <c r="L59" s="229">
        <f>(G59*F59)/(D59*C59)</f>
        <v>1.3379310344827586</v>
      </c>
      <c r="M59" s="229">
        <f>(K59*I59)/(H59*F59)</f>
        <v>1.0416494845360826</v>
      </c>
      <c r="N59" s="229" t="s">
        <v>280</v>
      </c>
      <c r="O59" s="235">
        <f>86.85/2</f>
        <v>43.424999999999997</v>
      </c>
      <c r="P59" s="235">
        <v>16.61</v>
      </c>
      <c r="Q59" s="228">
        <f>IF(B59="ОСНО",P59*1.18,P59)</f>
        <v>19.599799999999998</v>
      </c>
      <c r="R59" s="228"/>
      <c r="S59" s="235">
        <f>O59</f>
        <v>43.424999999999997</v>
      </c>
      <c r="T59" s="235">
        <v>17.79</v>
      </c>
      <c r="U59" s="228">
        <f>IF(B59="ОСНО",T59*1.18,T59)</f>
        <v>20.992199999999997</v>
      </c>
      <c r="V59" s="228">
        <f>S59</f>
        <v>43.424999999999997</v>
      </c>
      <c r="W59" s="228">
        <f>T59*1.04</f>
        <v>18.5016</v>
      </c>
      <c r="X59" s="228">
        <f>IF(B59="ОСНО",W59*1.18,W59)</f>
        <v>21.831887999999999</v>
      </c>
      <c r="Y59" s="199">
        <f>(T59*S59)/(P59*O59)</f>
        <v>1.0710415412402168</v>
      </c>
      <c r="Z59" s="229">
        <f>(X59*V59)/(U59*S59)</f>
        <v>1.0400000000000003</v>
      </c>
      <c r="AA59" s="228">
        <f>164.14/2-8.12/2</f>
        <v>78.009999999999991</v>
      </c>
      <c r="AB59" s="228">
        <v>61.79</v>
      </c>
      <c r="AC59" s="228">
        <f>IF(B59="ОСНО",AB59*1.18,AB59)</f>
        <v>72.912199999999999</v>
      </c>
      <c r="AD59" s="228"/>
      <c r="AE59" s="230">
        <f>(J59-W59)*V59+(G59-T59)*O59</f>
        <v>2723.9807700000001</v>
      </c>
      <c r="AF59" s="228">
        <f>AA59</f>
        <v>78.009999999999991</v>
      </c>
      <c r="AG59" s="228">
        <v>71.33</v>
      </c>
      <c r="AH59" s="228">
        <f>IF(B59="ОСНО",AG59*1.18,AG59)</f>
        <v>84.169399999999996</v>
      </c>
      <c r="AI59" s="228">
        <f>AF59</f>
        <v>78.009999999999991</v>
      </c>
      <c r="AJ59" s="228">
        <v>80.94</v>
      </c>
      <c r="AK59" s="228">
        <f>IF(B59="ОСНО",AJ59*1.18,AJ59)</f>
        <v>95.509199999999993</v>
      </c>
      <c r="AL59" s="229">
        <f>(AG59*AF59)/(AB59*AA59)</f>
        <v>1.1543939148729567</v>
      </c>
      <c r="AM59" s="229">
        <f>(AK59*AI59)/(AH59*AF59)</f>
        <v>1.1347259217720453</v>
      </c>
      <c r="AN59" s="200">
        <f>78.89/2*0.06</f>
        <v>2.3666999999999998</v>
      </c>
      <c r="AO59" s="198">
        <v>35.03</v>
      </c>
      <c r="AP59" s="198">
        <f>IF(B59="ОСНО",AO59*1.18,AO59)</f>
        <v>41.3354</v>
      </c>
      <c r="AQ59" s="198"/>
      <c r="AR59" s="228">
        <f>AN59</f>
        <v>2.3666999999999998</v>
      </c>
      <c r="AS59" s="228">
        <v>37.53</v>
      </c>
      <c r="AT59" s="228">
        <f>IF(B59="ОСНО",AS59*1.18,AS59)</f>
        <v>44.285399999999996</v>
      </c>
      <c r="AU59" s="228">
        <f>AR59</f>
        <v>2.3666999999999998</v>
      </c>
      <c r="AV59" s="228">
        <f>AS59*1.04</f>
        <v>39.031200000000005</v>
      </c>
      <c r="AW59" s="228">
        <f>IF(B59="ОСНО",AV59*1.18,AV59)</f>
        <v>46.056816000000005</v>
      </c>
      <c r="AX59" s="229">
        <f>(AS59*AR59)/(AO59*AN59)</f>
        <v>1.0713673993719668</v>
      </c>
      <c r="AY59" s="229">
        <f>(AW59*AU59)/(AT59*AR59)</f>
        <v>1.0400000000000003</v>
      </c>
      <c r="AZ59" s="229"/>
      <c r="BA59" s="230">
        <f t="shared" si="14"/>
        <v>179.18001695999996</v>
      </c>
    </row>
    <row r="60" spans="1:53" ht="18.75" hidden="1" customHeight="1">
      <c r="A60" s="246" t="s">
        <v>38</v>
      </c>
      <c r="B60" s="246" t="s">
        <v>397</v>
      </c>
      <c r="C60" s="228"/>
      <c r="D60" s="228"/>
      <c r="E60" s="228">
        <f t="shared" si="51"/>
        <v>0</v>
      </c>
      <c r="F60" s="228"/>
      <c r="G60" s="228"/>
      <c r="H60" s="228">
        <f t="shared" si="10"/>
        <v>0</v>
      </c>
      <c r="I60" s="228"/>
      <c r="J60" s="228"/>
      <c r="K60" s="228">
        <f t="shared" si="11"/>
        <v>0</v>
      </c>
      <c r="L60" s="229"/>
      <c r="M60" s="229"/>
      <c r="N60" s="229" t="s">
        <v>280</v>
      </c>
      <c r="O60" s="235"/>
      <c r="P60" s="235"/>
      <c r="Q60" s="228">
        <f>IF(B60="ОСНО",P60*1.18,P60)</f>
        <v>0</v>
      </c>
      <c r="R60" s="228"/>
      <c r="S60" s="235"/>
      <c r="T60" s="235"/>
      <c r="U60" s="228">
        <f>IF(B60="ОСНО",T60*1.18,T60)</f>
        <v>0</v>
      </c>
      <c r="V60" s="228"/>
      <c r="W60" s="228"/>
      <c r="X60" s="228"/>
      <c r="Y60" s="229"/>
      <c r="Z60" s="229"/>
      <c r="AA60" s="228"/>
      <c r="AB60" s="228"/>
      <c r="AC60" s="228">
        <f>IF(B60="ОСНО",AB60*1.18,AB60)</f>
        <v>0</v>
      </c>
      <c r="AD60" s="228"/>
      <c r="AE60" s="230"/>
      <c r="AF60" s="228">
        <f t="shared" ref="AF60:AF61" si="89">AA60</f>
        <v>0</v>
      </c>
      <c r="AG60" s="228"/>
      <c r="AH60" s="228">
        <f>IF(B60="ОСНО",AG60*1.18,AG60)</f>
        <v>0</v>
      </c>
      <c r="AI60" s="228">
        <f t="shared" ref="AI60:AI61" si="90">AF60</f>
        <v>0</v>
      </c>
      <c r="AJ60" s="228"/>
      <c r="AK60" s="228">
        <f>IF(B60="ОСНО",AJ60*1.18,AJ60)</f>
        <v>0</v>
      </c>
      <c r="AL60" s="229"/>
      <c r="AM60" s="229"/>
      <c r="AN60" s="240">
        <f>78.89/2*0.94</f>
        <v>37.078299999999999</v>
      </c>
      <c r="AO60" s="228">
        <v>24.7</v>
      </c>
      <c r="AP60" s="228">
        <f>IF(B60="ОСНО",AO60*1.18,AO60)</f>
        <v>29.145999999999997</v>
      </c>
      <c r="AQ60" s="228"/>
      <c r="AR60" s="228">
        <f>AN60</f>
        <v>37.078299999999999</v>
      </c>
      <c r="AS60" s="228">
        <v>26.46</v>
      </c>
      <c r="AT60" s="228">
        <f>IF(B60="ОСНО",AS60*1.18,AS60)</f>
        <v>31.222799999999999</v>
      </c>
      <c r="AU60" s="228">
        <f t="shared" ref="AU60:AU61" si="91">AR60</f>
        <v>37.078299999999999</v>
      </c>
      <c r="AV60" s="228">
        <v>27.52</v>
      </c>
      <c r="AW60" s="228">
        <f>IF(B60="ОСНО",AV60*1.18,AV60)</f>
        <v>32.473599999999998</v>
      </c>
      <c r="AX60" s="229">
        <f>(AS60*AR60)/(AO60*AN60)</f>
        <v>1.071255060728745</v>
      </c>
      <c r="AY60" s="229">
        <f t="shared" ref="AY60:AY61" si="92">(AW60*AU60)/(AT60*AR60)</f>
        <v>1.0400604686318971</v>
      </c>
      <c r="AZ60" s="229"/>
      <c r="BA60" s="230">
        <f>(AG59-AS60)*AR60+(AJ59-AV60)*AU60</f>
        <v>3644.4261070000002</v>
      </c>
    </row>
    <row r="61" spans="1:53" s="231" customFormat="1" ht="18" hidden="1" customHeight="1">
      <c r="A61" s="246" t="s">
        <v>39</v>
      </c>
      <c r="B61" s="246" t="s">
        <v>398</v>
      </c>
      <c r="C61" s="228">
        <f>64.63/2</f>
        <v>32.314999999999998</v>
      </c>
      <c r="D61" s="228">
        <v>57.95</v>
      </c>
      <c r="E61" s="228">
        <f t="shared" si="51"/>
        <v>57.95</v>
      </c>
      <c r="F61" s="228">
        <f t="shared" ref="F61:F63" si="93">C61</f>
        <v>32.314999999999998</v>
      </c>
      <c r="G61" s="228">
        <v>59.17</v>
      </c>
      <c r="H61" s="228">
        <f t="shared" si="10"/>
        <v>59.17</v>
      </c>
      <c r="I61" s="228">
        <f t="shared" ref="I61:I63" si="94">F61</f>
        <v>32.314999999999998</v>
      </c>
      <c r="J61" s="228">
        <v>63.21</v>
      </c>
      <c r="K61" s="228">
        <f t="shared" si="11"/>
        <v>63.21</v>
      </c>
      <c r="L61" s="229">
        <f t="shared" ref="L61:L63" si="95">(G61*F61)/(D61*C61)</f>
        <v>1.0210526315789472</v>
      </c>
      <c r="M61" s="229">
        <f>(K61*I61)/(H61*F61)</f>
        <v>1.0682778435017746</v>
      </c>
      <c r="N61" s="229" t="s">
        <v>281</v>
      </c>
      <c r="O61" s="235">
        <f>35/2</f>
        <v>17.5</v>
      </c>
      <c r="P61" s="235">
        <v>32.200000000000003</v>
      </c>
      <c r="Q61" s="228">
        <f>IF(B61="ОСНО",P61*1.18,P61)</f>
        <v>32.200000000000003</v>
      </c>
      <c r="R61" s="228"/>
      <c r="S61" s="235">
        <f t="shared" ref="S61:S63" si="96">O61</f>
        <v>17.5</v>
      </c>
      <c r="T61" s="235">
        <v>34.49</v>
      </c>
      <c r="U61" s="228">
        <f>IF(B61="ОСНО",T61*1.18,T61)</f>
        <v>34.49</v>
      </c>
      <c r="V61" s="228">
        <f>S61</f>
        <v>17.5</v>
      </c>
      <c r="W61" s="228">
        <f>T61*1.06</f>
        <v>36.559400000000004</v>
      </c>
      <c r="X61" s="228">
        <f>IF(B61="ОСНО",W61*1.18,W61)</f>
        <v>36.559400000000004</v>
      </c>
      <c r="Y61" s="229">
        <f>(T61*S61)/(P61*O61)</f>
        <v>1.0711180124223603</v>
      </c>
      <c r="Z61" s="229">
        <f>(X61*V61)/(U61*S61)</f>
        <v>1.06</v>
      </c>
      <c r="AA61" s="228">
        <f>24/2</f>
        <v>12</v>
      </c>
      <c r="AB61" s="228">
        <v>67.87</v>
      </c>
      <c r="AC61" s="228">
        <f>IF(B61="ОСНО",AB61*1.18,AB61)</f>
        <v>67.87</v>
      </c>
      <c r="AD61" s="228"/>
      <c r="AE61" s="230">
        <f>(J61-W61)*V61+(G61-T61)*O61</f>
        <v>898.28549999999996</v>
      </c>
      <c r="AF61" s="228">
        <f t="shared" si="89"/>
        <v>12</v>
      </c>
      <c r="AG61" s="228">
        <v>71.95</v>
      </c>
      <c r="AH61" s="228">
        <f>IF(B61="ОСНО",AG61*1.18,AG61)</f>
        <v>71.95</v>
      </c>
      <c r="AI61" s="228">
        <f t="shared" si="90"/>
        <v>12</v>
      </c>
      <c r="AJ61" s="228">
        <v>74.41</v>
      </c>
      <c r="AK61" s="228">
        <f>IF(B61="ОСНО",AJ61*1.18,AJ61)</f>
        <v>74.41</v>
      </c>
      <c r="AL61" s="229">
        <f t="shared" ref="AL61" si="97">(AG61*AF61)/(AB61*AA61)</f>
        <v>1.0601149255930455</v>
      </c>
      <c r="AM61" s="229">
        <f t="shared" ref="AM61" si="98">(AK61*AI61)/(AH61*AF61)</f>
        <v>1.0341904100069492</v>
      </c>
      <c r="AN61" s="240">
        <f>11/2</f>
        <v>5.5</v>
      </c>
      <c r="AO61" s="228">
        <v>35.79</v>
      </c>
      <c r="AP61" s="228">
        <f>IF(B61="ОСНО",AO61*1.18,AO61)</f>
        <v>35.79</v>
      </c>
      <c r="AQ61" s="228"/>
      <c r="AR61" s="228">
        <f t="shared" ref="AR61" si="99">AN61</f>
        <v>5.5</v>
      </c>
      <c r="AS61" s="228">
        <v>38.33</v>
      </c>
      <c r="AT61" s="228">
        <f>IF(B61="ОСНО",AS61*1.18,AS61)</f>
        <v>38.33</v>
      </c>
      <c r="AU61" s="228">
        <f t="shared" si="91"/>
        <v>5.5</v>
      </c>
      <c r="AV61" s="228">
        <v>40.630000000000003</v>
      </c>
      <c r="AW61" s="228">
        <f>IF(B61="ОСНО",AV61*1.18,AV61)</f>
        <v>40.630000000000003</v>
      </c>
      <c r="AX61" s="229">
        <f t="shared" ref="AX61" si="100">(AS61*AR61)/(AO61*AN61)</f>
        <v>1.0709695445655212</v>
      </c>
      <c r="AY61" s="229">
        <f t="shared" si="92"/>
        <v>1.0600052178450301</v>
      </c>
      <c r="AZ61" s="229"/>
      <c r="BA61" s="230">
        <f t="shared" si="14"/>
        <v>370.7</v>
      </c>
    </row>
    <row r="62" spans="1:53" s="231" customFormat="1" ht="18" hidden="1" customHeight="1">
      <c r="A62" s="246" t="s">
        <v>40</v>
      </c>
      <c r="B62" s="246" t="s">
        <v>398</v>
      </c>
      <c r="C62" s="228">
        <f>32.19/2</f>
        <v>16.094999999999999</v>
      </c>
      <c r="D62" s="228">
        <v>38.909999999999997</v>
      </c>
      <c r="E62" s="228">
        <f t="shared" si="51"/>
        <v>38.909999999999997</v>
      </c>
      <c r="F62" s="228">
        <f t="shared" si="93"/>
        <v>16.094999999999999</v>
      </c>
      <c r="G62" s="228">
        <v>41.03</v>
      </c>
      <c r="H62" s="228">
        <f t="shared" si="10"/>
        <v>41.03</v>
      </c>
      <c r="I62" s="228">
        <f t="shared" si="94"/>
        <v>16.094999999999999</v>
      </c>
      <c r="J62" s="228">
        <v>42.99</v>
      </c>
      <c r="K62" s="228">
        <f t="shared" si="11"/>
        <v>42.99</v>
      </c>
      <c r="L62" s="229">
        <f t="shared" si="95"/>
        <v>1.0544847083012081</v>
      </c>
      <c r="M62" s="229">
        <f>(K62*I62)/(H62*F62)</f>
        <v>1.0477699244455276</v>
      </c>
      <c r="N62" s="229" t="s">
        <v>280</v>
      </c>
      <c r="O62" s="235">
        <f>19.19/2</f>
        <v>9.5950000000000006</v>
      </c>
      <c r="P62" s="235">
        <v>38.909999999999997</v>
      </c>
      <c r="Q62" s="228">
        <f>IF(B62="ОСНО",P62*1.18,P62)</f>
        <v>38.909999999999997</v>
      </c>
      <c r="R62" s="228"/>
      <c r="S62" s="235">
        <f t="shared" si="96"/>
        <v>9.5950000000000006</v>
      </c>
      <c r="T62" s="235">
        <v>41.03</v>
      </c>
      <c r="U62" s="228">
        <f>IF(B62="ОСНО",T62*1.18,T62)</f>
        <v>41.03</v>
      </c>
      <c r="V62" s="228">
        <f>S62</f>
        <v>9.5950000000000006</v>
      </c>
      <c r="W62" s="228">
        <f>J62</f>
        <v>42.99</v>
      </c>
      <c r="X62" s="228">
        <f>IF(B62="ОСНО",W62*1.18,W62)</f>
        <v>42.99</v>
      </c>
      <c r="Y62" s="229">
        <f>(T62*S62)/(P62*O62)</f>
        <v>1.0544847083012079</v>
      </c>
      <c r="Z62" s="229">
        <f>(X62*V62)/(U62*S62)</f>
        <v>1.0477699244455276</v>
      </c>
      <c r="AA62" s="228">
        <v>0</v>
      </c>
      <c r="AB62" s="228"/>
      <c r="AC62" s="228">
        <f>IF(B62="ОСНО",AB62*1.18,AB62)</f>
        <v>0</v>
      </c>
      <c r="AD62" s="228"/>
      <c r="AE62" s="230">
        <f>(J62-W62)*V62+(G62-T62)*O62</f>
        <v>0</v>
      </c>
      <c r="AF62" s="228"/>
      <c r="AG62" s="228"/>
      <c r="AH62" s="228"/>
      <c r="AI62" s="228"/>
      <c r="AJ62" s="228"/>
      <c r="AK62" s="228"/>
      <c r="AL62" s="229"/>
      <c r="AM62" s="229"/>
      <c r="AN62" s="240"/>
      <c r="AO62" s="228"/>
      <c r="AP62" s="228"/>
      <c r="AQ62" s="228"/>
      <c r="AR62" s="228"/>
      <c r="AS62" s="228"/>
      <c r="AT62" s="228"/>
      <c r="AU62" s="228"/>
      <c r="AV62" s="228"/>
      <c r="AW62" s="228"/>
      <c r="AX62" s="229"/>
      <c r="AY62" s="229"/>
      <c r="AZ62" s="229"/>
      <c r="BA62" s="230">
        <f t="shared" si="14"/>
        <v>0</v>
      </c>
    </row>
    <row r="63" spans="1:53" s="231" customFormat="1" ht="18" hidden="1" customHeight="1">
      <c r="A63" s="246" t="s">
        <v>41</v>
      </c>
      <c r="B63" s="246" t="s">
        <v>398</v>
      </c>
      <c r="C63" s="228">
        <f>10.682/2</f>
        <v>5.3410000000000002</v>
      </c>
      <c r="D63" s="228">
        <v>77.88</v>
      </c>
      <c r="E63" s="228">
        <f t="shared" si="51"/>
        <v>77.88</v>
      </c>
      <c r="F63" s="228">
        <f t="shared" si="93"/>
        <v>5.3410000000000002</v>
      </c>
      <c r="G63" s="228">
        <v>83.07</v>
      </c>
      <c r="H63" s="228">
        <f t="shared" si="10"/>
        <v>83.07</v>
      </c>
      <c r="I63" s="228">
        <f t="shared" si="94"/>
        <v>5.3410000000000002</v>
      </c>
      <c r="J63" s="228">
        <v>85.77</v>
      </c>
      <c r="K63" s="228">
        <f t="shared" si="11"/>
        <v>85.77</v>
      </c>
      <c r="L63" s="229">
        <f t="shared" si="95"/>
        <v>1.0666409861325115</v>
      </c>
      <c r="M63" s="229">
        <f>(K63*I63)/(H63*F63)</f>
        <v>1.0325027085590468</v>
      </c>
      <c r="N63" s="229" t="s">
        <v>279</v>
      </c>
      <c r="O63" s="235">
        <f>9.422/2</f>
        <v>4.7110000000000003</v>
      </c>
      <c r="P63" s="235">
        <v>38.479999999999997</v>
      </c>
      <c r="Q63" s="228">
        <f>IF(B63="ОСНО",P63*1.18,P63)</f>
        <v>38.479999999999997</v>
      </c>
      <c r="R63" s="228"/>
      <c r="S63" s="235">
        <f t="shared" si="96"/>
        <v>4.7110000000000003</v>
      </c>
      <c r="T63" s="235">
        <v>41.21</v>
      </c>
      <c r="U63" s="228">
        <f>IF(B63="ОСНО",T63*1.18,T63)</f>
        <v>41.21</v>
      </c>
      <c r="V63" s="228">
        <f>S63</f>
        <v>4.7110000000000003</v>
      </c>
      <c r="W63" s="228">
        <f t="shared" ref="W63" si="101">T63*1.06</f>
        <v>43.682600000000001</v>
      </c>
      <c r="X63" s="228">
        <f>IF(B63="ОСНО",W63*1.18,W63)</f>
        <v>43.682600000000001</v>
      </c>
      <c r="Y63" s="229">
        <f>(T63*S63)/(P63*O63)</f>
        <v>1.0709459459459461</v>
      </c>
      <c r="Z63" s="229">
        <f>(X63*V63)/(U63*S63)</f>
        <v>1.0599999999999998</v>
      </c>
      <c r="AA63" s="228">
        <v>0</v>
      </c>
      <c r="AB63" s="228"/>
      <c r="AC63" s="228">
        <f>IF(B63="ОСНО",AB63*1.18,AB63)</f>
        <v>0</v>
      </c>
      <c r="AD63" s="228"/>
      <c r="AE63" s="230">
        <f>(J63-W63)*V63+(G63-T63)*O63</f>
        <v>395.47620139999992</v>
      </c>
      <c r="AF63" s="228"/>
      <c r="AG63" s="228"/>
      <c r="AH63" s="228"/>
      <c r="AI63" s="228"/>
      <c r="AJ63" s="228"/>
      <c r="AK63" s="228"/>
      <c r="AL63" s="229"/>
      <c r="AM63" s="229"/>
      <c r="AN63" s="240"/>
      <c r="AO63" s="228"/>
      <c r="AP63" s="228"/>
      <c r="AQ63" s="228"/>
      <c r="AR63" s="228"/>
      <c r="AS63" s="228"/>
      <c r="AT63" s="228"/>
      <c r="AU63" s="228"/>
      <c r="AV63" s="228"/>
      <c r="AW63" s="228"/>
      <c r="AX63" s="229"/>
      <c r="AY63" s="229"/>
      <c r="AZ63" s="229"/>
      <c r="BA63" s="230">
        <f t="shared" si="14"/>
        <v>0</v>
      </c>
    </row>
    <row r="64" spans="1:53" s="218" customFormat="1" ht="28.5" customHeight="1">
      <c r="A64" s="193" t="s">
        <v>66</v>
      </c>
      <c r="B64" s="193"/>
      <c r="C64" s="42">
        <f>SUM(C65:C65)</f>
        <v>59.05</v>
      </c>
      <c r="D64" s="42">
        <f>SUMPRODUCT(C65:C65,D65:D65)/C64</f>
        <v>64.599999999999994</v>
      </c>
      <c r="E64" s="42">
        <f>SUMPRODUCT(C65:C65,E65:E65)/C64</f>
        <v>76.227999999999994</v>
      </c>
      <c r="F64" s="42">
        <f>SUM(F65:F65)</f>
        <v>56.639000000000003</v>
      </c>
      <c r="G64" s="42">
        <f>SUMPRODUCT(F65:F65,G65:G65)/F64</f>
        <v>84.27</v>
      </c>
      <c r="H64" s="42">
        <f>SUMPRODUCT(F65:F65,H65:H65)/F64</f>
        <v>99.438599999999994</v>
      </c>
      <c r="I64" s="42">
        <f>SUM(I65:I65)</f>
        <v>56.639000000000003</v>
      </c>
      <c r="J64" s="42">
        <f>SUMPRODUCT(I65:I65,J65:J65)/I64</f>
        <v>84.27</v>
      </c>
      <c r="K64" s="42">
        <f>SUMPRODUCT(I65:I65,K65:K65)/I64</f>
        <v>99.438599999999994</v>
      </c>
      <c r="L64" s="84">
        <f>G64/D64</f>
        <v>1.3044891640866874</v>
      </c>
      <c r="M64" s="84">
        <f>J64/G64</f>
        <v>1</v>
      </c>
      <c r="N64" s="84"/>
      <c r="O64" s="42">
        <f>SUM(O65:O65)</f>
        <v>41</v>
      </c>
      <c r="P64" s="42">
        <f>SUMPRODUCT(O65:O65,P65:P65)/O64</f>
        <v>45.15</v>
      </c>
      <c r="Q64" s="42">
        <f>SUMPRODUCT(O65:O65,Q65:Q65)/O64</f>
        <v>53.277000000000001</v>
      </c>
      <c r="R64" s="84">
        <f>K64/H64</f>
        <v>1</v>
      </c>
      <c r="S64" s="42">
        <f>SUM(S65:S65)</f>
        <v>40.343000000000004</v>
      </c>
      <c r="T64" s="42">
        <f>SUMPRODUCT(S65:S65,T65:T65)/S64</f>
        <v>48.36</v>
      </c>
      <c r="U64" s="42">
        <f>SUMPRODUCT(S65:S65,U65:U65)/S64</f>
        <v>57.064799999999991</v>
      </c>
      <c r="V64" s="42">
        <f>SUM(V65:V65)</f>
        <v>40.343000000000004</v>
      </c>
      <c r="W64" s="42">
        <f>SUMPRODUCT(V65:V65,W65:W65)/V64</f>
        <v>51.261600000000008</v>
      </c>
      <c r="X64" s="42">
        <f>SUMPRODUCT(V65:V65,X65:X65)/V64</f>
        <v>60.488687999999989</v>
      </c>
      <c r="Y64" s="84">
        <f>T64/P64</f>
        <v>1.0710963455149503</v>
      </c>
      <c r="Z64" s="84">
        <f>W64/T64</f>
        <v>1.0600000000000003</v>
      </c>
      <c r="AA64" s="42"/>
      <c r="AB64" s="42"/>
      <c r="AC64" s="42">
        <v>0</v>
      </c>
      <c r="AD64" s="84">
        <f>X64/U64</f>
        <v>1.06</v>
      </c>
      <c r="AE64" s="222">
        <f>AE65</f>
        <v>2803.9678811999997</v>
      </c>
      <c r="AF64" s="42">
        <f>SUM(AF65:AF65)</f>
        <v>0</v>
      </c>
      <c r="AG64" s="42">
        <v>0</v>
      </c>
      <c r="AH64" s="42">
        <v>0</v>
      </c>
      <c r="AI64" s="42">
        <f>SUM(AI65:AI65)</f>
        <v>0</v>
      </c>
      <c r="AJ64" s="42">
        <v>0</v>
      </c>
      <c r="AK64" s="42">
        <v>0</v>
      </c>
      <c r="AL64" s="84">
        <v>0</v>
      </c>
      <c r="AM64" s="84">
        <v>0</v>
      </c>
      <c r="AN64" s="42"/>
      <c r="AO64" s="42"/>
      <c r="AP64" s="42">
        <v>0</v>
      </c>
      <c r="AQ64" s="84">
        <v>0</v>
      </c>
      <c r="AR64" s="42"/>
      <c r="AS64" s="42"/>
      <c r="AT64" s="42">
        <v>0</v>
      </c>
      <c r="AU64" s="42">
        <f>SUM(AU65:AU65)</f>
        <v>0</v>
      </c>
      <c r="AV64" s="42">
        <v>0</v>
      </c>
      <c r="AW64" s="42">
        <v>0</v>
      </c>
      <c r="AX64" s="84"/>
      <c r="AY64" s="84">
        <v>0</v>
      </c>
      <c r="AZ64" s="84">
        <v>0</v>
      </c>
      <c r="BA64" s="222">
        <f>BA65</f>
        <v>0</v>
      </c>
    </row>
    <row r="65" spans="1:53" s="231" customFormat="1" ht="35.25" hidden="1" customHeight="1">
      <c r="A65" s="236" t="s">
        <v>58</v>
      </c>
      <c r="B65" s="236" t="s">
        <v>397</v>
      </c>
      <c r="C65" s="228">
        <f>118.1/2</f>
        <v>59.05</v>
      </c>
      <c r="D65" s="228">
        <v>64.599999999999994</v>
      </c>
      <c r="E65" s="228">
        <f t="shared" si="51"/>
        <v>76.227999999999994</v>
      </c>
      <c r="F65" s="228">
        <f>113.278/2</f>
        <v>56.639000000000003</v>
      </c>
      <c r="G65" s="228">
        <v>84.27</v>
      </c>
      <c r="H65" s="228">
        <f t="shared" si="10"/>
        <v>99.438599999999994</v>
      </c>
      <c r="I65" s="228">
        <f>F65</f>
        <v>56.639000000000003</v>
      </c>
      <c r="J65" s="228">
        <v>84.27</v>
      </c>
      <c r="K65" s="228">
        <f t="shared" si="11"/>
        <v>99.438599999999994</v>
      </c>
      <c r="L65" s="229">
        <f>(G65*F65)/(D65*C65)</f>
        <v>1.2512271255665688</v>
      </c>
      <c r="M65" s="229">
        <f>(K65*I65)/(H65*F65)</f>
        <v>1</v>
      </c>
      <c r="N65" s="238" t="s">
        <v>310</v>
      </c>
      <c r="O65" s="252">
        <f>82/2</f>
        <v>41</v>
      </c>
      <c r="P65" s="252">
        <v>45.15</v>
      </c>
      <c r="Q65" s="228">
        <f>IF(B65="ОСНО",P65*1.18,P65)</f>
        <v>53.276999999999994</v>
      </c>
      <c r="R65" s="228"/>
      <c r="S65" s="252">
        <f>80.686/2</f>
        <v>40.343000000000004</v>
      </c>
      <c r="T65" s="252">
        <v>48.36</v>
      </c>
      <c r="U65" s="228">
        <f>IF(B65="ОСНО",T65*1.18,T65)</f>
        <v>57.064799999999998</v>
      </c>
      <c r="V65" s="228">
        <f>S65</f>
        <v>40.343000000000004</v>
      </c>
      <c r="W65" s="228">
        <f>T65*1.06</f>
        <v>51.261600000000001</v>
      </c>
      <c r="X65" s="228">
        <f>IF(B65="ОСНО",W65*1.18,W65)</f>
        <v>60.488687999999996</v>
      </c>
      <c r="Y65" s="229">
        <f>(T65*S65)/(P65*O65)</f>
        <v>1.053932679685601</v>
      </c>
      <c r="Z65" s="229">
        <f>(X65*V65)/(U65*S65)</f>
        <v>1.06</v>
      </c>
      <c r="AA65" s="228"/>
      <c r="AB65" s="228"/>
      <c r="AC65" s="228">
        <f>IF(B65="ОСНО",AB65*1.18,AB65)</f>
        <v>0</v>
      </c>
      <c r="AD65" s="228"/>
      <c r="AE65" s="230">
        <f>(J65-W65)*V65+(G65-T65)*O65</f>
        <v>2803.9678811999997</v>
      </c>
      <c r="AF65" s="228"/>
      <c r="AG65" s="228"/>
      <c r="AH65" s="228">
        <f>IF(B65="ОСНО",AG65*1.18,AG65)</f>
        <v>0</v>
      </c>
      <c r="AI65" s="228"/>
      <c r="AJ65" s="228"/>
      <c r="AK65" s="228">
        <f>IF(B65="ОСНО",AJ65*1.18,AJ65)</f>
        <v>0</v>
      </c>
      <c r="AL65" s="229"/>
      <c r="AM65" s="229"/>
      <c r="AN65" s="239"/>
      <c r="AO65" s="239"/>
      <c r="AP65" s="228">
        <f>IF(B65="ОСНО",AO65*1.18,AO65)</f>
        <v>0</v>
      </c>
      <c r="AQ65" s="228"/>
      <c r="AR65" s="239"/>
      <c r="AS65" s="239"/>
      <c r="AT65" s="228">
        <f>IF(B65="ОСНО",AS65*1.18,AS65)</f>
        <v>0</v>
      </c>
      <c r="AU65" s="228"/>
      <c r="AV65" s="228"/>
      <c r="AW65" s="228">
        <f>IF(B65="ОСНО",AV65*1.18,AV65)</f>
        <v>0</v>
      </c>
      <c r="AX65" s="249"/>
      <c r="AY65" s="229"/>
      <c r="AZ65" s="229"/>
      <c r="BA65" s="230">
        <f t="shared" si="14"/>
        <v>0</v>
      </c>
    </row>
    <row r="66" spans="1:53" s="216" customFormat="1" ht="18" customHeight="1">
      <c r="A66" s="193" t="s">
        <v>67</v>
      </c>
      <c r="B66" s="193"/>
      <c r="C66" s="42">
        <f>SUM(C67:C70)</f>
        <v>52.432000000000002</v>
      </c>
      <c r="D66" s="42">
        <f>SUMPRODUCT(C67:C70,D67:D70)/C66</f>
        <v>64.87805033185839</v>
      </c>
      <c r="E66" s="42">
        <f>SUMPRODUCT(C67:C70,E67:E70)/C66</f>
        <v>75.827437595361587</v>
      </c>
      <c r="F66" s="42">
        <f>SUM(F67:F70)</f>
        <v>49.294000000000004</v>
      </c>
      <c r="G66" s="42">
        <f>SUMPRODUCT(F67:F70,G67:G70)/F66</f>
        <v>98.593415020083555</v>
      </c>
      <c r="H66" s="42">
        <f>SUMPRODUCT(F67:F70,H67:H70)/F66</f>
        <v>115.51028453767189</v>
      </c>
      <c r="I66" s="42">
        <f>SUM(I67:I70)</f>
        <v>49.294499999999999</v>
      </c>
      <c r="J66" s="42">
        <f>SUMPRODUCT(I67:I70,J67:J70)/I66</f>
        <v>99.037349501465684</v>
      </c>
      <c r="K66" s="42">
        <f>SUMPRODUCT(I67:I70,K67:K70)/I66</f>
        <v>115.99340829098578</v>
      </c>
      <c r="L66" s="84">
        <f>G66/D66</f>
        <v>1.5196729019409083</v>
      </c>
      <c r="M66" s="84">
        <f>J66/G66</f>
        <v>1.0045026788177658</v>
      </c>
      <c r="N66" s="84"/>
      <c r="O66" s="42">
        <f>SUM(O67:O70)</f>
        <v>33.857000000000006</v>
      </c>
      <c r="P66" s="42">
        <f>SUMPRODUCT(O67:O70,P67:P70)/O66</f>
        <v>46.707813450689649</v>
      </c>
      <c r="Q66" s="42">
        <f>SUMPRODUCT(O67:O70,Q67:Q70)/O66</f>
        <v>54.251223380689353</v>
      </c>
      <c r="R66" s="84">
        <f>K66/H66</f>
        <v>1.0041825172126237</v>
      </c>
      <c r="S66" s="42">
        <f>SUM(S67:S70)</f>
        <v>33.858500000000006</v>
      </c>
      <c r="T66" s="42">
        <f>SUMPRODUCT(S67:S70,T67:T70)/S66</f>
        <v>50.081255814640343</v>
      </c>
      <c r="U66" s="42">
        <f>SUMPRODUCT(S67:S70,U67:U70)/S66</f>
        <v>58.159735451954447</v>
      </c>
      <c r="V66" s="42">
        <f>SUM(V67:V70)</f>
        <v>33.857500000000002</v>
      </c>
      <c r="W66" s="42">
        <f>SUMPRODUCT(V67:V70,W67:W70)/V66</f>
        <v>53.006432016539904</v>
      </c>
      <c r="X66" s="42">
        <f>SUMPRODUCT(V67:V70,X67:X70)/V66</f>
        <v>61.56935792069703</v>
      </c>
      <c r="Y66" s="84">
        <f>T66/P66</f>
        <v>1.0722243692163433</v>
      </c>
      <c r="Z66" s="84">
        <f>W66/T66</f>
        <v>1.0584086032651849</v>
      </c>
      <c r="AA66" s="42"/>
      <c r="AB66" s="42"/>
      <c r="AC66" s="42">
        <v>0</v>
      </c>
      <c r="AD66" s="84">
        <f>X66/U66</f>
        <v>1.0586251371717339</v>
      </c>
      <c r="AE66" s="222">
        <f>AE67+AE68+AE69+AE70</f>
        <v>2968.2779779999996</v>
      </c>
      <c r="AF66" s="42">
        <f>SUM(AF67:AF70)</f>
        <v>0</v>
      </c>
      <c r="AG66" s="42">
        <v>0</v>
      </c>
      <c r="AH66" s="42">
        <v>0</v>
      </c>
      <c r="AI66" s="42">
        <f>SUM(AI67:AI70)</f>
        <v>0</v>
      </c>
      <c r="AJ66" s="42">
        <v>0</v>
      </c>
      <c r="AK66" s="42">
        <v>0</v>
      </c>
      <c r="AL66" s="84">
        <v>0</v>
      </c>
      <c r="AM66" s="84">
        <v>0</v>
      </c>
      <c r="AN66" s="42"/>
      <c r="AO66" s="42"/>
      <c r="AP66" s="42">
        <v>0</v>
      </c>
      <c r="AQ66" s="42">
        <v>0</v>
      </c>
      <c r="AR66" s="42"/>
      <c r="AS66" s="42"/>
      <c r="AT66" s="42">
        <v>0</v>
      </c>
      <c r="AU66" s="42">
        <f>SUM(AU67:AU70)</f>
        <v>0</v>
      </c>
      <c r="AV66" s="42">
        <v>0</v>
      </c>
      <c r="AW66" s="42">
        <v>0</v>
      </c>
      <c r="AX66" s="84"/>
      <c r="AY66" s="84">
        <v>0</v>
      </c>
      <c r="AZ66" s="84">
        <v>0</v>
      </c>
      <c r="BA66" s="222">
        <f>BA67+BA68+BA69+BA70</f>
        <v>0</v>
      </c>
    </row>
    <row r="67" spans="1:53" s="231" customFormat="1" ht="18" hidden="1" customHeight="1">
      <c r="A67" s="234" t="s">
        <v>58</v>
      </c>
      <c r="B67" s="234" t="s">
        <v>397</v>
      </c>
      <c r="C67" s="244">
        <f>92.57/2</f>
        <v>46.284999999999997</v>
      </c>
      <c r="D67" s="244">
        <v>64.569999999999993</v>
      </c>
      <c r="E67" s="228">
        <f t="shared" si="51"/>
        <v>76.192599999999985</v>
      </c>
      <c r="F67" s="244">
        <f>86.398/2</f>
        <v>43.198999999999998</v>
      </c>
      <c r="G67" s="244">
        <v>102.3</v>
      </c>
      <c r="H67" s="228">
        <f t="shared" si="10"/>
        <v>120.71399999999998</v>
      </c>
      <c r="I67" s="244">
        <f>F67</f>
        <v>43.198999999999998</v>
      </c>
      <c r="J67" s="244">
        <v>102.3</v>
      </c>
      <c r="K67" s="228">
        <f t="shared" si="11"/>
        <v>120.71399999999998</v>
      </c>
      <c r="L67" s="250">
        <f>(G67*F67)/(D67*C67)</f>
        <v>1.4786938711512392</v>
      </c>
      <c r="M67" s="229">
        <f>(K67*I67)/(H67*F67)</f>
        <v>1</v>
      </c>
      <c r="N67" s="250" t="s">
        <v>311</v>
      </c>
      <c r="O67" s="251">
        <f>58.56/2</f>
        <v>29.28</v>
      </c>
      <c r="P67" s="251">
        <v>48.22</v>
      </c>
      <c r="Q67" s="228">
        <f>IF(B67="ОСНО",P67*1.18,P67)</f>
        <v>56.899599999999992</v>
      </c>
      <c r="R67" s="228"/>
      <c r="S67" s="251">
        <f>58.563/2</f>
        <v>29.281500000000001</v>
      </c>
      <c r="T67" s="251">
        <v>51.64</v>
      </c>
      <c r="U67" s="228">
        <f>IF(B67="ОСНО",T67*1.18,T67)</f>
        <v>60.935199999999995</v>
      </c>
      <c r="V67" s="244">
        <f>S67</f>
        <v>29.281500000000001</v>
      </c>
      <c r="W67" s="244">
        <v>54.74</v>
      </c>
      <c r="X67" s="228">
        <f>IF(B67="ОСНО",W67*1.18,W67)</f>
        <v>64.593199999999996</v>
      </c>
      <c r="Y67" s="250">
        <f>(T67*S67)/(P67*O67)</f>
        <v>1.0709797903733573</v>
      </c>
      <c r="Z67" s="229">
        <f>(X67*V67)/(U67*S67)</f>
        <v>1.06003098373354</v>
      </c>
      <c r="AA67" s="228"/>
      <c r="AB67" s="228"/>
      <c r="AC67" s="228">
        <f>IF(B67="ОСНО",AB67*1.18,AB67)</f>
        <v>0</v>
      </c>
      <c r="AD67" s="228"/>
      <c r="AE67" s="230">
        <f>(J67-W67)*V67+(G67-T67)*O67</f>
        <v>2875.9529399999997</v>
      </c>
      <c r="AF67" s="228"/>
      <c r="AG67" s="228"/>
      <c r="AH67" s="228">
        <f>IF(B67="ОСНО",AG67*1.18,AG67)</f>
        <v>0</v>
      </c>
      <c r="AI67" s="244"/>
      <c r="AJ67" s="244"/>
      <c r="AK67" s="228">
        <f>IF(B67="ОСНО",AJ67*1.18,AJ67)</f>
        <v>0</v>
      </c>
      <c r="AL67" s="229"/>
      <c r="AM67" s="229"/>
      <c r="AN67" s="239"/>
      <c r="AO67" s="239"/>
      <c r="AP67" s="228">
        <f>IF(B67="ОСНО",AO67*1.18,AO67)</f>
        <v>0</v>
      </c>
      <c r="AQ67" s="228"/>
      <c r="AR67" s="239"/>
      <c r="AS67" s="239"/>
      <c r="AT67" s="228">
        <f>IF(B67="ОСНО",AS67*1.18,AS67)</f>
        <v>0</v>
      </c>
      <c r="AU67" s="244"/>
      <c r="AV67" s="244"/>
      <c r="AW67" s="228">
        <f>IF(B67="ОСНО",AV67*1.18,AV67)</f>
        <v>0</v>
      </c>
      <c r="AX67" s="249"/>
      <c r="AY67" s="229"/>
      <c r="AZ67" s="229"/>
      <c r="BA67" s="230">
        <f t="shared" si="14"/>
        <v>0</v>
      </c>
    </row>
    <row r="68" spans="1:53" s="231" customFormat="1" ht="18" hidden="1" customHeight="1">
      <c r="A68" s="234" t="s">
        <v>329</v>
      </c>
      <c r="B68" s="234" t="s">
        <v>398</v>
      </c>
      <c r="C68" s="244">
        <f>7.839/2</f>
        <v>3.9195000000000002</v>
      </c>
      <c r="D68" s="244">
        <v>34.78</v>
      </c>
      <c r="E68" s="228">
        <f t="shared" si="51"/>
        <v>34.78</v>
      </c>
      <c r="F68" s="244">
        <f>7.83/2</f>
        <v>3.915</v>
      </c>
      <c r="G68" s="244">
        <v>37.72</v>
      </c>
      <c r="H68" s="228">
        <v>37.72</v>
      </c>
      <c r="I68" s="244">
        <f>F68</f>
        <v>3.915</v>
      </c>
      <c r="J68" s="243">
        <v>39.229999999999997</v>
      </c>
      <c r="K68" s="227">
        <f t="shared" si="11"/>
        <v>39.229999999999997</v>
      </c>
      <c r="L68" s="250">
        <f t="shared" ref="L68:L69" si="102">(G68*F68)/(D68*C68)</f>
        <v>1.0832861833179395</v>
      </c>
      <c r="M68" s="229">
        <f>(K68*I68)/(H68*F68)</f>
        <v>1.0400318133616118</v>
      </c>
      <c r="N68" s="250" t="s">
        <v>330</v>
      </c>
      <c r="O68" s="251">
        <f>7.42/2</f>
        <v>3.71</v>
      </c>
      <c r="P68" s="251">
        <v>34.78</v>
      </c>
      <c r="Q68" s="228">
        <f>IF(B68="ОСНО",P68*1.18,P68)</f>
        <v>34.78</v>
      </c>
      <c r="R68" s="228"/>
      <c r="S68" s="251">
        <f>O68</f>
        <v>3.71</v>
      </c>
      <c r="T68" s="251">
        <v>37.72</v>
      </c>
      <c r="U68" s="228">
        <f>IF(B68="ОСНО",T68*1.18,T68)</f>
        <v>37.72</v>
      </c>
      <c r="V68" s="244">
        <f>S68</f>
        <v>3.71</v>
      </c>
      <c r="W68" s="243">
        <f>J68</f>
        <v>39.229999999999997</v>
      </c>
      <c r="X68" s="227">
        <f>IF(B68="ОСНО",W68*1.18,W68)</f>
        <v>39.229999999999997</v>
      </c>
      <c r="Y68" s="250">
        <f>(T68*S68)/(P68*O68)</f>
        <v>1.0845313398504886</v>
      </c>
      <c r="Z68" s="229">
        <f>(X68*V68)/(U68*S68)</f>
        <v>1.040031813361612</v>
      </c>
      <c r="AA68" s="228"/>
      <c r="AB68" s="228"/>
      <c r="AC68" s="228">
        <f>IF(B68="ОСНО",AB68*1.18,AB68)</f>
        <v>0</v>
      </c>
      <c r="AD68" s="228"/>
      <c r="AE68" s="230">
        <f>(J68-W68)*V68+(G68-T68)*O68</f>
        <v>0</v>
      </c>
      <c r="AF68" s="228"/>
      <c r="AG68" s="228"/>
      <c r="AH68" s="228">
        <f>IF(B68="ОСНО",AG68*1.18,AG68)</f>
        <v>0</v>
      </c>
      <c r="AI68" s="244"/>
      <c r="AJ68" s="244"/>
      <c r="AK68" s="228">
        <f>IF(B68="ОСНО",AJ68*1.18,AJ68)</f>
        <v>0</v>
      </c>
      <c r="AL68" s="229"/>
      <c r="AM68" s="229"/>
      <c r="AN68" s="239"/>
      <c r="AO68" s="239"/>
      <c r="AP68" s="228">
        <f>IF(B68="ОСНО",AO68*1.18,AO68)</f>
        <v>0</v>
      </c>
      <c r="AQ68" s="228"/>
      <c r="AR68" s="239"/>
      <c r="AS68" s="239"/>
      <c r="AT68" s="228">
        <f>IF(B68="ОСНО",AS68*1.18,AS68)</f>
        <v>0</v>
      </c>
      <c r="AU68" s="244"/>
      <c r="AV68" s="244"/>
      <c r="AW68" s="228">
        <f>IF(B68="ОСНО",AV68*1.18,AV68)</f>
        <v>0</v>
      </c>
      <c r="AX68" s="249"/>
      <c r="AY68" s="229"/>
      <c r="AZ68" s="229"/>
      <c r="BA68" s="230">
        <f t="shared" si="14"/>
        <v>0</v>
      </c>
    </row>
    <row r="69" spans="1:53" s="231" customFormat="1" ht="18" hidden="1" customHeight="1">
      <c r="A69" s="234" t="s">
        <v>331</v>
      </c>
      <c r="B69" s="234" t="s">
        <v>398</v>
      </c>
      <c r="C69" s="244">
        <f>3.275/2</f>
        <v>1.6375</v>
      </c>
      <c r="D69" s="244">
        <v>46.37</v>
      </c>
      <c r="E69" s="228">
        <f t="shared" si="51"/>
        <v>46.37</v>
      </c>
      <c r="F69" s="244">
        <v>1.59</v>
      </c>
      <c r="G69" s="244">
        <v>50.07</v>
      </c>
      <c r="H69" s="228">
        <v>50.07</v>
      </c>
      <c r="I69" s="244">
        <f>3.181/2</f>
        <v>1.5905</v>
      </c>
      <c r="J69" s="243">
        <v>53.35</v>
      </c>
      <c r="K69" s="227">
        <f t="shared" si="11"/>
        <v>53.35</v>
      </c>
      <c r="L69" s="250">
        <f t="shared" si="102"/>
        <v>1.0484707307798047</v>
      </c>
      <c r="M69" s="229">
        <f>(K69*I69)/(H69*F69)</f>
        <v>1.065843353895741</v>
      </c>
      <c r="N69" s="250" t="s">
        <v>332</v>
      </c>
      <c r="O69" s="251">
        <f>1.444/2</f>
        <v>0.72199999999999998</v>
      </c>
      <c r="P69" s="251">
        <v>46.37</v>
      </c>
      <c r="Q69" s="228">
        <f>IF(B69="ОСНО",P69*1.18,P69)</f>
        <v>46.37</v>
      </c>
      <c r="R69" s="228"/>
      <c r="S69" s="251">
        <f>O69</f>
        <v>0.72199999999999998</v>
      </c>
      <c r="T69" s="251">
        <v>50.07</v>
      </c>
      <c r="U69" s="228">
        <f>IF(B69="ОСНО",T69*1.18,T69)</f>
        <v>50.07</v>
      </c>
      <c r="V69" s="244">
        <f>1.442/2</f>
        <v>0.72099999999999997</v>
      </c>
      <c r="W69" s="243">
        <v>53.35</v>
      </c>
      <c r="X69" s="227">
        <f>IF(B69="ОСНО",W69*1.18,W69)</f>
        <v>53.35</v>
      </c>
      <c r="Y69" s="250">
        <f>(T69*S69)/(P69*O69)</f>
        <v>1.0797929695924091</v>
      </c>
      <c r="Z69" s="229">
        <f>W69/T69</f>
        <v>1.0655082883962452</v>
      </c>
      <c r="AA69" s="228"/>
      <c r="AB69" s="228"/>
      <c r="AC69" s="228">
        <f>IF(B69="ОСНО",AB69*1.18,AB69)</f>
        <v>0</v>
      </c>
      <c r="AD69" s="228"/>
      <c r="AE69" s="230">
        <f>(J69-W69)*V69+(G69-T69)*O69</f>
        <v>0</v>
      </c>
      <c r="AF69" s="228"/>
      <c r="AG69" s="228"/>
      <c r="AH69" s="228">
        <f>IF(B69="ОСНО",AG69*1.18,AG69)</f>
        <v>0</v>
      </c>
      <c r="AI69" s="244"/>
      <c r="AJ69" s="244"/>
      <c r="AK69" s="228">
        <f>IF(B69="ОСНО",AJ69*1.18,AJ69)</f>
        <v>0</v>
      </c>
      <c r="AL69" s="229"/>
      <c r="AM69" s="229"/>
      <c r="AN69" s="239"/>
      <c r="AO69" s="239"/>
      <c r="AP69" s="228">
        <f>IF(B69="ОСНО",AO69*1.18,AO69)</f>
        <v>0</v>
      </c>
      <c r="AQ69" s="228"/>
      <c r="AR69" s="239"/>
      <c r="AS69" s="239"/>
      <c r="AT69" s="228">
        <f>IF(B69="ОСНО",AS69*1.18,AS69)</f>
        <v>0</v>
      </c>
      <c r="AU69" s="244"/>
      <c r="AV69" s="244"/>
      <c r="AW69" s="228">
        <f>IF(B69="ОСНО",AV69*1.18,AV69)</f>
        <v>0</v>
      </c>
      <c r="AX69" s="249"/>
      <c r="AY69" s="229"/>
      <c r="AZ69" s="229"/>
      <c r="BA69" s="230">
        <f t="shared" si="14"/>
        <v>0</v>
      </c>
    </row>
    <row r="70" spans="1:53" s="231" customFormat="1" ht="18" hidden="1" customHeight="1">
      <c r="A70" s="234" t="s">
        <v>59</v>
      </c>
      <c r="B70" s="234" t="s">
        <v>397</v>
      </c>
      <c r="C70" s="244">
        <f>1.18/2</f>
        <v>0.59</v>
      </c>
      <c r="D70" s="244">
        <v>340.36</v>
      </c>
      <c r="E70" s="228">
        <f t="shared" si="51"/>
        <v>401.62479999999999</v>
      </c>
      <c r="F70" s="244">
        <f>C70</f>
        <v>0.59</v>
      </c>
      <c r="G70" s="244">
        <v>361.9</v>
      </c>
      <c r="H70" s="228">
        <f t="shared" si="10"/>
        <v>427.04199999999997</v>
      </c>
      <c r="I70" s="244">
        <f>F70</f>
        <v>0.59</v>
      </c>
      <c r="J70" s="244">
        <v>380.17</v>
      </c>
      <c r="K70" s="228">
        <f t="shared" si="11"/>
        <v>448.60059999999999</v>
      </c>
      <c r="L70" s="250">
        <f>(G70*F70)/(D70*C70)</f>
        <v>1.0632859325420143</v>
      </c>
      <c r="M70" s="229">
        <f>(K70*I70)/(H70*F70)</f>
        <v>1.0504835589941974</v>
      </c>
      <c r="N70" s="250" t="s">
        <v>312</v>
      </c>
      <c r="O70" s="251">
        <f>0.29/2</f>
        <v>0.14499999999999999</v>
      </c>
      <c r="P70" s="251">
        <v>48.22</v>
      </c>
      <c r="Q70" s="228">
        <f>IF(B70="ОСНО",P70*1.18,P70)</f>
        <v>56.899599999999992</v>
      </c>
      <c r="R70" s="228"/>
      <c r="S70" s="251">
        <f>O70</f>
        <v>0.14499999999999999</v>
      </c>
      <c r="T70" s="251">
        <v>51.64</v>
      </c>
      <c r="U70" s="228">
        <f>IF(B70="ОСНО",T70*1.18,T70)</f>
        <v>60.935199999999995</v>
      </c>
      <c r="V70" s="244">
        <f>S70</f>
        <v>0.14499999999999999</v>
      </c>
      <c r="W70" s="244">
        <f>51.64*1.04</f>
        <v>53.705600000000004</v>
      </c>
      <c r="X70" s="228">
        <v>63.38</v>
      </c>
      <c r="Y70" s="250">
        <f>(T70*S70)/(P70*O70)</f>
        <v>1.07092492741601</v>
      </c>
      <c r="Z70" s="229">
        <f>(X70*V70)/(U70*S70)</f>
        <v>1.0401213091940291</v>
      </c>
      <c r="AA70" s="228"/>
      <c r="AB70" s="228"/>
      <c r="AC70" s="228">
        <f>IF(B70="ОСНО",AB70*1.18,AB70)</f>
        <v>0</v>
      </c>
      <c r="AD70" s="228"/>
      <c r="AE70" s="230">
        <f>(G70-T70)*S70+(J70-W70)*V70</f>
        <v>92.325037999999992</v>
      </c>
      <c r="AF70" s="228"/>
      <c r="AG70" s="228"/>
      <c r="AH70" s="228">
        <f>IF(B70="ОСНО",AG70*1.18,AG70)</f>
        <v>0</v>
      </c>
      <c r="AI70" s="244"/>
      <c r="AJ70" s="244"/>
      <c r="AK70" s="228">
        <f>IF(B70="ОСНО",AJ70*1.18,AJ70)</f>
        <v>0</v>
      </c>
      <c r="AL70" s="229"/>
      <c r="AM70" s="229"/>
      <c r="AN70" s="239"/>
      <c r="AO70" s="239"/>
      <c r="AP70" s="228">
        <f>IF(B70="ОСНО",AO70*1.18,AO70)</f>
        <v>0</v>
      </c>
      <c r="AQ70" s="228"/>
      <c r="AR70" s="239"/>
      <c r="AS70" s="239"/>
      <c r="AT70" s="228">
        <f>IF(B70="ОСНО",AS70*1.18,AS70)</f>
        <v>0</v>
      </c>
      <c r="AU70" s="244"/>
      <c r="AV70" s="244"/>
      <c r="AW70" s="228">
        <f>IF(B70="ОСНО",AV70*1.18,AV70)</f>
        <v>0</v>
      </c>
      <c r="AX70" s="249"/>
      <c r="AY70" s="229"/>
      <c r="AZ70" s="229"/>
      <c r="BA70" s="230">
        <f t="shared" si="14"/>
        <v>0</v>
      </c>
    </row>
    <row r="71" spans="1:53" s="216" customFormat="1" ht="21" customHeight="1">
      <c r="A71" s="185" t="s">
        <v>68</v>
      </c>
      <c r="B71" s="185"/>
      <c r="C71" s="42">
        <f>SUM(C72:C77)</f>
        <v>162.8005</v>
      </c>
      <c r="D71" s="42">
        <f>SUMPRODUCT(C72:C77,D72:D77)/C71</f>
        <v>59.082028679273101</v>
      </c>
      <c r="E71" s="42">
        <f>SUMPRODUCT(C72:C77,E72:E77)/C71</f>
        <v>65.987588679395955</v>
      </c>
      <c r="F71" s="42">
        <f>SUM(F72:F77)</f>
        <v>156.953</v>
      </c>
      <c r="G71" s="42">
        <f>SUMPRODUCT(F72:F77,G72:G77)/F71</f>
        <v>62.523207265869409</v>
      </c>
      <c r="H71" s="42">
        <f>SUMPRODUCT(F72:F77,H72:H77)/F71</f>
        <v>69.592596767822229</v>
      </c>
      <c r="I71" s="42">
        <f>SUM(I72:I77)</f>
        <v>156.953</v>
      </c>
      <c r="J71" s="42">
        <f>SUMPRODUCT(I72:I77,J72:J77)/I71</f>
        <v>68.549729345727698</v>
      </c>
      <c r="K71" s="42">
        <f>SUMPRODUCT(I72:I77,K72:K77)/I71</f>
        <v>76.523516836250323</v>
      </c>
      <c r="L71" s="84">
        <f>G71/D71</f>
        <v>1.0582440830743431</v>
      </c>
      <c r="M71" s="84">
        <f>J71/G71</f>
        <v>1.0963885626377341</v>
      </c>
      <c r="N71" s="84"/>
      <c r="O71" s="42">
        <f>SUM(O72:O77)</f>
        <v>74.415999999999997</v>
      </c>
      <c r="P71" s="42">
        <f>SUMPRODUCT(O72:O77,P72:P77)/O71</f>
        <v>60.96323593044508</v>
      </c>
      <c r="Q71" s="42">
        <f>SUMPRODUCT(O72:O77,Q72:Q77)/O71</f>
        <v>65.80913694232423</v>
      </c>
      <c r="R71" s="84">
        <f>K71/H71</f>
        <v>1.0995927784035897</v>
      </c>
      <c r="S71" s="42">
        <f>SUM(S72:S78)</f>
        <v>77.72</v>
      </c>
      <c r="T71" s="42">
        <f>SUMPRODUCT(S72:S78,T72:T78)/S71</f>
        <v>61.293144750385999</v>
      </c>
      <c r="U71" s="42">
        <f>SUMPRODUCT(S72:S78,U72:U78)/S71</f>
        <v>66.021392138445705</v>
      </c>
      <c r="V71" s="42">
        <f>SUM(V72:V78)</f>
        <v>77.717500000000001</v>
      </c>
      <c r="W71" s="42">
        <f>SUMPRODUCT(V72:V78,W72:W78)/V71</f>
        <v>65.128259859105086</v>
      </c>
      <c r="X71" s="42">
        <f>SUMPRODUCT(V72:V78,X72:X78)/V71</f>
        <v>70.305988547238385</v>
      </c>
      <c r="Y71" s="84">
        <f>T71/P71</f>
        <v>1.0054116028276012</v>
      </c>
      <c r="Z71" s="84">
        <f>W71/T71</f>
        <v>1.0625700496252468</v>
      </c>
      <c r="AA71" s="42">
        <f>SUM(AA72:AA77)</f>
        <v>90.03</v>
      </c>
      <c r="AB71" s="42">
        <f>SUMPRODUCT(AA72:AA77,AB72:AB77)/AA71</f>
        <v>67.776325558147278</v>
      </c>
      <c r="AC71" s="42">
        <f>SUMPRODUCT(AA72:AA77,AC72:AC77)/AA71</f>
        <v>76.341152915694764</v>
      </c>
      <c r="AD71" s="84">
        <f>X71/U71</f>
        <v>1.0648970927454537</v>
      </c>
      <c r="AE71" s="222">
        <f>SUM(AE72:AE78)</f>
        <v>900.52350439999998</v>
      </c>
      <c r="AF71" s="42">
        <f>SUM(AF72:AF78)</f>
        <v>93.799000000000007</v>
      </c>
      <c r="AG71" s="42">
        <f>SUMPRODUCT(AF72:AF78,AG72:AG78)/AF71</f>
        <v>67.63971033806331</v>
      </c>
      <c r="AH71" s="42">
        <f>SUMPRODUCT(AF72:AF78,AH72:AH78)/AF71</f>
        <v>76.138474442158227</v>
      </c>
      <c r="AI71" s="42">
        <f>SUM(AI72:AI78)</f>
        <v>93.799000000000007</v>
      </c>
      <c r="AJ71" s="42">
        <f>SUMPRODUCT(AI72:AI77,AJ72:AJ77)/AI71</f>
        <v>76.60465516689942</v>
      </c>
      <c r="AK71" s="42">
        <f>SUMPRODUCT(AI72:AI77,AK72:AK77)/AI71</f>
        <v>86.494165334385215</v>
      </c>
      <c r="AL71" s="84">
        <f>AG71/AB71</f>
        <v>0.99798432241702506</v>
      </c>
      <c r="AM71" s="84">
        <f>AJ71/AG71</f>
        <v>1.1325396691385772</v>
      </c>
      <c r="AN71" s="42">
        <f>SUM(AN72:AN77)</f>
        <v>55.152999999999992</v>
      </c>
      <c r="AO71" s="42">
        <f>SUMPRODUCT(AN72:AN77,AO72:AO77)/AN71</f>
        <v>60.734820771308904</v>
      </c>
      <c r="AP71" s="42">
        <f>SUMPRODUCT(AN72:AN77,AP72:AP77)/AN71</f>
        <v>68.267973510053864</v>
      </c>
      <c r="AQ71" s="84">
        <f>AK71/AH71</f>
        <v>1.1360112737758374</v>
      </c>
      <c r="AR71" s="42">
        <f>SUM(AR72:AR77)</f>
        <v>54.6905</v>
      </c>
      <c r="AS71" s="42">
        <f>SUMPRODUCT(AR72:AR77,AS72:AS77)/AR71</f>
        <v>61.761278924127588</v>
      </c>
      <c r="AT71" s="42">
        <f>SUMPRODUCT(AR72:AR77,AT72:AT77)/AR71</f>
        <v>69.207109891114541</v>
      </c>
      <c r="AU71" s="42">
        <f>SUM(AU72:AU77)</f>
        <v>54.6905</v>
      </c>
      <c r="AV71" s="42">
        <f>SUMPRODUCT(AU72:AU77,AV72:AV77)/AU71</f>
        <v>70.5085233998592</v>
      </c>
      <c r="AW71" s="42">
        <f>SUMPRODUCT(AU72:AU77,AW72:AW77)/AU71</f>
        <v>79.308586418116491</v>
      </c>
      <c r="AX71" s="84">
        <f>AS71/AO71</f>
        <v>1.0169006533613347</v>
      </c>
      <c r="AY71" s="84">
        <f>AV71/AS71</f>
        <v>1.1416299116227404</v>
      </c>
      <c r="AZ71" s="84">
        <f>AW71/AT71</f>
        <v>1.1459600977832318</v>
      </c>
      <c r="BA71" s="224">
        <f>SUM(BA72:BA78)</f>
        <v>1315.7125560000002</v>
      </c>
    </row>
    <row r="72" spans="1:53" s="261" customFormat="1" ht="34.5" hidden="1" customHeight="1">
      <c r="A72" s="236" t="s">
        <v>60</v>
      </c>
      <c r="B72" s="236" t="s">
        <v>397</v>
      </c>
      <c r="C72" s="228">
        <f>8.41/2</f>
        <v>4.2050000000000001</v>
      </c>
      <c r="D72" s="228">
        <v>172.04</v>
      </c>
      <c r="E72" s="228">
        <f t="shared" si="51"/>
        <v>203.00719999999998</v>
      </c>
      <c r="F72" s="228">
        <f>8.079/2</f>
        <v>4.0395000000000003</v>
      </c>
      <c r="G72" s="228">
        <v>185.25</v>
      </c>
      <c r="H72" s="228">
        <f t="shared" si="10"/>
        <v>218.595</v>
      </c>
      <c r="I72" s="228">
        <f>F72</f>
        <v>4.0395000000000003</v>
      </c>
      <c r="J72" s="228">
        <v>205.8</v>
      </c>
      <c r="K72" s="228">
        <f t="shared" si="11"/>
        <v>242.84399999999999</v>
      </c>
      <c r="L72" s="229">
        <f>(G72*F72)/(D72*C72)</f>
        <v>1.0344044854762369</v>
      </c>
      <c r="M72" s="229">
        <f t="shared" ref="M72:M77" si="103">(K72*I72)/(H72*F72)</f>
        <v>1.1109311740890688</v>
      </c>
      <c r="N72" s="238" t="s">
        <v>313</v>
      </c>
      <c r="O72" s="228">
        <f>S72</f>
        <v>0.51449999999999996</v>
      </c>
      <c r="P72" s="228">
        <v>66.81</v>
      </c>
      <c r="Q72" s="228">
        <f t="shared" ref="Q72:Q78" si="104">IF(B72="ОСНО",P72*1.18,P72)</f>
        <v>78.835799999999992</v>
      </c>
      <c r="R72" s="228"/>
      <c r="S72" s="228">
        <f>1.029/2</f>
        <v>0.51449999999999996</v>
      </c>
      <c r="T72" s="228">
        <v>71.55</v>
      </c>
      <c r="U72" s="228">
        <f t="shared" ref="U72:U78" si="105">IF(B72="ОСНО",T72*1.18,T72)</f>
        <v>84.428999999999988</v>
      </c>
      <c r="V72" s="228">
        <f>S72</f>
        <v>0.51449999999999996</v>
      </c>
      <c r="W72" s="228">
        <f>T72*1.04</f>
        <v>74.412000000000006</v>
      </c>
      <c r="X72" s="228">
        <f t="shared" ref="X72:X78" si="106">IF(B72="ОСНО",W72*1.18,W72)</f>
        <v>87.806160000000006</v>
      </c>
      <c r="Y72" s="229">
        <f t="shared" ref="Y72:Y78" si="107">(T72*S72)/(P72*O72)</f>
        <v>1.0709474629546474</v>
      </c>
      <c r="Z72" s="229">
        <f t="shared" ref="Z72:Z78" si="108">(X72*V72)/(U72*S72)</f>
        <v>1.0400000000000003</v>
      </c>
      <c r="AA72" s="228"/>
      <c r="AB72" s="228"/>
      <c r="AC72" s="228">
        <f t="shared" ref="AC72:AC77" si="109">IF(B72="ОСНО",AB72*1.18,AB72)</f>
        <v>0</v>
      </c>
      <c r="AD72" s="228"/>
      <c r="AE72" s="230">
        <f t="shared" ref="AE72:AE78" si="110">(J72-W72)*V72+(G72-T72)*S72</f>
        <v>126.097776</v>
      </c>
      <c r="AF72" s="228"/>
      <c r="AG72" s="228"/>
      <c r="AH72" s="228">
        <f t="shared" ref="AH72:AH77" si="111">IF(B72="ОСНО",AG72*1.18,AG72)</f>
        <v>0</v>
      </c>
      <c r="AI72" s="228"/>
      <c r="AJ72" s="228"/>
      <c r="AK72" s="228">
        <f t="shared" ref="AK72:AK77" si="112">IF(B72="ОСНО",AJ72*1.18,AJ72)</f>
        <v>0</v>
      </c>
      <c r="AL72" s="229"/>
      <c r="AM72" s="229"/>
      <c r="AN72" s="239"/>
      <c r="AO72" s="239"/>
      <c r="AP72" s="228">
        <f t="shared" ref="AP72:AP77" si="113">IF(B72="ОСНО",AO72*1.18,AO72)</f>
        <v>0</v>
      </c>
      <c r="AQ72" s="228"/>
      <c r="AR72" s="239"/>
      <c r="AS72" s="239"/>
      <c r="AT72" s="228">
        <f t="shared" ref="AT72:AT77" si="114">IF(B72="ОСНО",AS72*1.18,AS72)</f>
        <v>0</v>
      </c>
      <c r="AU72" s="228"/>
      <c r="AV72" s="228"/>
      <c r="AW72" s="228">
        <f t="shared" ref="AW72:AW77" si="115">IF(B72="ОСНО",AV72*1.18,AV72)</f>
        <v>0</v>
      </c>
      <c r="AX72" s="260"/>
      <c r="AY72" s="229"/>
      <c r="AZ72" s="229"/>
      <c r="BA72" s="230">
        <f t="shared" si="14"/>
        <v>0</v>
      </c>
    </row>
    <row r="73" spans="1:53" s="231" customFormat="1" ht="18" hidden="1" customHeight="1">
      <c r="A73" s="246" t="s">
        <v>62</v>
      </c>
      <c r="B73" s="236" t="s">
        <v>397</v>
      </c>
      <c r="C73" s="228">
        <f>103.382/2</f>
        <v>51.691000000000003</v>
      </c>
      <c r="D73" s="228">
        <v>43.56</v>
      </c>
      <c r="E73" s="228">
        <f t="shared" si="51"/>
        <v>51.400799999999997</v>
      </c>
      <c r="F73" s="228">
        <f>97.38/2</f>
        <v>48.69</v>
      </c>
      <c r="G73" s="228">
        <v>44.95</v>
      </c>
      <c r="H73" s="228">
        <f t="shared" si="10"/>
        <v>53.041000000000004</v>
      </c>
      <c r="I73" s="228">
        <f t="shared" ref="I73:I77" si="116">F73</f>
        <v>48.69</v>
      </c>
      <c r="J73" s="228">
        <v>51.54</v>
      </c>
      <c r="K73" s="228">
        <f t="shared" si="11"/>
        <v>60.817199999999993</v>
      </c>
      <c r="L73" s="229">
        <f t="shared" ref="L73:L77" si="117">(G73*F73)/(D73*C73)</f>
        <v>0.97200089661851052</v>
      </c>
      <c r="M73" s="229">
        <f t="shared" si="103"/>
        <v>1.1466073414905449</v>
      </c>
      <c r="N73" s="229" t="s">
        <v>314</v>
      </c>
      <c r="O73" s="228">
        <f>37.679/2</f>
        <v>18.839500000000001</v>
      </c>
      <c r="P73" s="228">
        <v>43.56</v>
      </c>
      <c r="Q73" s="228">
        <f t="shared" si="104"/>
        <v>51.400799999999997</v>
      </c>
      <c r="R73" s="228"/>
      <c r="S73" s="228">
        <f>35.035/2</f>
        <v>17.517499999999998</v>
      </c>
      <c r="T73" s="228">
        <v>39.53</v>
      </c>
      <c r="U73" s="228">
        <f t="shared" si="105"/>
        <v>46.645400000000002</v>
      </c>
      <c r="V73" s="228">
        <f>35.03/2</f>
        <v>17.515000000000001</v>
      </c>
      <c r="W73" s="228">
        <v>41.9</v>
      </c>
      <c r="X73" s="228">
        <f t="shared" si="106"/>
        <v>49.441999999999993</v>
      </c>
      <c r="Y73" s="229">
        <f t="shared" si="107"/>
        <v>0.84380422768516927</v>
      </c>
      <c r="Z73" s="229">
        <f t="shared" si="108"/>
        <v>1.0598031941676911</v>
      </c>
      <c r="AA73" s="228">
        <f>74.838/2</f>
        <v>37.418999999999997</v>
      </c>
      <c r="AB73" s="228">
        <v>60.3</v>
      </c>
      <c r="AC73" s="228">
        <f t="shared" si="109"/>
        <v>71.153999999999996</v>
      </c>
      <c r="AD73" s="228"/>
      <c r="AE73" s="230">
        <f t="shared" si="110"/>
        <v>263.78945000000004</v>
      </c>
      <c r="AF73" s="228">
        <f>84.066/2</f>
        <v>42.033000000000001</v>
      </c>
      <c r="AG73" s="228">
        <v>55.03</v>
      </c>
      <c r="AH73" s="228">
        <f t="shared" si="111"/>
        <v>64.935400000000001</v>
      </c>
      <c r="AI73" s="228">
        <f>AF73</f>
        <v>42.033000000000001</v>
      </c>
      <c r="AJ73" s="228">
        <v>58.33</v>
      </c>
      <c r="AK73" s="228">
        <f t="shared" si="112"/>
        <v>68.829399999999993</v>
      </c>
      <c r="AL73" s="229">
        <f t="shared" ref="AL73:AL75" si="118">(AG73*AF73)/(AB73*AA73)</f>
        <v>1.0251334657320843</v>
      </c>
      <c r="AM73" s="229">
        <f t="shared" ref="AM73:AM75" si="119">(AK73*AI73)/(AH73*AF73)</f>
        <v>1.0599672905687807</v>
      </c>
      <c r="AN73" s="239">
        <f>36.72/2</f>
        <v>18.36</v>
      </c>
      <c r="AO73" s="239">
        <v>60.3</v>
      </c>
      <c r="AP73" s="228">
        <f t="shared" si="113"/>
        <v>71.153999999999996</v>
      </c>
      <c r="AQ73" s="228"/>
      <c r="AR73" s="239">
        <f>36.225/2</f>
        <v>18.112500000000001</v>
      </c>
      <c r="AS73" s="239">
        <v>54.73</v>
      </c>
      <c r="AT73" s="228">
        <f t="shared" si="114"/>
        <v>64.581399999999988</v>
      </c>
      <c r="AU73" s="228">
        <f>AR73</f>
        <v>18.112500000000001</v>
      </c>
      <c r="AV73" s="228">
        <v>58.01</v>
      </c>
      <c r="AW73" s="228">
        <f t="shared" si="115"/>
        <v>68.451799999999992</v>
      </c>
      <c r="AX73" s="241">
        <f t="shared" ref="AX73:AX75" si="120">AS73/AO73</f>
        <v>0.90762852404643446</v>
      </c>
      <c r="AY73" s="229">
        <f t="shared" ref="AY73:AY74" si="121">(AW73*AU73)/(AT73*AR73)</f>
        <v>1.0599305682441074</v>
      </c>
      <c r="AZ73" s="229"/>
      <c r="BA73" s="230">
        <f t="shared" si="14"/>
        <v>11.229750000000083</v>
      </c>
    </row>
    <row r="74" spans="1:53" s="231" customFormat="1" ht="18" hidden="1" customHeight="1">
      <c r="A74" s="246" t="s">
        <v>63</v>
      </c>
      <c r="B74" s="246" t="s">
        <v>398</v>
      </c>
      <c r="C74" s="228">
        <f>44.819/2</f>
        <v>22.409500000000001</v>
      </c>
      <c r="D74" s="228">
        <v>57.5</v>
      </c>
      <c r="E74" s="228">
        <f t="shared" si="51"/>
        <v>57.5</v>
      </c>
      <c r="F74" s="228">
        <f>44.819/2</f>
        <v>22.409500000000001</v>
      </c>
      <c r="G74" s="228">
        <v>60.11</v>
      </c>
      <c r="H74" s="228">
        <f t="shared" si="10"/>
        <v>60.11</v>
      </c>
      <c r="I74" s="228">
        <f t="shared" si="116"/>
        <v>22.409500000000001</v>
      </c>
      <c r="J74" s="228">
        <v>62.12</v>
      </c>
      <c r="K74" s="228">
        <f t="shared" si="11"/>
        <v>62.12</v>
      </c>
      <c r="L74" s="229">
        <f t="shared" si="117"/>
        <v>1.045391304347826</v>
      </c>
      <c r="M74" s="229">
        <f t="shared" si="103"/>
        <v>1.033438695724505</v>
      </c>
      <c r="N74" s="229" t="s">
        <v>315</v>
      </c>
      <c r="O74" s="228">
        <f>35.664/2</f>
        <v>17.832000000000001</v>
      </c>
      <c r="P74" s="228">
        <v>57.5</v>
      </c>
      <c r="Q74" s="228">
        <f t="shared" si="104"/>
        <v>57.5</v>
      </c>
      <c r="R74" s="228"/>
      <c r="S74" s="228">
        <f>35.664/2</f>
        <v>17.832000000000001</v>
      </c>
      <c r="T74" s="228">
        <v>60.11</v>
      </c>
      <c r="U74" s="228">
        <f t="shared" si="105"/>
        <v>60.11</v>
      </c>
      <c r="V74" s="228">
        <f>S74</f>
        <v>17.832000000000001</v>
      </c>
      <c r="W74" s="228">
        <v>62.12</v>
      </c>
      <c r="X74" s="228">
        <f t="shared" si="106"/>
        <v>62.12</v>
      </c>
      <c r="Y74" s="229">
        <f t="shared" si="107"/>
        <v>1.045391304347826</v>
      </c>
      <c r="Z74" s="229">
        <f t="shared" si="108"/>
        <v>1.033438695724505</v>
      </c>
      <c r="AA74" s="228">
        <f>35.152/2</f>
        <v>17.576000000000001</v>
      </c>
      <c r="AB74" s="228">
        <v>103.44</v>
      </c>
      <c r="AC74" s="228">
        <f t="shared" si="109"/>
        <v>103.44</v>
      </c>
      <c r="AD74" s="228"/>
      <c r="AE74" s="230">
        <f t="shared" si="110"/>
        <v>0</v>
      </c>
      <c r="AF74" s="228">
        <f>35.152/2</f>
        <v>17.576000000000001</v>
      </c>
      <c r="AG74" s="228">
        <v>109</v>
      </c>
      <c r="AH74" s="228">
        <f t="shared" si="111"/>
        <v>109</v>
      </c>
      <c r="AI74" s="228">
        <f>AF74</f>
        <v>17.576000000000001</v>
      </c>
      <c r="AJ74" s="228">
        <v>115.61</v>
      </c>
      <c r="AK74" s="228">
        <f t="shared" si="112"/>
        <v>115.61</v>
      </c>
      <c r="AL74" s="229">
        <f t="shared" si="118"/>
        <v>1.0537509667440064</v>
      </c>
      <c r="AM74" s="229">
        <f t="shared" si="119"/>
        <v>1.0606422018348622</v>
      </c>
      <c r="AN74" s="239">
        <f>32.076/2</f>
        <v>16.038</v>
      </c>
      <c r="AO74" s="239">
        <v>64.94</v>
      </c>
      <c r="AP74" s="228">
        <f t="shared" si="113"/>
        <v>64.94</v>
      </c>
      <c r="AQ74" s="228"/>
      <c r="AR74" s="240">
        <f>32.076/2</f>
        <v>16.038</v>
      </c>
      <c r="AS74" s="239">
        <v>69.55</v>
      </c>
      <c r="AT74" s="228">
        <f t="shared" si="114"/>
        <v>69.55</v>
      </c>
      <c r="AU74" s="228">
        <f>AR74</f>
        <v>16.038</v>
      </c>
      <c r="AV74" s="228">
        <f t="shared" ref="AV74" si="122">AS74*1.06</f>
        <v>73.722999999999999</v>
      </c>
      <c r="AW74" s="228">
        <f t="shared" si="115"/>
        <v>73.722999999999999</v>
      </c>
      <c r="AX74" s="241">
        <f t="shared" si="120"/>
        <v>1.0709886048660302</v>
      </c>
      <c r="AY74" s="229">
        <f t="shared" si="121"/>
        <v>1.06</v>
      </c>
      <c r="AZ74" s="229"/>
      <c r="BA74" s="230">
        <f t="shared" si="14"/>
        <v>1304.482806</v>
      </c>
    </row>
    <row r="75" spans="1:53" s="231" customFormat="1" ht="18" hidden="1" customHeight="1">
      <c r="A75" s="246" t="s">
        <v>64</v>
      </c>
      <c r="B75" s="246" t="s">
        <v>397</v>
      </c>
      <c r="C75" s="228">
        <f>117.29/2</f>
        <v>58.645000000000003</v>
      </c>
      <c r="D75" s="228">
        <v>52.32</v>
      </c>
      <c r="E75" s="228">
        <f t="shared" si="51"/>
        <v>61.7376</v>
      </c>
      <c r="F75" s="228">
        <f>114.83/2</f>
        <v>57.414999999999999</v>
      </c>
      <c r="G75" s="228">
        <v>53.03</v>
      </c>
      <c r="H75" s="228">
        <f t="shared" si="10"/>
        <v>62.575399999999995</v>
      </c>
      <c r="I75" s="228">
        <f t="shared" si="116"/>
        <v>57.414999999999999</v>
      </c>
      <c r="J75" s="228">
        <v>59.54</v>
      </c>
      <c r="K75" s="228">
        <f t="shared" si="11"/>
        <v>70.257199999999997</v>
      </c>
      <c r="L75" s="229">
        <f t="shared" si="117"/>
        <v>0.99231206179408926</v>
      </c>
      <c r="M75" s="209">
        <f t="shared" si="103"/>
        <v>1.122760701489723</v>
      </c>
      <c r="N75" s="229" t="s">
        <v>316</v>
      </c>
      <c r="O75" s="228">
        <f>36.68/2</f>
        <v>18.34</v>
      </c>
      <c r="P75" s="228">
        <v>52.32</v>
      </c>
      <c r="Q75" s="228">
        <f t="shared" si="104"/>
        <v>61.7376</v>
      </c>
      <c r="R75" s="228"/>
      <c r="S75" s="228">
        <f>43.5/2</f>
        <v>21.75</v>
      </c>
      <c r="T75" s="228">
        <v>53.03</v>
      </c>
      <c r="U75" s="228">
        <f t="shared" si="105"/>
        <v>62.575399999999995</v>
      </c>
      <c r="V75" s="228">
        <f>S75</f>
        <v>21.75</v>
      </c>
      <c r="W75" s="228">
        <v>59.54</v>
      </c>
      <c r="X75" s="228">
        <f t="shared" si="106"/>
        <v>70.257199999999997</v>
      </c>
      <c r="Y75" s="229">
        <f t="shared" si="107"/>
        <v>1.2020258896681439</v>
      </c>
      <c r="Z75" s="209">
        <f t="shared" si="108"/>
        <v>1.1227607014897227</v>
      </c>
      <c r="AA75" s="228">
        <f>70.07/2</f>
        <v>35.034999999999997</v>
      </c>
      <c r="AB75" s="228">
        <v>57.87</v>
      </c>
      <c r="AC75" s="228">
        <f t="shared" si="109"/>
        <v>68.286599999999993</v>
      </c>
      <c r="AD75" s="228"/>
      <c r="AE75" s="230">
        <f t="shared" si="110"/>
        <v>0</v>
      </c>
      <c r="AF75" s="228">
        <f>68.38/2</f>
        <v>34.19</v>
      </c>
      <c r="AG75" s="228">
        <v>61.88</v>
      </c>
      <c r="AH75" s="228">
        <f t="shared" si="111"/>
        <v>73.0184</v>
      </c>
      <c r="AI75" s="228">
        <f>AF75</f>
        <v>34.19</v>
      </c>
      <c r="AJ75" s="228">
        <v>79.02</v>
      </c>
      <c r="AK75" s="228">
        <f t="shared" si="112"/>
        <v>93.243599999999986</v>
      </c>
      <c r="AL75" s="229">
        <f t="shared" si="118"/>
        <v>1.0435032394596937</v>
      </c>
      <c r="AM75" s="219">
        <f t="shared" si="119"/>
        <v>1.2769877181641884</v>
      </c>
      <c r="AN75" s="239">
        <f>41.51/2</f>
        <v>20.754999999999999</v>
      </c>
      <c r="AO75" s="239">
        <v>57.87</v>
      </c>
      <c r="AP75" s="228">
        <f t="shared" si="113"/>
        <v>68.286599999999993</v>
      </c>
      <c r="AQ75" s="228"/>
      <c r="AR75" s="240">
        <f>41.08/2</f>
        <v>20.54</v>
      </c>
      <c r="AS75" s="239">
        <v>61.88</v>
      </c>
      <c r="AT75" s="228">
        <f t="shared" si="114"/>
        <v>73.0184</v>
      </c>
      <c r="AU75" s="228">
        <f>AR75</f>
        <v>20.54</v>
      </c>
      <c r="AV75" s="228">
        <v>79.02</v>
      </c>
      <c r="AW75" s="228">
        <f t="shared" si="115"/>
        <v>93.243599999999986</v>
      </c>
      <c r="AX75" s="241">
        <f t="shared" si="120"/>
        <v>1.0692932434767584</v>
      </c>
      <c r="AY75" s="268">
        <f>AV75/AS75</f>
        <v>1.2769877181641887</v>
      </c>
      <c r="AZ75" s="268"/>
      <c r="BA75" s="230">
        <f t="shared" si="14"/>
        <v>0</v>
      </c>
    </row>
    <row r="76" spans="1:53" s="231" customFormat="1" ht="18" hidden="1" customHeight="1">
      <c r="A76" s="246" t="s">
        <v>64</v>
      </c>
      <c r="B76" s="246" t="s">
        <v>397</v>
      </c>
      <c r="C76" s="228">
        <f>1.8/2</f>
        <v>0.9</v>
      </c>
      <c r="D76" s="228">
        <v>224.8</v>
      </c>
      <c r="E76" s="228">
        <f t="shared" si="51"/>
        <v>265.26400000000001</v>
      </c>
      <c r="F76" s="228">
        <f>1.54/2</f>
        <v>0.77</v>
      </c>
      <c r="G76" s="228">
        <v>237.12</v>
      </c>
      <c r="H76" s="228">
        <f t="shared" si="10"/>
        <v>279.80160000000001</v>
      </c>
      <c r="I76" s="228">
        <f t="shared" si="116"/>
        <v>0.77</v>
      </c>
      <c r="J76" s="228">
        <v>251.34</v>
      </c>
      <c r="K76" s="228">
        <f t="shared" si="11"/>
        <v>296.58119999999997</v>
      </c>
      <c r="L76" s="229">
        <f t="shared" si="117"/>
        <v>0.90244365361803081</v>
      </c>
      <c r="M76" s="229">
        <f t="shared" si="103"/>
        <v>1.0599696356275301</v>
      </c>
      <c r="N76" s="229" t="s">
        <v>316</v>
      </c>
      <c r="O76" s="228">
        <f>1.68/2</f>
        <v>0.84</v>
      </c>
      <c r="P76" s="228">
        <v>224.8</v>
      </c>
      <c r="Q76" s="228">
        <f t="shared" si="104"/>
        <v>265.26400000000001</v>
      </c>
      <c r="R76" s="228"/>
      <c r="S76" s="228">
        <f>1.34/2</f>
        <v>0.67</v>
      </c>
      <c r="T76" s="228">
        <v>237.12</v>
      </c>
      <c r="U76" s="228">
        <f t="shared" si="105"/>
        <v>279.80160000000001</v>
      </c>
      <c r="V76" s="228">
        <f>S76</f>
        <v>0.67</v>
      </c>
      <c r="W76" s="228">
        <v>251.34</v>
      </c>
      <c r="X76" s="228">
        <f t="shared" si="106"/>
        <v>296.58119999999997</v>
      </c>
      <c r="Y76" s="229">
        <f t="shared" si="107"/>
        <v>0.84133197763091017</v>
      </c>
      <c r="Z76" s="229">
        <f>W76/T76</f>
        <v>1.0599696356275303</v>
      </c>
      <c r="AA76" s="228"/>
      <c r="AB76" s="228"/>
      <c r="AC76" s="228">
        <f t="shared" si="109"/>
        <v>0</v>
      </c>
      <c r="AD76" s="228"/>
      <c r="AE76" s="230">
        <f t="shared" si="110"/>
        <v>0</v>
      </c>
      <c r="AF76" s="228">
        <f>AA76</f>
        <v>0</v>
      </c>
      <c r="AG76" s="228"/>
      <c r="AH76" s="228">
        <f t="shared" si="111"/>
        <v>0</v>
      </c>
      <c r="AI76" s="228">
        <f>AF76</f>
        <v>0</v>
      </c>
      <c r="AJ76" s="228"/>
      <c r="AK76" s="228">
        <f t="shared" si="112"/>
        <v>0</v>
      </c>
      <c r="AL76" s="229"/>
      <c r="AM76" s="229"/>
      <c r="AN76" s="239"/>
      <c r="AO76" s="239"/>
      <c r="AP76" s="228">
        <f t="shared" si="113"/>
        <v>0</v>
      </c>
      <c r="AQ76" s="228"/>
      <c r="AR76" s="239"/>
      <c r="AS76" s="239"/>
      <c r="AT76" s="228">
        <f t="shared" si="114"/>
        <v>0</v>
      </c>
      <c r="AU76" s="228"/>
      <c r="AV76" s="228"/>
      <c r="AW76" s="228">
        <f t="shared" si="115"/>
        <v>0</v>
      </c>
      <c r="AX76" s="260"/>
      <c r="AY76" s="229"/>
      <c r="AZ76" s="229"/>
      <c r="BA76" s="230">
        <f t="shared" si="14"/>
        <v>0</v>
      </c>
    </row>
    <row r="77" spans="1:53" s="231" customFormat="1" ht="18" hidden="1" customHeight="1">
      <c r="A77" s="246" t="s">
        <v>65</v>
      </c>
      <c r="B77" s="246" t="s">
        <v>398</v>
      </c>
      <c r="C77" s="228">
        <f>49.9/2</f>
        <v>24.95</v>
      </c>
      <c r="D77" s="228">
        <v>83.54</v>
      </c>
      <c r="E77" s="228">
        <f t="shared" si="51"/>
        <v>83.54</v>
      </c>
      <c r="F77" s="228">
        <f>47.258/2</f>
        <v>23.629000000000001</v>
      </c>
      <c r="G77" s="228">
        <v>97.42</v>
      </c>
      <c r="H77" s="228">
        <f t="shared" ref="H77:H78" si="123">IF(B77="ОСНО",G77*1.18,G77)</f>
        <v>97.42</v>
      </c>
      <c r="I77" s="228">
        <f t="shared" si="116"/>
        <v>23.629000000000001</v>
      </c>
      <c r="J77" s="228">
        <v>102.17</v>
      </c>
      <c r="K77" s="228">
        <f t="shared" ref="K77:K78" si="124">IF(B77="ОСНО",J77*1.18,J77)</f>
        <v>102.17</v>
      </c>
      <c r="L77" s="229">
        <f t="shared" si="117"/>
        <v>1.1044052097491608</v>
      </c>
      <c r="M77" s="229">
        <f t="shared" si="103"/>
        <v>1.0487579552453294</v>
      </c>
      <c r="N77" s="229" t="s">
        <v>317</v>
      </c>
      <c r="O77" s="252">
        <f>36.1/2</f>
        <v>18.05</v>
      </c>
      <c r="P77" s="252">
        <v>83.54</v>
      </c>
      <c r="Q77" s="228">
        <f t="shared" si="104"/>
        <v>83.54</v>
      </c>
      <c r="R77" s="228"/>
      <c r="S77" s="228">
        <f>33.772/2</f>
        <v>16.885999999999999</v>
      </c>
      <c r="T77" s="252">
        <v>90.64</v>
      </c>
      <c r="U77" s="228">
        <f t="shared" si="105"/>
        <v>90.64</v>
      </c>
      <c r="V77" s="228">
        <f>S77</f>
        <v>16.885999999999999</v>
      </c>
      <c r="W77" s="228">
        <f>T77*1.04</f>
        <v>94.265600000000006</v>
      </c>
      <c r="X77" s="228">
        <f t="shared" si="106"/>
        <v>94.265600000000006</v>
      </c>
      <c r="Y77" s="229">
        <f t="shared" si="107"/>
        <v>1.0150209463909006</v>
      </c>
      <c r="Z77" s="229">
        <f t="shared" si="108"/>
        <v>1.04</v>
      </c>
      <c r="AA77" s="228"/>
      <c r="AB77" s="228"/>
      <c r="AC77" s="228">
        <f t="shared" si="109"/>
        <v>0</v>
      </c>
      <c r="AD77" s="228"/>
      <c r="AE77" s="230">
        <f t="shared" si="110"/>
        <v>247.96077839999992</v>
      </c>
      <c r="AF77" s="228"/>
      <c r="AG77" s="228"/>
      <c r="AH77" s="228">
        <f t="shared" si="111"/>
        <v>0</v>
      </c>
      <c r="AI77" s="228"/>
      <c r="AJ77" s="228"/>
      <c r="AK77" s="228">
        <f t="shared" si="112"/>
        <v>0</v>
      </c>
      <c r="AL77" s="229"/>
      <c r="AM77" s="229"/>
      <c r="AN77" s="239"/>
      <c r="AO77" s="239"/>
      <c r="AP77" s="228">
        <f t="shared" si="113"/>
        <v>0</v>
      </c>
      <c r="AQ77" s="228"/>
      <c r="AR77" s="239"/>
      <c r="AS77" s="239"/>
      <c r="AT77" s="228">
        <f t="shared" si="114"/>
        <v>0</v>
      </c>
      <c r="AU77" s="228"/>
      <c r="AV77" s="228"/>
      <c r="AW77" s="228">
        <f t="shared" si="115"/>
        <v>0</v>
      </c>
      <c r="AX77" s="260"/>
      <c r="AY77" s="229"/>
      <c r="AZ77" s="229"/>
      <c r="BA77" s="230">
        <f t="shared" ref="BA77:BA140" si="125">(AG77-AS77)*AR77+(AJ77-AV77)*AU77</f>
        <v>0</v>
      </c>
    </row>
    <row r="78" spans="1:53" s="231" customFormat="1" ht="18" hidden="1" customHeight="1">
      <c r="A78" s="246" t="s">
        <v>65</v>
      </c>
      <c r="B78" s="246" t="s">
        <v>398</v>
      </c>
      <c r="C78" s="228"/>
      <c r="D78" s="228"/>
      <c r="E78" s="228"/>
      <c r="F78" s="228"/>
      <c r="G78" s="228">
        <v>97.42</v>
      </c>
      <c r="H78" s="228">
        <f t="shared" si="123"/>
        <v>97.42</v>
      </c>
      <c r="I78" s="228"/>
      <c r="J78" s="228">
        <v>102.17</v>
      </c>
      <c r="K78" s="228">
        <f t="shared" si="124"/>
        <v>102.17</v>
      </c>
      <c r="L78" s="229"/>
      <c r="M78" s="229"/>
      <c r="N78" s="229"/>
      <c r="O78" s="252">
        <f>5.1/2</f>
        <v>2.5499999999999998</v>
      </c>
      <c r="P78" s="252">
        <v>43.84</v>
      </c>
      <c r="Q78" s="228">
        <f t="shared" si="104"/>
        <v>43.84</v>
      </c>
      <c r="R78" s="228"/>
      <c r="S78" s="228">
        <f>O78</f>
        <v>2.5499999999999998</v>
      </c>
      <c r="T78" s="252">
        <v>46.95</v>
      </c>
      <c r="U78" s="228">
        <f t="shared" si="105"/>
        <v>46.95</v>
      </c>
      <c r="V78" s="228">
        <f>S78</f>
        <v>2.5499999999999998</v>
      </c>
      <c r="W78" s="228">
        <v>49.63</v>
      </c>
      <c r="X78" s="228">
        <f t="shared" si="106"/>
        <v>49.63</v>
      </c>
      <c r="Y78" s="229">
        <f t="shared" si="107"/>
        <v>1.0709397810218977</v>
      </c>
      <c r="Z78" s="229">
        <f t="shared" si="108"/>
        <v>1.0570820021299254</v>
      </c>
      <c r="AA78" s="228"/>
      <c r="AB78" s="228"/>
      <c r="AC78" s="228"/>
      <c r="AD78" s="228"/>
      <c r="AE78" s="230">
        <f t="shared" si="110"/>
        <v>262.67549999999994</v>
      </c>
      <c r="AF78" s="228"/>
      <c r="AG78" s="228"/>
      <c r="AH78" s="228"/>
      <c r="AI78" s="228"/>
      <c r="AJ78" s="228"/>
      <c r="AK78" s="228"/>
      <c r="AL78" s="229"/>
      <c r="AM78" s="229"/>
      <c r="AN78" s="239"/>
      <c r="AO78" s="239"/>
      <c r="AP78" s="228"/>
      <c r="AQ78" s="228"/>
      <c r="AR78" s="239"/>
      <c r="AS78" s="239"/>
      <c r="AT78" s="228"/>
      <c r="AU78" s="228"/>
      <c r="AV78" s="228"/>
      <c r="AW78" s="228"/>
      <c r="AX78" s="260"/>
      <c r="AY78" s="229"/>
      <c r="AZ78" s="229"/>
      <c r="BA78" s="230">
        <f t="shared" si="125"/>
        <v>0</v>
      </c>
    </row>
    <row r="79" spans="1:53" s="216" customFormat="1" ht="20.25" customHeight="1">
      <c r="A79" s="196" t="s">
        <v>42</v>
      </c>
      <c r="B79" s="196"/>
      <c r="C79" s="42">
        <f>SUM(C80:C94)</f>
        <v>323.07699999999994</v>
      </c>
      <c r="D79" s="42">
        <f>SUMPRODUCT(C80:C94,D80:D94)/C79</f>
        <v>60.315518870114566</v>
      </c>
      <c r="E79" s="42">
        <f>SUMPRODUCT(C80:C94,E80:E94)/C79</f>
        <v>61.242454631558438</v>
      </c>
      <c r="F79" s="42">
        <f>SUM(F80:F94)</f>
        <v>321.69199999999995</v>
      </c>
      <c r="G79" s="42">
        <f>SUMPRODUCT(F80:F94,G80:G94)/F79</f>
        <v>63.107195205351722</v>
      </c>
      <c r="H79" s="42">
        <f>SUMPRODUCT(F80:F94,H80:H94)/F79</f>
        <v>64.059100058441004</v>
      </c>
      <c r="I79" s="42">
        <f>SUM(I80:I94)</f>
        <v>321.69199999999995</v>
      </c>
      <c r="J79" s="42">
        <f>SUMPRODUCT(I80:I94,J80:J94)/I79</f>
        <v>65.997144629024049</v>
      </c>
      <c r="K79" s="42">
        <f>SUMPRODUCT(I80:I94,K80:K94)/I79</f>
        <v>66.980854040510806</v>
      </c>
      <c r="L79" s="84">
        <f>G79/D79</f>
        <v>1.0462845447993052</v>
      </c>
      <c r="M79" s="84">
        <f>J79/G79</f>
        <v>1.0457942935709374</v>
      </c>
      <c r="N79" s="84"/>
      <c r="O79" s="42">
        <f>SUM(O80:O94)</f>
        <v>224.06399999999996</v>
      </c>
      <c r="P79" s="42">
        <f>SUMPRODUCT(O80:O94,P80:P94)/O79</f>
        <v>54.828213099828631</v>
      </c>
      <c r="Q79" s="42">
        <f>SUMPRODUCT(O80:O94,Q80:Q94)/O79</f>
        <v>55.22888710368467</v>
      </c>
      <c r="R79" s="84">
        <f>K79/H79</f>
        <v>1.0456102876781643</v>
      </c>
      <c r="S79" s="42">
        <f>SUM(S80:S94)</f>
        <v>223.64899999999997</v>
      </c>
      <c r="T79" s="42">
        <f>SUMPRODUCT(S80:S94,T80:T94)/S79</f>
        <v>58.124417032940023</v>
      </c>
      <c r="U79" s="42">
        <f>SUMPRODUCT(S80:S94,U80:U94)/S79</f>
        <v>58.534888646942321</v>
      </c>
      <c r="V79" s="42">
        <f>SUM(V80:V94)</f>
        <v>223.64899999999997</v>
      </c>
      <c r="W79" s="42">
        <f>SUMPRODUCT(V80:V94,W80:W94)/V79</f>
        <v>61.344217277966827</v>
      </c>
      <c r="X79" s="42">
        <f>SUMPRODUCT(V80:V94,X80:X94)/V79</f>
        <v>61.768403359728879</v>
      </c>
      <c r="Y79" s="84">
        <f>T79/P79</f>
        <v>1.0601187554135645</v>
      </c>
      <c r="Z79" s="84">
        <f>W79/T79</f>
        <v>1.055394968403762</v>
      </c>
      <c r="AA79" s="42">
        <f>SUM(AA80:AA94)</f>
        <v>234.33149999999998</v>
      </c>
      <c r="AB79" s="42">
        <f>SUMPRODUCT(AA80:AA94,AB80:AB94)/AA79</f>
        <v>80.826044193802375</v>
      </c>
      <c r="AC79" s="42">
        <f>SUMPRODUCT(AA80:AA94,AC80:AC94)/AA79</f>
        <v>81.474555085423859</v>
      </c>
      <c r="AD79" s="84">
        <f>X79/U79</f>
        <v>1.0552408108656317</v>
      </c>
      <c r="AE79" s="222">
        <f>SUM(AE80:AE94)</f>
        <v>2264.0718850000012</v>
      </c>
      <c r="AF79" s="42">
        <f>SUM(AF80:AF94)</f>
        <v>311.97349999999994</v>
      </c>
      <c r="AG79" s="42">
        <f>SUMPRODUCT(AF80:AF94,AG80:AG94)/AF79</f>
        <v>75.184045087162872</v>
      </c>
      <c r="AH79" s="42">
        <f>SUMPRODUCT(AF80:AF94,AH80:AH94)/AF79</f>
        <v>75.685978488557538</v>
      </c>
      <c r="AI79" s="42">
        <f>SUM(AI80:AI94)</f>
        <v>311.97349999999994</v>
      </c>
      <c r="AJ79" s="42">
        <f>SUMPRODUCT(AI80:AI94,AJ80:AJ94)/AI79</f>
        <v>80.575011242942111</v>
      </c>
      <c r="AK79" s="42">
        <f>SUMPRODUCT(AI80:AI94,AK80:AK94)/AI79</f>
        <v>81.10543275630782</v>
      </c>
      <c r="AL79" s="84">
        <f>AG79/AB79</f>
        <v>0.93019577831730482</v>
      </c>
      <c r="AM79" s="84">
        <f>AJ79/AG79</f>
        <v>1.0717035928238412</v>
      </c>
      <c r="AN79" s="42">
        <f>SUM(AN80:AN94)</f>
        <v>184.43449999999999</v>
      </c>
      <c r="AO79" s="42">
        <f>SUMPRODUCT(AN80:AN94,AO80:AO94)/AN79</f>
        <v>72.922614125882092</v>
      </c>
      <c r="AP79" s="42">
        <f>SUMPRODUCT(AN80:AN94,AP80:AP94)/AN79</f>
        <v>73.272417725533998</v>
      </c>
      <c r="AQ79" s="84">
        <f>AK79/AH79</f>
        <v>1.0716044685683705</v>
      </c>
      <c r="AR79" s="42">
        <f>SUM(AR80:AR94)</f>
        <v>183.89749999999998</v>
      </c>
      <c r="AS79" s="42">
        <f>SUMPRODUCT(AR80:AR94,AS80:AS94)/AR79</f>
        <v>76.394793703013917</v>
      </c>
      <c r="AT79" s="42">
        <f>SUMPRODUCT(AR80:AR94,AT80:AT94)/AR79</f>
        <v>76.75126608572711</v>
      </c>
      <c r="AU79" s="42">
        <f>SUM(AU80:AU94)</f>
        <v>183.89749999999998</v>
      </c>
      <c r="AV79" s="42">
        <f>SUMPRODUCT(AU80:AU94,AV80:AV94)/AU79</f>
        <v>80.784064356502967</v>
      </c>
      <c r="AW79" s="42">
        <f>SUMPRODUCT(AU80:AU94,AW80:AW94)/AU79</f>
        <v>81.160768955532319</v>
      </c>
      <c r="AX79" s="84">
        <f>AS79/AO79</f>
        <v>1.0476145790815727</v>
      </c>
      <c r="AY79" s="84">
        <f>AV79/AS79</f>
        <v>1.0574551018561869</v>
      </c>
      <c r="AZ79" s="84">
        <f>AW79/AT79</f>
        <v>1.0574518583821149</v>
      </c>
      <c r="BA79" s="224">
        <f>SUM(BA80:BA94)</f>
        <v>3168.8108349999993</v>
      </c>
    </row>
    <row r="80" spans="1:53" s="231" customFormat="1" ht="18" hidden="1" customHeight="1">
      <c r="A80" s="234" t="s">
        <v>410</v>
      </c>
      <c r="B80" s="234" t="s">
        <v>398</v>
      </c>
      <c r="C80" s="228">
        <f>154.105/2</f>
        <v>77.052499999999995</v>
      </c>
      <c r="D80" s="228">
        <v>70.02</v>
      </c>
      <c r="E80" s="228">
        <f t="shared" si="51"/>
        <v>70.02</v>
      </c>
      <c r="F80" s="228">
        <f>C80</f>
        <v>77.052499999999995</v>
      </c>
      <c r="G80" s="228">
        <v>74.16</v>
      </c>
      <c r="H80" s="228">
        <f t="shared" ref="H80:H149" si="126">IF(B80="ОСНО",G80*1.18,G80)</f>
        <v>74.16</v>
      </c>
      <c r="I80" s="228">
        <f>F80</f>
        <v>77.052499999999995</v>
      </c>
      <c r="J80" s="228">
        <v>74.73</v>
      </c>
      <c r="K80" s="228">
        <f t="shared" ref="K80:K149" si="127">IF(B80="ОСНО",J80*1.18,J80)</f>
        <v>74.73</v>
      </c>
      <c r="L80" s="229">
        <f>(G80*F80)/(D80*C80)</f>
        <v>1.0591259640102828</v>
      </c>
      <c r="M80" s="229">
        <f>(K80*I80)/(H80*F80)</f>
        <v>1.0076860841423949</v>
      </c>
      <c r="N80" s="229" t="s">
        <v>282</v>
      </c>
      <c r="O80" s="235">
        <f>112.51/2</f>
        <v>56.255000000000003</v>
      </c>
      <c r="P80" s="235">
        <v>60.65</v>
      </c>
      <c r="Q80" s="228">
        <f t="shared" ref="Q80:Q85" si="128">IF(B80="ОСНО",P80*1.18,P80)</f>
        <v>60.65</v>
      </c>
      <c r="R80" s="228"/>
      <c r="S80" s="235">
        <f>O80</f>
        <v>56.255000000000003</v>
      </c>
      <c r="T80" s="235">
        <v>64.959999999999994</v>
      </c>
      <c r="U80" s="228">
        <f>IF(B80="ОСНО",T80*1.18,T80)</f>
        <v>64.959999999999994</v>
      </c>
      <c r="V80" s="228">
        <f>S80</f>
        <v>56.255000000000003</v>
      </c>
      <c r="W80" s="228">
        <v>68.849999999999994</v>
      </c>
      <c r="X80" s="228">
        <f>IF(B80="ОСНО",W80*1.18,W80)</f>
        <v>68.849999999999994</v>
      </c>
      <c r="Y80" s="229">
        <f>(T80*S80)/(P80*O80)</f>
        <v>1.0710634789777411</v>
      </c>
      <c r="Z80" s="229">
        <f>(X80*V80)/(U80*S80)</f>
        <v>1.0598830049261083</v>
      </c>
      <c r="AA80" s="228">
        <f>106.37/2</f>
        <v>53.185000000000002</v>
      </c>
      <c r="AB80" s="228">
        <v>75.33</v>
      </c>
      <c r="AC80" s="228">
        <f>IF(B80="ОСНО",AB80*1.18,AB80)</f>
        <v>75.33</v>
      </c>
      <c r="AD80" s="228"/>
      <c r="AE80" s="230">
        <f t="shared" ref="AE80:AE94" si="129">(G80-T80)*S80+(J80-W80)*V80</f>
        <v>848.32540000000074</v>
      </c>
      <c r="AF80" s="228">
        <f>AA80</f>
        <v>53.185000000000002</v>
      </c>
      <c r="AG80" s="228">
        <v>78.62</v>
      </c>
      <c r="AH80" s="228">
        <f>IF(B80="ОСНО",AG80*1.18,AG80)</f>
        <v>78.62</v>
      </c>
      <c r="AI80" s="228">
        <f>AF80</f>
        <v>53.185000000000002</v>
      </c>
      <c r="AJ80" s="228">
        <v>83.31</v>
      </c>
      <c r="AK80" s="228">
        <f>IF(B80="ОСНО",AJ80*1.18,AJ80)</f>
        <v>83.31</v>
      </c>
      <c r="AL80" s="229">
        <f>(AG80*AF80)/(AB80*AA80)</f>
        <v>1.0436744988716316</v>
      </c>
      <c r="AM80" s="229">
        <f>(AK80*AI80)/(AH80*AF80)</f>
        <v>1.0596540320529126</v>
      </c>
      <c r="AN80" s="228">
        <f>89.58/2</f>
        <v>44.79</v>
      </c>
      <c r="AO80" s="228">
        <v>62.8</v>
      </c>
      <c r="AP80" s="228">
        <f t="shared" ref="AP80:AP85" si="130">IF(B80="ОСНО",AO80*1.18,AO80)</f>
        <v>62.8</v>
      </c>
      <c r="AQ80" s="228"/>
      <c r="AR80" s="228">
        <f>AN80</f>
        <v>44.79</v>
      </c>
      <c r="AS80" s="228">
        <v>67.260000000000005</v>
      </c>
      <c r="AT80" s="228">
        <f>IF(B80="ОСНО",AS80*1.18,AS80)</f>
        <v>67.260000000000005</v>
      </c>
      <c r="AU80" s="228">
        <f>AR80</f>
        <v>44.79</v>
      </c>
      <c r="AV80" s="228">
        <v>71.290000000000006</v>
      </c>
      <c r="AW80" s="228">
        <f>IF(B80="ОСНО",AV80*1.18,AV80)</f>
        <v>71.290000000000006</v>
      </c>
      <c r="AX80" s="229">
        <f>(AS80*AR80)/(AO80*AN80)</f>
        <v>1.0710191082802549</v>
      </c>
      <c r="AY80" s="229">
        <f>(AW80*AU80)/(AT80*AR80)</f>
        <v>1.0599167410050552</v>
      </c>
      <c r="AZ80" s="229"/>
      <c r="BA80" s="230">
        <f t="shared" si="125"/>
        <v>1047.1901999999998</v>
      </c>
    </row>
    <row r="81" spans="1:53" s="231" customFormat="1" ht="18" hidden="1" customHeight="1">
      <c r="A81" s="234" t="s">
        <v>412</v>
      </c>
      <c r="B81" s="234" t="s">
        <v>398</v>
      </c>
      <c r="C81" s="228">
        <f>83.245/2</f>
        <v>41.622500000000002</v>
      </c>
      <c r="D81" s="228">
        <v>70.02</v>
      </c>
      <c r="E81" s="228">
        <f t="shared" si="51"/>
        <v>70.02</v>
      </c>
      <c r="F81" s="228">
        <f t="shared" ref="F81:F83" si="131">C81</f>
        <v>41.622500000000002</v>
      </c>
      <c r="G81" s="228">
        <v>74.16</v>
      </c>
      <c r="H81" s="228">
        <f t="shared" si="126"/>
        <v>74.16</v>
      </c>
      <c r="I81" s="228">
        <f t="shared" ref="I81:I82" si="132">F81</f>
        <v>41.622500000000002</v>
      </c>
      <c r="J81" s="228">
        <v>74.73</v>
      </c>
      <c r="K81" s="228">
        <f t="shared" si="127"/>
        <v>74.73</v>
      </c>
      <c r="L81" s="229">
        <f>(G81*F81)/(D81*C81)</f>
        <v>1.0591259640102828</v>
      </c>
      <c r="M81" s="229">
        <f>(K81*I81)/(H81*F81)</f>
        <v>1.0076860841423949</v>
      </c>
      <c r="N81" s="229"/>
      <c r="O81" s="235">
        <f>40.74/2</f>
        <v>20.37</v>
      </c>
      <c r="P81" s="235">
        <v>57.84</v>
      </c>
      <c r="Q81" s="228">
        <f t="shared" si="128"/>
        <v>57.84</v>
      </c>
      <c r="R81" s="228"/>
      <c r="S81" s="235">
        <f>O81</f>
        <v>20.37</v>
      </c>
      <c r="T81" s="235">
        <v>61.95</v>
      </c>
      <c r="U81" s="228">
        <f>IF(B81="ОСНО",T81*1.18,T81)</f>
        <v>61.95</v>
      </c>
      <c r="V81" s="228">
        <f>S81</f>
        <v>20.37</v>
      </c>
      <c r="W81" s="228">
        <v>65.66</v>
      </c>
      <c r="X81" s="228">
        <f>IF(B81="ОСНО",W81*1.18,W81)</f>
        <v>65.66</v>
      </c>
      <c r="Y81" s="229">
        <f>(T81*S81)/(P81*O81)</f>
        <v>1.071058091286307</v>
      </c>
      <c r="Z81" s="229">
        <f>(X81*V81)/(U81*S81)</f>
        <v>1.0598870056497174</v>
      </c>
      <c r="AA81" s="228">
        <f>50.79/2</f>
        <v>25.395</v>
      </c>
      <c r="AB81" s="228">
        <v>110.65</v>
      </c>
      <c r="AC81" s="228">
        <f>IF(B81="ОСНО",AB81*1.18,AB81)</f>
        <v>110.65</v>
      </c>
      <c r="AD81" s="228"/>
      <c r="AE81" s="230">
        <f t="shared" si="129"/>
        <v>433.47360000000003</v>
      </c>
      <c r="AF81" s="228">
        <f>AA81</f>
        <v>25.395</v>
      </c>
      <c r="AG81" s="228">
        <v>112.01</v>
      </c>
      <c r="AH81" s="228">
        <f>IF(B81="ОСНО",AG81*1.18,AG81)</f>
        <v>112.01</v>
      </c>
      <c r="AI81" s="228">
        <f>AF81</f>
        <v>25.395</v>
      </c>
      <c r="AJ81" s="228">
        <v>122.51</v>
      </c>
      <c r="AK81" s="228">
        <f>IF(B81="ОСНО",AJ81*1.18,AJ81)</f>
        <v>122.51</v>
      </c>
      <c r="AL81" s="229">
        <f t="shared" ref="AL81:AL84" si="133">(AG81*AF81)/(AB81*AA81)</f>
        <v>1.0122910076818796</v>
      </c>
      <c r="AM81" s="229">
        <f t="shared" ref="AM81:AM86" si="134">(AK81*AI81)/(AH81*AF81)</f>
        <v>1.0937416302115883</v>
      </c>
      <c r="AN81" s="228">
        <f>32.37/2</f>
        <v>16.184999999999999</v>
      </c>
      <c r="AO81" s="228">
        <v>98.79</v>
      </c>
      <c r="AP81" s="228">
        <f t="shared" si="130"/>
        <v>98.79</v>
      </c>
      <c r="AQ81" s="228"/>
      <c r="AR81" s="228">
        <f>AN81</f>
        <v>16.184999999999999</v>
      </c>
      <c r="AS81" s="228">
        <v>105.8</v>
      </c>
      <c r="AT81" s="228">
        <f>IF(B81="ОСНО",AS81*1.18,AS81)</f>
        <v>105.8</v>
      </c>
      <c r="AU81" s="228">
        <f>AR81</f>
        <v>16.184999999999999</v>
      </c>
      <c r="AV81" s="228">
        <v>112.15</v>
      </c>
      <c r="AW81" s="228">
        <f>IF(B81="ОСНО",AV81*1.18,AV81)</f>
        <v>112.15</v>
      </c>
      <c r="AX81" s="229">
        <f t="shared" ref="AX81:AX84" si="135">(AS81*AR81)/(AO81*AN81)</f>
        <v>1.0709585990484867</v>
      </c>
      <c r="AY81" s="229">
        <f t="shared" ref="AY81:AY84" si="136">(AW81*AU81)/(AT81*AR81)</f>
        <v>1.0600189035916825</v>
      </c>
      <c r="AZ81" s="229"/>
      <c r="BA81" s="230">
        <f t="shared" si="125"/>
        <v>268.18545000000012</v>
      </c>
    </row>
    <row r="82" spans="1:53" s="231" customFormat="1" ht="18" hidden="1" customHeight="1">
      <c r="A82" s="234" t="s">
        <v>413</v>
      </c>
      <c r="B82" s="234" t="s">
        <v>398</v>
      </c>
      <c r="C82" s="228">
        <f>10.171/2</f>
        <v>5.0854999999999997</v>
      </c>
      <c r="D82" s="228">
        <v>90.06</v>
      </c>
      <c r="E82" s="228">
        <f t="shared" si="51"/>
        <v>90.06</v>
      </c>
      <c r="F82" s="228">
        <f t="shared" si="131"/>
        <v>5.0854999999999997</v>
      </c>
      <c r="G82" s="228">
        <v>90.06</v>
      </c>
      <c r="H82" s="228">
        <f t="shared" si="126"/>
        <v>90.06</v>
      </c>
      <c r="I82" s="228">
        <f t="shared" si="132"/>
        <v>5.0854999999999997</v>
      </c>
      <c r="J82" s="228">
        <v>97.34</v>
      </c>
      <c r="K82" s="228">
        <f t="shared" si="127"/>
        <v>97.34</v>
      </c>
      <c r="L82" s="229">
        <f>(G82*F82)/(D82*C82)</f>
        <v>1</v>
      </c>
      <c r="M82" s="229">
        <f>(K82*I82)/(H82*F82)</f>
        <v>1.0808349988896291</v>
      </c>
      <c r="N82" s="229"/>
      <c r="O82" s="235">
        <f>8.817/2</f>
        <v>4.4085000000000001</v>
      </c>
      <c r="P82" s="235">
        <v>57.84</v>
      </c>
      <c r="Q82" s="228">
        <f t="shared" si="128"/>
        <v>57.84</v>
      </c>
      <c r="R82" s="228"/>
      <c r="S82" s="235">
        <f>O82</f>
        <v>4.4085000000000001</v>
      </c>
      <c r="T82" s="235">
        <v>61.95</v>
      </c>
      <c r="U82" s="228">
        <f>IF(B82="ОСНО",T82*1.18,T82)</f>
        <v>61.95</v>
      </c>
      <c r="V82" s="228">
        <f>S82</f>
        <v>4.4085000000000001</v>
      </c>
      <c r="W82" s="228">
        <v>65.66</v>
      </c>
      <c r="X82" s="228">
        <f>IF(B82="ОСНО",W82*1.18,W82)</f>
        <v>65.66</v>
      </c>
      <c r="Y82" s="229">
        <f>(T82*S82)/(P82*O82)</f>
        <v>1.071058091286307</v>
      </c>
      <c r="Z82" s="229">
        <f>(X82*V82)/(U82*S82)</f>
        <v>1.0598870056497174</v>
      </c>
      <c r="AA82" s="228"/>
      <c r="AB82" s="228"/>
      <c r="AC82" s="228"/>
      <c r="AD82" s="228"/>
      <c r="AE82" s="230">
        <f t="shared" si="129"/>
        <v>263.58421500000003</v>
      </c>
      <c r="AF82" s="228"/>
      <c r="AG82" s="228"/>
      <c r="AH82" s="228"/>
      <c r="AI82" s="228"/>
      <c r="AJ82" s="228"/>
      <c r="AK82" s="228"/>
      <c r="AL82" s="229"/>
      <c r="AM82" s="229"/>
      <c r="AN82" s="228"/>
      <c r="AO82" s="228"/>
      <c r="AP82" s="228">
        <f t="shared" si="130"/>
        <v>0</v>
      </c>
      <c r="AQ82" s="228"/>
      <c r="AR82" s="228"/>
      <c r="AS82" s="228"/>
      <c r="AT82" s="228">
        <f>IF(B82="ОСНО",AS82*1.18,AS82)</f>
        <v>0</v>
      </c>
      <c r="AU82" s="228"/>
      <c r="AV82" s="228"/>
      <c r="AW82" s="228">
        <f>IF(B82="ОСНО",AV82*1.18,AV82)</f>
        <v>0</v>
      </c>
      <c r="AX82" s="229"/>
      <c r="AY82" s="229"/>
      <c r="AZ82" s="229"/>
      <c r="BA82" s="230">
        <f t="shared" si="125"/>
        <v>0</v>
      </c>
    </row>
    <row r="83" spans="1:53" s="231" customFormat="1" ht="18" hidden="1" customHeight="1">
      <c r="A83" s="234" t="s">
        <v>411</v>
      </c>
      <c r="B83" s="234" t="s">
        <v>398</v>
      </c>
      <c r="C83" s="228">
        <f>113.14/2</f>
        <v>56.57</v>
      </c>
      <c r="D83" s="228">
        <v>37.159999999999997</v>
      </c>
      <c r="E83" s="228">
        <f t="shared" ref="E83:E84" si="137">IF(B83="ОСНО",D83*1.18,D83)</f>
        <v>37.159999999999997</v>
      </c>
      <c r="F83" s="228">
        <f t="shared" si="131"/>
        <v>56.57</v>
      </c>
      <c r="G83" s="228">
        <v>38.81</v>
      </c>
      <c r="H83" s="228">
        <f t="shared" ref="H83:H84" si="138">IF(B83="ОСНО",G83*1.18,G83)</f>
        <v>38.81</v>
      </c>
      <c r="I83" s="228">
        <f>F83</f>
        <v>56.57</v>
      </c>
      <c r="J83" s="228">
        <v>41.66</v>
      </c>
      <c r="K83" s="228">
        <f t="shared" ref="K83:K84" si="139">IF(B83="ОСНО",J83*1.18,J83)</f>
        <v>41.66</v>
      </c>
      <c r="L83" s="229">
        <f t="shared" ref="L83:L84" si="140">(G83*F83)/(D83*C83)</f>
        <v>1.0444025834230357</v>
      </c>
      <c r="M83" s="229">
        <f>(K83*I83)/(H83*F83)</f>
        <v>1.0734346817830454</v>
      </c>
      <c r="N83" s="229" t="s">
        <v>285</v>
      </c>
      <c r="O83" s="235">
        <f>92.69/2</f>
        <v>46.344999999999999</v>
      </c>
      <c r="P83" s="235">
        <v>37.159999999999997</v>
      </c>
      <c r="Q83" s="228">
        <f t="shared" si="128"/>
        <v>37.159999999999997</v>
      </c>
      <c r="R83" s="228"/>
      <c r="S83" s="235">
        <f>O83</f>
        <v>46.344999999999999</v>
      </c>
      <c r="T83" s="235">
        <v>38.81</v>
      </c>
      <c r="U83" s="228">
        <f>IF(B83="ОСНО",T83*1.18,T83)</f>
        <v>38.81</v>
      </c>
      <c r="V83" s="228">
        <f>S83</f>
        <v>46.344999999999999</v>
      </c>
      <c r="W83" s="228">
        <v>41.66</v>
      </c>
      <c r="X83" s="228">
        <f>IF(B83="ОСНО",W83*1.18,W83)</f>
        <v>41.66</v>
      </c>
      <c r="Y83" s="229">
        <f>(T83*S83)/(P83*O83)</f>
        <v>1.0444025834230357</v>
      </c>
      <c r="Z83" s="229">
        <f>(X83*V83)/(U83*S83)</f>
        <v>1.0734346817830454</v>
      </c>
      <c r="AA83" s="228">
        <f>116.32/2</f>
        <v>58.16</v>
      </c>
      <c r="AB83" s="228">
        <v>52.47</v>
      </c>
      <c r="AC83" s="228">
        <f>IF(B83="ОСНО",AB83*1.18,AB83)</f>
        <v>52.47</v>
      </c>
      <c r="AD83" s="228"/>
      <c r="AE83" s="230">
        <f t="shared" si="129"/>
        <v>0</v>
      </c>
      <c r="AF83" s="228">
        <f t="shared" ref="AF83" si="141">AA83</f>
        <v>58.16</v>
      </c>
      <c r="AG83" s="228">
        <v>54.82</v>
      </c>
      <c r="AH83" s="228">
        <f>IF(B83="ОСНО",AG83*1.18,AG83)</f>
        <v>54.82</v>
      </c>
      <c r="AI83" s="228">
        <f>AF83</f>
        <v>58.16</v>
      </c>
      <c r="AJ83" s="228">
        <v>58.54</v>
      </c>
      <c r="AK83" s="228">
        <f>IF(B83="ОСНО",AJ83*1.18,AJ83)</f>
        <v>58.54</v>
      </c>
      <c r="AL83" s="229">
        <f t="shared" si="133"/>
        <v>1.0447874976176863</v>
      </c>
      <c r="AM83" s="229">
        <f t="shared" si="134"/>
        <v>1.0678584458226925</v>
      </c>
      <c r="AN83" s="228">
        <f>109.08/2</f>
        <v>54.54</v>
      </c>
      <c r="AO83" s="228">
        <v>52.47</v>
      </c>
      <c r="AP83" s="228">
        <f t="shared" si="130"/>
        <v>52.47</v>
      </c>
      <c r="AQ83" s="228"/>
      <c r="AR83" s="228">
        <f t="shared" ref="AR83" si="142">AN83</f>
        <v>54.54</v>
      </c>
      <c r="AS83" s="228">
        <v>54.82</v>
      </c>
      <c r="AT83" s="228">
        <f>IF(B83="ОСНО",AS83*1.18,AS83)</f>
        <v>54.82</v>
      </c>
      <c r="AU83" s="228">
        <f>AR83</f>
        <v>54.54</v>
      </c>
      <c r="AV83" s="228">
        <v>58.54</v>
      </c>
      <c r="AW83" s="228">
        <f>IF(B83="ОСНО",AV83*1.18,AV83)</f>
        <v>58.54</v>
      </c>
      <c r="AX83" s="229">
        <f t="shared" si="135"/>
        <v>1.0447874976176863</v>
      </c>
      <c r="AY83" s="229">
        <f t="shared" si="136"/>
        <v>1.0678584458226925</v>
      </c>
      <c r="AZ83" s="229"/>
      <c r="BA83" s="230">
        <f t="shared" si="125"/>
        <v>0</v>
      </c>
    </row>
    <row r="84" spans="1:53" s="231" customFormat="1" ht="18" hidden="1" customHeight="1">
      <c r="A84" s="234" t="s">
        <v>414</v>
      </c>
      <c r="B84" s="234" t="s">
        <v>398</v>
      </c>
      <c r="C84" s="228">
        <f>17.71/2</f>
        <v>8.8550000000000004</v>
      </c>
      <c r="D84" s="228">
        <v>112.46</v>
      </c>
      <c r="E84" s="228">
        <f t="shared" si="137"/>
        <v>112.46</v>
      </c>
      <c r="F84" s="228">
        <f>C84</f>
        <v>8.8550000000000004</v>
      </c>
      <c r="G84" s="228">
        <v>112.46</v>
      </c>
      <c r="H84" s="228">
        <f t="shared" si="138"/>
        <v>112.46</v>
      </c>
      <c r="I84" s="228">
        <f>F84</f>
        <v>8.8550000000000004</v>
      </c>
      <c r="J84" s="228">
        <v>124.39</v>
      </c>
      <c r="K84" s="228">
        <f t="shared" si="139"/>
        <v>124.39</v>
      </c>
      <c r="L84" s="229">
        <f t="shared" si="140"/>
        <v>1</v>
      </c>
      <c r="M84" s="229">
        <f>(K84*I84)/(H84*F84)</f>
        <v>1.1060821625466832</v>
      </c>
      <c r="N84" s="229"/>
      <c r="O84" s="235">
        <f>14.7/2</f>
        <v>7.35</v>
      </c>
      <c r="P84" s="235">
        <v>80</v>
      </c>
      <c r="Q84" s="228">
        <f t="shared" si="128"/>
        <v>80</v>
      </c>
      <c r="R84" s="228"/>
      <c r="S84" s="235">
        <f>O84</f>
        <v>7.35</v>
      </c>
      <c r="T84" s="235">
        <v>83.6</v>
      </c>
      <c r="U84" s="228">
        <f>IF(B84="ОСНО",T84*1.18,T84)</f>
        <v>83.6</v>
      </c>
      <c r="V84" s="228">
        <f>S84</f>
        <v>7.35</v>
      </c>
      <c r="W84" s="228">
        <v>88.62</v>
      </c>
      <c r="X84" s="228">
        <f>IF(B84="ОСНО",W84*1.18,W84)</f>
        <v>88.62</v>
      </c>
      <c r="Y84" s="229">
        <f>(T84*S84)/(P84*O84)</f>
        <v>1.0449999999999999</v>
      </c>
      <c r="Z84" s="229">
        <f>(X84*V84)/(U84*S84)</f>
        <v>1.0600478468899523</v>
      </c>
      <c r="AA84" s="228">
        <f>15.59/2</f>
        <v>7.7949999999999999</v>
      </c>
      <c r="AB84" s="228">
        <v>123.1</v>
      </c>
      <c r="AC84" s="228">
        <f>IF(B84="ОСНО",AB84*1.18,AB84)</f>
        <v>123.1</v>
      </c>
      <c r="AD84" s="228"/>
      <c r="AE84" s="230">
        <f t="shared" si="129"/>
        <v>475.03049999999996</v>
      </c>
      <c r="AF84" s="228">
        <f>AA84</f>
        <v>7.7949999999999999</v>
      </c>
      <c r="AG84" s="228">
        <v>123.1</v>
      </c>
      <c r="AH84" s="228">
        <f>IF(B84="ОСНО",AG84*1.18,AG84)</f>
        <v>123.1</v>
      </c>
      <c r="AI84" s="228">
        <f>AF84</f>
        <v>7.7949999999999999</v>
      </c>
      <c r="AJ84" s="228">
        <v>132.08000000000001</v>
      </c>
      <c r="AK84" s="228">
        <f>IF(B84="ОСНО",AJ84*1.18,AJ84)</f>
        <v>132.08000000000001</v>
      </c>
      <c r="AL84" s="229">
        <f t="shared" si="133"/>
        <v>1</v>
      </c>
      <c r="AM84" s="229">
        <f t="shared" si="134"/>
        <v>1.0729488220958572</v>
      </c>
      <c r="AN84" s="228">
        <f>13.57/2</f>
        <v>6.7850000000000001</v>
      </c>
      <c r="AO84" s="228">
        <v>80</v>
      </c>
      <c r="AP84" s="228">
        <f t="shared" si="130"/>
        <v>80</v>
      </c>
      <c r="AQ84" s="228"/>
      <c r="AR84" s="228">
        <f>AN84</f>
        <v>6.7850000000000001</v>
      </c>
      <c r="AS84" s="228">
        <v>83.6</v>
      </c>
      <c r="AT84" s="228">
        <f>IF(B84="ОСНО",AS84*1.18,AS84)</f>
        <v>83.6</v>
      </c>
      <c r="AU84" s="228">
        <f>AR84</f>
        <v>6.7850000000000001</v>
      </c>
      <c r="AV84" s="228">
        <v>88.62</v>
      </c>
      <c r="AW84" s="228">
        <f>IF(B84="ОСНО",AV84*1.18,AV84)</f>
        <v>88.62</v>
      </c>
      <c r="AX84" s="229">
        <f t="shared" si="135"/>
        <v>1.0450000000000002</v>
      </c>
      <c r="AY84" s="229">
        <f t="shared" si="136"/>
        <v>1.0600478468899521</v>
      </c>
      <c r="AZ84" s="229"/>
      <c r="BA84" s="230">
        <f t="shared" si="125"/>
        <v>562.88360000000011</v>
      </c>
    </row>
    <row r="85" spans="1:53" s="231" customFormat="1" ht="18" hidden="1" customHeight="1">
      <c r="A85" s="234" t="s">
        <v>440</v>
      </c>
      <c r="B85" s="234" t="s">
        <v>398</v>
      </c>
      <c r="C85" s="228"/>
      <c r="D85" s="228"/>
      <c r="E85" s="228">
        <f t="shared" si="51"/>
        <v>0</v>
      </c>
      <c r="F85" s="228"/>
      <c r="G85" s="228"/>
      <c r="H85" s="228"/>
      <c r="I85" s="228"/>
      <c r="J85" s="228"/>
      <c r="K85" s="228"/>
      <c r="L85" s="229"/>
      <c r="M85" s="229"/>
      <c r="N85" s="229"/>
      <c r="O85" s="235"/>
      <c r="P85" s="235"/>
      <c r="Q85" s="228">
        <f t="shared" si="128"/>
        <v>0</v>
      </c>
      <c r="R85" s="228"/>
      <c r="S85" s="235"/>
      <c r="T85" s="235"/>
      <c r="U85" s="228"/>
      <c r="V85" s="228"/>
      <c r="W85" s="228"/>
      <c r="X85" s="228"/>
      <c r="Y85" s="229"/>
      <c r="Z85" s="229"/>
      <c r="AA85" s="228"/>
      <c r="AB85" s="228"/>
      <c r="AC85" s="228">
        <f>IF(B85="ОСНО",AB85*1.18,AB85)</f>
        <v>0</v>
      </c>
      <c r="AD85" s="228"/>
      <c r="AE85" s="230">
        <f t="shared" si="129"/>
        <v>0</v>
      </c>
      <c r="AF85" s="228">
        <f>50.79/2</f>
        <v>25.395</v>
      </c>
      <c r="AG85" s="228">
        <v>69.11</v>
      </c>
      <c r="AH85" s="228">
        <f>IF(B85="ОСНО",AG85*1.18,AG85)</f>
        <v>69.11</v>
      </c>
      <c r="AI85" s="228">
        <f>AF85</f>
        <v>25.395</v>
      </c>
      <c r="AJ85" s="228">
        <v>71.599999999999994</v>
      </c>
      <c r="AK85" s="228">
        <v>71.599999999999994</v>
      </c>
      <c r="AL85" s="229"/>
      <c r="AM85" s="229">
        <f t="shared" si="134"/>
        <v>1.0360295181594559</v>
      </c>
      <c r="AN85" s="228">
        <v>0</v>
      </c>
      <c r="AO85" s="228"/>
      <c r="AP85" s="228">
        <f t="shared" si="130"/>
        <v>0</v>
      </c>
      <c r="AQ85" s="228"/>
      <c r="AR85" s="228"/>
      <c r="AS85" s="228"/>
      <c r="AT85" s="228"/>
      <c r="AU85" s="228"/>
      <c r="AV85" s="228"/>
      <c r="AW85" s="228"/>
      <c r="AX85" s="229"/>
      <c r="AY85" s="229"/>
      <c r="AZ85" s="229"/>
      <c r="BA85" s="230">
        <f t="shared" si="125"/>
        <v>0</v>
      </c>
    </row>
    <row r="86" spans="1:53" s="231" customFormat="1" ht="18" hidden="1" customHeight="1">
      <c r="A86" s="234" t="s">
        <v>441</v>
      </c>
      <c r="B86" s="234"/>
      <c r="C86" s="228"/>
      <c r="D86" s="228"/>
      <c r="E86" s="228"/>
      <c r="F86" s="228"/>
      <c r="G86" s="228"/>
      <c r="H86" s="228"/>
      <c r="I86" s="228"/>
      <c r="J86" s="228"/>
      <c r="K86" s="228"/>
      <c r="L86" s="229"/>
      <c r="M86" s="229"/>
      <c r="N86" s="229"/>
      <c r="O86" s="235"/>
      <c r="P86" s="235"/>
      <c r="Q86" s="228"/>
      <c r="R86" s="228"/>
      <c r="S86" s="235"/>
      <c r="T86" s="235"/>
      <c r="U86" s="228"/>
      <c r="V86" s="228"/>
      <c r="W86" s="228"/>
      <c r="X86" s="228"/>
      <c r="Y86" s="229"/>
      <c r="Z86" s="229"/>
      <c r="AA86" s="228"/>
      <c r="AB86" s="228"/>
      <c r="AC86" s="228"/>
      <c r="AD86" s="228"/>
      <c r="AE86" s="230">
        <f t="shared" si="129"/>
        <v>0</v>
      </c>
      <c r="AF86" s="228">
        <f>106.37/2</f>
        <v>53.185000000000002</v>
      </c>
      <c r="AG86" s="228">
        <v>39.950000000000003</v>
      </c>
      <c r="AH86" s="228">
        <f>IF(B86="ОСНО",AG86*1.18,AG86)</f>
        <v>39.950000000000003</v>
      </c>
      <c r="AI86" s="228">
        <f>AF86</f>
        <v>53.185000000000002</v>
      </c>
      <c r="AJ86" s="228">
        <v>41.65</v>
      </c>
      <c r="AK86" s="228">
        <f>IF(B86="ОСНО",AJ86*1.18,AJ86)</f>
        <v>41.65</v>
      </c>
      <c r="AL86" s="229"/>
      <c r="AM86" s="229">
        <f t="shared" si="134"/>
        <v>1.0425531914893613</v>
      </c>
      <c r="AN86" s="228"/>
      <c r="AO86" s="228"/>
      <c r="AP86" s="228"/>
      <c r="AQ86" s="228"/>
      <c r="AR86" s="228"/>
      <c r="AS86" s="228"/>
      <c r="AT86" s="228"/>
      <c r="AU86" s="228"/>
      <c r="AV86" s="228"/>
      <c r="AW86" s="228"/>
      <c r="AX86" s="229"/>
      <c r="AY86" s="229"/>
      <c r="AZ86" s="229"/>
      <c r="BA86" s="230">
        <f t="shared" si="125"/>
        <v>0</v>
      </c>
    </row>
    <row r="87" spans="1:53" s="231" customFormat="1" ht="18" hidden="1" customHeight="1">
      <c r="A87" s="234" t="s">
        <v>45</v>
      </c>
      <c r="B87" s="234" t="s">
        <v>398</v>
      </c>
      <c r="C87" s="228">
        <f>24.403/2</f>
        <v>12.201499999999999</v>
      </c>
      <c r="D87" s="228">
        <v>62.34</v>
      </c>
      <c r="E87" s="228">
        <f t="shared" si="51"/>
        <v>62.34</v>
      </c>
      <c r="F87" s="228">
        <f t="shared" ref="F87:F94" si="143">C87</f>
        <v>12.201499999999999</v>
      </c>
      <c r="G87" s="228">
        <v>62.34</v>
      </c>
      <c r="H87" s="228">
        <f t="shared" si="126"/>
        <v>62.34</v>
      </c>
      <c r="I87" s="228">
        <f t="shared" ref="I87:I94" si="144">F87</f>
        <v>12.201499999999999</v>
      </c>
      <c r="J87" s="228">
        <v>69.42</v>
      </c>
      <c r="K87" s="228">
        <f t="shared" si="127"/>
        <v>69.42</v>
      </c>
      <c r="L87" s="229">
        <f t="shared" ref="L87:L94" si="145">(G87*F87)/(D87*C87)</f>
        <v>1</v>
      </c>
      <c r="M87" s="229">
        <f>(K87*I87)/(H87*F87)</f>
        <v>1.1135707410972087</v>
      </c>
      <c r="N87" s="229" t="s">
        <v>286</v>
      </c>
      <c r="O87" s="235">
        <f>19.611/2</f>
        <v>9.8055000000000003</v>
      </c>
      <c r="P87" s="235">
        <v>60.3</v>
      </c>
      <c r="Q87" s="228">
        <f t="shared" ref="Q87:Q94" si="146">IF(B87="ОСНО",P87*1.18,P87)</f>
        <v>60.3</v>
      </c>
      <c r="R87" s="228"/>
      <c r="S87" s="235">
        <f t="shared" ref="S87:S94" si="147">O87</f>
        <v>9.8055000000000003</v>
      </c>
      <c r="T87" s="235">
        <v>62.34</v>
      </c>
      <c r="U87" s="228">
        <f t="shared" ref="U87:U94" si="148">IF(B87="ОСНО",T87*1.18,T87)</f>
        <v>62.34</v>
      </c>
      <c r="V87" s="228">
        <f>S87</f>
        <v>9.8055000000000003</v>
      </c>
      <c r="W87" s="228">
        <v>66.08</v>
      </c>
      <c r="X87" s="228">
        <f t="shared" ref="X87:X94" si="149">IF(B87="ОСНО",W87*1.18,W87)</f>
        <v>66.08</v>
      </c>
      <c r="Y87" s="229">
        <f>(T87*S87)/(P87*O87)</f>
        <v>1.0338308457711445</v>
      </c>
      <c r="Z87" s="229">
        <f>(X87*V87)/(U87*S87)</f>
        <v>1.0599935835739491</v>
      </c>
      <c r="AA87" s="228">
        <f>24.849/2</f>
        <v>12.4245</v>
      </c>
      <c r="AB87" s="228">
        <f>148.33</f>
        <v>148.33000000000001</v>
      </c>
      <c r="AC87" s="228">
        <f t="shared" ref="AC87:AC94" si="150">IF(B87="ОСНО",AB87*1.18,AB87)</f>
        <v>148.33000000000001</v>
      </c>
      <c r="AD87" s="228"/>
      <c r="AE87" s="230">
        <f t="shared" si="129"/>
        <v>32.750370000000032</v>
      </c>
      <c r="AF87" s="228">
        <f t="shared" ref="AF87:AF94" si="151">AA87</f>
        <v>12.4245</v>
      </c>
      <c r="AG87" s="228">
        <v>157.13999999999999</v>
      </c>
      <c r="AH87" s="228">
        <f>IF(B87="ОСНО",AG87*1.18,AG87)</f>
        <v>157.13999999999999</v>
      </c>
      <c r="AI87" s="228">
        <f>AF87</f>
        <v>12.4245</v>
      </c>
      <c r="AJ87" s="228">
        <v>175.06</v>
      </c>
      <c r="AK87" s="228">
        <f>IF(B87="ОСНО",AJ87*1.18,AJ87)</f>
        <v>175.06</v>
      </c>
      <c r="AL87" s="229">
        <f t="shared" ref="AL87:AL94" si="152">(AG87*AF87)/(AB87*AA87)</f>
        <v>1.0593945931369244</v>
      </c>
      <c r="AM87" s="229">
        <f t="shared" ref="AM87:AM94" si="153">(AK87*AI87)/(AH87*AF87)</f>
        <v>1.1140384370624923</v>
      </c>
      <c r="AN87" s="228">
        <f>22.32/2</f>
        <v>11.16</v>
      </c>
      <c r="AO87" s="228">
        <v>141.80000000000001</v>
      </c>
      <c r="AP87" s="228">
        <f>IF(B87="ОСНО",AO87*1.18,AO87)</f>
        <v>141.80000000000001</v>
      </c>
      <c r="AQ87" s="228"/>
      <c r="AR87" s="228">
        <f t="shared" ref="AR87:AR94" si="154">AN87</f>
        <v>11.16</v>
      </c>
      <c r="AS87" s="228">
        <v>141.80000000000001</v>
      </c>
      <c r="AT87" s="228">
        <f>IF(B87="ОСНО",AS87*1.18,AS87)</f>
        <v>141.80000000000001</v>
      </c>
      <c r="AU87" s="228">
        <f>AR87</f>
        <v>11.16</v>
      </c>
      <c r="AV87" s="228">
        <v>150.31</v>
      </c>
      <c r="AW87" s="228">
        <f>IF(B87="ОСНО",AV87*1.18,AV87)</f>
        <v>150.31</v>
      </c>
      <c r="AX87" s="229">
        <f t="shared" ref="AX87:AX94" si="155">(AS87*AR87)/(AO87*AN87)</f>
        <v>1</v>
      </c>
      <c r="AY87" s="229">
        <f t="shared" ref="AY87:AY94" si="156">(AW87*AU87)/(AT87*AR87)</f>
        <v>1.0600141043723554</v>
      </c>
      <c r="AZ87" s="229"/>
      <c r="BA87" s="230">
        <f t="shared" si="125"/>
        <v>447.40439999999967</v>
      </c>
    </row>
    <row r="88" spans="1:53" s="231" customFormat="1" ht="18" hidden="1" customHeight="1">
      <c r="A88" s="234" t="s">
        <v>48</v>
      </c>
      <c r="B88" s="234" t="s">
        <v>398</v>
      </c>
      <c r="C88" s="228">
        <f>16.63/2</f>
        <v>8.3149999999999995</v>
      </c>
      <c r="D88" s="228">
        <v>70</v>
      </c>
      <c r="E88" s="228">
        <f t="shared" si="51"/>
        <v>70</v>
      </c>
      <c r="F88" s="228">
        <f t="shared" si="143"/>
        <v>8.3149999999999995</v>
      </c>
      <c r="G88" s="228">
        <v>72.55</v>
      </c>
      <c r="H88" s="228">
        <f t="shared" si="126"/>
        <v>72.55</v>
      </c>
      <c r="I88" s="228">
        <f t="shared" si="144"/>
        <v>8.3149999999999995</v>
      </c>
      <c r="J88" s="228">
        <v>77.25</v>
      </c>
      <c r="K88" s="228">
        <f t="shared" si="127"/>
        <v>77.25</v>
      </c>
      <c r="L88" s="229">
        <f t="shared" si="145"/>
        <v>1.0364285714285715</v>
      </c>
      <c r="M88" s="229">
        <f>(K88*I88)/(H88*F88)</f>
        <v>1.0647829083390765</v>
      </c>
      <c r="N88" s="229" t="s">
        <v>287</v>
      </c>
      <c r="O88" s="235">
        <f>13.7/2</f>
        <v>6.85</v>
      </c>
      <c r="P88" s="235">
        <v>70</v>
      </c>
      <c r="Q88" s="228">
        <f t="shared" si="146"/>
        <v>70</v>
      </c>
      <c r="R88" s="228"/>
      <c r="S88" s="235">
        <f t="shared" si="147"/>
        <v>6.85</v>
      </c>
      <c r="T88" s="235">
        <v>72.55</v>
      </c>
      <c r="U88" s="228">
        <f t="shared" si="148"/>
        <v>72.55</v>
      </c>
      <c r="V88" s="228">
        <f>S88</f>
        <v>6.85</v>
      </c>
      <c r="W88" s="228">
        <f>J88</f>
        <v>77.25</v>
      </c>
      <c r="X88" s="228">
        <f t="shared" si="149"/>
        <v>77.25</v>
      </c>
      <c r="Y88" s="229">
        <f>(T88*S88)/(P88*O88)</f>
        <v>1.0364285714285715</v>
      </c>
      <c r="Z88" s="229">
        <f>(X88*V88)/(U88*S88)</f>
        <v>1.0647829083390765</v>
      </c>
      <c r="AA88" s="228"/>
      <c r="AB88" s="228"/>
      <c r="AC88" s="228">
        <f t="shared" si="150"/>
        <v>0</v>
      </c>
      <c r="AD88" s="228"/>
      <c r="AE88" s="230">
        <f t="shared" si="129"/>
        <v>0</v>
      </c>
      <c r="AF88" s="228"/>
      <c r="AG88" s="228"/>
      <c r="AH88" s="228"/>
      <c r="AI88" s="228"/>
      <c r="AJ88" s="228"/>
      <c r="AK88" s="228"/>
      <c r="AL88" s="229"/>
      <c r="AM88" s="229"/>
      <c r="AN88" s="228"/>
      <c r="AO88" s="228"/>
      <c r="AP88" s="228"/>
      <c r="AQ88" s="228"/>
      <c r="AR88" s="228"/>
      <c r="AS88" s="228"/>
      <c r="AT88" s="228"/>
      <c r="AU88" s="228"/>
      <c r="AV88" s="228"/>
      <c r="AW88" s="228"/>
      <c r="AX88" s="229"/>
      <c r="AY88" s="229"/>
      <c r="AZ88" s="229"/>
      <c r="BA88" s="230">
        <f t="shared" si="125"/>
        <v>0</v>
      </c>
    </row>
    <row r="89" spans="1:53" s="231" customFormat="1" ht="18" hidden="1" customHeight="1">
      <c r="A89" s="234" t="s">
        <v>49</v>
      </c>
      <c r="B89" s="234" t="s">
        <v>398</v>
      </c>
      <c r="C89" s="228">
        <f>60.25/2</f>
        <v>30.125</v>
      </c>
      <c r="D89" s="228">
        <v>58.66</v>
      </c>
      <c r="E89" s="228">
        <f t="shared" si="51"/>
        <v>58.66</v>
      </c>
      <c r="F89" s="228">
        <f t="shared" si="143"/>
        <v>30.125</v>
      </c>
      <c r="G89" s="228">
        <v>60.16</v>
      </c>
      <c r="H89" s="228">
        <f t="shared" si="126"/>
        <v>60.16</v>
      </c>
      <c r="I89" s="228">
        <f t="shared" si="144"/>
        <v>30.125</v>
      </c>
      <c r="J89" s="228">
        <v>66.44</v>
      </c>
      <c r="K89" s="228">
        <f t="shared" si="127"/>
        <v>66.44</v>
      </c>
      <c r="L89" s="229">
        <f t="shared" si="145"/>
        <v>1.0255710876235935</v>
      </c>
      <c r="M89" s="229">
        <f>(K89*I89)/(H89*F89)</f>
        <v>1.1043882978723405</v>
      </c>
      <c r="N89" s="229" t="s">
        <v>284</v>
      </c>
      <c r="O89" s="235">
        <f>46.08/2</f>
        <v>23.04</v>
      </c>
      <c r="P89" s="235">
        <v>56.31</v>
      </c>
      <c r="Q89" s="228">
        <f t="shared" si="146"/>
        <v>56.31</v>
      </c>
      <c r="R89" s="228"/>
      <c r="S89" s="235">
        <f t="shared" si="147"/>
        <v>23.04</v>
      </c>
      <c r="T89" s="235">
        <v>60.16</v>
      </c>
      <c r="U89" s="228">
        <f t="shared" si="148"/>
        <v>60.16</v>
      </c>
      <c r="V89" s="228">
        <f>S89</f>
        <v>23.04</v>
      </c>
      <c r="W89" s="228">
        <v>62.57</v>
      </c>
      <c r="X89" s="228">
        <f t="shared" si="149"/>
        <v>62.57</v>
      </c>
      <c r="Y89" s="229">
        <f>(T89*S89)/(P89*O89)</f>
        <v>1.0683715148286272</v>
      </c>
      <c r="Z89" s="229">
        <f>(X89*V89)/(U89*S89)</f>
        <v>1.0400598404255319</v>
      </c>
      <c r="AA89" s="228">
        <f>19.014/2</f>
        <v>9.5069999999999997</v>
      </c>
      <c r="AB89" s="228">
        <v>166.77</v>
      </c>
      <c r="AC89" s="228">
        <f t="shared" si="150"/>
        <v>166.77</v>
      </c>
      <c r="AD89" s="228"/>
      <c r="AE89" s="230">
        <f t="shared" si="129"/>
        <v>89.164799999999943</v>
      </c>
      <c r="AF89" s="228">
        <f t="shared" si="151"/>
        <v>9.5069999999999997</v>
      </c>
      <c r="AG89" s="228">
        <v>181.18</v>
      </c>
      <c r="AH89" s="228">
        <f>IF(B89="ОСНО",AG89*1.18,AG89)</f>
        <v>181.18</v>
      </c>
      <c r="AI89" s="228">
        <f>AF89</f>
        <v>9.5069999999999997</v>
      </c>
      <c r="AJ89" s="228">
        <v>184.15</v>
      </c>
      <c r="AK89" s="228">
        <f>IF(B89="ОСНО",AJ89*1.18,AJ89)</f>
        <v>184.15</v>
      </c>
      <c r="AL89" s="229">
        <f t="shared" si="152"/>
        <v>1.0864064280146308</v>
      </c>
      <c r="AM89" s="229">
        <f t="shared" si="153"/>
        <v>1.016392537807705</v>
      </c>
      <c r="AN89" s="228">
        <f>11.219/2</f>
        <v>5.6094999999999997</v>
      </c>
      <c r="AO89" s="228">
        <v>162.15</v>
      </c>
      <c r="AP89" s="228">
        <f>IF(B89="ОСНО",AO89*1.18,AO89)</f>
        <v>162.15</v>
      </c>
      <c r="AQ89" s="228"/>
      <c r="AR89" s="228">
        <f t="shared" si="154"/>
        <v>5.6094999999999997</v>
      </c>
      <c r="AS89" s="228">
        <v>162.15</v>
      </c>
      <c r="AT89" s="228">
        <f>IF(B89="ОСНО",AS89*1.18,AS89)</f>
        <v>162.15</v>
      </c>
      <c r="AU89" s="228">
        <f>AR89</f>
        <v>5.6094999999999997</v>
      </c>
      <c r="AV89" s="228">
        <v>162.15</v>
      </c>
      <c r="AW89" s="228">
        <f>IF(B89="ОСНО",AV89*1.18,AV89)</f>
        <v>162.15</v>
      </c>
      <c r="AX89" s="229">
        <f t="shared" si="155"/>
        <v>1</v>
      </c>
      <c r="AY89" s="229">
        <f t="shared" si="156"/>
        <v>1</v>
      </c>
      <c r="AZ89" s="229"/>
      <c r="BA89" s="230">
        <f t="shared" si="125"/>
        <v>230.15778499999999</v>
      </c>
    </row>
    <row r="90" spans="1:53" s="231" customFormat="1" ht="18" hidden="1" customHeight="1">
      <c r="A90" s="234" t="s">
        <v>49</v>
      </c>
      <c r="B90" s="234" t="s">
        <v>398</v>
      </c>
      <c r="C90" s="228"/>
      <c r="D90" s="228"/>
      <c r="E90" s="228">
        <f t="shared" si="51"/>
        <v>0</v>
      </c>
      <c r="F90" s="228">
        <f t="shared" si="143"/>
        <v>0</v>
      </c>
      <c r="G90" s="228"/>
      <c r="H90" s="228">
        <f t="shared" si="126"/>
        <v>0</v>
      </c>
      <c r="I90" s="228"/>
      <c r="J90" s="228"/>
      <c r="K90" s="228">
        <f t="shared" si="127"/>
        <v>0</v>
      </c>
      <c r="L90" s="229"/>
      <c r="M90" s="229"/>
      <c r="N90" s="229" t="s">
        <v>284</v>
      </c>
      <c r="O90" s="235"/>
      <c r="P90" s="235"/>
      <c r="Q90" s="228">
        <f t="shared" si="146"/>
        <v>0</v>
      </c>
      <c r="R90" s="228"/>
      <c r="S90" s="235">
        <f t="shared" si="147"/>
        <v>0</v>
      </c>
      <c r="T90" s="235"/>
      <c r="U90" s="228">
        <f t="shared" si="148"/>
        <v>0</v>
      </c>
      <c r="V90" s="228"/>
      <c r="W90" s="228"/>
      <c r="X90" s="228">
        <f t="shared" si="149"/>
        <v>0</v>
      </c>
      <c r="Y90" s="229"/>
      <c r="Z90" s="229"/>
      <c r="AA90" s="228">
        <f>4.61/2</f>
        <v>2.3050000000000002</v>
      </c>
      <c r="AB90" s="228">
        <v>120.12</v>
      </c>
      <c r="AC90" s="228">
        <f t="shared" si="150"/>
        <v>120.12</v>
      </c>
      <c r="AD90" s="228"/>
      <c r="AE90" s="230">
        <f t="shared" si="129"/>
        <v>0</v>
      </c>
      <c r="AF90" s="228">
        <f t="shared" si="151"/>
        <v>2.3050000000000002</v>
      </c>
      <c r="AG90" s="228">
        <v>126.37</v>
      </c>
      <c r="AH90" s="228">
        <f>IF(B90="ОСНО",AG90*1.18,AG90)</f>
        <v>126.37</v>
      </c>
      <c r="AI90" s="228">
        <f>AF90</f>
        <v>2.3050000000000002</v>
      </c>
      <c r="AJ90" s="228">
        <v>132.68</v>
      </c>
      <c r="AK90" s="228">
        <f>IF(B90="ОСНО",AJ90*1.18,AJ90)</f>
        <v>132.68</v>
      </c>
      <c r="AL90" s="229">
        <f t="shared" si="152"/>
        <v>1.0520313020313021</v>
      </c>
      <c r="AM90" s="229">
        <f t="shared" si="153"/>
        <v>1.0499327372002847</v>
      </c>
      <c r="AN90" s="228">
        <f>4.61/2</f>
        <v>2.3050000000000002</v>
      </c>
      <c r="AO90" s="228">
        <v>120.12</v>
      </c>
      <c r="AP90" s="228">
        <f>IF(B90="ОСНО",AO90*1.18,AO90)</f>
        <v>120.12</v>
      </c>
      <c r="AQ90" s="228"/>
      <c r="AR90" s="228">
        <f t="shared" si="154"/>
        <v>2.3050000000000002</v>
      </c>
      <c r="AS90" s="228">
        <v>126.37</v>
      </c>
      <c r="AT90" s="228">
        <f>IF(B90="ОСНО",AS90*1.18,AS90)</f>
        <v>126.37</v>
      </c>
      <c r="AU90" s="228">
        <f>AR90</f>
        <v>2.3050000000000002</v>
      </c>
      <c r="AV90" s="228">
        <v>132.68</v>
      </c>
      <c r="AW90" s="228">
        <f>IF(B90="ОСНО",AV90*1.18,AV90)</f>
        <v>132.68</v>
      </c>
      <c r="AX90" s="229">
        <f t="shared" si="155"/>
        <v>1.0520313020313021</v>
      </c>
      <c r="AY90" s="229">
        <f t="shared" si="156"/>
        <v>1.0499327372002847</v>
      </c>
      <c r="AZ90" s="229"/>
      <c r="BA90" s="230">
        <f t="shared" si="125"/>
        <v>0</v>
      </c>
    </row>
    <row r="91" spans="1:53" s="231" customFormat="1" ht="18" hidden="1" customHeight="1">
      <c r="A91" s="234" t="s">
        <v>50</v>
      </c>
      <c r="B91" s="234" t="s">
        <v>398</v>
      </c>
      <c r="C91" s="228">
        <f>13.9/2</f>
        <v>6.95</v>
      </c>
      <c r="D91" s="228">
        <v>114.2</v>
      </c>
      <c r="E91" s="228">
        <f t="shared" si="51"/>
        <v>114.2</v>
      </c>
      <c r="F91" s="228">
        <f t="shared" si="143"/>
        <v>6.95</v>
      </c>
      <c r="G91" s="228">
        <v>116.94</v>
      </c>
      <c r="H91" s="228">
        <f t="shared" si="126"/>
        <v>116.94</v>
      </c>
      <c r="I91" s="228">
        <f t="shared" si="144"/>
        <v>6.95</v>
      </c>
      <c r="J91" s="228">
        <v>125.86</v>
      </c>
      <c r="K91" s="228">
        <f t="shared" si="127"/>
        <v>125.86</v>
      </c>
      <c r="L91" s="229">
        <f t="shared" si="145"/>
        <v>1.0239929947460595</v>
      </c>
      <c r="M91" s="229">
        <f>(K91*I91)/(H91*F91)</f>
        <v>1.0762784333846416</v>
      </c>
      <c r="N91" s="229" t="s">
        <v>289</v>
      </c>
      <c r="O91" s="235">
        <f>12.15/2</f>
        <v>6.0750000000000002</v>
      </c>
      <c r="P91" s="235">
        <v>104</v>
      </c>
      <c r="Q91" s="228">
        <f t="shared" si="146"/>
        <v>104</v>
      </c>
      <c r="R91" s="228"/>
      <c r="S91" s="235">
        <f t="shared" si="147"/>
        <v>6.0750000000000002</v>
      </c>
      <c r="T91" s="235">
        <v>111.38</v>
      </c>
      <c r="U91" s="228">
        <f t="shared" si="148"/>
        <v>111.38</v>
      </c>
      <c r="V91" s="228">
        <f>S91</f>
        <v>6.0750000000000002</v>
      </c>
      <c r="W91" s="228">
        <v>111.38</v>
      </c>
      <c r="X91" s="228">
        <f t="shared" si="149"/>
        <v>111.38</v>
      </c>
      <c r="Y91" s="229">
        <f>(T91*S91)/(P91*O91)</f>
        <v>1.0709615384615383</v>
      </c>
      <c r="Z91" s="229">
        <f>(X91*V91)/(U91*S91)</f>
        <v>1</v>
      </c>
      <c r="AA91" s="228">
        <f>2.9/2</f>
        <v>1.45</v>
      </c>
      <c r="AB91" s="228">
        <v>30.83</v>
      </c>
      <c r="AC91" s="228">
        <f t="shared" si="150"/>
        <v>30.83</v>
      </c>
      <c r="AD91" s="228"/>
      <c r="AE91" s="230">
        <f t="shared" si="129"/>
        <v>121.74300000000004</v>
      </c>
      <c r="AF91" s="228">
        <f t="shared" si="151"/>
        <v>1.45</v>
      </c>
      <c r="AG91" s="228">
        <v>32.770000000000003</v>
      </c>
      <c r="AH91" s="228">
        <f>IF(B91="ОСНО",AG91*1.18,AG91)</f>
        <v>32.770000000000003</v>
      </c>
      <c r="AI91" s="228">
        <f>AF91</f>
        <v>1.45</v>
      </c>
      <c r="AJ91" s="228">
        <v>34.46</v>
      </c>
      <c r="AK91" s="228">
        <f>IF(B91="ОСНО",AJ91*1.18,AJ91)</f>
        <v>34.46</v>
      </c>
      <c r="AL91" s="229">
        <f t="shared" si="152"/>
        <v>1.0629257216996433</v>
      </c>
      <c r="AM91" s="229">
        <f t="shared" si="153"/>
        <v>1.0515715593530668</v>
      </c>
      <c r="AN91" s="228">
        <f>2.1/2</f>
        <v>1.05</v>
      </c>
      <c r="AO91" s="228">
        <v>30.83</v>
      </c>
      <c r="AP91" s="228">
        <f>IF(B91="ОСНО",AO91*1.18,AO91)</f>
        <v>30.83</v>
      </c>
      <c r="AQ91" s="228"/>
      <c r="AR91" s="228">
        <f t="shared" si="154"/>
        <v>1.05</v>
      </c>
      <c r="AS91" s="228">
        <v>32.770000000000003</v>
      </c>
      <c r="AT91" s="228">
        <f>IF(B91="ОСНО",AS91*1.18,AS91)</f>
        <v>32.770000000000003</v>
      </c>
      <c r="AU91" s="228">
        <f>AR91</f>
        <v>1.05</v>
      </c>
      <c r="AV91" s="228">
        <v>34.46</v>
      </c>
      <c r="AW91" s="228">
        <f>IF(B91="ОСНО",AV91*1.18,AV91)</f>
        <v>34.46</v>
      </c>
      <c r="AX91" s="229">
        <f t="shared" si="155"/>
        <v>1.0629257216996435</v>
      </c>
      <c r="AY91" s="229">
        <f t="shared" si="156"/>
        <v>1.0515715593530668</v>
      </c>
      <c r="AZ91" s="229"/>
      <c r="BA91" s="230">
        <f t="shared" si="125"/>
        <v>0</v>
      </c>
    </row>
    <row r="92" spans="1:53" s="231" customFormat="1" ht="18" hidden="1" customHeight="1">
      <c r="A92" s="234" t="s">
        <v>51</v>
      </c>
      <c r="B92" s="234" t="s">
        <v>403</v>
      </c>
      <c r="C92" s="228">
        <f>1.2/2</f>
        <v>0.6</v>
      </c>
      <c r="D92" s="228">
        <v>15</v>
      </c>
      <c r="E92" s="228">
        <f t="shared" si="51"/>
        <v>15</v>
      </c>
      <c r="F92" s="228">
        <f t="shared" si="143"/>
        <v>0.6</v>
      </c>
      <c r="G92" s="228">
        <v>15.93</v>
      </c>
      <c r="H92" s="228">
        <f t="shared" si="126"/>
        <v>15.93</v>
      </c>
      <c r="I92" s="228">
        <f t="shared" si="144"/>
        <v>0.6</v>
      </c>
      <c r="J92" s="228">
        <v>16.260000000000002</v>
      </c>
      <c r="K92" s="228">
        <f t="shared" si="127"/>
        <v>16.260000000000002</v>
      </c>
      <c r="L92" s="229">
        <f t="shared" si="145"/>
        <v>1.0620000000000001</v>
      </c>
      <c r="M92" s="229">
        <f>(K92*I92)/(H92*F92)</f>
        <v>1.0207156308851224</v>
      </c>
      <c r="N92" s="229" t="s">
        <v>283</v>
      </c>
      <c r="O92" s="235">
        <f>1.2/2</f>
        <v>0.6</v>
      </c>
      <c r="P92" s="235">
        <v>15</v>
      </c>
      <c r="Q92" s="228">
        <f t="shared" si="146"/>
        <v>15</v>
      </c>
      <c r="R92" s="228"/>
      <c r="S92" s="235">
        <f t="shared" si="147"/>
        <v>0.6</v>
      </c>
      <c r="T92" s="235">
        <v>15.93</v>
      </c>
      <c r="U92" s="228">
        <f t="shared" si="148"/>
        <v>15.93</v>
      </c>
      <c r="V92" s="228">
        <f>S92</f>
        <v>0.6</v>
      </c>
      <c r="W92" s="228">
        <v>16.260000000000002</v>
      </c>
      <c r="X92" s="228">
        <f t="shared" si="149"/>
        <v>16.260000000000002</v>
      </c>
      <c r="Y92" s="229">
        <f>(T92*S92)/(P92*O92)</f>
        <v>1.0620000000000001</v>
      </c>
      <c r="Z92" s="229">
        <f>(X92*V92)/(U92*S92)</f>
        <v>1.0207156308851224</v>
      </c>
      <c r="AA92" s="228"/>
      <c r="AB92" s="228"/>
      <c r="AC92" s="228">
        <f t="shared" si="150"/>
        <v>0</v>
      </c>
      <c r="AD92" s="228"/>
      <c r="AE92" s="230">
        <f t="shared" si="129"/>
        <v>0</v>
      </c>
      <c r="AF92" s="228"/>
      <c r="AG92" s="228"/>
      <c r="AH92" s="228"/>
      <c r="AI92" s="228"/>
      <c r="AJ92" s="228"/>
      <c r="AK92" s="228"/>
      <c r="AL92" s="229"/>
      <c r="AM92" s="229"/>
      <c r="AN92" s="228"/>
      <c r="AO92" s="228"/>
      <c r="AP92" s="228"/>
      <c r="AQ92" s="228"/>
      <c r="AR92" s="228"/>
      <c r="AS92" s="228"/>
      <c r="AT92" s="228"/>
      <c r="AU92" s="228"/>
      <c r="AV92" s="228"/>
      <c r="AW92" s="228"/>
      <c r="AX92" s="229"/>
      <c r="AY92" s="229"/>
      <c r="AZ92" s="229"/>
      <c r="BA92" s="230">
        <f t="shared" si="125"/>
        <v>0</v>
      </c>
    </row>
    <row r="93" spans="1:53" s="231" customFormat="1" ht="18" hidden="1" customHeight="1">
      <c r="A93" s="246" t="s">
        <v>54</v>
      </c>
      <c r="B93" s="246" t="s">
        <v>397</v>
      </c>
      <c r="C93" s="228">
        <f>69.25/2</f>
        <v>34.625</v>
      </c>
      <c r="D93" s="228">
        <v>48.05</v>
      </c>
      <c r="E93" s="228">
        <f t="shared" si="51"/>
        <v>56.698999999999991</v>
      </c>
      <c r="F93" s="228">
        <f>66.48/2</f>
        <v>33.24</v>
      </c>
      <c r="G93" s="228">
        <v>51.18</v>
      </c>
      <c r="H93" s="228">
        <f t="shared" si="126"/>
        <v>60.392399999999995</v>
      </c>
      <c r="I93" s="228">
        <f>F93</f>
        <v>33.24</v>
      </c>
      <c r="J93" s="228">
        <v>52.89</v>
      </c>
      <c r="K93" s="228">
        <f t="shared" si="127"/>
        <v>62.410199999999996</v>
      </c>
      <c r="L93" s="229">
        <f t="shared" si="145"/>
        <v>1.0225348595213322</v>
      </c>
      <c r="M93" s="229">
        <f>(K93*I93)/(H93*F93)</f>
        <v>1.0334114888628372</v>
      </c>
      <c r="N93" s="229" t="s">
        <v>318</v>
      </c>
      <c r="O93" s="228">
        <f>20.76/2</f>
        <v>10.38</v>
      </c>
      <c r="P93" s="228">
        <v>48.05</v>
      </c>
      <c r="Q93" s="228">
        <f t="shared" si="146"/>
        <v>56.698999999999991</v>
      </c>
      <c r="R93" s="228"/>
      <c r="S93" s="228">
        <v>9.9649999999999999</v>
      </c>
      <c r="T93" s="228">
        <v>51.18</v>
      </c>
      <c r="U93" s="228">
        <f t="shared" si="148"/>
        <v>60.392399999999995</v>
      </c>
      <c r="V93" s="228">
        <f>S93</f>
        <v>9.9649999999999999</v>
      </c>
      <c r="W93" s="228">
        <f>J93</f>
        <v>52.89</v>
      </c>
      <c r="X93" s="228">
        <f t="shared" si="149"/>
        <v>62.410199999999996</v>
      </c>
      <c r="Y93" s="229">
        <f>(T93*S93)/(P93*O93)</f>
        <v>1.0225553824592639</v>
      </c>
      <c r="Z93" s="229">
        <f>(X93*V93)/(U93*S93)</f>
        <v>1.0334114888628372</v>
      </c>
      <c r="AA93" s="228">
        <f>48.9/2</f>
        <v>24.45</v>
      </c>
      <c r="AB93" s="228">
        <v>34.53</v>
      </c>
      <c r="AC93" s="228">
        <f t="shared" si="150"/>
        <v>40.745399999999997</v>
      </c>
      <c r="AD93" s="228"/>
      <c r="AE93" s="230">
        <f t="shared" si="129"/>
        <v>0</v>
      </c>
      <c r="AF93" s="228">
        <v>23.512</v>
      </c>
      <c r="AG93" s="228">
        <v>37</v>
      </c>
      <c r="AH93" s="228">
        <f>IF(B93="ОСНО",AG93*1.18,AG93)</f>
        <v>43.66</v>
      </c>
      <c r="AI93" s="228">
        <f>AF93</f>
        <v>23.512</v>
      </c>
      <c r="AJ93" s="228">
        <v>39.1</v>
      </c>
      <c r="AK93" s="228">
        <f>IF(B93="ОСНО",AJ93*1.18,AJ93)</f>
        <v>46.137999999999998</v>
      </c>
      <c r="AL93" s="229">
        <f t="shared" ref="AL93" si="157">(AG93*AF93)/(AB93*AA93)</f>
        <v>1.0304237387008837</v>
      </c>
      <c r="AM93" s="229">
        <f t="shared" si="153"/>
        <v>1.0567567567567568</v>
      </c>
      <c r="AN93" s="239">
        <f>20.76/2</f>
        <v>10.38</v>
      </c>
      <c r="AO93" s="239">
        <v>34.53</v>
      </c>
      <c r="AP93" s="228">
        <f>IF(B93="ОСНО",AO93*1.18,AO93)</f>
        <v>40.745399999999997</v>
      </c>
      <c r="AQ93" s="228"/>
      <c r="AR93" s="240">
        <v>9.843</v>
      </c>
      <c r="AS93" s="240">
        <v>37</v>
      </c>
      <c r="AT93" s="228">
        <f>IF(B93="ОСНО",AS93*1.18,AS93)</f>
        <v>43.66</v>
      </c>
      <c r="AU93" s="228">
        <f>AR93</f>
        <v>9.843</v>
      </c>
      <c r="AV93" s="228">
        <f>AJ93</f>
        <v>39.1</v>
      </c>
      <c r="AW93" s="228">
        <f>IF(B93="ОСНО",AV93*1.18,AV93)</f>
        <v>46.137999999999998</v>
      </c>
      <c r="AX93" s="241">
        <f t="shared" ref="AX93" si="158">AS93/AO93</f>
        <v>1.0715320011584129</v>
      </c>
      <c r="AY93" s="229">
        <f t="shared" si="156"/>
        <v>1.0567567567567568</v>
      </c>
      <c r="AZ93" s="229"/>
      <c r="BA93" s="230">
        <f t="shared" si="125"/>
        <v>0</v>
      </c>
    </row>
    <row r="94" spans="1:53" s="231" customFormat="1" ht="18" hidden="1" customHeight="1">
      <c r="A94" s="234" t="s">
        <v>52</v>
      </c>
      <c r="B94" s="234" t="s">
        <v>398</v>
      </c>
      <c r="C94" s="239">
        <f>82.15/2</f>
        <v>41.075000000000003</v>
      </c>
      <c r="D94" s="239">
        <v>49.78</v>
      </c>
      <c r="E94" s="228">
        <f t="shared" si="51"/>
        <v>49.78</v>
      </c>
      <c r="F94" s="228">
        <f t="shared" si="143"/>
        <v>41.075000000000003</v>
      </c>
      <c r="G94" s="239">
        <v>52.37</v>
      </c>
      <c r="H94" s="228">
        <f t="shared" si="126"/>
        <v>52.37</v>
      </c>
      <c r="I94" s="228">
        <f t="shared" si="144"/>
        <v>41.075000000000003</v>
      </c>
      <c r="J94" s="228">
        <v>55.4</v>
      </c>
      <c r="K94" s="228">
        <f>J94</f>
        <v>55.4</v>
      </c>
      <c r="L94" s="229">
        <f t="shared" si="145"/>
        <v>1.0520289272800318</v>
      </c>
      <c r="M94" s="229">
        <f>(K94*I94)/(H94*F94)</f>
        <v>1.0578575520336073</v>
      </c>
      <c r="N94" s="229" t="s">
        <v>288</v>
      </c>
      <c r="O94" s="228">
        <f>65.17/2</f>
        <v>32.585000000000001</v>
      </c>
      <c r="P94" s="228">
        <v>49.78</v>
      </c>
      <c r="Q94" s="228">
        <f t="shared" si="146"/>
        <v>49.78</v>
      </c>
      <c r="R94" s="228"/>
      <c r="S94" s="235">
        <f t="shared" si="147"/>
        <v>32.585000000000001</v>
      </c>
      <c r="T94" s="228">
        <v>52.37</v>
      </c>
      <c r="U94" s="228">
        <f t="shared" si="148"/>
        <v>52.37</v>
      </c>
      <c r="V94" s="228">
        <f>S94</f>
        <v>32.585000000000001</v>
      </c>
      <c r="W94" s="228">
        <f>J94</f>
        <v>55.4</v>
      </c>
      <c r="X94" s="228">
        <f t="shared" si="149"/>
        <v>55.4</v>
      </c>
      <c r="Y94" s="229">
        <f>(T94*S94)/(P94*O94)</f>
        <v>1.0520289272800321</v>
      </c>
      <c r="Z94" s="229">
        <f>(X94*V94)/(U94*S94)</f>
        <v>1.0578575520336071</v>
      </c>
      <c r="AA94" s="239">
        <f>79.32/2</f>
        <v>39.659999999999997</v>
      </c>
      <c r="AB94" s="239">
        <v>88.71</v>
      </c>
      <c r="AC94" s="228">
        <f t="shared" si="150"/>
        <v>88.71</v>
      </c>
      <c r="AD94" s="228"/>
      <c r="AE94" s="230">
        <f t="shared" si="129"/>
        <v>0</v>
      </c>
      <c r="AF94" s="228">
        <f t="shared" si="151"/>
        <v>39.659999999999997</v>
      </c>
      <c r="AG94" s="239">
        <v>88.71</v>
      </c>
      <c r="AH94" s="228">
        <f>IF(B94="ОСНО",AG94*1.18,AG94)</f>
        <v>88.71</v>
      </c>
      <c r="AI94" s="228">
        <f>AF94</f>
        <v>39.659999999999997</v>
      </c>
      <c r="AJ94" s="239">
        <v>99.01</v>
      </c>
      <c r="AK94" s="228">
        <f>IF(B94="ОСНО",AJ94*1.18,AJ94)</f>
        <v>99.01</v>
      </c>
      <c r="AL94" s="229">
        <f t="shared" si="152"/>
        <v>1</v>
      </c>
      <c r="AM94" s="229">
        <f t="shared" si="153"/>
        <v>1.1161086686957504</v>
      </c>
      <c r="AN94" s="228">
        <f>63.26/2</f>
        <v>31.63</v>
      </c>
      <c r="AO94" s="228">
        <v>78.2</v>
      </c>
      <c r="AP94" s="228">
        <f>IF(B94="ОСНО",AO94*1.18,AO94)</f>
        <v>78.2</v>
      </c>
      <c r="AQ94" s="228"/>
      <c r="AR94" s="228">
        <f t="shared" si="154"/>
        <v>31.63</v>
      </c>
      <c r="AS94" s="228">
        <v>81.72</v>
      </c>
      <c r="AT94" s="228">
        <f>IF(B94="ОСНО",AS94*1.18,AS94)</f>
        <v>81.72</v>
      </c>
      <c r="AU94" s="228">
        <f>AR94</f>
        <v>31.63</v>
      </c>
      <c r="AV94" s="240">
        <v>86.62</v>
      </c>
      <c r="AW94" s="228">
        <f>IF(B94="ОСНО",AV94*1.18,AV94)</f>
        <v>86.62</v>
      </c>
      <c r="AX94" s="229">
        <f t="shared" si="155"/>
        <v>1.0450127877237851</v>
      </c>
      <c r="AY94" s="229">
        <f t="shared" si="156"/>
        <v>1.0599608418991682</v>
      </c>
      <c r="AZ94" s="229"/>
      <c r="BA94" s="230">
        <f t="shared" si="125"/>
        <v>612.98939999999993</v>
      </c>
    </row>
    <row r="95" spans="1:53" s="216" customFormat="1" ht="18" customHeight="1">
      <c r="A95" s="185" t="s">
        <v>69</v>
      </c>
      <c r="B95" s="185"/>
      <c r="C95" s="42">
        <f>SUM(C96:C114)</f>
        <v>796.23106779499994</v>
      </c>
      <c r="D95" s="42">
        <f>SUMPRODUCT(C96:C114,D96:D114)/C95</f>
        <v>30.126859013730876</v>
      </c>
      <c r="E95" s="42">
        <f>SUMPRODUCT(C96:C114,E96:E114)/C95</f>
        <v>33.539006232783485</v>
      </c>
      <c r="F95" s="42">
        <f>SUM(F96:F114)</f>
        <v>787.310567795</v>
      </c>
      <c r="G95" s="42">
        <f>SUMPRODUCT(F96:F114,G96:G114)/F95</f>
        <v>31.663761521445782</v>
      </c>
      <c r="H95" s="42">
        <f>SUMPRODUCT(F96:F114,H96:H114)/F95</f>
        <v>35.264474986577554</v>
      </c>
      <c r="I95" s="42">
        <f>SUM(I96:I114)</f>
        <v>787.31099999999992</v>
      </c>
      <c r="J95" s="42">
        <f>SUMPRODUCT(I96:I114,J96:J114)/I95</f>
        <v>34.214630705020014</v>
      </c>
      <c r="K95" s="42">
        <f>SUMPRODUCT(I96:I114,K96:K114)/I95</f>
        <v>38.082854415853468</v>
      </c>
      <c r="L95" s="84">
        <f>G95/D95</f>
        <v>1.0510143625332609</v>
      </c>
      <c r="M95" s="84">
        <f>J95/G95</f>
        <v>1.080561154487174</v>
      </c>
      <c r="N95" s="84"/>
      <c r="O95" s="42">
        <f>SUM(O96:O114)</f>
        <v>483.96100000000001</v>
      </c>
      <c r="P95" s="42">
        <f>SUMPRODUCT(O96:O114,P96:P114)/O95</f>
        <v>22.992284327330061</v>
      </c>
      <c r="Q95" s="42">
        <f>SUMPRODUCT(O96:O114,Q96:Q114)/O95</f>
        <v>25.847360210843433</v>
      </c>
      <c r="R95" s="84">
        <f>K95/H95</f>
        <v>1.0799212076841822</v>
      </c>
      <c r="S95" s="42">
        <f>SUM(S96:S114)</f>
        <v>477.39600000000002</v>
      </c>
      <c r="T95" s="42">
        <f>SUMPRODUCT(S96:S114,T96:T114)/S95</f>
        <v>23.530776173488345</v>
      </c>
      <c r="U95" s="42">
        <f>SUMPRODUCT(S96:S114,U96:U114)/S95</f>
        <v>26.435710841733066</v>
      </c>
      <c r="V95" s="42">
        <f>SUM(V96:V114)</f>
        <v>477.39600000000002</v>
      </c>
      <c r="W95" s="42">
        <f>SUMPRODUCT(V96:V114,W96:W114)/V95</f>
        <v>25.128023604260747</v>
      </c>
      <c r="X95" s="42">
        <f>SUMPRODUCT(V96:V114,X96:X114)/V95</f>
        <v>28.225632912299222</v>
      </c>
      <c r="Y95" s="84">
        <f>T95/P95</f>
        <v>1.0234205457140333</v>
      </c>
      <c r="Z95" s="84">
        <f>W95/T95</f>
        <v>1.0678790796782975</v>
      </c>
      <c r="AA95" s="42">
        <f>SUM(AA96:AA114)</f>
        <v>650.77611342438377</v>
      </c>
      <c r="AB95" s="42">
        <f>SUMPRODUCT(AA96:AA114,AB96:AB114)/AA95</f>
        <v>31.50006153148837</v>
      </c>
      <c r="AC95" s="42">
        <f>SUMPRODUCT(AA96:AA114,AC96:AC114)/AA95</f>
        <v>31.50006153148837</v>
      </c>
      <c r="AD95" s="84">
        <f>X95/U95</f>
        <v>1.0677084902797649</v>
      </c>
      <c r="AE95" s="222">
        <f>SUM(AE96:AE114)</f>
        <v>8340.6519313016943</v>
      </c>
      <c r="AF95" s="42">
        <f>SUM(AF96:AF114)</f>
        <v>619.69200000000012</v>
      </c>
      <c r="AG95" s="42">
        <f>SUMPRODUCT(AF96:AF114,AG96:AG114)/AF95</f>
        <v>33.803704082027842</v>
      </c>
      <c r="AH95" s="42">
        <f>SUMPRODUCT(AF96:AF114,AH96:AH114)/AF95</f>
        <v>37.984775712127956</v>
      </c>
      <c r="AI95" s="42">
        <f>SUM(AI96:AI114)</f>
        <v>619.69200000000012</v>
      </c>
      <c r="AJ95" s="42">
        <f>SUMPRODUCT(AI96:AI114,AJ96:AJ114)/AI95</f>
        <v>37.717622157458862</v>
      </c>
      <c r="AK95" s="42">
        <f>SUMPRODUCT(AI96:AI114,AK96:AK114)/AI95</f>
        <v>42.377473954480607</v>
      </c>
      <c r="AL95" s="84">
        <f>AG95/AB95</f>
        <v>1.0731313666875439</v>
      </c>
      <c r="AM95" s="84">
        <f>AJ95/AG95</f>
        <v>1.1157837042335224</v>
      </c>
      <c r="AN95" s="42">
        <f>SUM(AN96:AN114)</f>
        <v>92.094500000000011</v>
      </c>
      <c r="AO95" s="42">
        <f>SUMPRODUCT(AN96:AN114,AO96:AO114)/AN95</f>
        <v>26.101987252224607</v>
      </c>
      <c r="AP95" s="42">
        <f>SUMPRODUCT(AN96:AN114,AP96:AP114)/AN95</f>
        <v>26.101987252224607</v>
      </c>
      <c r="AQ95" s="84">
        <f>AK95/AH95</f>
        <v>1.115643653542757</v>
      </c>
      <c r="AR95" s="42">
        <f>SUM(AR96:AR114)</f>
        <v>377.95099999999991</v>
      </c>
      <c r="AS95" s="42">
        <f>SUMPRODUCT(AR96:AR114,AS96:AS114)/AR95</f>
        <v>24.565586597204405</v>
      </c>
      <c r="AT95" s="42">
        <f>SUMPRODUCT(AR96:AR114,AT96:AT114)/AR95</f>
        <v>27.842388129678184</v>
      </c>
      <c r="AU95" s="42">
        <f>SUM(AU96:AU114)</f>
        <v>377.95099999999991</v>
      </c>
      <c r="AV95" s="42">
        <f>SUMPRODUCT(AU96:AU114,AV96:AV114)/AU95</f>
        <v>25.668166087667455</v>
      </c>
      <c r="AW95" s="42">
        <f>SUMPRODUCT(AU96:AU114,AW96:AW114)/AU95</f>
        <v>29.076039681440193</v>
      </c>
      <c r="AX95" s="84">
        <f>AS95/AO95</f>
        <v>0.94113855622662379</v>
      </c>
      <c r="AY95" s="84">
        <f>AV95/AS95</f>
        <v>1.0448830922925538</v>
      </c>
      <c r="AZ95" s="84">
        <f>AW95/AT95</f>
        <v>1.044308395745946</v>
      </c>
      <c r="BA95" s="224">
        <f>SUM(BA96:BA114)</f>
        <v>7598.6437389999983</v>
      </c>
    </row>
    <row r="96" spans="1:53" s="231" customFormat="1" ht="18" hidden="1" customHeight="1">
      <c r="A96" s="236" t="s">
        <v>333</v>
      </c>
      <c r="B96" s="237"/>
      <c r="C96" s="228"/>
      <c r="D96" s="228"/>
      <c r="E96" s="228"/>
      <c r="F96" s="228"/>
      <c r="G96" s="228"/>
      <c r="H96" s="228"/>
      <c r="I96" s="228"/>
      <c r="J96" s="228"/>
      <c r="K96" s="228"/>
      <c r="L96" s="229"/>
      <c r="M96" s="229"/>
      <c r="N96" s="238"/>
      <c r="O96" s="228"/>
      <c r="P96" s="228"/>
      <c r="Q96" s="228"/>
      <c r="R96" s="228"/>
      <c r="S96" s="228"/>
      <c r="T96" s="228"/>
      <c r="U96" s="228"/>
      <c r="V96" s="228"/>
      <c r="W96" s="228"/>
      <c r="X96" s="228"/>
      <c r="Y96" s="229"/>
      <c r="Z96" s="229"/>
      <c r="AA96" s="228">
        <f>997.16/2</f>
        <v>498.58</v>
      </c>
      <c r="AB96" s="228">
        <v>28.28</v>
      </c>
      <c r="AC96" s="228">
        <f>IF(B96="ОСНО",AB96*1.18,AB96)</f>
        <v>28.28</v>
      </c>
      <c r="AD96" s="228"/>
      <c r="AE96" s="230"/>
      <c r="AF96" s="228"/>
      <c r="AG96" s="228"/>
      <c r="AH96" s="228"/>
      <c r="AI96" s="228"/>
      <c r="AJ96" s="228"/>
      <c r="AK96" s="228"/>
      <c r="AL96" s="229"/>
      <c r="AM96" s="229"/>
      <c r="AN96" s="239"/>
      <c r="AO96" s="240"/>
      <c r="AP96" s="228"/>
      <c r="AQ96" s="228"/>
      <c r="AR96" s="240"/>
      <c r="AS96" s="240"/>
      <c r="AT96" s="228"/>
      <c r="AU96" s="228"/>
      <c r="AV96" s="228"/>
      <c r="AW96" s="228"/>
      <c r="AX96" s="241"/>
      <c r="AY96" s="229"/>
      <c r="AZ96" s="229"/>
      <c r="BA96" s="230"/>
    </row>
    <row r="97" spans="1:53" s="231" customFormat="1" ht="18" hidden="1" customHeight="1">
      <c r="A97" s="269" t="s">
        <v>415</v>
      </c>
      <c r="B97" s="237" t="s">
        <v>397</v>
      </c>
      <c r="C97" s="228">
        <f>1079.32/2*0.94</f>
        <v>507.28039999999993</v>
      </c>
      <c r="D97" s="228">
        <v>27.7</v>
      </c>
      <c r="E97" s="228">
        <f t="shared" ref="E97:E114" si="159">IF(B97="ОСНО",D97*1.18,D97)</f>
        <v>32.686</v>
      </c>
      <c r="F97" s="228">
        <f>C97</f>
        <v>507.28039999999993</v>
      </c>
      <c r="G97" s="228">
        <v>28.94</v>
      </c>
      <c r="H97" s="228">
        <f t="shared" ref="H97:H114" si="160">IF(B97="ОСНО",G97*1.18,G97)</f>
        <v>34.1492</v>
      </c>
      <c r="I97" s="228">
        <v>507.28</v>
      </c>
      <c r="J97" s="228">
        <v>31.03</v>
      </c>
      <c r="K97" s="228">
        <f t="shared" ref="K97:K114" si="161">IF(B97="ОСНО",J97*1.18,J97)</f>
        <v>36.615400000000001</v>
      </c>
      <c r="L97" s="229">
        <f t="shared" ref="L97" si="162">(G97*F97)/(D97*C97)</f>
        <v>1.0447653429602888</v>
      </c>
      <c r="M97" s="229">
        <f>(K97*I97)/(H97*F97)</f>
        <v>1.0722175373970191</v>
      </c>
      <c r="N97" s="238"/>
      <c r="O97" s="228">
        <f>S97</f>
        <v>320</v>
      </c>
      <c r="P97" s="228">
        <f t="shared" ref="P97:P98" si="163">26.5/1.18</f>
        <v>22.457627118644069</v>
      </c>
      <c r="Q97" s="228">
        <f t="shared" ref="Q97:Q114" si="164">IF(B97="ОСНО",P97*1.18,P97)</f>
        <v>26.5</v>
      </c>
      <c r="R97" s="228"/>
      <c r="S97" s="228">
        <v>320</v>
      </c>
      <c r="T97" s="228">
        <f>P97</f>
        <v>22.457627118644069</v>
      </c>
      <c r="U97" s="228">
        <f t="shared" ref="U97:U114" si="165">IF(B97="ОСНО",T97*1.18,T97)</f>
        <v>26.5</v>
      </c>
      <c r="V97" s="228">
        <v>320</v>
      </c>
      <c r="W97" s="228">
        <v>24.05</v>
      </c>
      <c r="X97" s="228">
        <f>IF(B97="ОСНО",W97*1.18,W97)</f>
        <v>28.378999999999998</v>
      </c>
      <c r="Y97" s="229">
        <f>(T97*S97)/(P97*O97)</f>
        <v>1</v>
      </c>
      <c r="Z97" s="262">
        <f>(X97*V97)/(U97*S97)</f>
        <v>1.0709056603773583</v>
      </c>
      <c r="AA97" s="228"/>
      <c r="AB97" s="228"/>
      <c r="AC97" s="228"/>
      <c r="AD97" s="228"/>
      <c r="AE97" s="230">
        <f t="shared" ref="AE97:AE114" si="166">(G97-T97)*S97+(J97-W97)*V97</f>
        <v>4307.9593220338984</v>
      </c>
      <c r="AF97" s="228">
        <v>473.65300000000002</v>
      </c>
      <c r="AG97" s="228">
        <v>30.39</v>
      </c>
      <c r="AH97" s="228">
        <f>IF(B97="ОСНО",AG97*1.18,AG97)</f>
        <v>35.860199999999999</v>
      </c>
      <c r="AI97" s="228">
        <f>AF97</f>
        <v>473.65300000000002</v>
      </c>
      <c r="AJ97" s="228">
        <v>33.869999999999997</v>
      </c>
      <c r="AK97" s="228">
        <f>IF(B97="ОСНО",AJ97*1.18,AJ97)</f>
        <v>39.966599999999993</v>
      </c>
      <c r="AL97" s="229"/>
      <c r="AM97" s="229">
        <f>(AK97*AI97)/(AH97*AF97)</f>
        <v>1.1145113524185586</v>
      </c>
      <c r="AN97" s="239"/>
      <c r="AO97" s="240"/>
      <c r="AP97" s="228"/>
      <c r="AQ97" s="228"/>
      <c r="AR97" s="240">
        <v>291.54199999999997</v>
      </c>
      <c r="AS97" s="240">
        <v>23.6</v>
      </c>
      <c r="AT97" s="228">
        <f>IF(B97="ОСНО",AS97*1.18,AS97)</f>
        <v>27.847999999999999</v>
      </c>
      <c r="AU97" s="228">
        <f>AR97</f>
        <v>291.54199999999997</v>
      </c>
      <c r="AV97" s="228">
        <f>AS97*1.04</f>
        <v>24.544000000000004</v>
      </c>
      <c r="AW97" s="228">
        <f>IF(B97="ОСНО",AV97*1.18,AV97)</f>
        <v>28.961920000000003</v>
      </c>
      <c r="AX97" s="241"/>
      <c r="AY97" s="229">
        <f>(AW97*AU97)/(AT97*AR97)</f>
        <v>1.04</v>
      </c>
      <c r="AZ97" s="229"/>
      <c r="BA97" s="230">
        <f t="shared" si="125"/>
        <v>4698.4908719999976</v>
      </c>
    </row>
    <row r="98" spans="1:53" s="231" customFormat="1" ht="18" hidden="1" customHeight="1">
      <c r="A98" s="269" t="s">
        <v>416</v>
      </c>
      <c r="B98" s="237" t="s">
        <v>397</v>
      </c>
      <c r="C98" s="228">
        <f>1079.32/2-C97</f>
        <v>32.379600000000039</v>
      </c>
      <c r="D98" s="228">
        <v>27.7</v>
      </c>
      <c r="E98" s="228">
        <f t="shared" si="159"/>
        <v>32.686</v>
      </c>
      <c r="F98" s="228">
        <f>C98</f>
        <v>32.379600000000039</v>
      </c>
      <c r="G98" s="228">
        <v>28.94</v>
      </c>
      <c r="H98" s="228">
        <f t="shared" si="160"/>
        <v>34.1492</v>
      </c>
      <c r="I98" s="228">
        <v>32.380000000000003</v>
      </c>
      <c r="J98" s="228">
        <v>31.03</v>
      </c>
      <c r="K98" s="228">
        <f t="shared" si="161"/>
        <v>36.615400000000001</v>
      </c>
      <c r="L98" s="229">
        <f t="shared" ref="L98:L99" si="167">(G98*F98)/(D98*C98)</f>
        <v>1.044765342960289</v>
      </c>
      <c r="M98" s="229">
        <f>(K98*I98)/(H98*F98)</f>
        <v>1.0722316284649014</v>
      </c>
      <c r="N98" s="238"/>
      <c r="O98" s="228">
        <f>S98</f>
        <v>20</v>
      </c>
      <c r="P98" s="228">
        <f t="shared" si="163"/>
        <v>22.457627118644069</v>
      </c>
      <c r="Q98" s="228">
        <f t="shared" si="164"/>
        <v>26.5</v>
      </c>
      <c r="R98" s="228"/>
      <c r="S98" s="228">
        <v>20</v>
      </c>
      <c r="T98" s="228">
        <f>28.38/1.18</f>
        <v>24.050847457627118</v>
      </c>
      <c r="U98" s="228">
        <f t="shared" si="165"/>
        <v>28.38</v>
      </c>
      <c r="V98" s="228">
        <v>20</v>
      </c>
      <c r="W98" s="228">
        <v>24.05</v>
      </c>
      <c r="X98" s="228">
        <f>IF(B98="ОСНО",W98*1.18,W98)</f>
        <v>28.378999999999998</v>
      </c>
      <c r="Y98" s="229">
        <f>(T98*S98)/(P98*O98)</f>
        <v>1.070943396226415</v>
      </c>
      <c r="Z98" s="229">
        <f>(X98*V98)/(U98*S98)</f>
        <v>0.99996476391825218</v>
      </c>
      <c r="AA98" s="228"/>
      <c r="AB98" s="228"/>
      <c r="AC98" s="228"/>
      <c r="AD98" s="228"/>
      <c r="AE98" s="230">
        <f t="shared" si="166"/>
        <v>237.3830508474577</v>
      </c>
      <c r="AF98" s="228"/>
      <c r="AG98" s="228"/>
      <c r="AH98" s="228"/>
      <c r="AI98" s="228"/>
      <c r="AJ98" s="228"/>
      <c r="AK98" s="228"/>
      <c r="AL98" s="229"/>
      <c r="AM98" s="229"/>
      <c r="AN98" s="239"/>
      <c r="AO98" s="240"/>
      <c r="AP98" s="228"/>
      <c r="AQ98" s="228"/>
      <c r="AR98" s="240"/>
      <c r="AS98" s="240"/>
      <c r="AT98" s="228">
        <v>0</v>
      </c>
      <c r="AU98" s="228"/>
      <c r="AV98" s="228"/>
      <c r="AW98" s="228">
        <v>0</v>
      </c>
      <c r="AX98" s="241"/>
      <c r="AY98" s="229"/>
      <c r="AZ98" s="229"/>
      <c r="BA98" s="230">
        <f t="shared" si="125"/>
        <v>0</v>
      </c>
    </row>
    <row r="99" spans="1:53" s="231" customFormat="1" ht="18" hidden="1" customHeight="1">
      <c r="A99" s="236" t="s">
        <v>393</v>
      </c>
      <c r="B99" s="237" t="s">
        <v>398</v>
      </c>
      <c r="C99" s="228">
        <f>14.6/2</f>
        <v>7.3</v>
      </c>
      <c r="D99" s="228">
        <v>13.55</v>
      </c>
      <c r="E99" s="228">
        <f t="shared" si="159"/>
        <v>13.55</v>
      </c>
      <c r="F99" s="228">
        <f>14.6/2</f>
        <v>7.3</v>
      </c>
      <c r="G99" s="228">
        <v>13.55</v>
      </c>
      <c r="H99" s="228">
        <f t="shared" si="160"/>
        <v>13.55</v>
      </c>
      <c r="I99" s="228">
        <f>F99</f>
        <v>7.3</v>
      </c>
      <c r="J99" s="228">
        <v>15.62</v>
      </c>
      <c r="K99" s="228">
        <f t="shared" si="161"/>
        <v>15.62</v>
      </c>
      <c r="L99" s="229">
        <f t="shared" si="167"/>
        <v>1</v>
      </c>
      <c r="M99" s="229">
        <f>(K99*I99)/(H99*F99)</f>
        <v>1.1527675276752767</v>
      </c>
      <c r="N99" s="238"/>
      <c r="O99" s="228">
        <v>0</v>
      </c>
      <c r="P99" s="228"/>
      <c r="Q99" s="228">
        <f t="shared" si="164"/>
        <v>0</v>
      </c>
      <c r="R99" s="228"/>
      <c r="S99" s="228"/>
      <c r="T99" s="228"/>
      <c r="U99" s="228">
        <f t="shared" si="165"/>
        <v>0</v>
      </c>
      <c r="V99" s="228"/>
      <c r="W99" s="228"/>
      <c r="X99" s="228"/>
      <c r="Y99" s="229"/>
      <c r="Z99" s="229"/>
      <c r="AA99" s="228"/>
      <c r="AB99" s="228"/>
      <c r="AC99" s="228">
        <f t="shared" ref="AC99:AC114" si="168">IF(B99="ОСНО",AB99*1.18,AB99)</f>
        <v>0</v>
      </c>
      <c r="AD99" s="228"/>
      <c r="AE99" s="230">
        <f t="shared" si="166"/>
        <v>0</v>
      </c>
      <c r="AF99" s="228"/>
      <c r="AG99" s="228"/>
      <c r="AH99" s="228">
        <f>IF(B99="ОСНО",AG99*1.18,AG99)</f>
        <v>0</v>
      </c>
      <c r="AI99" s="228"/>
      <c r="AJ99" s="228"/>
      <c r="AK99" s="228">
        <f t="shared" ref="AK99:AK113" si="169">IF(B99="ОСНО",AJ99*1.18,AJ99)</f>
        <v>0</v>
      </c>
      <c r="AL99" s="229"/>
      <c r="AM99" s="229"/>
      <c r="AN99" s="239"/>
      <c r="AO99" s="240"/>
      <c r="AP99" s="228">
        <f t="shared" ref="AP99:AP113" si="170">IF(B99="ОСНО",AO99*1.18,AO99)</f>
        <v>0</v>
      </c>
      <c r="AQ99" s="228"/>
      <c r="AR99" s="240"/>
      <c r="AS99" s="240"/>
      <c r="AT99" s="228">
        <f t="shared" ref="AT99:AT113" si="171">IF(B99="ОСНО",AS99*1.18,AS99)</f>
        <v>0</v>
      </c>
      <c r="AU99" s="228"/>
      <c r="AV99" s="228"/>
      <c r="AW99" s="228">
        <f t="shared" ref="AW99:AW113" si="172">IF(B99="ОСНО",AV99*1.18,AV99)</f>
        <v>0</v>
      </c>
      <c r="AX99" s="241"/>
      <c r="AY99" s="229"/>
      <c r="AZ99" s="229"/>
      <c r="BA99" s="230">
        <f t="shared" si="125"/>
        <v>0</v>
      </c>
    </row>
    <row r="100" spans="1:53" s="231" customFormat="1" ht="18" hidden="1" customHeight="1">
      <c r="A100" s="236" t="s">
        <v>334</v>
      </c>
      <c r="B100" s="236"/>
      <c r="C100" s="228"/>
      <c r="D100" s="228"/>
      <c r="E100" s="228">
        <f t="shared" si="159"/>
        <v>0</v>
      </c>
      <c r="F100" s="228"/>
      <c r="G100" s="228"/>
      <c r="H100" s="228">
        <f t="shared" si="160"/>
        <v>0</v>
      </c>
      <c r="I100" s="228"/>
      <c r="J100" s="228"/>
      <c r="K100" s="228">
        <f t="shared" si="161"/>
        <v>0</v>
      </c>
      <c r="L100" s="229"/>
      <c r="M100" s="229"/>
      <c r="N100" s="229"/>
      <c r="O100" s="228"/>
      <c r="P100" s="228"/>
      <c r="Q100" s="228">
        <f t="shared" si="164"/>
        <v>0</v>
      </c>
      <c r="R100" s="228"/>
      <c r="S100" s="228"/>
      <c r="T100" s="228"/>
      <c r="U100" s="228">
        <f t="shared" si="165"/>
        <v>0</v>
      </c>
      <c r="V100" s="228"/>
      <c r="W100" s="228"/>
      <c r="X100" s="228"/>
      <c r="Y100" s="229"/>
      <c r="Z100" s="229"/>
      <c r="AA100" s="228"/>
      <c r="AB100" s="228"/>
      <c r="AC100" s="228">
        <f t="shared" si="168"/>
        <v>0</v>
      </c>
      <c r="AD100" s="228"/>
      <c r="AE100" s="230">
        <f t="shared" si="166"/>
        <v>0</v>
      </c>
      <c r="AF100" s="228"/>
      <c r="AG100" s="228"/>
      <c r="AH100" s="228">
        <f>IF(B100="ОСНО",AG100*1.18,AG100)</f>
        <v>0</v>
      </c>
      <c r="AI100" s="228"/>
      <c r="AJ100" s="228"/>
      <c r="AK100" s="228">
        <f t="shared" si="169"/>
        <v>0</v>
      </c>
      <c r="AL100" s="229"/>
      <c r="AM100" s="229"/>
      <c r="AN100" s="239"/>
      <c r="AO100" s="240"/>
      <c r="AP100" s="228">
        <f t="shared" si="170"/>
        <v>0</v>
      </c>
      <c r="AQ100" s="228"/>
      <c r="AR100" s="240"/>
      <c r="AS100" s="240"/>
      <c r="AT100" s="228">
        <f t="shared" si="171"/>
        <v>0</v>
      </c>
      <c r="AU100" s="228"/>
      <c r="AV100" s="228"/>
      <c r="AW100" s="228">
        <f t="shared" si="172"/>
        <v>0</v>
      </c>
      <c r="AX100" s="241"/>
      <c r="AY100" s="229"/>
      <c r="AZ100" s="229"/>
      <c r="BA100" s="230">
        <f t="shared" si="125"/>
        <v>0</v>
      </c>
    </row>
    <row r="101" spans="1:53" s="231" customFormat="1" ht="18" hidden="1" customHeight="1">
      <c r="A101" s="242" t="s">
        <v>72</v>
      </c>
      <c r="B101" s="237" t="s">
        <v>398</v>
      </c>
      <c r="C101" s="228">
        <f>13.994/2</f>
        <v>6.9969999999999999</v>
      </c>
      <c r="D101" s="228">
        <v>39.14</v>
      </c>
      <c r="E101" s="228">
        <f t="shared" si="159"/>
        <v>39.14</v>
      </c>
      <c r="F101" s="228">
        <f>C101</f>
        <v>6.9969999999999999</v>
      </c>
      <c r="G101" s="228">
        <v>40.5</v>
      </c>
      <c r="H101" s="228">
        <f t="shared" si="160"/>
        <v>40.5</v>
      </c>
      <c r="I101" s="228">
        <v>7</v>
      </c>
      <c r="J101" s="228">
        <v>43.58</v>
      </c>
      <c r="K101" s="228">
        <f t="shared" si="161"/>
        <v>43.58</v>
      </c>
      <c r="L101" s="229">
        <f t="shared" ref="L101:L113" si="173">(G101*F101)/(D101*C101)</f>
        <v>1.0347470618293306</v>
      </c>
      <c r="M101" s="229">
        <f>(K101*I101)/(H101*F101)</f>
        <v>1.0765107444636768</v>
      </c>
      <c r="N101" s="242" t="s">
        <v>72</v>
      </c>
      <c r="O101" s="228">
        <f>10.73/2</f>
        <v>5.3650000000000002</v>
      </c>
      <c r="P101" s="228">
        <v>14.8</v>
      </c>
      <c r="Q101" s="228">
        <f t="shared" si="164"/>
        <v>14.8</v>
      </c>
      <c r="R101" s="228"/>
      <c r="S101" s="228">
        <f t="shared" ref="S101:S114" si="174">O101</f>
        <v>5.3650000000000002</v>
      </c>
      <c r="T101" s="228">
        <v>15.97</v>
      </c>
      <c r="U101" s="228">
        <f t="shared" si="165"/>
        <v>15.97</v>
      </c>
      <c r="V101" s="228">
        <f>S101</f>
        <v>5.3650000000000002</v>
      </c>
      <c r="W101" s="228">
        <v>27.25</v>
      </c>
      <c r="X101" s="228">
        <f>IF(B101="ОСНО",W101*1.18,W101)</f>
        <v>27.25</v>
      </c>
      <c r="Y101" s="229">
        <f>(T101*S101)/(P101*O101)</f>
        <v>1.0790540540540541</v>
      </c>
      <c r="Z101" s="209">
        <f>(X101*V101)/(U101*S101)</f>
        <v>1.7063243581715715</v>
      </c>
      <c r="AA101" s="228"/>
      <c r="AB101" s="228"/>
      <c r="AC101" s="228">
        <f t="shared" si="168"/>
        <v>0</v>
      </c>
      <c r="AD101" s="228"/>
      <c r="AE101" s="230">
        <f t="shared" si="166"/>
        <v>219.21390000000002</v>
      </c>
      <c r="AF101" s="228"/>
      <c r="AG101" s="228"/>
      <c r="AH101" s="228">
        <f>IF(B101="ОСНО",AG101*1.18,AG101)</f>
        <v>0</v>
      </c>
      <c r="AI101" s="228"/>
      <c r="AJ101" s="228"/>
      <c r="AK101" s="228">
        <f t="shared" si="169"/>
        <v>0</v>
      </c>
      <c r="AL101" s="229"/>
      <c r="AM101" s="229"/>
      <c r="AN101" s="239"/>
      <c r="AO101" s="239"/>
      <c r="AP101" s="228">
        <f t="shared" si="170"/>
        <v>0</v>
      </c>
      <c r="AQ101" s="228"/>
      <c r="AR101" s="239"/>
      <c r="AS101" s="239"/>
      <c r="AT101" s="228">
        <f t="shared" si="171"/>
        <v>0</v>
      </c>
      <c r="AU101" s="228"/>
      <c r="AV101" s="228"/>
      <c r="AW101" s="228">
        <f t="shared" si="172"/>
        <v>0</v>
      </c>
      <c r="AX101" s="241"/>
      <c r="AY101" s="229"/>
      <c r="AZ101" s="229"/>
      <c r="BA101" s="230">
        <f t="shared" si="125"/>
        <v>0</v>
      </c>
    </row>
    <row r="102" spans="1:53" s="231" customFormat="1" ht="18" hidden="1" customHeight="1">
      <c r="A102" s="242" t="s">
        <v>73</v>
      </c>
      <c r="B102" s="237" t="s">
        <v>398</v>
      </c>
      <c r="C102" s="228">
        <f>349.684/2</f>
        <v>174.84200000000001</v>
      </c>
      <c r="D102" s="228">
        <v>34.19</v>
      </c>
      <c r="E102" s="228">
        <f t="shared" si="159"/>
        <v>34.19</v>
      </c>
      <c r="F102" s="228">
        <v>166.1</v>
      </c>
      <c r="G102" s="228">
        <v>35.79</v>
      </c>
      <c r="H102" s="228">
        <f t="shared" si="160"/>
        <v>35.79</v>
      </c>
      <c r="I102" s="228">
        <f>F102</f>
        <v>166.1</v>
      </c>
      <c r="J102" s="228">
        <v>40.380000000000003</v>
      </c>
      <c r="K102" s="228">
        <f t="shared" si="161"/>
        <v>40.380000000000003</v>
      </c>
      <c r="L102" s="229">
        <f t="shared" si="173"/>
        <v>0.9944580424074283</v>
      </c>
      <c r="M102" s="229">
        <f>(K102*I102)/(H102*F102)</f>
        <v>1.1282481139983236</v>
      </c>
      <c r="N102" s="242" t="s">
        <v>73</v>
      </c>
      <c r="O102" s="228">
        <f>169.416/2</f>
        <v>84.707999999999998</v>
      </c>
      <c r="P102" s="228">
        <v>24</v>
      </c>
      <c r="Q102" s="228">
        <f t="shared" si="164"/>
        <v>24</v>
      </c>
      <c r="R102" s="228"/>
      <c r="S102" s="228">
        <v>80.257999999999996</v>
      </c>
      <c r="T102" s="228">
        <v>25.7</v>
      </c>
      <c r="U102" s="228">
        <f t="shared" si="165"/>
        <v>25.7</v>
      </c>
      <c r="V102" s="228">
        <f>S102</f>
        <v>80.257999999999996</v>
      </c>
      <c r="W102" s="228">
        <v>27.25</v>
      </c>
      <c r="X102" s="228">
        <f>IF(B102="ОСНО",W102*1.18,W102)</f>
        <v>27.25</v>
      </c>
      <c r="Y102" s="229">
        <f>(T102*S102)/(P102*O102)</f>
        <v>1.0145788079835041</v>
      </c>
      <c r="Z102" s="229">
        <f>(X102*V102)/(U102*S102)</f>
        <v>1.0603112840466926</v>
      </c>
      <c r="AA102" s="228">
        <f>227.962/2</f>
        <v>113.98099999999999</v>
      </c>
      <c r="AB102" s="228">
        <v>45.85</v>
      </c>
      <c r="AC102" s="228">
        <f t="shared" si="168"/>
        <v>45.85</v>
      </c>
      <c r="AD102" s="228"/>
      <c r="AE102" s="230">
        <f t="shared" si="166"/>
        <v>1863.59076</v>
      </c>
      <c r="AF102" s="228">
        <v>108.282</v>
      </c>
      <c r="AG102" s="228">
        <v>48.83</v>
      </c>
      <c r="AH102" s="228">
        <f>IF(B102="ОСНО",AG102*1.18,AG102)</f>
        <v>48.83</v>
      </c>
      <c r="AI102" s="228">
        <f>AF102</f>
        <v>108.282</v>
      </c>
      <c r="AJ102" s="228">
        <v>55.54</v>
      </c>
      <c r="AK102" s="228">
        <f t="shared" si="169"/>
        <v>55.54</v>
      </c>
      <c r="AL102" s="229">
        <f t="shared" ref="AL102:AL113" si="175">(AG102*AF102)/(AB102*AA102)</f>
        <v>1.0117452872461659</v>
      </c>
      <c r="AM102" s="229">
        <f t="shared" ref="AM102:AM113" si="176">(AK102*AI102)/(AH102*AF102)</f>
        <v>1.1374155232439074</v>
      </c>
      <c r="AN102" s="240">
        <f>119.911/2</f>
        <v>59.955500000000001</v>
      </c>
      <c r="AO102" s="239">
        <v>28.63</v>
      </c>
      <c r="AP102" s="228">
        <f t="shared" si="170"/>
        <v>28.63</v>
      </c>
      <c r="AQ102" s="228"/>
      <c r="AR102" s="240">
        <v>54.72</v>
      </c>
      <c r="AS102" s="239">
        <v>30.66</v>
      </c>
      <c r="AT102" s="228">
        <f t="shared" si="171"/>
        <v>30.66</v>
      </c>
      <c r="AU102" s="228">
        <f>AR102</f>
        <v>54.72</v>
      </c>
      <c r="AV102" s="228">
        <v>32.5</v>
      </c>
      <c r="AW102" s="228">
        <f t="shared" si="172"/>
        <v>32.5</v>
      </c>
      <c r="AX102" s="241">
        <f t="shared" ref="AX102:AX113" si="177">AS102/AO102</f>
        <v>1.0709046454767726</v>
      </c>
      <c r="AY102" s="229">
        <f t="shared" ref="AY102:AY113" si="178">(AW102*AU102)/(AT102*AR102)</f>
        <v>1.0600130463144162</v>
      </c>
      <c r="AZ102" s="229"/>
      <c r="BA102" s="230">
        <f t="shared" si="125"/>
        <v>2255.0111999999999</v>
      </c>
    </row>
    <row r="103" spans="1:53" s="231" customFormat="1" ht="18" hidden="1" customHeight="1">
      <c r="A103" s="236" t="s">
        <v>335</v>
      </c>
      <c r="B103" s="237" t="s">
        <v>398</v>
      </c>
      <c r="C103" s="228"/>
      <c r="D103" s="228"/>
      <c r="E103" s="228">
        <f t="shared" si="159"/>
        <v>0</v>
      </c>
      <c r="F103" s="228"/>
      <c r="G103" s="228"/>
      <c r="H103" s="228"/>
      <c r="I103" s="228"/>
      <c r="J103" s="228"/>
      <c r="K103" s="228"/>
      <c r="L103" s="229"/>
      <c r="M103" s="229"/>
      <c r="N103" s="229"/>
      <c r="O103" s="228"/>
      <c r="P103" s="228"/>
      <c r="Q103" s="228">
        <f t="shared" si="164"/>
        <v>0</v>
      </c>
      <c r="R103" s="228"/>
      <c r="S103" s="228"/>
      <c r="T103" s="228"/>
      <c r="U103" s="228">
        <f t="shared" si="165"/>
        <v>0</v>
      </c>
      <c r="V103" s="228"/>
      <c r="W103" s="228"/>
      <c r="X103" s="228"/>
      <c r="Y103" s="229"/>
      <c r="Z103" s="229"/>
      <c r="AA103" s="228"/>
      <c r="AB103" s="228"/>
      <c r="AC103" s="228">
        <f t="shared" si="168"/>
        <v>0</v>
      </c>
      <c r="AD103" s="228"/>
      <c r="AE103" s="230">
        <f t="shared" si="166"/>
        <v>0</v>
      </c>
      <c r="AF103" s="228"/>
      <c r="AG103" s="228"/>
      <c r="AH103" s="228"/>
      <c r="AI103" s="228"/>
      <c r="AJ103" s="228"/>
      <c r="AK103" s="228">
        <f t="shared" si="169"/>
        <v>0</v>
      </c>
      <c r="AL103" s="229"/>
      <c r="AM103" s="229"/>
      <c r="AN103" s="239"/>
      <c r="AO103" s="239"/>
      <c r="AP103" s="228">
        <f t="shared" si="170"/>
        <v>0</v>
      </c>
      <c r="AQ103" s="228"/>
      <c r="AR103" s="239"/>
      <c r="AS103" s="239"/>
      <c r="AT103" s="228">
        <f t="shared" si="171"/>
        <v>0</v>
      </c>
      <c r="AU103" s="228"/>
      <c r="AV103" s="228"/>
      <c r="AW103" s="228">
        <f t="shared" si="172"/>
        <v>0</v>
      </c>
      <c r="AX103" s="241"/>
      <c r="AY103" s="229"/>
      <c r="AZ103" s="229"/>
      <c r="BA103" s="230">
        <f t="shared" si="125"/>
        <v>0</v>
      </c>
    </row>
    <row r="104" spans="1:53" s="231" customFormat="1" ht="18" hidden="1" customHeight="1">
      <c r="A104" s="242" t="s">
        <v>75</v>
      </c>
      <c r="B104" s="237" t="s">
        <v>398</v>
      </c>
      <c r="C104" s="228">
        <f>12.92/2*1.08321</f>
        <v>6.9975366000000001</v>
      </c>
      <c r="D104" s="228">
        <v>32.33</v>
      </c>
      <c r="E104" s="228">
        <f t="shared" si="159"/>
        <v>32.33</v>
      </c>
      <c r="F104" s="228">
        <f t="shared" ref="F104:F106" si="179">C104</f>
        <v>6.9975366000000001</v>
      </c>
      <c r="G104" s="228">
        <v>36.61</v>
      </c>
      <c r="H104" s="228">
        <f t="shared" si="160"/>
        <v>36.61</v>
      </c>
      <c r="I104" s="228">
        <v>7</v>
      </c>
      <c r="J104" s="228">
        <v>35.71</v>
      </c>
      <c r="K104" s="228">
        <f t="shared" si="161"/>
        <v>35.71</v>
      </c>
      <c r="L104" s="229">
        <f t="shared" si="173"/>
        <v>1.1323847819362822</v>
      </c>
      <c r="M104" s="199">
        <f t="shared" ref="M104:M114" si="180">(K104*I104)/(H104*F104)</f>
        <v>0.97575993671556926</v>
      </c>
      <c r="N104" s="242" t="s">
        <v>75</v>
      </c>
      <c r="O104" s="228">
        <f>12.92/2</f>
        <v>6.46</v>
      </c>
      <c r="P104" s="228">
        <v>18</v>
      </c>
      <c r="Q104" s="228">
        <f t="shared" si="164"/>
        <v>18</v>
      </c>
      <c r="R104" s="228"/>
      <c r="S104" s="228">
        <v>6.14</v>
      </c>
      <c r="T104" s="228">
        <v>19.399999999999999</v>
      </c>
      <c r="U104" s="228">
        <f t="shared" si="165"/>
        <v>19.399999999999999</v>
      </c>
      <c r="V104" s="228">
        <f t="shared" ref="V104:V114" si="181">S104</f>
        <v>6.14</v>
      </c>
      <c r="W104" s="227">
        <f>T104*1.06</f>
        <v>20.564</v>
      </c>
      <c r="X104" s="227">
        <f t="shared" ref="X104:X114" si="182">IF(B104="ОСНО",W104*1.18,W104)</f>
        <v>20.564</v>
      </c>
      <c r="Y104" s="229">
        <f t="shared" ref="Y104:Y114" si="183">(T104*S104)/(P104*O104)</f>
        <v>1.0243894048847608</v>
      </c>
      <c r="Z104" s="229">
        <f t="shared" ref="Z104:Z114" si="184">(X104*V104)/(U104*S104)</f>
        <v>1.06</v>
      </c>
      <c r="AA104" s="228">
        <f>11.495*40.154/36.024/2</f>
        <v>6.4064266877637124</v>
      </c>
      <c r="AB104" s="228">
        <v>28.09</v>
      </c>
      <c r="AC104" s="228">
        <f t="shared" si="168"/>
        <v>28.09</v>
      </c>
      <c r="AD104" s="228"/>
      <c r="AE104" s="230">
        <f t="shared" si="166"/>
        <v>198.66584</v>
      </c>
      <c r="AF104" s="228">
        <v>6.26</v>
      </c>
      <c r="AG104" s="228">
        <v>30.9</v>
      </c>
      <c r="AH104" s="228">
        <f t="shared" ref="AH104:AH113" si="185">IF(B104="ОСНО",AG104*1.18,AG104)</f>
        <v>30.9</v>
      </c>
      <c r="AI104" s="228">
        <v>6.26</v>
      </c>
      <c r="AJ104" s="228">
        <v>32.299999999999997</v>
      </c>
      <c r="AK104" s="228">
        <f t="shared" si="169"/>
        <v>32.299999999999997</v>
      </c>
      <c r="AL104" s="229">
        <f t="shared" si="175"/>
        <v>1.0748929459009153</v>
      </c>
      <c r="AM104" s="229">
        <f t="shared" si="176"/>
        <v>1.0453074433656957</v>
      </c>
      <c r="AN104" s="239">
        <f>11.495/2</f>
        <v>5.7474999999999996</v>
      </c>
      <c r="AO104" s="239">
        <v>18.7</v>
      </c>
      <c r="AP104" s="228">
        <f t="shared" si="170"/>
        <v>18.7</v>
      </c>
      <c r="AQ104" s="228"/>
      <c r="AR104" s="228">
        <f>AU104</f>
        <v>5.6040000000000001</v>
      </c>
      <c r="AS104" s="239">
        <v>20.100000000000001</v>
      </c>
      <c r="AT104" s="228">
        <f t="shared" si="171"/>
        <v>20.100000000000001</v>
      </c>
      <c r="AU104" s="228">
        <f>11.208/2</f>
        <v>5.6040000000000001</v>
      </c>
      <c r="AV104" s="228">
        <f>AS104*1.06</f>
        <v>21.306000000000001</v>
      </c>
      <c r="AW104" s="228">
        <f t="shared" si="172"/>
        <v>21.306000000000001</v>
      </c>
      <c r="AX104" s="241">
        <f t="shared" si="177"/>
        <v>1.0748663101604279</v>
      </c>
      <c r="AY104" s="229">
        <f t="shared" si="178"/>
        <v>1.0599999999999998</v>
      </c>
      <c r="AZ104" s="229"/>
      <c r="BA104" s="230">
        <f t="shared" si="125"/>
        <v>122.13357599999998</v>
      </c>
    </row>
    <row r="105" spans="1:53" s="231" customFormat="1" ht="18" hidden="1" customHeight="1">
      <c r="A105" s="242" t="s">
        <v>76</v>
      </c>
      <c r="B105" s="237" t="s">
        <v>398</v>
      </c>
      <c r="C105" s="228">
        <f>10.735/2*1.08321</f>
        <v>5.8141296749999993</v>
      </c>
      <c r="D105" s="228">
        <v>32.33</v>
      </c>
      <c r="E105" s="228">
        <f t="shared" si="159"/>
        <v>32.33</v>
      </c>
      <c r="F105" s="228">
        <f t="shared" si="179"/>
        <v>5.8141296749999993</v>
      </c>
      <c r="G105" s="228">
        <v>36.61</v>
      </c>
      <c r="H105" s="228">
        <f t="shared" si="160"/>
        <v>36.61</v>
      </c>
      <c r="I105" s="228">
        <v>5.81</v>
      </c>
      <c r="J105" s="228">
        <v>35.71</v>
      </c>
      <c r="K105" s="228">
        <f t="shared" si="161"/>
        <v>35.71</v>
      </c>
      <c r="L105" s="229">
        <f t="shared" si="173"/>
        <v>1.132384781936282</v>
      </c>
      <c r="M105" s="199">
        <f t="shared" si="180"/>
        <v>0.97472373147303959</v>
      </c>
      <c r="N105" s="242" t="s">
        <v>76</v>
      </c>
      <c r="O105" s="228">
        <f>10.735/2</f>
        <v>5.3674999999999997</v>
      </c>
      <c r="P105" s="228">
        <v>26.6</v>
      </c>
      <c r="Q105" s="228">
        <f t="shared" si="164"/>
        <v>26.6</v>
      </c>
      <c r="R105" s="228"/>
      <c r="S105" s="228">
        <v>5.0999999999999996</v>
      </c>
      <c r="T105" s="228">
        <v>28.55</v>
      </c>
      <c r="U105" s="228">
        <f t="shared" si="165"/>
        <v>28.55</v>
      </c>
      <c r="V105" s="228">
        <f t="shared" si="181"/>
        <v>5.0999999999999996</v>
      </c>
      <c r="W105" s="227">
        <f>W107</f>
        <v>30.076800000000002</v>
      </c>
      <c r="X105" s="227">
        <f t="shared" si="182"/>
        <v>30.076800000000002</v>
      </c>
      <c r="Y105" s="229">
        <f t="shared" si="183"/>
        <v>1.0198178258874946</v>
      </c>
      <c r="Z105" s="229">
        <f t="shared" si="184"/>
        <v>1.0534781085814362</v>
      </c>
      <c r="AA105" s="228">
        <f>10.7*40.154/36.024/2</f>
        <v>5.9633549855651786</v>
      </c>
      <c r="AB105" s="228">
        <v>28.09</v>
      </c>
      <c r="AC105" s="228">
        <f t="shared" si="168"/>
        <v>28.09</v>
      </c>
      <c r="AD105" s="228"/>
      <c r="AE105" s="230">
        <f t="shared" si="166"/>
        <v>69.835319999999982</v>
      </c>
      <c r="AF105" s="228">
        <v>5.83</v>
      </c>
      <c r="AG105" s="228">
        <v>30.9</v>
      </c>
      <c r="AH105" s="228">
        <f t="shared" si="185"/>
        <v>30.9</v>
      </c>
      <c r="AI105" s="228">
        <v>5.83</v>
      </c>
      <c r="AJ105" s="228">
        <v>32.299999999999997</v>
      </c>
      <c r="AK105" s="228">
        <f t="shared" si="169"/>
        <v>32.299999999999997</v>
      </c>
      <c r="AL105" s="229">
        <f t="shared" si="175"/>
        <v>1.0754361534226187</v>
      </c>
      <c r="AM105" s="229">
        <f t="shared" si="176"/>
        <v>1.0453074433656959</v>
      </c>
      <c r="AN105" s="239">
        <f>10.07/2</f>
        <v>5.0350000000000001</v>
      </c>
      <c r="AO105" s="239">
        <v>26.3</v>
      </c>
      <c r="AP105" s="228">
        <f t="shared" si="170"/>
        <v>26.3</v>
      </c>
      <c r="AQ105" s="228"/>
      <c r="AR105" s="228">
        <f t="shared" ref="AR105:AR106" si="186">AU105</f>
        <v>4.9089999999999998</v>
      </c>
      <c r="AS105" s="239">
        <v>28.25</v>
      </c>
      <c r="AT105" s="228">
        <f t="shared" si="171"/>
        <v>28.25</v>
      </c>
      <c r="AU105" s="228">
        <f>9.818/2</f>
        <v>4.9089999999999998</v>
      </c>
      <c r="AV105" s="228">
        <f>AS105*1.04</f>
        <v>29.380000000000003</v>
      </c>
      <c r="AW105" s="228">
        <f t="shared" si="172"/>
        <v>29.380000000000003</v>
      </c>
      <c r="AX105" s="241">
        <f t="shared" si="177"/>
        <v>1.0741444866920151</v>
      </c>
      <c r="AY105" s="229">
        <f t="shared" si="178"/>
        <v>1.0400000000000003</v>
      </c>
      <c r="AZ105" s="229"/>
      <c r="BA105" s="230">
        <f t="shared" si="125"/>
        <v>27.343129999999967</v>
      </c>
    </row>
    <row r="106" spans="1:53" s="231" customFormat="1" ht="18" hidden="1" customHeight="1">
      <c r="A106" s="242" t="s">
        <v>77</v>
      </c>
      <c r="B106" s="237" t="s">
        <v>398</v>
      </c>
      <c r="C106" s="228">
        <f>28.624/2*1.08321</f>
        <v>15.50290152</v>
      </c>
      <c r="D106" s="228">
        <v>32.33</v>
      </c>
      <c r="E106" s="228">
        <f t="shared" si="159"/>
        <v>32.33</v>
      </c>
      <c r="F106" s="228">
        <f t="shared" si="179"/>
        <v>15.50290152</v>
      </c>
      <c r="G106" s="228">
        <v>36.61</v>
      </c>
      <c r="H106" s="228">
        <f t="shared" si="160"/>
        <v>36.61</v>
      </c>
      <c r="I106" s="228">
        <v>15.5</v>
      </c>
      <c r="J106" s="228">
        <v>35.71</v>
      </c>
      <c r="K106" s="228">
        <f t="shared" si="161"/>
        <v>35.71</v>
      </c>
      <c r="L106" s="229">
        <f t="shared" si="173"/>
        <v>1.1323847819362822</v>
      </c>
      <c r="M106" s="199">
        <f t="shared" si="180"/>
        <v>0.97523399408418454</v>
      </c>
      <c r="N106" s="242" t="s">
        <v>77</v>
      </c>
      <c r="O106" s="228">
        <f>28.624/2</f>
        <v>14.311999999999999</v>
      </c>
      <c r="P106" s="228">
        <v>23.8</v>
      </c>
      <c r="Q106" s="228">
        <f t="shared" si="164"/>
        <v>23.8</v>
      </c>
      <c r="R106" s="228"/>
      <c r="S106" s="228">
        <v>13.6</v>
      </c>
      <c r="T106" s="228">
        <v>25.58</v>
      </c>
      <c r="U106" s="228">
        <f t="shared" si="165"/>
        <v>25.58</v>
      </c>
      <c r="V106" s="228">
        <f t="shared" si="181"/>
        <v>13.6</v>
      </c>
      <c r="W106" s="227">
        <f>T106*1.06</f>
        <v>27.114799999999999</v>
      </c>
      <c r="X106" s="227">
        <f t="shared" si="182"/>
        <v>27.114799999999999</v>
      </c>
      <c r="Y106" s="229">
        <f t="shared" si="183"/>
        <v>1.021320769783598</v>
      </c>
      <c r="Z106" s="229">
        <f t="shared" si="184"/>
        <v>1.06</v>
      </c>
      <c r="AA106" s="228">
        <f>14.459*40.154/36.024/2</f>
        <v>8.0583317510548511</v>
      </c>
      <c r="AB106" s="228">
        <v>28.09</v>
      </c>
      <c r="AC106" s="228">
        <f t="shared" si="168"/>
        <v>28.09</v>
      </c>
      <c r="AD106" s="228"/>
      <c r="AE106" s="230">
        <f t="shared" si="166"/>
        <v>266.90272000000004</v>
      </c>
      <c r="AF106" s="228">
        <v>7.88</v>
      </c>
      <c r="AG106" s="228">
        <v>30.9</v>
      </c>
      <c r="AH106" s="228">
        <f t="shared" si="185"/>
        <v>30.9</v>
      </c>
      <c r="AI106" s="228">
        <v>7.88</v>
      </c>
      <c r="AJ106" s="228">
        <v>32.299999999999997</v>
      </c>
      <c r="AK106" s="228">
        <f t="shared" si="169"/>
        <v>32.299999999999997</v>
      </c>
      <c r="AL106" s="229">
        <f t="shared" si="175"/>
        <v>1.0756916933511949</v>
      </c>
      <c r="AM106" s="229">
        <f t="shared" si="176"/>
        <v>1.0453074433656957</v>
      </c>
      <c r="AN106" s="239">
        <f>14.459/2</f>
        <v>7.2294999999999998</v>
      </c>
      <c r="AO106" s="239">
        <v>23.5</v>
      </c>
      <c r="AP106" s="228">
        <f t="shared" si="170"/>
        <v>23.5</v>
      </c>
      <c r="AQ106" s="228"/>
      <c r="AR106" s="228">
        <f t="shared" si="186"/>
        <v>7.0490000000000004</v>
      </c>
      <c r="AS106" s="239">
        <v>25.25</v>
      </c>
      <c r="AT106" s="228">
        <f t="shared" si="171"/>
        <v>25.25</v>
      </c>
      <c r="AU106" s="228">
        <f>14.098/2</f>
        <v>7.0490000000000004</v>
      </c>
      <c r="AV106" s="228">
        <f>AS106*1.06</f>
        <v>26.765000000000001</v>
      </c>
      <c r="AW106" s="228">
        <f t="shared" si="172"/>
        <v>26.765000000000001</v>
      </c>
      <c r="AX106" s="241">
        <f t="shared" si="177"/>
        <v>1.074468085106383</v>
      </c>
      <c r="AY106" s="229">
        <f t="shared" si="178"/>
        <v>1.06</v>
      </c>
      <c r="AZ106" s="229"/>
      <c r="BA106" s="230">
        <f t="shared" si="125"/>
        <v>78.843064999999967</v>
      </c>
    </row>
    <row r="107" spans="1:53" s="231" customFormat="1" ht="18" hidden="1" customHeight="1">
      <c r="A107" s="242" t="s">
        <v>385</v>
      </c>
      <c r="B107" s="237" t="s">
        <v>398</v>
      </c>
      <c r="C107" s="228">
        <f>8.6/2</f>
        <v>4.3</v>
      </c>
      <c r="D107" s="228">
        <v>36.76</v>
      </c>
      <c r="E107" s="228">
        <f t="shared" si="159"/>
        <v>36.76</v>
      </c>
      <c r="F107" s="228">
        <f>8.6/2</f>
        <v>4.3</v>
      </c>
      <c r="G107" s="228">
        <v>38.57</v>
      </c>
      <c r="H107" s="228">
        <f t="shared" si="160"/>
        <v>38.57</v>
      </c>
      <c r="I107" s="228">
        <v>4.3</v>
      </c>
      <c r="J107" s="228">
        <v>41.65</v>
      </c>
      <c r="K107" s="228">
        <f t="shared" si="161"/>
        <v>41.65</v>
      </c>
      <c r="L107" s="229">
        <f t="shared" si="173"/>
        <v>1.0492383025027205</v>
      </c>
      <c r="M107" s="229">
        <f t="shared" si="180"/>
        <v>1.0798548094373865</v>
      </c>
      <c r="N107" s="242" t="s">
        <v>385</v>
      </c>
      <c r="O107" s="228">
        <f>4.5/2</f>
        <v>2.25</v>
      </c>
      <c r="P107" s="228">
        <v>27</v>
      </c>
      <c r="Q107" s="228">
        <f t="shared" si="164"/>
        <v>27</v>
      </c>
      <c r="R107" s="228"/>
      <c r="S107" s="228">
        <v>2.2000000000000002</v>
      </c>
      <c r="T107" s="228">
        <v>28.92</v>
      </c>
      <c r="U107" s="228">
        <f t="shared" si="165"/>
        <v>28.92</v>
      </c>
      <c r="V107" s="228">
        <f t="shared" si="181"/>
        <v>2.2000000000000002</v>
      </c>
      <c r="W107" s="228">
        <f>T107*1.04</f>
        <v>30.076800000000002</v>
      </c>
      <c r="X107" s="228">
        <f t="shared" si="182"/>
        <v>30.076800000000002</v>
      </c>
      <c r="Y107" s="229">
        <f t="shared" si="183"/>
        <v>1.0473086419753088</v>
      </c>
      <c r="Z107" s="229">
        <f t="shared" si="184"/>
        <v>1.04</v>
      </c>
      <c r="AA107" s="228"/>
      <c r="AB107" s="228"/>
      <c r="AC107" s="228">
        <f t="shared" si="168"/>
        <v>0</v>
      </c>
      <c r="AD107" s="228"/>
      <c r="AE107" s="230">
        <f t="shared" si="166"/>
        <v>46.691039999999987</v>
      </c>
      <c r="AF107" s="228"/>
      <c r="AG107" s="228"/>
      <c r="AH107" s="228">
        <f t="shared" si="185"/>
        <v>0</v>
      </c>
      <c r="AI107" s="228"/>
      <c r="AJ107" s="228"/>
      <c r="AK107" s="228">
        <f t="shared" si="169"/>
        <v>0</v>
      </c>
      <c r="AL107" s="229"/>
      <c r="AM107" s="229"/>
      <c r="AN107" s="239"/>
      <c r="AO107" s="239"/>
      <c r="AP107" s="228">
        <f t="shared" si="170"/>
        <v>0</v>
      </c>
      <c r="AQ107" s="228"/>
      <c r="AR107" s="239"/>
      <c r="AS107" s="239"/>
      <c r="AT107" s="228">
        <f t="shared" si="171"/>
        <v>0</v>
      </c>
      <c r="AU107" s="228"/>
      <c r="AV107" s="228"/>
      <c r="AW107" s="228">
        <f t="shared" si="172"/>
        <v>0</v>
      </c>
      <c r="AX107" s="241"/>
      <c r="AY107" s="229"/>
      <c r="AZ107" s="229"/>
      <c r="BA107" s="230">
        <f t="shared" si="125"/>
        <v>0</v>
      </c>
    </row>
    <row r="108" spans="1:53" s="231" customFormat="1" ht="18" hidden="1" customHeight="1">
      <c r="A108" s="242" t="s">
        <v>386</v>
      </c>
      <c r="B108" s="237" t="s">
        <v>398</v>
      </c>
      <c r="C108" s="228">
        <f>37.45/2</f>
        <v>18.725000000000001</v>
      </c>
      <c r="D108" s="228">
        <v>50.97</v>
      </c>
      <c r="E108" s="228">
        <f t="shared" si="159"/>
        <v>50.97</v>
      </c>
      <c r="F108" s="228">
        <f>37.45/2</f>
        <v>18.725000000000001</v>
      </c>
      <c r="G108" s="228">
        <v>58.53</v>
      </c>
      <c r="H108" s="228">
        <f t="shared" si="160"/>
        <v>58.53</v>
      </c>
      <c r="I108" s="228">
        <v>18.73</v>
      </c>
      <c r="J108" s="228">
        <v>59.58</v>
      </c>
      <c r="K108" s="228">
        <f t="shared" si="161"/>
        <v>59.58</v>
      </c>
      <c r="L108" s="229">
        <f t="shared" si="173"/>
        <v>1.1483225426721602</v>
      </c>
      <c r="M108" s="229">
        <f t="shared" si="180"/>
        <v>1.0182113311512562</v>
      </c>
      <c r="N108" s="242" t="s">
        <v>386</v>
      </c>
      <c r="O108" s="228">
        <f>31.07/2</f>
        <v>15.535</v>
      </c>
      <c r="P108" s="228">
        <v>27</v>
      </c>
      <c r="Q108" s="228">
        <f t="shared" si="164"/>
        <v>27</v>
      </c>
      <c r="R108" s="228"/>
      <c r="S108" s="228">
        <v>14.95</v>
      </c>
      <c r="T108" s="228">
        <v>28.92</v>
      </c>
      <c r="U108" s="228">
        <f t="shared" si="165"/>
        <v>28.92</v>
      </c>
      <c r="V108" s="228">
        <f t="shared" si="181"/>
        <v>14.95</v>
      </c>
      <c r="W108" s="227">
        <f>W107</f>
        <v>30.076800000000002</v>
      </c>
      <c r="X108" s="227">
        <f t="shared" si="182"/>
        <v>30.076800000000002</v>
      </c>
      <c r="Y108" s="229">
        <f t="shared" si="183"/>
        <v>1.0307763830776382</v>
      </c>
      <c r="Z108" s="229">
        <f t="shared" si="184"/>
        <v>1.04</v>
      </c>
      <c r="AA108" s="228">
        <f>32.22/2</f>
        <v>16.11</v>
      </c>
      <c r="AB108" s="228">
        <v>31.82</v>
      </c>
      <c r="AC108" s="228">
        <f t="shared" si="168"/>
        <v>31.82</v>
      </c>
      <c r="AD108" s="228"/>
      <c r="AE108" s="230">
        <f t="shared" si="166"/>
        <v>883.7423399999999</v>
      </c>
      <c r="AF108" s="228">
        <f>AA108</f>
        <v>16.11</v>
      </c>
      <c r="AG108" s="228">
        <v>34.880000000000003</v>
      </c>
      <c r="AH108" s="228">
        <f t="shared" si="185"/>
        <v>34.880000000000003</v>
      </c>
      <c r="AI108" s="228">
        <f>AF108</f>
        <v>16.11</v>
      </c>
      <c r="AJ108" s="228">
        <v>35.68</v>
      </c>
      <c r="AK108" s="228">
        <f t="shared" si="169"/>
        <v>35.68</v>
      </c>
      <c r="AL108" s="229">
        <f t="shared" si="175"/>
        <v>1.0961659333752358</v>
      </c>
      <c r="AM108" s="229">
        <f t="shared" si="176"/>
        <v>1.0229357798165137</v>
      </c>
      <c r="AN108" s="239">
        <f>26.61/2</f>
        <v>13.305</v>
      </c>
      <c r="AO108" s="240">
        <v>19.5</v>
      </c>
      <c r="AP108" s="228">
        <f t="shared" si="170"/>
        <v>19.5</v>
      </c>
      <c r="AQ108" s="228"/>
      <c r="AR108" s="240">
        <f>AN108</f>
        <v>13.305</v>
      </c>
      <c r="AS108" s="239">
        <v>20.88</v>
      </c>
      <c r="AT108" s="228">
        <f t="shared" si="171"/>
        <v>20.88</v>
      </c>
      <c r="AU108" s="228">
        <f>AN108</f>
        <v>13.305</v>
      </c>
      <c r="AV108" s="228">
        <f>AS108*1.06</f>
        <v>22.1328</v>
      </c>
      <c r="AW108" s="228">
        <f t="shared" si="172"/>
        <v>22.1328</v>
      </c>
      <c r="AX108" s="241">
        <f t="shared" si="177"/>
        <v>1.0707692307692307</v>
      </c>
      <c r="AY108" s="229">
        <f t="shared" si="178"/>
        <v>1.06</v>
      </c>
      <c r="AZ108" s="229"/>
      <c r="BA108" s="230">
        <f t="shared" si="125"/>
        <v>366.51549600000004</v>
      </c>
    </row>
    <row r="109" spans="1:53" s="231" customFormat="1" ht="18" hidden="1" customHeight="1">
      <c r="A109" s="242" t="s">
        <v>387</v>
      </c>
      <c r="B109" s="237" t="s">
        <v>398</v>
      </c>
      <c r="C109" s="228">
        <f>2.735/2</f>
        <v>1.3674999999999999</v>
      </c>
      <c r="D109" s="228">
        <v>44.9</v>
      </c>
      <c r="E109" s="228">
        <f t="shared" si="159"/>
        <v>44.9</v>
      </c>
      <c r="F109" s="228">
        <f>2.735/2</f>
        <v>1.3674999999999999</v>
      </c>
      <c r="G109" s="228">
        <v>46.6</v>
      </c>
      <c r="H109" s="228">
        <f t="shared" si="160"/>
        <v>46.6</v>
      </c>
      <c r="I109" s="228">
        <f>F109</f>
        <v>1.3674999999999999</v>
      </c>
      <c r="J109" s="228">
        <v>48.57</v>
      </c>
      <c r="K109" s="228">
        <f t="shared" si="161"/>
        <v>48.57</v>
      </c>
      <c r="L109" s="229">
        <f t="shared" si="173"/>
        <v>1.0378619153674833</v>
      </c>
      <c r="M109" s="229">
        <f t="shared" si="180"/>
        <v>1.0422746781115879</v>
      </c>
      <c r="N109" s="242" t="s">
        <v>387</v>
      </c>
      <c r="O109" s="228">
        <f>0.109/2</f>
        <v>5.45E-2</v>
      </c>
      <c r="P109" s="228">
        <v>44.9</v>
      </c>
      <c r="Q109" s="228">
        <f t="shared" si="164"/>
        <v>44.9</v>
      </c>
      <c r="R109" s="228"/>
      <c r="S109" s="228">
        <f t="shared" si="174"/>
        <v>5.45E-2</v>
      </c>
      <c r="T109" s="228">
        <v>46.6</v>
      </c>
      <c r="U109" s="228">
        <f t="shared" si="165"/>
        <v>46.6</v>
      </c>
      <c r="V109" s="228">
        <f t="shared" si="181"/>
        <v>5.45E-2</v>
      </c>
      <c r="W109" s="228">
        <v>48.57</v>
      </c>
      <c r="X109" s="228">
        <f t="shared" si="182"/>
        <v>48.57</v>
      </c>
      <c r="Y109" s="229">
        <f t="shared" si="183"/>
        <v>1.0378619153674835</v>
      </c>
      <c r="Z109" s="229">
        <f t="shared" si="184"/>
        <v>1.0422746781115879</v>
      </c>
      <c r="AA109" s="228"/>
      <c r="AB109" s="228"/>
      <c r="AC109" s="228">
        <f t="shared" si="168"/>
        <v>0</v>
      </c>
      <c r="AD109" s="228"/>
      <c r="AE109" s="230">
        <f t="shared" si="166"/>
        <v>0</v>
      </c>
      <c r="AF109" s="228"/>
      <c r="AG109" s="228"/>
      <c r="AH109" s="228">
        <f t="shared" si="185"/>
        <v>0</v>
      </c>
      <c r="AI109" s="228"/>
      <c r="AJ109" s="228"/>
      <c r="AK109" s="228">
        <f t="shared" si="169"/>
        <v>0</v>
      </c>
      <c r="AL109" s="229"/>
      <c r="AM109" s="229"/>
      <c r="AN109" s="239"/>
      <c r="AO109" s="239"/>
      <c r="AP109" s="228">
        <f t="shared" si="170"/>
        <v>0</v>
      </c>
      <c r="AQ109" s="228"/>
      <c r="AR109" s="239"/>
      <c r="AS109" s="239"/>
      <c r="AT109" s="228">
        <f t="shared" si="171"/>
        <v>0</v>
      </c>
      <c r="AU109" s="228"/>
      <c r="AV109" s="228"/>
      <c r="AW109" s="228">
        <f t="shared" si="172"/>
        <v>0</v>
      </c>
      <c r="AX109" s="241"/>
      <c r="AY109" s="229"/>
      <c r="AZ109" s="229"/>
      <c r="BA109" s="230">
        <f t="shared" si="125"/>
        <v>0</v>
      </c>
    </row>
    <row r="110" spans="1:53" s="231" customFormat="1" ht="18" hidden="1" customHeight="1">
      <c r="A110" s="242" t="s">
        <v>388</v>
      </c>
      <c r="B110" s="237" t="s">
        <v>398</v>
      </c>
      <c r="C110" s="228">
        <f>5.726/2</f>
        <v>2.863</v>
      </c>
      <c r="D110" s="228">
        <v>44.57</v>
      </c>
      <c r="E110" s="228">
        <f t="shared" si="159"/>
        <v>44.57</v>
      </c>
      <c r="F110" s="228">
        <f>5.726/2</f>
        <v>2.863</v>
      </c>
      <c r="G110" s="228">
        <v>50.65</v>
      </c>
      <c r="H110" s="228">
        <f t="shared" si="160"/>
        <v>50.65</v>
      </c>
      <c r="I110" s="228">
        <v>2.86</v>
      </c>
      <c r="J110" s="228">
        <v>52.76</v>
      </c>
      <c r="K110" s="228">
        <f t="shared" si="161"/>
        <v>52.76</v>
      </c>
      <c r="L110" s="229">
        <f t="shared" si="173"/>
        <v>1.136414628673996</v>
      </c>
      <c r="M110" s="229">
        <f t="shared" si="180"/>
        <v>1.0405669364968644</v>
      </c>
      <c r="N110" s="242" t="s">
        <v>388</v>
      </c>
      <c r="O110" s="228">
        <f>3.897/2</f>
        <v>1.9484999999999999</v>
      </c>
      <c r="P110" s="228">
        <v>36.57</v>
      </c>
      <c r="Q110" s="228">
        <f t="shared" si="164"/>
        <v>36.57</v>
      </c>
      <c r="R110" s="228"/>
      <c r="S110" s="228">
        <f t="shared" si="174"/>
        <v>1.9484999999999999</v>
      </c>
      <c r="T110" s="228">
        <v>39.17</v>
      </c>
      <c r="U110" s="228">
        <f t="shared" si="165"/>
        <v>39.17</v>
      </c>
      <c r="V110" s="228">
        <f t="shared" si="181"/>
        <v>1.9484999999999999</v>
      </c>
      <c r="W110" s="228">
        <f>T110*1.04</f>
        <v>40.736800000000002</v>
      </c>
      <c r="X110" s="228">
        <f t="shared" si="182"/>
        <v>40.736800000000002</v>
      </c>
      <c r="Y110" s="229">
        <f t="shared" si="183"/>
        <v>1.0710965272080941</v>
      </c>
      <c r="Z110" s="229">
        <f t="shared" si="184"/>
        <v>1.04</v>
      </c>
      <c r="AA110" s="228"/>
      <c r="AB110" s="228"/>
      <c r="AC110" s="228">
        <f t="shared" si="168"/>
        <v>0</v>
      </c>
      <c r="AD110" s="228"/>
      <c r="AE110" s="230">
        <f t="shared" si="166"/>
        <v>45.795985199999983</v>
      </c>
      <c r="AF110" s="228"/>
      <c r="AG110" s="228"/>
      <c r="AH110" s="228">
        <f t="shared" si="185"/>
        <v>0</v>
      </c>
      <c r="AI110" s="228"/>
      <c r="AJ110" s="228"/>
      <c r="AK110" s="228">
        <f t="shared" si="169"/>
        <v>0</v>
      </c>
      <c r="AL110" s="229"/>
      <c r="AM110" s="229"/>
      <c r="AN110" s="239"/>
      <c r="AO110" s="239"/>
      <c r="AP110" s="228">
        <f t="shared" si="170"/>
        <v>0</v>
      </c>
      <c r="AQ110" s="228"/>
      <c r="AR110" s="239"/>
      <c r="AS110" s="239"/>
      <c r="AT110" s="228">
        <f t="shared" si="171"/>
        <v>0</v>
      </c>
      <c r="AU110" s="228"/>
      <c r="AV110" s="228"/>
      <c r="AW110" s="228">
        <f t="shared" si="172"/>
        <v>0</v>
      </c>
      <c r="AX110" s="241"/>
      <c r="AY110" s="229"/>
      <c r="AZ110" s="229"/>
      <c r="BA110" s="230">
        <f t="shared" si="125"/>
        <v>0</v>
      </c>
    </row>
    <row r="111" spans="1:53" s="231" customFormat="1" ht="18" hidden="1" customHeight="1">
      <c r="A111" s="242" t="s">
        <v>389</v>
      </c>
      <c r="B111" s="237" t="s">
        <v>398</v>
      </c>
      <c r="C111" s="228">
        <f>3.72/2</f>
        <v>1.86</v>
      </c>
      <c r="D111" s="228">
        <v>34.36</v>
      </c>
      <c r="E111" s="228">
        <f t="shared" si="159"/>
        <v>34.36</v>
      </c>
      <c r="F111" s="228">
        <f>3.72/2</f>
        <v>1.86</v>
      </c>
      <c r="G111" s="228">
        <v>41.85</v>
      </c>
      <c r="H111" s="228">
        <f t="shared" si="160"/>
        <v>41.85</v>
      </c>
      <c r="I111" s="228">
        <v>1.86</v>
      </c>
      <c r="J111" s="228">
        <v>42.32</v>
      </c>
      <c r="K111" s="228">
        <f t="shared" si="161"/>
        <v>42.32</v>
      </c>
      <c r="L111" s="229">
        <f t="shared" si="173"/>
        <v>1.2179860302677532</v>
      </c>
      <c r="M111" s="229">
        <f t="shared" si="180"/>
        <v>1.0112305854241339</v>
      </c>
      <c r="N111" s="242" t="s">
        <v>389</v>
      </c>
      <c r="O111" s="228">
        <f>3.42/2</f>
        <v>1.71</v>
      </c>
      <c r="P111" s="228">
        <v>22</v>
      </c>
      <c r="Q111" s="228">
        <f t="shared" si="164"/>
        <v>22</v>
      </c>
      <c r="R111" s="228"/>
      <c r="S111" s="228">
        <v>1.65</v>
      </c>
      <c r="T111" s="228">
        <v>23.56</v>
      </c>
      <c r="U111" s="228">
        <f t="shared" si="165"/>
        <v>23.56</v>
      </c>
      <c r="V111" s="228">
        <f t="shared" si="181"/>
        <v>1.65</v>
      </c>
      <c r="W111" s="228">
        <f>T111*1.06</f>
        <v>24.973600000000001</v>
      </c>
      <c r="X111" s="228">
        <f t="shared" si="182"/>
        <v>24.973600000000001</v>
      </c>
      <c r="Y111" s="229">
        <f t="shared" si="183"/>
        <v>1.0333333333333332</v>
      </c>
      <c r="Z111" s="229">
        <f t="shared" si="184"/>
        <v>1.06</v>
      </c>
      <c r="AA111" s="228"/>
      <c r="AB111" s="228"/>
      <c r="AC111" s="228">
        <f t="shared" si="168"/>
        <v>0</v>
      </c>
      <c r="AD111" s="228"/>
      <c r="AE111" s="230">
        <f t="shared" si="166"/>
        <v>58.800060000000002</v>
      </c>
      <c r="AF111" s="228"/>
      <c r="AG111" s="228"/>
      <c r="AH111" s="228">
        <f t="shared" si="185"/>
        <v>0</v>
      </c>
      <c r="AI111" s="228"/>
      <c r="AJ111" s="228"/>
      <c r="AK111" s="228">
        <f t="shared" si="169"/>
        <v>0</v>
      </c>
      <c r="AL111" s="229"/>
      <c r="AM111" s="229"/>
      <c r="AN111" s="239"/>
      <c r="AO111" s="239"/>
      <c r="AP111" s="228">
        <f t="shared" si="170"/>
        <v>0</v>
      </c>
      <c r="AQ111" s="228"/>
      <c r="AR111" s="239"/>
      <c r="AS111" s="239"/>
      <c r="AT111" s="228">
        <f t="shared" si="171"/>
        <v>0</v>
      </c>
      <c r="AU111" s="228"/>
      <c r="AV111" s="228"/>
      <c r="AW111" s="228">
        <f t="shared" si="172"/>
        <v>0</v>
      </c>
      <c r="AX111" s="241"/>
      <c r="AY111" s="229"/>
      <c r="AZ111" s="229"/>
      <c r="BA111" s="230">
        <f t="shared" si="125"/>
        <v>0</v>
      </c>
    </row>
    <row r="112" spans="1:53" s="231" customFormat="1" ht="18" hidden="1" customHeight="1">
      <c r="A112" s="242" t="s">
        <v>390</v>
      </c>
      <c r="B112" s="237" t="s">
        <v>398</v>
      </c>
      <c r="C112" s="228">
        <f>5.44/2</f>
        <v>2.72</v>
      </c>
      <c r="D112" s="228">
        <v>35.369999999999997</v>
      </c>
      <c r="E112" s="228">
        <f t="shared" si="159"/>
        <v>35.369999999999997</v>
      </c>
      <c r="F112" s="228">
        <f>5.44/2</f>
        <v>2.72</v>
      </c>
      <c r="G112" s="228">
        <v>37.880000000000003</v>
      </c>
      <c r="H112" s="228">
        <f t="shared" si="160"/>
        <v>37.880000000000003</v>
      </c>
      <c r="I112" s="228">
        <v>2.72</v>
      </c>
      <c r="J112" s="228">
        <v>39.08</v>
      </c>
      <c r="K112" s="228">
        <f t="shared" si="161"/>
        <v>39.08</v>
      </c>
      <c r="L112" s="229">
        <f t="shared" si="173"/>
        <v>1.0709640938648575</v>
      </c>
      <c r="M112" s="229">
        <f t="shared" si="180"/>
        <v>1.0316789862724391</v>
      </c>
      <c r="N112" s="242" t="s">
        <v>390</v>
      </c>
      <c r="O112" s="228">
        <f>4.64/2</f>
        <v>2.3199999999999998</v>
      </c>
      <c r="P112" s="228">
        <v>35.369999999999997</v>
      </c>
      <c r="Q112" s="228">
        <f t="shared" si="164"/>
        <v>35.369999999999997</v>
      </c>
      <c r="R112" s="228"/>
      <c r="S112" s="228">
        <f t="shared" si="174"/>
        <v>2.3199999999999998</v>
      </c>
      <c r="T112" s="228">
        <f>37.88</f>
        <v>37.880000000000003</v>
      </c>
      <c r="U112" s="228">
        <f t="shared" si="165"/>
        <v>37.880000000000003</v>
      </c>
      <c r="V112" s="228">
        <f t="shared" si="181"/>
        <v>2.3199999999999998</v>
      </c>
      <c r="W112" s="228">
        <v>39.08</v>
      </c>
      <c r="X112" s="228">
        <f t="shared" si="182"/>
        <v>39.08</v>
      </c>
      <c r="Y112" s="229">
        <f t="shared" si="183"/>
        <v>1.0709640938648575</v>
      </c>
      <c r="Z112" s="229">
        <f t="shared" si="184"/>
        <v>1.0316789862724389</v>
      </c>
      <c r="AA112" s="228"/>
      <c r="AB112" s="228"/>
      <c r="AC112" s="228">
        <f t="shared" si="168"/>
        <v>0</v>
      </c>
      <c r="AD112" s="228"/>
      <c r="AE112" s="230">
        <f t="shared" si="166"/>
        <v>0</v>
      </c>
      <c r="AF112" s="228"/>
      <c r="AG112" s="228"/>
      <c r="AH112" s="228">
        <f t="shared" si="185"/>
        <v>0</v>
      </c>
      <c r="AI112" s="228"/>
      <c r="AJ112" s="228"/>
      <c r="AK112" s="228">
        <f t="shared" si="169"/>
        <v>0</v>
      </c>
      <c r="AL112" s="229"/>
      <c r="AM112" s="229"/>
      <c r="AN112" s="239"/>
      <c r="AO112" s="239"/>
      <c r="AP112" s="228">
        <f t="shared" si="170"/>
        <v>0</v>
      </c>
      <c r="AQ112" s="228"/>
      <c r="AR112" s="239"/>
      <c r="AS112" s="239"/>
      <c r="AT112" s="228">
        <f t="shared" si="171"/>
        <v>0</v>
      </c>
      <c r="AU112" s="228"/>
      <c r="AV112" s="228"/>
      <c r="AW112" s="228">
        <f t="shared" si="172"/>
        <v>0</v>
      </c>
      <c r="AX112" s="241"/>
      <c r="AY112" s="229"/>
      <c r="AZ112" s="229"/>
      <c r="BA112" s="230">
        <f t="shared" si="125"/>
        <v>0</v>
      </c>
    </row>
    <row r="113" spans="1:53" s="231" customFormat="1" ht="15.75" hidden="1">
      <c r="A113" s="236" t="s">
        <v>336</v>
      </c>
      <c r="B113" s="237" t="s">
        <v>398</v>
      </c>
      <c r="C113" s="228">
        <f>7.641/2</f>
        <v>3.8205</v>
      </c>
      <c r="D113" s="228">
        <v>43.62</v>
      </c>
      <c r="E113" s="228">
        <f t="shared" si="159"/>
        <v>43.62</v>
      </c>
      <c r="F113" s="228">
        <v>3.6419999999999999</v>
      </c>
      <c r="G113" s="228">
        <v>45.26</v>
      </c>
      <c r="H113" s="228">
        <f t="shared" si="160"/>
        <v>45.26</v>
      </c>
      <c r="I113" s="228">
        <f>F113</f>
        <v>3.6419999999999999</v>
      </c>
      <c r="J113" s="228">
        <v>50.42</v>
      </c>
      <c r="K113" s="228">
        <f t="shared" si="161"/>
        <v>50.42</v>
      </c>
      <c r="L113" s="229">
        <f t="shared" si="173"/>
        <v>0.98911918562838896</v>
      </c>
      <c r="M113" s="229">
        <f t="shared" si="180"/>
        <v>1.1140079540433054</v>
      </c>
      <c r="N113" s="238" t="s">
        <v>337</v>
      </c>
      <c r="O113" s="228">
        <f>4.841/2</f>
        <v>2.4205000000000001</v>
      </c>
      <c r="P113" s="228">
        <v>27</v>
      </c>
      <c r="Q113" s="228">
        <f t="shared" si="164"/>
        <v>27</v>
      </c>
      <c r="R113" s="228"/>
      <c r="S113" s="228">
        <v>2.2999999999999998</v>
      </c>
      <c r="T113" s="228">
        <v>28.92</v>
      </c>
      <c r="U113" s="228">
        <f t="shared" si="165"/>
        <v>28.92</v>
      </c>
      <c r="V113" s="228">
        <f t="shared" si="181"/>
        <v>2.2999999999999998</v>
      </c>
      <c r="W113" s="227">
        <v>30.08</v>
      </c>
      <c r="X113" s="227">
        <f t="shared" si="182"/>
        <v>30.08</v>
      </c>
      <c r="Y113" s="229">
        <f t="shared" si="183"/>
        <v>1.0177878767013244</v>
      </c>
      <c r="Z113" s="229">
        <f t="shared" si="184"/>
        <v>1.0401106500691562</v>
      </c>
      <c r="AA113" s="228">
        <f>3.354/2</f>
        <v>1.677</v>
      </c>
      <c r="AB113" s="228">
        <v>51.98</v>
      </c>
      <c r="AC113" s="228">
        <f t="shared" si="168"/>
        <v>51.98</v>
      </c>
      <c r="AD113" s="228"/>
      <c r="AE113" s="230">
        <f t="shared" si="166"/>
        <v>84.36399999999999</v>
      </c>
      <c r="AF113" s="228">
        <f>AA113</f>
        <v>1.677</v>
      </c>
      <c r="AG113" s="228">
        <v>51.98</v>
      </c>
      <c r="AH113" s="228">
        <f t="shared" si="185"/>
        <v>51.98</v>
      </c>
      <c r="AI113" s="228">
        <f>AF113</f>
        <v>1.677</v>
      </c>
      <c r="AJ113" s="228">
        <v>57.76</v>
      </c>
      <c r="AK113" s="228">
        <f t="shared" si="169"/>
        <v>57.76</v>
      </c>
      <c r="AL113" s="229">
        <f t="shared" si="175"/>
        <v>1</v>
      </c>
      <c r="AM113" s="229">
        <f t="shared" si="176"/>
        <v>1.1111966140823395</v>
      </c>
      <c r="AN113" s="239">
        <f>1.644/2</f>
        <v>0.82199999999999995</v>
      </c>
      <c r="AO113" s="240">
        <v>22</v>
      </c>
      <c r="AP113" s="228">
        <f t="shared" si="170"/>
        <v>22</v>
      </c>
      <c r="AQ113" s="228"/>
      <c r="AR113" s="240">
        <f>AN113</f>
        <v>0.82199999999999995</v>
      </c>
      <c r="AS113" s="239">
        <v>23.56</v>
      </c>
      <c r="AT113" s="228">
        <f t="shared" si="171"/>
        <v>23.56</v>
      </c>
      <c r="AU113" s="228">
        <f>AR113</f>
        <v>0.82199999999999995</v>
      </c>
      <c r="AV113" s="228">
        <v>24.98</v>
      </c>
      <c r="AW113" s="228">
        <f t="shared" si="172"/>
        <v>24.98</v>
      </c>
      <c r="AX113" s="241">
        <f t="shared" si="177"/>
        <v>1.0709090909090908</v>
      </c>
      <c r="AY113" s="229">
        <f t="shared" si="178"/>
        <v>1.0602716468590832</v>
      </c>
      <c r="AZ113" s="229"/>
      <c r="BA113" s="230">
        <f t="shared" si="125"/>
        <v>50.306399999999996</v>
      </c>
    </row>
    <row r="114" spans="1:53" s="231" customFormat="1" ht="15.75" hidden="1">
      <c r="A114" s="236" t="s">
        <v>451</v>
      </c>
      <c r="B114" s="237" t="s">
        <v>397</v>
      </c>
      <c r="C114" s="228">
        <f>6.923/2</f>
        <v>3.4615</v>
      </c>
      <c r="D114" s="228">
        <v>41.91</v>
      </c>
      <c r="E114" s="228">
        <f t="shared" si="159"/>
        <v>49.453799999999994</v>
      </c>
      <c r="F114" s="228">
        <f>C114</f>
        <v>3.4615</v>
      </c>
      <c r="G114" s="228">
        <v>38.01</v>
      </c>
      <c r="H114" s="228">
        <f t="shared" si="160"/>
        <v>44.851799999999997</v>
      </c>
      <c r="I114" s="228">
        <f>F114</f>
        <v>3.4615</v>
      </c>
      <c r="J114" s="228">
        <v>50.2</v>
      </c>
      <c r="K114" s="228">
        <f t="shared" si="161"/>
        <v>59.235999999999997</v>
      </c>
      <c r="L114" s="229">
        <f>(G114*F114)/(D114*C114)</f>
        <v>0.9069434502505368</v>
      </c>
      <c r="M114" s="229">
        <f t="shared" si="180"/>
        <v>1.3207050776111551</v>
      </c>
      <c r="N114" s="238" t="s">
        <v>79</v>
      </c>
      <c r="O114" s="228">
        <f>3.02/2</f>
        <v>1.51</v>
      </c>
      <c r="P114" s="228">
        <v>27</v>
      </c>
      <c r="Q114" s="228">
        <f t="shared" si="164"/>
        <v>31.86</v>
      </c>
      <c r="R114" s="228"/>
      <c r="S114" s="228">
        <f t="shared" si="174"/>
        <v>1.51</v>
      </c>
      <c r="T114" s="228">
        <v>24.51</v>
      </c>
      <c r="U114" s="228">
        <f t="shared" si="165"/>
        <v>28.921800000000001</v>
      </c>
      <c r="V114" s="228">
        <f t="shared" si="181"/>
        <v>1.51</v>
      </c>
      <c r="W114" s="227">
        <f>30.07/1.18</f>
        <v>25.48305084745763</v>
      </c>
      <c r="X114" s="227">
        <f t="shared" si="182"/>
        <v>30.07</v>
      </c>
      <c r="Y114" s="229">
        <f t="shared" si="183"/>
        <v>0.90777777777777779</v>
      </c>
      <c r="Z114" s="229">
        <f t="shared" si="184"/>
        <v>1.0397001569750153</v>
      </c>
      <c r="AA114" s="228"/>
      <c r="AB114" s="228"/>
      <c r="AC114" s="228">
        <f t="shared" si="168"/>
        <v>0</v>
      </c>
      <c r="AD114" s="228"/>
      <c r="AE114" s="230">
        <f t="shared" si="166"/>
        <v>57.707593220338978</v>
      </c>
      <c r="AF114" s="228"/>
      <c r="AG114" s="228"/>
      <c r="AH114" s="228"/>
      <c r="AI114" s="228"/>
      <c r="AJ114" s="228"/>
      <c r="AK114" s="228"/>
      <c r="AL114" s="229"/>
      <c r="AM114" s="229"/>
      <c r="AN114" s="239"/>
      <c r="AO114" s="239"/>
      <c r="AP114" s="228"/>
      <c r="AQ114" s="228"/>
      <c r="AR114" s="239"/>
      <c r="AS114" s="239"/>
      <c r="AT114" s="228"/>
      <c r="AU114" s="228"/>
      <c r="AV114" s="228"/>
      <c r="AW114" s="228"/>
      <c r="AX114" s="241"/>
      <c r="AY114" s="229"/>
      <c r="AZ114" s="229"/>
      <c r="BA114" s="230">
        <f t="shared" si="125"/>
        <v>0</v>
      </c>
    </row>
    <row r="115" spans="1:53" s="216" customFormat="1" ht="25.5" customHeight="1">
      <c r="A115" s="43" t="s">
        <v>80</v>
      </c>
      <c r="B115" s="43"/>
      <c r="C115" s="42">
        <f>SUM(C116:C128)</f>
        <v>398.19834500000007</v>
      </c>
      <c r="D115" s="42">
        <f>SUMPRODUCT(C116:C128,D116:D128)/C115</f>
        <v>41.92943355465227</v>
      </c>
      <c r="E115" s="42">
        <f>SUMPRODUCT(C116:C128,E116:E128)/C115</f>
        <v>47.3180736781691</v>
      </c>
      <c r="F115" s="42">
        <f>SUM(F116:F128)</f>
        <v>395.619845</v>
      </c>
      <c r="G115" s="42">
        <f>SUMPRODUCT(F116:F128,G116:G128)/F115</f>
        <v>43.112332835957702</v>
      </c>
      <c r="H115" s="42">
        <f>SUMPRODUCT(F116:F128,H116:H128)/F115</f>
        <v>48.583389173758455</v>
      </c>
      <c r="I115" s="42">
        <f>SUM(I116:I128)</f>
        <v>395.61899999999997</v>
      </c>
      <c r="J115" s="42">
        <f>SUMPRODUCT(I116:I128,J116:J128)/I115</f>
        <v>46.725759897780442</v>
      </c>
      <c r="K115" s="42">
        <f>SUMPRODUCT(I116:I128,K116:K128)/I115</f>
        <v>52.644224696488287</v>
      </c>
      <c r="L115" s="84">
        <f>G115/D115</f>
        <v>1.0282116685350304</v>
      </c>
      <c r="M115" s="84">
        <f>J115/G115</f>
        <v>1.0838142318944284</v>
      </c>
      <c r="N115" s="84"/>
      <c r="O115" s="42">
        <f>SUM(O116:O128)</f>
        <v>129.124</v>
      </c>
      <c r="P115" s="42">
        <f>SUMPRODUCT(O116:O128,P116:P128)/O115</f>
        <v>36.859434994557851</v>
      </c>
      <c r="Q115" s="42">
        <f>SUMPRODUCT(O116:O128,Q116:Q128)/O115</f>
        <v>41.532164909699205</v>
      </c>
      <c r="R115" s="84">
        <f>K115/H115</f>
        <v>1.083584854654875</v>
      </c>
      <c r="S115" s="42">
        <f>SUM(S116:S128)</f>
        <v>152.55334500000001</v>
      </c>
      <c r="T115" s="42">
        <f>SUMPRODUCT(S116:S128,T116:T128)/S115</f>
        <v>39.180524157959304</v>
      </c>
      <c r="U115" s="42">
        <f>SUMPRODUCT(S116:S128,U116:U128)/S115</f>
        <v>44.382467856715955</v>
      </c>
      <c r="V115" s="42">
        <f>SUM(V116:V128)</f>
        <v>152.55334500000001</v>
      </c>
      <c r="W115" s="42">
        <f>SUMPRODUCT(V116:V128,W116:W128)/V115</f>
        <v>41.499795767834513</v>
      </c>
      <c r="X115" s="42">
        <f>SUMPRODUCT(V116:V128,X116:X128)/V115</f>
        <v>47.009086936218928</v>
      </c>
      <c r="Y115" s="84">
        <f>T115/P115</f>
        <v>1.0629713712037137</v>
      </c>
      <c r="Z115" s="84">
        <f>W115/T115</f>
        <v>1.0591945018531372</v>
      </c>
      <c r="AA115" s="42">
        <f>SUM(AA116:AA128)</f>
        <v>134.309</v>
      </c>
      <c r="AB115" s="42">
        <f>SUMPRODUCT(AA116:AA128,AB116:AB128)/AA115</f>
        <v>71.011237296085881</v>
      </c>
      <c r="AC115" s="42">
        <f>SUMPRODUCT(AA116:AA128,AC116:AC128)/AA115</f>
        <v>83.793260009381356</v>
      </c>
      <c r="AD115" s="84">
        <f>X115/U115</f>
        <v>1.0591814562449013</v>
      </c>
      <c r="AE115" s="214">
        <f>SUM(AE116:AE128)</f>
        <v>3150.971215</v>
      </c>
      <c r="AF115" s="42">
        <f>SUM(AF116:AF128)</f>
        <v>143.27549999999999</v>
      </c>
      <c r="AG115" s="42">
        <f>SUMPRODUCT(AF116:AF128,AG116:AG128)/AF115</f>
        <v>73.214632718085085</v>
      </c>
      <c r="AH115" s="42">
        <f>SUMPRODUCT(AF116:AF128,AH116:AH128)/AF115</f>
        <v>86.393266607340394</v>
      </c>
      <c r="AI115" s="42">
        <f>SUM(AI116:AI128)</f>
        <v>143.27549999999999</v>
      </c>
      <c r="AJ115" s="42">
        <f>SUMPRODUCT(AI116:AI128,AJ116:AJ128)/AI115</f>
        <v>80.213895292635513</v>
      </c>
      <c r="AK115" s="42">
        <f>SUMPRODUCT(AI116:AI128,AK116:AK128)/AI115</f>
        <v>94.652396445309904</v>
      </c>
      <c r="AL115" s="84">
        <f>AG115/AB115</f>
        <v>1.0310288273504093</v>
      </c>
      <c r="AM115" s="84">
        <f>AJ115/AG115</f>
        <v>1.0955992308463975</v>
      </c>
      <c r="AN115" s="42">
        <f>SUM(AN116:AN128)</f>
        <v>84.130499999999998</v>
      </c>
      <c r="AO115" s="42">
        <f>SUMPRODUCT(AN116:AN128,AO116:AO128)/AN115</f>
        <v>51.310903735208001</v>
      </c>
      <c r="AP115" s="42">
        <f>SUMPRODUCT(AN116:AN128,AP116:AP128)/AN115</f>
        <v>60.54686640754543</v>
      </c>
      <c r="AQ115" s="84">
        <f>AK115/AH115</f>
        <v>1.0955992308463975</v>
      </c>
      <c r="AR115" s="42">
        <f>SUM(AR116:AR128)</f>
        <v>100.86699999999999</v>
      </c>
      <c r="AS115" s="42">
        <f>SUMPRODUCT(AR116:AR128,AS116:AS128)/AR115</f>
        <v>55.043234556396051</v>
      </c>
      <c r="AT115" s="42">
        <f>SUMPRODUCT(AR116:AR128,AT116:AT128)/AR115</f>
        <v>64.951016776547334</v>
      </c>
      <c r="AU115" s="42">
        <f>SUM(AU116:AU128)</f>
        <v>100.86699999999999</v>
      </c>
      <c r="AV115" s="42">
        <f>SUMPRODUCT(AU116:AU128,AV116:AV128)/AU115</f>
        <v>58.300059781692724</v>
      </c>
      <c r="AW115" s="42">
        <f>SUMPRODUCT(AU116:AU128,AW116:AW128)/AU115</f>
        <v>68.794070542397407</v>
      </c>
      <c r="AX115" s="84">
        <f>AS115/AO115</f>
        <v>1.0727395260946659</v>
      </c>
      <c r="AY115" s="84">
        <f>AV115/AS115</f>
        <v>1.0591684927592655</v>
      </c>
      <c r="AZ115" s="84">
        <f>AW115/AT115</f>
        <v>1.0591684927592655</v>
      </c>
      <c r="BA115" s="224">
        <f>SUM(BA116:BA128)</f>
        <v>4543.4148999999989</v>
      </c>
    </row>
    <row r="116" spans="1:53" s="279" customFormat="1" ht="24" hidden="1" customHeight="1">
      <c r="A116" s="246" t="s">
        <v>81</v>
      </c>
      <c r="B116" s="237" t="s">
        <v>397</v>
      </c>
      <c r="C116" s="228">
        <f>0.98369/2</f>
        <v>0.49184499999999998</v>
      </c>
      <c r="D116" s="228">
        <v>34.85</v>
      </c>
      <c r="E116" s="228">
        <f t="shared" ref="E116:E128" si="187">IF(B116="ОСНО",D116*1.18,D116)</f>
        <v>41.122999999999998</v>
      </c>
      <c r="F116" s="228">
        <f>0.98369/2</f>
        <v>0.49184499999999998</v>
      </c>
      <c r="G116" s="228">
        <v>37.07</v>
      </c>
      <c r="H116" s="228">
        <f t="shared" ref="H116:H128" si="188">IF(B116="ОСНО",G116*1.18,G116)</f>
        <v>43.742599999999996</v>
      </c>
      <c r="I116" s="228">
        <f>0.984/2</f>
        <v>0.49199999999999999</v>
      </c>
      <c r="J116" s="228">
        <v>39.96</v>
      </c>
      <c r="K116" s="228">
        <f t="shared" ref="K116:K128" si="189">IF(B116="ОСНО",J116*1.18,J116)</f>
        <v>47.152799999999999</v>
      </c>
      <c r="L116" s="229">
        <f>(G116*F116)/(D116*C116)</f>
        <v>1.0637015781922525</v>
      </c>
      <c r="M116" s="229">
        <f t="shared" ref="M116:M128" si="190">(K116*I116)/(H116*F116)</f>
        <v>1.0783003234878483</v>
      </c>
      <c r="N116" s="229"/>
      <c r="O116" s="228"/>
      <c r="P116" s="228"/>
      <c r="Q116" s="228">
        <f t="shared" ref="Q116:Q128" si="191">IF(B116="ОСНО",P116*1.18,P116)</f>
        <v>0</v>
      </c>
      <c r="R116" s="228"/>
      <c r="S116" s="228">
        <f>0.80369/2</f>
        <v>0.40184500000000001</v>
      </c>
      <c r="T116" s="228">
        <f>G116</f>
        <v>37.07</v>
      </c>
      <c r="U116" s="228">
        <f t="shared" ref="U116:U128" si="192">IF(B116="ОСНО",T116*1.18,T116)</f>
        <v>43.742599999999996</v>
      </c>
      <c r="V116" s="228">
        <f>S116</f>
        <v>0.40184500000000001</v>
      </c>
      <c r="W116" s="228">
        <f>J116</f>
        <v>39.96</v>
      </c>
      <c r="X116" s="228">
        <f t="shared" ref="X116:X125" si="193">IF(B116="ОСНО",W116*1.18,W116)</f>
        <v>47.152799999999999</v>
      </c>
      <c r="Y116" s="229"/>
      <c r="Z116" s="229">
        <f t="shared" ref="Z116:Z125" si="194">(X116*V116)/(U116*S116)</f>
        <v>1.0779606150526033</v>
      </c>
      <c r="AA116" s="228"/>
      <c r="AB116" s="228"/>
      <c r="AC116" s="228"/>
      <c r="AD116" s="228"/>
      <c r="AE116" s="230"/>
      <c r="AF116" s="228"/>
      <c r="AG116" s="228"/>
      <c r="AH116" s="228">
        <f t="shared" ref="AH116:AH128" si="195">IF(B116="ОСНО",AG116*1.18,AG116)</f>
        <v>0</v>
      </c>
      <c r="AI116" s="228"/>
      <c r="AJ116" s="228"/>
      <c r="AK116" s="228">
        <f t="shared" ref="AK116:AK128" si="196">IF(B116="ОСНО",AJ116*1.18,AJ116)</f>
        <v>0</v>
      </c>
      <c r="AL116" s="229"/>
      <c r="AM116" s="229"/>
      <c r="AN116" s="239"/>
      <c r="AO116" s="240"/>
      <c r="AP116" s="228">
        <f t="shared" ref="AP116:AP128" si="197">IF(B116="ОСНО",AO116*1.18,AO116)</f>
        <v>0</v>
      </c>
      <c r="AQ116" s="228"/>
      <c r="AR116" s="240"/>
      <c r="AS116" s="240"/>
      <c r="AT116" s="228">
        <f t="shared" ref="AT116:AT128" si="198">IF(B116="ОСНО",AS116*1.18,AS116)</f>
        <v>0</v>
      </c>
      <c r="AU116" s="228"/>
      <c r="AV116" s="228"/>
      <c r="AW116" s="228">
        <f t="shared" ref="AW116:AW128" si="199">IF(B116="ОСНО",AV116*1.18,AV116)</f>
        <v>0</v>
      </c>
      <c r="AX116" s="241"/>
      <c r="AY116" s="229"/>
      <c r="AZ116" s="229"/>
      <c r="BA116" s="230">
        <f t="shared" si="125"/>
        <v>0</v>
      </c>
    </row>
    <row r="117" spans="1:53" s="279" customFormat="1" ht="15.75" hidden="1">
      <c r="A117" s="246" t="s">
        <v>426</v>
      </c>
      <c r="B117" s="237" t="s">
        <v>397</v>
      </c>
      <c r="C117" s="228">
        <f>223.127/2</f>
        <v>111.5635</v>
      </c>
      <c r="D117" s="228">
        <v>32.71</v>
      </c>
      <c r="E117" s="228">
        <f t="shared" si="187"/>
        <v>38.597799999999999</v>
      </c>
      <c r="F117" s="228">
        <f>I117</f>
        <v>86.581999999999994</v>
      </c>
      <c r="G117" s="228">
        <v>34.159999999999997</v>
      </c>
      <c r="H117" s="228">
        <f t="shared" si="188"/>
        <v>40.308799999999991</v>
      </c>
      <c r="I117" s="228">
        <f>173.164/2</f>
        <v>86.581999999999994</v>
      </c>
      <c r="J117" s="228">
        <v>36.07</v>
      </c>
      <c r="K117" s="228">
        <f t="shared" si="189"/>
        <v>42.562599999999996</v>
      </c>
      <c r="L117" s="229">
        <f>(G117*F117)/(D117*C117)</f>
        <v>0.81048093031624646</v>
      </c>
      <c r="M117" s="229">
        <f t="shared" si="190"/>
        <v>1.0559133489461359</v>
      </c>
      <c r="N117" s="229"/>
      <c r="O117" s="228">
        <f>20.092/2</f>
        <v>10.045999999999999</v>
      </c>
      <c r="P117" s="228">
        <v>32.71</v>
      </c>
      <c r="Q117" s="228">
        <f t="shared" si="191"/>
        <v>38.597799999999999</v>
      </c>
      <c r="R117" s="228"/>
      <c r="S117" s="228">
        <f>V117</f>
        <v>12.715999999999999</v>
      </c>
      <c r="T117" s="228">
        <v>34.159999999999997</v>
      </c>
      <c r="U117" s="228">
        <f t="shared" si="192"/>
        <v>40.308799999999991</v>
      </c>
      <c r="V117" s="228">
        <f>25.432/2</f>
        <v>12.715999999999999</v>
      </c>
      <c r="W117" s="228">
        <v>36.07</v>
      </c>
      <c r="X117" s="228">
        <f t="shared" si="193"/>
        <v>42.562599999999996</v>
      </c>
      <c r="Y117" s="229">
        <f t="shared" ref="Y117:Y125" si="200">(T117*S117)/(P117*O117)</f>
        <v>1.3218880097439885</v>
      </c>
      <c r="Z117" s="229">
        <f>(X117*V117)/(U117*S117)</f>
        <v>1.0559133489461361</v>
      </c>
      <c r="AA117" s="228">
        <f>59.126/2</f>
        <v>29.562999999999999</v>
      </c>
      <c r="AB117" s="228">
        <v>52.27</v>
      </c>
      <c r="AC117" s="228">
        <f t="shared" ref="AC117:AC128" si="201">IF(B117="ОСНО",AB117*1.18,AB117)</f>
        <v>61.678600000000003</v>
      </c>
      <c r="AD117" s="228"/>
      <c r="AE117" s="230">
        <f>(J117-W117)*V117+(G117-T117)*O117</f>
        <v>0</v>
      </c>
      <c r="AF117" s="228">
        <f>AI117</f>
        <v>31.694500000000001</v>
      </c>
      <c r="AG117" s="228">
        <v>55.52</v>
      </c>
      <c r="AH117" s="228">
        <f t="shared" si="195"/>
        <v>65.513599999999997</v>
      </c>
      <c r="AI117" s="228">
        <f>63.389/2</f>
        <v>31.694500000000001</v>
      </c>
      <c r="AJ117" s="228">
        <v>58.79</v>
      </c>
      <c r="AK117" s="228">
        <f t="shared" si="196"/>
        <v>69.372199999999992</v>
      </c>
      <c r="AL117" s="229">
        <f t="shared" ref="AL117" si="202">(AG117*AF117)/(AB117*AA117)</f>
        <v>1.1387604067491617</v>
      </c>
      <c r="AM117" s="229">
        <f t="shared" ref="AM117" si="203">(AK117*AI117)/(AH117*AF117)</f>
        <v>1.0588976945244954</v>
      </c>
      <c r="AN117" s="239">
        <f>14.789/2</f>
        <v>7.3944999999999999</v>
      </c>
      <c r="AO117" s="240">
        <v>50.93</v>
      </c>
      <c r="AP117" s="228">
        <f t="shared" si="197"/>
        <v>60.097399999999993</v>
      </c>
      <c r="AQ117" s="228"/>
      <c r="AR117" s="240">
        <f>AU117</f>
        <v>10.047000000000001</v>
      </c>
      <c r="AS117" s="240">
        <v>55.52</v>
      </c>
      <c r="AT117" s="228">
        <f t="shared" si="198"/>
        <v>65.513599999999997</v>
      </c>
      <c r="AU117" s="228">
        <f>20.094/2</f>
        <v>10.047000000000001</v>
      </c>
      <c r="AV117" s="228">
        <f>AJ117</f>
        <v>58.79</v>
      </c>
      <c r="AW117" s="228">
        <f t="shared" si="199"/>
        <v>69.372199999999992</v>
      </c>
      <c r="AX117" s="241">
        <f t="shared" ref="AX117:AX122" si="204">AS117/AO117</f>
        <v>1.0901236991949736</v>
      </c>
      <c r="AY117" s="229">
        <f t="shared" ref="AY117:AY118" si="205">(AW117*AU117)/(AT117*AR117)</f>
        <v>1.0588976945244957</v>
      </c>
      <c r="AZ117" s="229"/>
      <c r="BA117" s="230">
        <f t="shared" si="125"/>
        <v>0</v>
      </c>
    </row>
    <row r="118" spans="1:53" s="279" customFormat="1" ht="15.75" hidden="1">
      <c r="A118" s="246" t="s">
        <v>92</v>
      </c>
      <c r="B118" s="237" t="s">
        <v>397</v>
      </c>
      <c r="C118" s="228">
        <f>14.76/2</f>
        <v>7.38</v>
      </c>
      <c r="D118" s="228">
        <v>93.81</v>
      </c>
      <c r="E118" s="228">
        <f t="shared" si="187"/>
        <v>110.69579999999999</v>
      </c>
      <c r="F118" s="228">
        <v>7.2309999999999999</v>
      </c>
      <c r="G118" s="228">
        <v>100.11</v>
      </c>
      <c r="H118" s="228">
        <f t="shared" si="188"/>
        <v>118.12979999999999</v>
      </c>
      <c r="I118" s="228">
        <f>F118</f>
        <v>7.2309999999999999</v>
      </c>
      <c r="J118" s="228">
        <v>105.68</v>
      </c>
      <c r="K118" s="228">
        <f t="shared" si="189"/>
        <v>124.7024</v>
      </c>
      <c r="L118" s="229">
        <f t="shared" ref="L118" si="206">(G118*F118)/(D118*C118)</f>
        <v>1.0456114374063472</v>
      </c>
      <c r="M118" s="229">
        <f t="shared" si="190"/>
        <v>1.0556387973229449</v>
      </c>
      <c r="N118" s="238" t="s">
        <v>319</v>
      </c>
      <c r="O118" s="228">
        <f>7.09/2</f>
        <v>3.5449999999999999</v>
      </c>
      <c r="P118" s="228">
        <v>30.53</v>
      </c>
      <c r="Q118" s="228">
        <f t="shared" si="191"/>
        <v>36.025399999999998</v>
      </c>
      <c r="R118" s="228"/>
      <c r="S118" s="228">
        <v>3.4750000000000001</v>
      </c>
      <c r="T118" s="228">
        <v>32.700000000000003</v>
      </c>
      <c r="U118" s="228">
        <f t="shared" si="192"/>
        <v>38.585999999999999</v>
      </c>
      <c r="V118" s="228">
        <f t="shared" ref="V118:V125" si="207">S118</f>
        <v>3.4750000000000001</v>
      </c>
      <c r="W118" s="228">
        <f>T118*1.04</f>
        <v>34.008000000000003</v>
      </c>
      <c r="X118" s="228">
        <f t="shared" si="193"/>
        <v>40.129440000000002</v>
      </c>
      <c r="Y118" s="229">
        <f t="shared" si="200"/>
        <v>1.0499279997893354</v>
      </c>
      <c r="Z118" s="229">
        <f t="shared" si="194"/>
        <v>1.0399999999999998</v>
      </c>
      <c r="AA118" s="228">
        <f>14.76/2</f>
        <v>7.38</v>
      </c>
      <c r="AB118" s="228">
        <v>110.48</v>
      </c>
      <c r="AC118" s="228">
        <f t="shared" si="201"/>
        <v>130.3664</v>
      </c>
      <c r="AD118" s="228"/>
      <c r="AE118" s="230">
        <f t="shared" ref="AE118:AE128" si="208">(G118-T118)*S118+(J118-W118)*V118</f>
        <v>483.30995000000001</v>
      </c>
      <c r="AF118" s="228">
        <v>7.2309999999999999</v>
      </c>
      <c r="AG118" s="228">
        <v>118.37</v>
      </c>
      <c r="AH118" s="228">
        <f t="shared" si="195"/>
        <v>139.67660000000001</v>
      </c>
      <c r="AI118" s="228">
        <f>AF118</f>
        <v>7.2309999999999999</v>
      </c>
      <c r="AJ118" s="228">
        <v>122.8</v>
      </c>
      <c r="AK118" s="228">
        <f t="shared" si="196"/>
        <v>144.904</v>
      </c>
      <c r="AL118" s="229">
        <f t="shared" ref="AL118" si="209">(AG118*AF118)/(AB118*AA118)</f>
        <v>1.0497840784436085</v>
      </c>
      <c r="AM118" s="229">
        <f t="shared" ref="AM118:AM122" si="210">(AK118*AI118)/(AH118*AF118)</f>
        <v>1.0374250232322377</v>
      </c>
      <c r="AN118" s="239">
        <f>9.12/2</f>
        <v>4.5599999999999996</v>
      </c>
      <c r="AO118" s="239">
        <v>51.35</v>
      </c>
      <c r="AP118" s="228">
        <f t="shared" si="197"/>
        <v>60.592999999999996</v>
      </c>
      <c r="AQ118" s="228"/>
      <c r="AR118" s="239">
        <v>4.47</v>
      </c>
      <c r="AS118" s="240">
        <v>55</v>
      </c>
      <c r="AT118" s="228">
        <f t="shared" si="198"/>
        <v>64.899999999999991</v>
      </c>
      <c r="AU118" s="228">
        <f>AR118</f>
        <v>4.47</v>
      </c>
      <c r="AV118" s="228">
        <f>AS118*1.04</f>
        <v>57.2</v>
      </c>
      <c r="AW118" s="228">
        <f t="shared" si="199"/>
        <v>67.495999999999995</v>
      </c>
      <c r="AX118" s="241">
        <f t="shared" si="204"/>
        <v>1.071080817916261</v>
      </c>
      <c r="AY118" s="229">
        <f t="shared" si="205"/>
        <v>1.04</v>
      </c>
      <c r="AZ118" s="229"/>
      <c r="BA118" s="230">
        <f t="shared" si="125"/>
        <v>576.49589999999989</v>
      </c>
    </row>
    <row r="119" spans="1:53" s="279" customFormat="1" ht="20.25" hidden="1" customHeight="1">
      <c r="A119" s="246" t="s">
        <v>469</v>
      </c>
      <c r="B119" s="237" t="s">
        <v>398</v>
      </c>
      <c r="C119" s="228">
        <f>4.92/2</f>
        <v>2.46</v>
      </c>
      <c r="D119" s="228">
        <v>57.33</v>
      </c>
      <c r="E119" s="228">
        <f t="shared" si="187"/>
        <v>57.33</v>
      </c>
      <c r="F119" s="228">
        <f>3.62/2</f>
        <v>1.81</v>
      </c>
      <c r="G119" s="228">
        <v>63.72</v>
      </c>
      <c r="H119" s="228">
        <f t="shared" si="188"/>
        <v>63.72</v>
      </c>
      <c r="I119" s="228">
        <f>F119</f>
        <v>1.81</v>
      </c>
      <c r="J119" s="228">
        <v>69.790000000000006</v>
      </c>
      <c r="K119" s="228">
        <f t="shared" si="189"/>
        <v>69.790000000000006</v>
      </c>
      <c r="L119" s="229">
        <f>(G119*F119)/(D119*C119)</f>
        <v>0.8177815216142742</v>
      </c>
      <c r="M119" s="229">
        <f t="shared" si="190"/>
        <v>1.0952605147520402</v>
      </c>
      <c r="N119" s="238" t="s">
        <v>338</v>
      </c>
      <c r="O119" s="228">
        <f>3.04/2</f>
        <v>1.52</v>
      </c>
      <c r="P119" s="228">
        <v>57.33</v>
      </c>
      <c r="Q119" s="228">
        <f t="shared" si="191"/>
        <v>57.33</v>
      </c>
      <c r="R119" s="228"/>
      <c r="S119" s="228">
        <f>3.04/2</f>
        <v>1.52</v>
      </c>
      <c r="T119" s="228">
        <v>59.81</v>
      </c>
      <c r="U119" s="228">
        <f t="shared" si="192"/>
        <v>59.81</v>
      </c>
      <c r="V119" s="228">
        <f t="shared" si="207"/>
        <v>1.52</v>
      </c>
      <c r="W119" s="228">
        <v>63.4</v>
      </c>
      <c r="X119" s="228">
        <f t="shared" si="193"/>
        <v>63.4</v>
      </c>
      <c r="Y119" s="229">
        <f t="shared" si="200"/>
        <v>1.0432583289726147</v>
      </c>
      <c r="Z119" s="229">
        <f t="shared" si="194"/>
        <v>1.0600234074569468</v>
      </c>
      <c r="AA119" s="228"/>
      <c r="AB119" s="228"/>
      <c r="AC119" s="228">
        <f t="shared" si="201"/>
        <v>0</v>
      </c>
      <c r="AD119" s="228"/>
      <c r="AE119" s="230">
        <f t="shared" si="208"/>
        <v>15.656000000000006</v>
      </c>
      <c r="AF119" s="228"/>
      <c r="AG119" s="228"/>
      <c r="AH119" s="228">
        <f t="shared" si="195"/>
        <v>0</v>
      </c>
      <c r="AI119" s="228"/>
      <c r="AJ119" s="228"/>
      <c r="AK119" s="228">
        <f t="shared" si="196"/>
        <v>0</v>
      </c>
      <c r="AL119" s="229"/>
      <c r="AM119" s="229"/>
      <c r="AN119" s="239"/>
      <c r="AO119" s="240"/>
      <c r="AP119" s="228">
        <f t="shared" si="197"/>
        <v>0</v>
      </c>
      <c r="AQ119" s="228"/>
      <c r="AR119" s="240"/>
      <c r="AS119" s="240"/>
      <c r="AT119" s="228">
        <f t="shared" si="198"/>
        <v>0</v>
      </c>
      <c r="AU119" s="228"/>
      <c r="AV119" s="228"/>
      <c r="AW119" s="228">
        <f t="shared" si="199"/>
        <v>0</v>
      </c>
      <c r="AX119" s="241"/>
      <c r="AY119" s="229"/>
      <c r="AZ119" s="229"/>
      <c r="BA119" s="230">
        <f t="shared" si="125"/>
        <v>0</v>
      </c>
    </row>
    <row r="120" spans="1:53" s="279" customFormat="1" ht="24" hidden="1" customHeight="1">
      <c r="A120" s="246" t="s">
        <v>468</v>
      </c>
      <c r="B120" s="237" t="s">
        <v>398</v>
      </c>
      <c r="C120" s="228">
        <f>5.59/2</f>
        <v>2.7949999999999999</v>
      </c>
      <c r="D120" s="228">
        <v>71.900000000000006</v>
      </c>
      <c r="E120" s="228">
        <f t="shared" si="187"/>
        <v>71.900000000000006</v>
      </c>
      <c r="F120" s="228">
        <f>5.32/2</f>
        <v>2.66</v>
      </c>
      <c r="G120" s="228">
        <v>79.06</v>
      </c>
      <c r="H120" s="228">
        <f t="shared" si="188"/>
        <v>79.06</v>
      </c>
      <c r="I120" s="228">
        <f>F120</f>
        <v>2.66</v>
      </c>
      <c r="J120" s="228">
        <v>83.46</v>
      </c>
      <c r="K120" s="228">
        <f t="shared" si="189"/>
        <v>83.46</v>
      </c>
      <c r="L120" s="229">
        <f t="shared" ref="L120:L128" si="211">(G120*F120)/(D120*C120)</f>
        <v>1.0464723166990528</v>
      </c>
      <c r="M120" s="229">
        <f t="shared" si="190"/>
        <v>1.0556539337212243</v>
      </c>
      <c r="N120" s="238" t="s">
        <v>339</v>
      </c>
      <c r="O120" s="228">
        <f>3.74/2</f>
        <v>1.87</v>
      </c>
      <c r="P120" s="228">
        <v>39.18</v>
      </c>
      <c r="Q120" s="228">
        <f t="shared" si="191"/>
        <v>39.18</v>
      </c>
      <c r="R120" s="228"/>
      <c r="S120" s="228">
        <f>3.385/2</f>
        <v>1.6924999999999999</v>
      </c>
      <c r="T120" s="228">
        <v>42.52</v>
      </c>
      <c r="U120" s="228">
        <f t="shared" si="192"/>
        <v>42.52</v>
      </c>
      <c r="V120" s="228">
        <f t="shared" si="207"/>
        <v>1.6924999999999999</v>
      </c>
      <c r="W120" s="228">
        <f>45.06</f>
        <v>45.06</v>
      </c>
      <c r="X120" s="228">
        <f t="shared" si="193"/>
        <v>45.06</v>
      </c>
      <c r="Y120" s="229">
        <f t="shared" si="200"/>
        <v>0.98223610758517532</v>
      </c>
      <c r="Z120" s="229">
        <f t="shared" si="194"/>
        <v>1.059736594543744</v>
      </c>
      <c r="AA120" s="228"/>
      <c r="AB120" s="228"/>
      <c r="AC120" s="228">
        <f t="shared" si="201"/>
        <v>0</v>
      </c>
      <c r="AD120" s="228"/>
      <c r="AE120" s="230">
        <f t="shared" si="208"/>
        <v>126.83594999999997</v>
      </c>
      <c r="AF120" s="228"/>
      <c r="AG120" s="228"/>
      <c r="AH120" s="228">
        <f t="shared" si="195"/>
        <v>0</v>
      </c>
      <c r="AI120" s="228"/>
      <c r="AJ120" s="228"/>
      <c r="AK120" s="228">
        <f t="shared" si="196"/>
        <v>0</v>
      </c>
      <c r="AL120" s="229"/>
      <c r="AM120" s="229"/>
      <c r="AN120" s="239"/>
      <c r="AO120" s="239"/>
      <c r="AP120" s="228">
        <f t="shared" si="197"/>
        <v>0</v>
      </c>
      <c r="AQ120" s="228"/>
      <c r="AR120" s="239"/>
      <c r="AS120" s="239"/>
      <c r="AT120" s="228">
        <f t="shared" si="198"/>
        <v>0</v>
      </c>
      <c r="AU120" s="228"/>
      <c r="AV120" s="228"/>
      <c r="AW120" s="228">
        <f t="shared" si="199"/>
        <v>0</v>
      </c>
      <c r="AX120" s="241"/>
      <c r="AY120" s="229"/>
      <c r="AZ120" s="229"/>
      <c r="BA120" s="230">
        <f t="shared" si="125"/>
        <v>0</v>
      </c>
    </row>
    <row r="121" spans="1:53" s="279" customFormat="1" ht="18.75" hidden="1" customHeight="1">
      <c r="A121" s="246" t="s">
        <v>466</v>
      </c>
      <c r="B121" s="237" t="s">
        <v>398</v>
      </c>
      <c r="C121" s="228">
        <f>51.206/2</f>
        <v>25.603000000000002</v>
      </c>
      <c r="D121" s="228">
        <v>63.85</v>
      </c>
      <c r="E121" s="228">
        <f t="shared" si="187"/>
        <v>63.85</v>
      </c>
      <c r="F121" s="228">
        <f t="shared" ref="F121:F123" si="212">C121</f>
        <v>25.603000000000002</v>
      </c>
      <c r="G121" s="228">
        <v>63.85</v>
      </c>
      <c r="H121" s="228">
        <f t="shared" si="188"/>
        <v>63.85</v>
      </c>
      <c r="I121" s="228">
        <f>51.206/2</f>
        <v>25.603000000000002</v>
      </c>
      <c r="J121" s="228">
        <v>68.87</v>
      </c>
      <c r="K121" s="228">
        <f t="shared" si="189"/>
        <v>68.87</v>
      </c>
      <c r="L121" s="229">
        <f t="shared" si="211"/>
        <v>1</v>
      </c>
      <c r="M121" s="229">
        <f t="shared" si="190"/>
        <v>1.0786217697729052</v>
      </c>
      <c r="N121" s="238" t="s">
        <v>340</v>
      </c>
      <c r="O121" s="228">
        <f>39.507/2</f>
        <v>19.753499999999999</v>
      </c>
      <c r="P121" s="228">
        <v>41</v>
      </c>
      <c r="Q121" s="228">
        <f t="shared" si="191"/>
        <v>41</v>
      </c>
      <c r="R121" s="228"/>
      <c r="S121" s="228">
        <f t="shared" ref="S121:S123" si="213">O121</f>
        <v>19.753499999999999</v>
      </c>
      <c r="T121" s="228">
        <v>43.91</v>
      </c>
      <c r="U121" s="228">
        <f t="shared" si="192"/>
        <v>43.91</v>
      </c>
      <c r="V121" s="228">
        <f t="shared" si="207"/>
        <v>19.753499999999999</v>
      </c>
      <c r="W121" s="228">
        <v>46.54</v>
      </c>
      <c r="X121" s="228">
        <f t="shared" si="193"/>
        <v>46.54</v>
      </c>
      <c r="Y121" s="229">
        <f t="shared" si="200"/>
        <v>1.0709756097560974</v>
      </c>
      <c r="Z121" s="229">
        <f t="shared" si="194"/>
        <v>1.0598952402641768</v>
      </c>
      <c r="AA121" s="228"/>
      <c r="AB121" s="228"/>
      <c r="AC121" s="228">
        <f t="shared" si="201"/>
        <v>0</v>
      </c>
      <c r="AD121" s="228"/>
      <c r="AE121" s="230">
        <f t="shared" si="208"/>
        <v>834.98044500000015</v>
      </c>
      <c r="AF121" s="228"/>
      <c r="AG121" s="228"/>
      <c r="AH121" s="228">
        <f t="shared" si="195"/>
        <v>0</v>
      </c>
      <c r="AI121" s="228"/>
      <c r="AJ121" s="228"/>
      <c r="AK121" s="228">
        <f t="shared" si="196"/>
        <v>0</v>
      </c>
      <c r="AL121" s="229"/>
      <c r="AM121" s="229"/>
      <c r="AN121" s="240"/>
      <c r="AO121" s="239"/>
      <c r="AP121" s="228">
        <f t="shared" si="197"/>
        <v>0</v>
      </c>
      <c r="AQ121" s="228"/>
      <c r="AR121" s="240"/>
      <c r="AS121" s="239"/>
      <c r="AT121" s="228">
        <f t="shared" si="198"/>
        <v>0</v>
      </c>
      <c r="AU121" s="228"/>
      <c r="AV121" s="228"/>
      <c r="AW121" s="228">
        <f t="shared" si="199"/>
        <v>0</v>
      </c>
      <c r="AX121" s="241"/>
      <c r="AY121" s="229"/>
      <c r="AZ121" s="229"/>
      <c r="BA121" s="230">
        <f t="shared" si="125"/>
        <v>0</v>
      </c>
    </row>
    <row r="122" spans="1:53" s="279" customFormat="1" ht="38.25" hidden="1" customHeight="1">
      <c r="A122" s="245" t="s">
        <v>467</v>
      </c>
      <c r="B122" s="237" t="s">
        <v>397</v>
      </c>
      <c r="C122" s="228">
        <f>340.636/2</f>
        <v>170.31800000000001</v>
      </c>
      <c r="D122" s="228">
        <v>44.4</v>
      </c>
      <c r="E122" s="228">
        <f t="shared" si="187"/>
        <v>52.391999999999996</v>
      </c>
      <c r="F122" s="228">
        <f>375/2</f>
        <v>187.5</v>
      </c>
      <c r="G122" s="228">
        <v>44.4</v>
      </c>
      <c r="H122" s="228">
        <f t="shared" si="188"/>
        <v>52.391999999999996</v>
      </c>
      <c r="I122" s="228">
        <f>F122</f>
        <v>187.5</v>
      </c>
      <c r="J122" s="228">
        <v>48.54</v>
      </c>
      <c r="K122" s="228">
        <f t="shared" si="189"/>
        <v>57.277199999999993</v>
      </c>
      <c r="L122" s="229">
        <f t="shared" si="211"/>
        <v>1.1008818797778273</v>
      </c>
      <c r="M122" s="229">
        <f t="shared" si="190"/>
        <v>1.0932432432432431</v>
      </c>
      <c r="N122" s="238" t="s">
        <v>319</v>
      </c>
      <c r="O122" s="228">
        <f>163.416/2</f>
        <v>81.707999999999998</v>
      </c>
      <c r="P122" s="228">
        <f>42.1/1.18</f>
        <v>35.677966101694921</v>
      </c>
      <c r="Q122" s="228">
        <f t="shared" si="191"/>
        <v>42.1</v>
      </c>
      <c r="R122" s="228"/>
      <c r="S122" s="228">
        <f>201.3/2</f>
        <v>100.65</v>
      </c>
      <c r="T122" s="228">
        <v>38.21</v>
      </c>
      <c r="U122" s="228">
        <f t="shared" si="192"/>
        <v>45.087800000000001</v>
      </c>
      <c r="V122" s="228">
        <f t="shared" si="207"/>
        <v>100.65</v>
      </c>
      <c r="W122" s="228">
        <v>40.5</v>
      </c>
      <c r="X122" s="228">
        <f t="shared" si="193"/>
        <v>47.79</v>
      </c>
      <c r="Y122" s="229">
        <f t="shared" si="200"/>
        <v>1.3192470999504986</v>
      </c>
      <c r="Z122" s="229">
        <f t="shared" si="194"/>
        <v>1.0599319549856059</v>
      </c>
      <c r="AA122" s="228">
        <f>194.732/2</f>
        <v>97.366</v>
      </c>
      <c r="AB122" s="228">
        <v>73.709999999999994</v>
      </c>
      <c r="AC122" s="228">
        <f t="shared" si="201"/>
        <v>86.977799999999988</v>
      </c>
      <c r="AD122" s="228"/>
      <c r="AE122" s="230">
        <f t="shared" si="208"/>
        <v>1432.2494999999999</v>
      </c>
      <c r="AF122" s="228">
        <f>208.7/2</f>
        <v>104.35</v>
      </c>
      <c r="AG122" s="228">
        <v>75.459999999999994</v>
      </c>
      <c r="AH122" s="228">
        <f t="shared" si="195"/>
        <v>89.042799999999986</v>
      </c>
      <c r="AI122" s="228">
        <f>AF122</f>
        <v>104.35</v>
      </c>
      <c r="AJ122" s="228">
        <v>83.77</v>
      </c>
      <c r="AK122" s="228">
        <f t="shared" si="196"/>
        <v>98.84859999999999</v>
      </c>
      <c r="AL122" s="229">
        <f t="shared" ref="AL122" si="214">(AG122*AF122)/(AB122*AA122)</f>
        <v>1.0971740175637499</v>
      </c>
      <c r="AM122" s="229">
        <f t="shared" si="210"/>
        <v>1.1101245693082431</v>
      </c>
      <c r="AN122" s="240">
        <f>144.352/2</f>
        <v>72.176000000000002</v>
      </c>
      <c r="AO122" s="240">
        <f>60.59/1.18</f>
        <v>51.347457627118651</v>
      </c>
      <c r="AP122" s="228">
        <f t="shared" si="197"/>
        <v>60.59</v>
      </c>
      <c r="AQ122" s="228"/>
      <c r="AR122" s="240">
        <f>172.7/2</f>
        <v>86.35</v>
      </c>
      <c r="AS122" s="240">
        <v>54.99</v>
      </c>
      <c r="AT122" s="228">
        <f t="shared" si="198"/>
        <v>64.888199999999998</v>
      </c>
      <c r="AU122" s="228">
        <f>AR122</f>
        <v>86.35</v>
      </c>
      <c r="AV122" s="228">
        <v>58.3</v>
      </c>
      <c r="AW122" s="228">
        <f t="shared" si="199"/>
        <v>68.793999999999997</v>
      </c>
      <c r="AX122" s="241">
        <f t="shared" si="204"/>
        <v>1.0709390988611982</v>
      </c>
      <c r="AY122" s="229">
        <f t="shared" ref="AY122" si="215">(AW122*AU122)/(AT122*AR122)</f>
        <v>1.0601927623204217</v>
      </c>
      <c r="AZ122" s="229"/>
      <c r="BA122" s="230">
        <f t="shared" si="125"/>
        <v>3966.918999999999</v>
      </c>
    </row>
    <row r="123" spans="1:53" s="279" customFormat="1" ht="20.25" hidden="1" customHeight="1">
      <c r="A123" s="246" t="s">
        <v>445</v>
      </c>
      <c r="B123" s="237" t="s">
        <v>398</v>
      </c>
      <c r="C123" s="228">
        <f>4.612/2</f>
        <v>2.306</v>
      </c>
      <c r="D123" s="228">
        <v>70.38</v>
      </c>
      <c r="E123" s="228">
        <f t="shared" si="187"/>
        <v>70.38</v>
      </c>
      <c r="F123" s="228">
        <f t="shared" si="212"/>
        <v>2.306</v>
      </c>
      <c r="G123" s="228">
        <v>75.5</v>
      </c>
      <c r="H123" s="228">
        <f t="shared" si="188"/>
        <v>75.5</v>
      </c>
      <c r="I123" s="228">
        <f>4.61/2</f>
        <v>2.3050000000000002</v>
      </c>
      <c r="J123" s="228">
        <v>83.61</v>
      </c>
      <c r="K123" s="228">
        <f t="shared" si="189"/>
        <v>83.61</v>
      </c>
      <c r="L123" s="229">
        <f t="shared" si="211"/>
        <v>1.0727479397556126</v>
      </c>
      <c r="M123" s="229">
        <f t="shared" si="190"/>
        <v>1.1069369855775031</v>
      </c>
      <c r="N123" s="238" t="s">
        <v>341</v>
      </c>
      <c r="O123" s="228">
        <f>3/2</f>
        <v>1.5</v>
      </c>
      <c r="P123" s="228">
        <v>42.1</v>
      </c>
      <c r="Q123" s="228">
        <f t="shared" si="191"/>
        <v>42.1</v>
      </c>
      <c r="R123" s="228"/>
      <c r="S123" s="228">
        <f t="shared" si="213"/>
        <v>1.5</v>
      </c>
      <c r="T123" s="228">
        <v>45.68</v>
      </c>
      <c r="U123" s="228">
        <f t="shared" si="192"/>
        <v>45.68</v>
      </c>
      <c r="V123" s="228">
        <f t="shared" si="207"/>
        <v>1.5</v>
      </c>
      <c r="W123" s="228">
        <f>T123*1.06</f>
        <v>48.4208</v>
      </c>
      <c r="X123" s="228">
        <f t="shared" si="193"/>
        <v>48.4208</v>
      </c>
      <c r="Y123" s="229">
        <f t="shared" si="200"/>
        <v>1.0850356294536816</v>
      </c>
      <c r="Z123" s="229">
        <f t="shared" si="194"/>
        <v>1.06</v>
      </c>
      <c r="AA123" s="228"/>
      <c r="AB123" s="228"/>
      <c r="AC123" s="228">
        <f t="shared" si="201"/>
        <v>0</v>
      </c>
      <c r="AD123" s="228"/>
      <c r="AE123" s="230">
        <f t="shared" si="208"/>
        <v>97.513800000000003</v>
      </c>
      <c r="AF123" s="228"/>
      <c r="AG123" s="228"/>
      <c r="AH123" s="228">
        <f t="shared" si="195"/>
        <v>0</v>
      </c>
      <c r="AI123" s="228"/>
      <c r="AJ123" s="228"/>
      <c r="AK123" s="228">
        <f t="shared" si="196"/>
        <v>0</v>
      </c>
      <c r="AL123" s="229"/>
      <c r="AM123" s="229"/>
      <c r="AN123" s="239"/>
      <c r="AO123" s="239"/>
      <c r="AP123" s="228">
        <f t="shared" si="197"/>
        <v>0</v>
      </c>
      <c r="AQ123" s="228"/>
      <c r="AR123" s="239"/>
      <c r="AS123" s="239"/>
      <c r="AT123" s="228">
        <f t="shared" si="198"/>
        <v>0</v>
      </c>
      <c r="AU123" s="228"/>
      <c r="AV123" s="228"/>
      <c r="AW123" s="228">
        <f t="shared" si="199"/>
        <v>0</v>
      </c>
      <c r="AX123" s="241"/>
      <c r="AY123" s="229"/>
      <c r="AZ123" s="229"/>
      <c r="BA123" s="230">
        <f t="shared" si="125"/>
        <v>0</v>
      </c>
    </row>
    <row r="124" spans="1:53" s="279" customFormat="1" ht="20.25" hidden="1" customHeight="1">
      <c r="A124" s="246" t="s">
        <v>464</v>
      </c>
      <c r="B124" s="237" t="s">
        <v>398</v>
      </c>
      <c r="C124" s="228">
        <f>16.1/2</f>
        <v>8.0500000000000007</v>
      </c>
      <c r="D124" s="228">
        <v>48.63</v>
      </c>
      <c r="E124" s="228">
        <f t="shared" si="187"/>
        <v>48.63</v>
      </c>
      <c r="F124" s="228">
        <f>16.61/2</f>
        <v>8.3049999999999997</v>
      </c>
      <c r="G124" s="228">
        <v>48.63</v>
      </c>
      <c r="H124" s="228">
        <f t="shared" si="188"/>
        <v>48.63</v>
      </c>
      <c r="I124" s="228">
        <f>F124</f>
        <v>8.3049999999999997</v>
      </c>
      <c r="J124" s="228">
        <v>54.49</v>
      </c>
      <c r="K124" s="228">
        <f t="shared" si="189"/>
        <v>54.49</v>
      </c>
      <c r="L124" s="229">
        <f t="shared" si="211"/>
        <v>1.0316770186335402</v>
      </c>
      <c r="M124" s="229">
        <f t="shared" si="190"/>
        <v>1.1205017478922474</v>
      </c>
      <c r="N124" s="238" t="s">
        <v>226</v>
      </c>
      <c r="O124" s="228">
        <f>11.83/2</f>
        <v>5.915</v>
      </c>
      <c r="P124" s="228">
        <v>42.1</v>
      </c>
      <c r="Q124" s="228">
        <f t="shared" si="191"/>
        <v>42.1</v>
      </c>
      <c r="R124" s="228"/>
      <c r="S124" s="228">
        <f>11.831/2</f>
        <v>5.9154999999999998</v>
      </c>
      <c r="T124" s="228">
        <v>45.68</v>
      </c>
      <c r="U124" s="228">
        <f t="shared" si="192"/>
        <v>45.68</v>
      </c>
      <c r="V124" s="228">
        <f t="shared" si="207"/>
        <v>5.9154999999999998</v>
      </c>
      <c r="W124" s="228">
        <v>48.42</v>
      </c>
      <c r="X124" s="228">
        <f t="shared" si="193"/>
        <v>48.42</v>
      </c>
      <c r="Y124" s="229">
        <f t="shared" si="200"/>
        <v>1.0851273484418011</v>
      </c>
      <c r="Z124" s="229">
        <f t="shared" si="194"/>
        <v>1.0599824868651491</v>
      </c>
      <c r="AA124" s="228"/>
      <c r="AB124" s="228"/>
      <c r="AC124" s="228">
        <f t="shared" si="201"/>
        <v>0</v>
      </c>
      <c r="AD124" s="228"/>
      <c r="AE124" s="230">
        <f t="shared" si="208"/>
        <v>53.357810000000015</v>
      </c>
      <c r="AF124" s="228"/>
      <c r="AG124" s="228"/>
      <c r="AH124" s="228">
        <f t="shared" si="195"/>
        <v>0</v>
      </c>
      <c r="AI124" s="228"/>
      <c r="AJ124" s="228"/>
      <c r="AK124" s="228">
        <f t="shared" si="196"/>
        <v>0</v>
      </c>
      <c r="AL124" s="229"/>
      <c r="AM124" s="229"/>
      <c r="AN124" s="239"/>
      <c r="AO124" s="239"/>
      <c r="AP124" s="228">
        <f t="shared" si="197"/>
        <v>0</v>
      </c>
      <c r="AQ124" s="228"/>
      <c r="AR124" s="239"/>
      <c r="AS124" s="239"/>
      <c r="AT124" s="228">
        <f t="shared" si="198"/>
        <v>0</v>
      </c>
      <c r="AU124" s="228"/>
      <c r="AV124" s="228"/>
      <c r="AW124" s="228">
        <f t="shared" si="199"/>
        <v>0</v>
      </c>
      <c r="AX124" s="241"/>
      <c r="AY124" s="229"/>
      <c r="AZ124" s="229"/>
      <c r="BA124" s="230">
        <f t="shared" si="125"/>
        <v>0</v>
      </c>
    </row>
    <row r="125" spans="1:53" s="279" customFormat="1" ht="15.75" hidden="1">
      <c r="A125" s="246" t="s">
        <v>88</v>
      </c>
      <c r="B125" s="237" t="s">
        <v>398</v>
      </c>
      <c r="C125" s="228">
        <f>84.507/2</f>
        <v>42.253500000000003</v>
      </c>
      <c r="D125" s="228">
        <v>34.61</v>
      </c>
      <c r="E125" s="228">
        <f t="shared" si="187"/>
        <v>34.61</v>
      </c>
      <c r="F125" s="228">
        <f>84.507/2</f>
        <v>42.253500000000003</v>
      </c>
      <c r="G125" s="228">
        <v>34.61</v>
      </c>
      <c r="H125" s="228">
        <f t="shared" si="188"/>
        <v>34.61</v>
      </c>
      <c r="I125" s="228">
        <f>84.507/2</f>
        <v>42.253500000000003</v>
      </c>
      <c r="J125" s="228">
        <v>38.880000000000003</v>
      </c>
      <c r="K125" s="228">
        <f t="shared" si="189"/>
        <v>38.880000000000003</v>
      </c>
      <c r="L125" s="229">
        <f t="shared" si="211"/>
        <v>1</v>
      </c>
      <c r="M125" s="229">
        <f t="shared" si="190"/>
        <v>1.1233747471828952</v>
      </c>
      <c r="N125" s="238" t="s">
        <v>340</v>
      </c>
      <c r="O125" s="228">
        <v>0.17499999999999999</v>
      </c>
      <c r="P125" s="228">
        <v>34.61</v>
      </c>
      <c r="Q125" s="228">
        <f t="shared" si="191"/>
        <v>34.61</v>
      </c>
      <c r="R125" s="228"/>
      <c r="S125" s="228">
        <f>0.175/2</f>
        <v>8.7499999999999994E-2</v>
      </c>
      <c r="T125" s="228">
        <v>34.61</v>
      </c>
      <c r="U125" s="228">
        <f t="shared" si="192"/>
        <v>34.61</v>
      </c>
      <c r="V125" s="228">
        <f t="shared" si="207"/>
        <v>8.7499999999999994E-2</v>
      </c>
      <c r="W125" s="228">
        <v>36.69</v>
      </c>
      <c r="X125" s="228">
        <f t="shared" si="193"/>
        <v>36.69</v>
      </c>
      <c r="Y125" s="229">
        <f t="shared" si="200"/>
        <v>0.5</v>
      </c>
      <c r="Z125" s="229">
        <f t="shared" si="194"/>
        <v>1.0600982375036117</v>
      </c>
      <c r="AA125" s="228"/>
      <c r="AB125" s="228"/>
      <c r="AC125" s="228">
        <f t="shared" si="201"/>
        <v>0</v>
      </c>
      <c r="AD125" s="228"/>
      <c r="AE125" s="230">
        <f t="shared" si="208"/>
        <v>0.19162500000000041</v>
      </c>
      <c r="AF125" s="228"/>
      <c r="AG125" s="228"/>
      <c r="AH125" s="228">
        <f t="shared" si="195"/>
        <v>0</v>
      </c>
      <c r="AI125" s="228"/>
      <c r="AJ125" s="228"/>
      <c r="AK125" s="228">
        <f t="shared" si="196"/>
        <v>0</v>
      </c>
      <c r="AL125" s="229"/>
      <c r="AM125" s="229"/>
      <c r="AN125" s="239"/>
      <c r="AO125" s="239"/>
      <c r="AP125" s="228">
        <f t="shared" si="197"/>
        <v>0</v>
      </c>
      <c r="AQ125" s="228"/>
      <c r="AR125" s="239"/>
      <c r="AS125" s="239"/>
      <c r="AT125" s="228">
        <f t="shared" si="198"/>
        <v>0</v>
      </c>
      <c r="AU125" s="228"/>
      <c r="AV125" s="228"/>
      <c r="AW125" s="228">
        <f t="shared" si="199"/>
        <v>0</v>
      </c>
      <c r="AX125" s="241"/>
      <c r="AY125" s="229"/>
      <c r="AZ125" s="229"/>
      <c r="BA125" s="230">
        <f t="shared" si="125"/>
        <v>0</v>
      </c>
    </row>
    <row r="126" spans="1:53" s="279" customFormat="1" ht="15.75" hidden="1">
      <c r="A126" s="246" t="s">
        <v>89</v>
      </c>
      <c r="B126" s="237" t="s">
        <v>398</v>
      </c>
      <c r="C126" s="228">
        <f>(41-8.3)/2</f>
        <v>16.350000000000001</v>
      </c>
      <c r="D126" s="228">
        <v>24.41</v>
      </c>
      <c r="E126" s="228">
        <f t="shared" si="187"/>
        <v>24.41</v>
      </c>
      <c r="F126" s="228">
        <f>41/2</f>
        <v>20.5</v>
      </c>
      <c r="G126" s="228">
        <v>26.38</v>
      </c>
      <c r="H126" s="228">
        <f t="shared" si="188"/>
        <v>26.38</v>
      </c>
      <c r="I126" s="228">
        <f>F126</f>
        <v>20.5</v>
      </c>
      <c r="J126" s="228">
        <v>27.97</v>
      </c>
      <c r="K126" s="228">
        <f t="shared" si="189"/>
        <v>27.97</v>
      </c>
      <c r="L126" s="229">
        <f t="shared" si="211"/>
        <v>1.3550119204667459</v>
      </c>
      <c r="M126" s="229">
        <f t="shared" si="190"/>
        <v>1.0602729340409403</v>
      </c>
      <c r="N126" s="238"/>
      <c r="O126" s="228">
        <v>0</v>
      </c>
      <c r="P126" s="228"/>
      <c r="Q126" s="228">
        <f t="shared" si="191"/>
        <v>0</v>
      </c>
      <c r="R126" s="228"/>
      <c r="S126" s="228"/>
      <c r="T126" s="228"/>
      <c r="U126" s="228">
        <f t="shared" si="192"/>
        <v>0</v>
      </c>
      <c r="V126" s="228"/>
      <c r="W126" s="228"/>
      <c r="X126" s="228"/>
      <c r="Y126" s="229"/>
      <c r="Z126" s="229"/>
      <c r="AA126" s="228"/>
      <c r="AB126" s="228"/>
      <c r="AC126" s="228">
        <f t="shared" si="201"/>
        <v>0</v>
      </c>
      <c r="AD126" s="228"/>
      <c r="AE126" s="230">
        <f t="shared" si="208"/>
        <v>0</v>
      </c>
      <c r="AF126" s="228"/>
      <c r="AG126" s="228"/>
      <c r="AH126" s="228">
        <f t="shared" si="195"/>
        <v>0</v>
      </c>
      <c r="AI126" s="228"/>
      <c r="AJ126" s="228"/>
      <c r="AK126" s="228">
        <f t="shared" si="196"/>
        <v>0</v>
      </c>
      <c r="AL126" s="229"/>
      <c r="AM126" s="229"/>
      <c r="AN126" s="239"/>
      <c r="AO126" s="239"/>
      <c r="AP126" s="228">
        <f t="shared" si="197"/>
        <v>0</v>
      </c>
      <c r="AQ126" s="228"/>
      <c r="AR126" s="239"/>
      <c r="AS126" s="239"/>
      <c r="AT126" s="228">
        <f t="shared" si="198"/>
        <v>0</v>
      </c>
      <c r="AU126" s="228"/>
      <c r="AV126" s="228"/>
      <c r="AW126" s="228">
        <f t="shared" si="199"/>
        <v>0</v>
      </c>
      <c r="AX126" s="241"/>
      <c r="AY126" s="229"/>
      <c r="AZ126" s="229"/>
      <c r="BA126" s="230">
        <f t="shared" si="125"/>
        <v>0</v>
      </c>
    </row>
    <row r="127" spans="1:53" s="279" customFormat="1" ht="21" hidden="1" customHeight="1">
      <c r="A127" s="246" t="s">
        <v>446</v>
      </c>
      <c r="B127" s="237" t="s">
        <v>398</v>
      </c>
      <c r="C127" s="228">
        <f>10.8/2</f>
        <v>5.4</v>
      </c>
      <c r="D127" s="228">
        <v>36</v>
      </c>
      <c r="E127" s="228">
        <f t="shared" si="187"/>
        <v>36</v>
      </c>
      <c r="F127" s="228">
        <f>14.3/2</f>
        <v>7.15</v>
      </c>
      <c r="G127" s="228">
        <v>38.65</v>
      </c>
      <c r="H127" s="228">
        <f t="shared" si="188"/>
        <v>38.65</v>
      </c>
      <c r="I127" s="228">
        <f>F127</f>
        <v>7.15</v>
      </c>
      <c r="J127" s="228">
        <v>40.700000000000003</v>
      </c>
      <c r="K127" s="228">
        <f t="shared" si="189"/>
        <v>40.700000000000003</v>
      </c>
      <c r="L127" s="229">
        <f t="shared" si="211"/>
        <v>1.4215406378600823</v>
      </c>
      <c r="M127" s="229">
        <f t="shared" si="190"/>
        <v>1.0530401034928849</v>
      </c>
      <c r="N127" s="238" t="s">
        <v>342</v>
      </c>
      <c r="O127" s="228">
        <f>1.4/2</f>
        <v>0.7</v>
      </c>
      <c r="P127" s="228">
        <v>36</v>
      </c>
      <c r="Q127" s="228">
        <f t="shared" si="191"/>
        <v>36</v>
      </c>
      <c r="R127" s="228"/>
      <c r="S127" s="228">
        <f>4.9/2</f>
        <v>2.4500000000000002</v>
      </c>
      <c r="T127" s="228">
        <v>38.65</v>
      </c>
      <c r="U127" s="228">
        <f t="shared" si="192"/>
        <v>38.65</v>
      </c>
      <c r="V127" s="228">
        <f>S127</f>
        <v>2.4500000000000002</v>
      </c>
      <c r="W127" s="228">
        <v>40.700000000000003</v>
      </c>
      <c r="X127" s="228">
        <f>IF(B127="ОСНО",W127*1.18,W127)</f>
        <v>40.700000000000003</v>
      </c>
      <c r="Y127" s="229">
        <f>(T127*S127)/(P127*O127)</f>
        <v>3.7576388888888892</v>
      </c>
      <c r="Z127" s="229">
        <f>(X127*V127)/(U127*S127)</f>
        <v>1.0530401034928849</v>
      </c>
      <c r="AA127" s="228"/>
      <c r="AB127" s="228"/>
      <c r="AC127" s="228">
        <f t="shared" si="201"/>
        <v>0</v>
      </c>
      <c r="AD127" s="228"/>
      <c r="AE127" s="230">
        <f t="shared" si="208"/>
        <v>0</v>
      </c>
      <c r="AF127" s="228"/>
      <c r="AG127" s="228"/>
      <c r="AH127" s="228">
        <f t="shared" si="195"/>
        <v>0</v>
      </c>
      <c r="AI127" s="228"/>
      <c r="AJ127" s="228"/>
      <c r="AK127" s="228">
        <f t="shared" si="196"/>
        <v>0</v>
      </c>
      <c r="AL127" s="229"/>
      <c r="AM127" s="229"/>
      <c r="AN127" s="239"/>
      <c r="AO127" s="239"/>
      <c r="AP127" s="228">
        <f t="shared" si="197"/>
        <v>0</v>
      </c>
      <c r="AQ127" s="228"/>
      <c r="AR127" s="239"/>
      <c r="AS127" s="239"/>
      <c r="AT127" s="228">
        <f t="shared" si="198"/>
        <v>0</v>
      </c>
      <c r="AU127" s="228"/>
      <c r="AV127" s="228"/>
      <c r="AW127" s="228">
        <f t="shared" si="199"/>
        <v>0</v>
      </c>
      <c r="AX127" s="241"/>
      <c r="AY127" s="229"/>
      <c r="AZ127" s="229"/>
      <c r="BA127" s="230">
        <f t="shared" si="125"/>
        <v>0</v>
      </c>
    </row>
    <row r="128" spans="1:53" s="279" customFormat="1" ht="22.5" hidden="1" customHeight="1">
      <c r="A128" s="246" t="s">
        <v>465</v>
      </c>
      <c r="B128" s="237" t="s">
        <v>398</v>
      </c>
      <c r="C128" s="228">
        <f>6.455/2</f>
        <v>3.2275</v>
      </c>
      <c r="D128" s="228">
        <v>58.56</v>
      </c>
      <c r="E128" s="228">
        <f t="shared" si="187"/>
        <v>58.56</v>
      </c>
      <c r="F128" s="228">
        <f>6.455/2</f>
        <v>3.2275</v>
      </c>
      <c r="G128" s="228">
        <v>66.13</v>
      </c>
      <c r="H128" s="228">
        <f t="shared" si="188"/>
        <v>66.13</v>
      </c>
      <c r="I128" s="228">
        <f>6.455/2</f>
        <v>3.2275</v>
      </c>
      <c r="J128" s="228">
        <v>66.13</v>
      </c>
      <c r="K128" s="228">
        <f t="shared" si="189"/>
        <v>66.13</v>
      </c>
      <c r="L128" s="229">
        <f t="shared" si="211"/>
        <v>1.12926912568306</v>
      </c>
      <c r="M128" s="229">
        <f t="shared" si="190"/>
        <v>1</v>
      </c>
      <c r="N128" s="238" t="s">
        <v>343</v>
      </c>
      <c r="O128" s="228">
        <f>4.783/2</f>
        <v>2.3915000000000002</v>
      </c>
      <c r="P128" s="228">
        <v>39.18</v>
      </c>
      <c r="Q128" s="228">
        <f t="shared" si="191"/>
        <v>39.18</v>
      </c>
      <c r="R128" s="228"/>
      <c r="S128" s="228">
        <f>4.783/2</f>
        <v>2.3915000000000002</v>
      </c>
      <c r="T128" s="228">
        <v>42.51</v>
      </c>
      <c r="U128" s="228">
        <f t="shared" si="192"/>
        <v>42.51</v>
      </c>
      <c r="V128" s="228">
        <f>S128</f>
        <v>2.3915000000000002</v>
      </c>
      <c r="W128" s="228">
        <v>45.06</v>
      </c>
      <c r="X128" s="228">
        <f>IF(B128="ОСНО",W128*1.18,W128)</f>
        <v>45.06</v>
      </c>
      <c r="Y128" s="229">
        <f>(T128*S128)/(P128*O128)</f>
        <v>1.0849923430321593</v>
      </c>
      <c r="Z128" s="229">
        <f>(X128*V128)/(U128*S128)</f>
        <v>1.059985885673959</v>
      </c>
      <c r="AA128" s="228"/>
      <c r="AB128" s="228"/>
      <c r="AC128" s="228">
        <f t="shared" si="201"/>
        <v>0</v>
      </c>
      <c r="AD128" s="228"/>
      <c r="AE128" s="230">
        <f t="shared" si="208"/>
        <v>106.87613499999998</v>
      </c>
      <c r="AF128" s="228"/>
      <c r="AG128" s="228"/>
      <c r="AH128" s="228">
        <f t="shared" si="195"/>
        <v>0</v>
      </c>
      <c r="AI128" s="228"/>
      <c r="AJ128" s="228"/>
      <c r="AK128" s="228">
        <f t="shared" si="196"/>
        <v>0</v>
      </c>
      <c r="AL128" s="229"/>
      <c r="AM128" s="229"/>
      <c r="AN128" s="239"/>
      <c r="AO128" s="239"/>
      <c r="AP128" s="228">
        <f t="shared" si="197"/>
        <v>0</v>
      </c>
      <c r="AQ128" s="228"/>
      <c r="AR128" s="239"/>
      <c r="AS128" s="239"/>
      <c r="AT128" s="228">
        <f t="shared" si="198"/>
        <v>0</v>
      </c>
      <c r="AU128" s="228"/>
      <c r="AV128" s="228"/>
      <c r="AW128" s="228">
        <f t="shared" si="199"/>
        <v>0</v>
      </c>
      <c r="AX128" s="241"/>
      <c r="AY128" s="229"/>
      <c r="AZ128" s="229"/>
      <c r="BA128" s="230">
        <f t="shared" si="125"/>
        <v>0</v>
      </c>
    </row>
    <row r="129" spans="1:53" s="216" customFormat="1" ht="23.25" customHeight="1">
      <c r="A129" s="43" t="s">
        <v>93</v>
      </c>
      <c r="B129" s="43"/>
      <c r="C129" s="42">
        <f>SUM(C130:C134)</f>
        <v>463.58249999999998</v>
      </c>
      <c r="D129" s="42">
        <f>SUMPRODUCT(C130:C134,D130:D134)/C129</f>
        <v>42.595662498045115</v>
      </c>
      <c r="E129" s="42">
        <f>SUMPRODUCT(C130:C134,E130:E134)/C129</f>
        <v>42.595662498045115</v>
      </c>
      <c r="F129" s="42">
        <f>SUM(F130:F135)</f>
        <v>570.98250000000007</v>
      </c>
      <c r="G129" s="42">
        <f>SUMPRODUCT(F130:F135,G130:G135)/F129</f>
        <v>41.136138498115081</v>
      </c>
      <c r="H129" s="42">
        <f>SUMPRODUCT(F130:F135,H130:H135)/F129</f>
        <v>42.292832146694508</v>
      </c>
      <c r="I129" s="42">
        <f>SUM(I130:I135)</f>
        <v>570.98250000000007</v>
      </c>
      <c r="J129" s="42">
        <f>SUMPRODUCT(I130:I135,J130:J135)/I129</f>
        <v>46.222249202033332</v>
      </c>
      <c r="K129" s="42">
        <f>SUMPRODUCT(I130:I135,K130:K135)/I129</f>
        <v>47.443617466209552</v>
      </c>
      <c r="L129" s="84">
        <f>G129/D129</f>
        <v>0.96573538444208917</v>
      </c>
      <c r="M129" s="84">
        <f>J129/G129</f>
        <v>1.1236409368893803</v>
      </c>
      <c r="N129" s="84"/>
      <c r="O129" s="42">
        <f>SUM(O130:O134)</f>
        <v>289.42700000000002</v>
      </c>
      <c r="P129" s="42">
        <f>SUMPRODUCT(O130:O134,P130:P134)/O129</f>
        <v>30.743578864445958</v>
      </c>
      <c r="Q129" s="42">
        <f>SUMPRODUCT(O130:O134,Q130:Q134)/O129</f>
        <v>30.743578864445958</v>
      </c>
      <c r="R129" s="84">
        <f>K129/H129</f>
        <v>1.121788611877524</v>
      </c>
      <c r="S129" s="42">
        <f>SUM(S130:S135)</f>
        <v>310.33050000000003</v>
      </c>
      <c r="T129" s="42">
        <f>SUMPRODUCT(S130:S135,T130:T135)/S129</f>
        <v>33.042313920159316</v>
      </c>
      <c r="U129" s="42">
        <f>SUMPRODUCT(S130:S135,U130:U135)/S129</f>
        <v>33.486210478183743</v>
      </c>
      <c r="V129" s="42">
        <f>SUM(V130:V135)</f>
        <v>310.33050000000003</v>
      </c>
      <c r="W129" s="42">
        <f>SUMPRODUCT(V130:V135,W130:W135)/V129</f>
        <v>34.417687512506831</v>
      </c>
      <c r="X129" s="42">
        <f>SUMPRODUCT(V130:V135,X130:X135)/V129</f>
        <v>34.886403813676068</v>
      </c>
      <c r="Y129" s="84">
        <f>T129/P129</f>
        <v>1.0747712251019603</v>
      </c>
      <c r="Z129" s="84">
        <f>W129/T129</f>
        <v>1.0416246149004835</v>
      </c>
      <c r="AA129" s="42">
        <f>SUM(AA130:AA134)</f>
        <v>250</v>
      </c>
      <c r="AB129" s="42">
        <f>SUMPRODUCT(AA130:AA134,AB130:AB134)/AA129</f>
        <v>51.3</v>
      </c>
      <c r="AC129" s="42">
        <f>SUMPRODUCT(AA130:AA134,AC130:AC134)/AA129</f>
        <v>51.3</v>
      </c>
      <c r="AD129" s="84">
        <f>X129/U129</f>
        <v>1.0418140277892762</v>
      </c>
      <c r="AE129" s="222">
        <f>SUM(AE130:AE135)</f>
        <v>7197.4789503999955</v>
      </c>
      <c r="AF129" s="42">
        <f>SUM(AF130:AF135)</f>
        <v>304.93349999999998</v>
      </c>
      <c r="AG129" s="42">
        <f>SUMPRODUCT(AF130:AF135,AG130:AG135)/AF129</f>
        <v>51.714910611657956</v>
      </c>
      <c r="AH129" s="42">
        <f>SUMPRODUCT(AF130:AF135,AH130:AH135)/AF129</f>
        <v>53.224633805731422</v>
      </c>
      <c r="AI129" s="42">
        <f>SUM(AI130:AI135)</f>
        <v>304.93349999999998</v>
      </c>
      <c r="AJ129" s="42">
        <f>SUMPRODUCT(AI130:AI135,AJ130:AJ135)/AI129</f>
        <v>57.566352876938751</v>
      </c>
      <c r="AK129" s="42">
        <f>SUMPRODUCT(AI130:AI135,AK130:AK135)/AI129</f>
        <v>59.164995286513289</v>
      </c>
      <c r="AL129" s="84">
        <f>AG129/AB129</f>
        <v>1.0080879261531766</v>
      </c>
      <c r="AM129" s="84">
        <f>AJ129/AG129</f>
        <v>1.1131480688272082</v>
      </c>
      <c r="AN129" s="42">
        <f>SUM(AN130:AN134)</f>
        <v>155</v>
      </c>
      <c r="AO129" s="42">
        <f>SUMPRODUCT(AN130:AN134,AO130:AO134)/AN129</f>
        <v>39</v>
      </c>
      <c r="AP129" s="42">
        <f>SUMPRODUCT(AN130:AN134,AP130:AP134)/AN129</f>
        <v>39</v>
      </c>
      <c r="AQ129" s="84">
        <f>AK129/AH129</f>
        <v>1.1116092503795147</v>
      </c>
      <c r="AR129" s="42">
        <f>SUM(AR130:AR135)</f>
        <v>187.1825</v>
      </c>
      <c r="AS129" s="42">
        <f>SUMPRODUCT(AR130:AR135,AS130:AS135)/AR129</f>
        <v>42.510263512881814</v>
      </c>
      <c r="AT129" s="42">
        <f>SUMPRODUCT(AR130:AR135,AT130:AT135)/AR129</f>
        <v>43.767989165653837</v>
      </c>
      <c r="AU129" s="42">
        <f>SUM(AU130:AU135)</f>
        <v>187.18261799999999</v>
      </c>
      <c r="AV129" s="42">
        <f>SUMPRODUCT(AU130:AU135,AV130:AV135)/AU129</f>
        <v>44.342728245311761</v>
      </c>
      <c r="AW129" s="42">
        <f>SUMPRODUCT(AU130:AU135,AW130:AW135)/AU129</f>
        <v>45.674536870830607</v>
      </c>
      <c r="AX129" s="84">
        <f>AS129/AO129</f>
        <v>1.0900067567405594</v>
      </c>
      <c r="AY129" s="84">
        <f>AV129/AS129</f>
        <v>1.0431064072767899</v>
      </c>
      <c r="AZ129" s="84">
        <f>AW129/AT129</f>
        <v>1.0435603220874698</v>
      </c>
      <c r="BA129" s="224">
        <f>SUM(BA130:BA135)</f>
        <v>4122.0166499999987</v>
      </c>
    </row>
    <row r="130" spans="1:53" s="231" customFormat="1" ht="15.75" hidden="1">
      <c r="A130" s="246" t="s">
        <v>344</v>
      </c>
      <c r="B130" s="237" t="s">
        <v>398</v>
      </c>
      <c r="C130" s="228">
        <f>50.8/2</f>
        <v>25.4</v>
      </c>
      <c r="D130" s="228">
        <v>30.43</v>
      </c>
      <c r="E130" s="228">
        <f t="shared" ref="E130:E135" si="216">IF(B130="ОСНО",D130*1.18,D130)</f>
        <v>30.43</v>
      </c>
      <c r="F130" s="228">
        <f>C130</f>
        <v>25.4</v>
      </c>
      <c r="G130" s="228">
        <v>32.57</v>
      </c>
      <c r="H130" s="228">
        <f t="shared" ref="H130:H135" si="217">IF(B130="ОСНО",G130*1.18,G130)</f>
        <v>32.57</v>
      </c>
      <c r="I130" s="228">
        <f>50.8/2</f>
        <v>25.4</v>
      </c>
      <c r="J130" s="228">
        <v>34.159999999999997</v>
      </c>
      <c r="K130" s="228">
        <f t="shared" ref="K130:K135" si="218">IF(B130="ОСНО",J130*1.18,J130)</f>
        <v>34.159999999999997</v>
      </c>
      <c r="L130" s="229">
        <f>(G130*F130)/(D130*C130)</f>
        <v>1.0703253368386461</v>
      </c>
      <c r="M130" s="229">
        <f>(K130*I130)/(H130*F130)</f>
        <v>1.0488179306109917</v>
      </c>
      <c r="N130" s="238" t="s">
        <v>345</v>
      </c>
      <c r="O130" s="228">
        <f>31.2/2</f>
        <v>15.6</v>
      </c>
      <c r="P130" s="228">
        <v>30.43</v>
      </c>
      <c r="Q130" s="228">
        <f>IF(B130="ОСНО",P130*1.18,P130)</f>
        <v>30.43</v>
      </c>
      <c r="R130" s="228"/>
      <c r="S130" s="228">
        <f>O130</f>
        <v>15.6</v>
      </c>
      <c r="T130" s="228">
        <v>32.57</v>
      </c>
      <c r="U130" s="228">
        <f>IF(B130="ОСНО",T130*1.18,T130)</f>
        <v>32.57</v>
      </c>
      <c r="V130" s="228">
        <f>31.2/2</f>
        <v>15.6</v>
      </c>
      <c r="W130" s="228">
        <v>34.159999999999997</v>
      </c>
      <c r="X130" s="228">
        <f>IF(B130="ОСНО",W130*1.18,W130)</f>
        <v>34.159999999999997</v>
      </c>
      <c r="Y130" s="229">
        <f>(T130*S130)/(P130*O130)</f>
        <v>1.0703253368386461</v>
      </c>
      <c r="Z130" s="229">
        <f>(X130*V130)/(U130*S130)</f>
        <v>1.0488179306109917</v>
      </c>
      <c r="AA130" s="228"/>
      <c r="AB130" s="228"/>
      <c r="AC130" s="228">
        <f t="shared" ref="AC130:AC135" si="219">IF(B130="ОСНО",AB130*1.18,AB130)</f>
        <v>0</v>
      </c>
      <c r="AD130" s="228"/>
      <c r="AE130" s="230">
        <f>(J130-W130)*V130+(G130-T130)*O130</f>
        <v>0</v>
      </c>
      <c r="AF130" s="228"/>
      <c r="AG130" s="228"/>
      <c r="AH130" s="228"/>
      <c r="AI130" s="228"/>
      <c r="AJ130" s="228"/>
      <c r="AK130" s="228"/>
      <c r="AL130" s="229"/>
      <c r="AM130" s="229"/>
      <c r="AN130" s="239"/>
      <c r="AO130" s="240"/>
      <c r="AP130" s="228"/>
      <c r="AQ130" s="228"/>
      <c r="AR130" s="240"/>
      <c r="AS130" s="240"/>
      <c r="AT130" s="228"/>
      <c r="AU130" s="228"/>
      <c r="AV130" s="228"/>
      <c r="AW130" s="228"/>
      <c r="AX130" s="241"/>
      <c r="AY130" s="229"/>
      <c r="AZ130" s="229"/>
      <c r="BA130" s="230"/>
    </row>
    <row r="131" spans="1:53" s="231" customFormat="1" ht="15.75" hidden="1">
      <c r="A131" s="246" t="s">
        <v>346</v>
      </c>
      <c r="B131" s="237" t="s">
        <v>398</v>
      </c>
      <c r="C131" s="228"/>
      <c r="D131" s="228"/>
      <c r="E131" s="228">
        <f t="shared" si="216"/>
        <v>0</v>
      </c>
      <c r="F131" s="228"/>
      <c r="G131" s="228"/>
      <c r="H131" s="228"/>
      <c r="I131" s="228"/>
      <c r="J131" s="228"/>
      <c r="K131" s="228"/>
      <c r="L131" s="229"/>
      <c r="M131" s="229"/>
      <c r="N131" s="238"/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229"/>
      <c r="Z131" s="229"/>
      <c r="AA131" s="228"/>
      <c r="AB131" s="228"/>
      <c r="AC131" s="228">
        <f t="shared" si="219"/>
        <v>0</v>
      </c>
      <c r="AD131" s="228"/>
      <c r="AE131" s="230"/>
      <c r="AF131" s="228"/>
      <c r="AG131" s="228"/>
      <c r="AH131" s="228"/>
      <c r="AI131" s="228"/>
      <c r="AJ131" s="228"/>
      <c r="AK131" s="228"/>
      <c r="AL131" s="229"/>
      <c r="AM131" s="229"/>
      <c r="AN131" s="239"/>
      <c r="AO131" s="239"/>
      <c r="AP131" s="228"/>
      <c r="AQ131" s="228"/>
      <c r="AR131" s="239"/>
      <c r="AS131" s="239"/>
      <c r="AT131" s="228"/>
      <c r="AU131" s="228"/>
      <c r="AV131" s="228"/>
      <c r="AW131" s="228"/>
      <c r="AX131" s="241"/>
      <c r="AY131" s="229"/>
      <c r="AZ131" s="229"/>
      <c r="BA131" s="230"/>
    </row>
    <row r="132" spans="1:53" s="231" customFormat="1" ht="15.75" hidden="1">
      <c r="A132" s="270" t="s">
        <v>417</v>
      </c>
      <c r="B132" s="237" t="s">
        <v>398</v>
      </c>
      <c r="C132" s="228">
        <f>18.602/2</f>
        <v>9.3010000000000002</v>
      </c>
      <c r="D132" s="228">
        <v>84.06</v>
      </c>
      <c r="E132" s="228">
        <f t="shared" si="216"/>
        <v>84.06</v>
      </c>
      <c r="F132" s="228">
        <f t="shared" ref="F132:F134" si="220">C132</f>
        <v>9.3010000000000002</v>
      </c>
      <c r="G132" s="228">
        <v>84.06</v>
      </c>
      <c r="H132" s="228">
        <f t="shared" si="217"/>
        <v>84.06</v>
      </c>
      <c r="I132" s="228">
        <f>18.602/2</f>
        <v>9.3010000000000002</v>
      </c>
      <c r="J132" s="228">
        <v>95.2</v>
      </c>
      <c r="K132" s="228">
        <f t="shared" si="218"/>
        <v>95.2</v>
      </c>
      <c r="L132" s="229">
        <f t="shared" ref="L132:L135" si="221">(G132*F132)/(D132*C132)</f>
        <v>1</v>
      </c>
      <c r="M132" s="229">
        <f>(K132*I132)/(H132*F132)</f>
        <v>1.1325243873423745</v>
      </c>
      <c r="N132" s="238" t="s">
        <v>347</v>
      </c>
      <c r="O132" s="228">
        <f>16.986/2</f>
        <v>8.4930000000000003</v>
      </c>
      <c r="P132" s="228">
        <v>29</v>
      </c>
      <c r="Q132" s="228">
        <f>IF(B132="ОСНО",P132*1.18,P132)</f>
        <v>29</v>
      </c>
      <c r="R132" s="228"/>
      <c r="S132" s="228">
        <f>O132</f>
        <v>8.4930000000000003</v>
      </c>
      <c r="T132" s="228">
        <v>31.06</v>
      </c>
      <c r="U132" s="228">
        <f>IF(B132="ОСНО",T132*1.18,T132)</f>
        <v>31.06</v>
      </c>
      <c r="V132" s="228">
        <f>16.986/2</f>
        <v>8.4930000000000003</v>
      </c>
      <c r="W132" s="228">
        <f>T132*1.04</f>
        <v>32.302399999999999</v>
      </c>
      <c r="X132" s="228">
        <f>IF(B132="ОСНО",W132*1.18,W132)</f>
        <v>32.302399999999999</v>
      </c>
      <c r="Y132" s="229">
        <f>(T132*S132)/(P132*O132)</f>
        <v>1.0710344827586207</v>
      </c>
      <c r="Z132" s="229">
        <f>(X132*V132)/(U132*S132)</f>
        <v>1.04</v>
      </c>
      <c r="AA132" s="228"/>
      <c r="AB132" s="228"/>
      <c r="AC132" s="228">
        <f t="shared" si="219"/>
        <v>0</v>
      </c>
      <c r="AD132" s="228"/>
      <c r="AE132" s="230">
        <f>(J132-W132)*V132+(G132-T132)*O132</f>
        <v>984.31831680000005</v>
      </c>
      <c r="AF132" s="228">
        <f>8.55/2</f>
        <v>4.2750000000000004</v>
      </c>
      <c r="AG132" s="228">
        <v>36.549999999999997</v>
      </c>
      <c r="AH132" s="228">
        <f>IF(B132="ОСНО",AG132*1.18,AG132)</f>
        <v>36.549999999999997</v>
      </c>
      <c r="AI132" s="228">
        <f>8.55/2</f>
        <v>4.2750000000000004</v>
      </c>
      <c r="AJ132" s="228">
        <v>40.92</v>
      </c>
      <c r="AK132" s="228">
        <f>IF(B132="ОСНО",AJ132*1.18,AJ132)</f>
        <v>40.92</v>
      </c>
      <c r="AL132" s="229"/>
      <c r="AM132" s="229">
        <f t="shared" ref="AM132:AM135" si="222">(AK132*AI132)/(AH132*AF132)</f>
        <v>1.119562243502052</v>
      </c>
      <c r="AN132" s="240">
        <v>0</v>
      </c>
      <c r="AO132" s="239"/>
      <c r="AP132" s="228">
        <f>IF(B132="ОСНО",AO132*1.18,AO132)</f>
        <v>0</v>
      </c>
      <c r="AQ132" s="228"/>
      <c r="AR132" s="240">
        <f>8.15/2</f>
        <v>4.0750000000000002</v>
      </c>
      <c r="AS132" s="239">
        <v>20.28</v>
      </c>
      <c r="AT132" s="228">
        <f>IF(B132="ОСНО",AS132*1.18,AS132)</f>
        <v>20.28</v>
      </c>
      <c r="AU132" s="240">
        <f>8.15/2</f>
        <v>4.0750000000000002</v>
      </c>
      <c r="AV132" s="228">
        <f>AS132*1.04</f>
        <v>21.091200000000001</v>
      </c>
      <c r="AW132" s="228">
        <f>IF(B132="ОСНО",AV132*1.18,AV132)</f>
        <v>21.091200000000001</v>
      </c>
      <c r="AX132" s="241" t="e">
        <f t="shared" ref="AX132:AX133" si="223">AS132/AO132</f>
        <v>#DIV/0!</v>
      </c>
      <c r="AY132" s="229">
        <f t="shared" ref="AY132:AY135" si="224">(AW132*AU132)/(AT132*AR132)</f>
        <v>1.04</v>
      </c>
      <c r="AZ132" s="229"/>
      <c r="BA132" s="230">
        <f>(AG132-AS132)*AR132+(AJ132-AV132)*AU132</f>
        <v>147.10261</v>
      </c>
    </row>
    <row r="133" spans="1:53" s="231" customFormat="1" ht="15.75" hidden="1">
      <c r="A133" s="270" t="s">
        <v>418</v>
      </c>
      <c r="B133" s="237" t="s">
        <v>398</v>
      </c>
      <c r="C133" s="228">
        <f>14.763/2</f>
        <v>7.3815</v>
      </c>
      <c r="D133" s="228">
        <v>41.1</v>
      </c>
      <c r="E133" s="228">
        <f t="shared" si="216"/>
        <v>41.1</v>
      </c>
      <c r="F133" s="228">
        <v>7.37</v>
      </c>
      <c r="G133" s="228">
        <v>43.59</v>
      </c>
      <c r="H133" s="228">
        <f t="shared" si="217"/>
        <v>43.59</v>
      </c>
      <c r="I133" s="228">
        <v>7.37</v>
      </c>
      <c r="J133" s="228">
        <v>44.82</v>
      </c>
      <c r="K133" s="228">
        <f t="shared" si="218"/>
        <v>44.82</v>
      </c>
      <c r="L133" s="229">
        <f t="shared" si="221"/>
        <v>1.0589316059926894</v>
      </c>
      <c r="M133" s="229">
        <f>(K133*I133)/(H133*F133)</f>
        <v>1.0282174810736406</v>
      </c>
      <c r="N133" s="238" t="s">
        <v>348</v>
      </c>
      <c r="O133" s="228">
        <f>16.668/2</f>
        <v>8.3339999999999996</v>
      </c>
      <c r="P133" s="228">
        <v>25.2</v>
      </c>
      <c r="Q133" s="228">
        <f>IF(B133="ОСНО",P133*1.18,P133)</f>
        <v>25.2</v>
      </c>
      <c r="R133" s="228"/>
      <c r="S133" s="228">
        <f>V133</f>
        <v>6.8339999999999996</v>
      </c>
      <c r="T133" s="228">
        <v>26.99</v>
      </c>
      <c r="U133" s="228">
        <f>IF(B133="ОСНО",T133*1.18,T133)</f>
        <v>26.99</v>
      </c>
      <c r="V133" s="228">
        <f>13.668/2</f>
        <v>6.8339999999999996</v>
      </c>
      <c r="W133" s="228">
        <f t="shared" ref="W133:W134" si="225">T133*1.04</f>
        <v>28.069599999999998</v>
      </c>
      <c r="X133" s="228">
        <f>IF(B133="ОСНО",W133*1.18,W133)</f>
        <v>28.069599999999998</v>
      </c>
      <c r="Y133" s="229">
        <f>(T133*S133)/(P133*O133)</f>
        <v>0.87826145336944461</v>
      </c>
      <c r="Z133" s="229">
        <f>(X133*V133)/(U133*S133)</f>
        <v>1.04</v>
      </c>
      <c r="AA133" s="228"/>
      <c r="AB133" s="228"/>
      <c r="AC133" s="228">
        <f t="shared" si="219"/>
        <v>0</v>
      </c>
      <c r="AD133" s="228"/>
      <c r="AE133" s="230">
        <f>(J133-W133)*V133+(G133-T133)*O133</f>
        <v>252.81663360000005</v>
      </c>
      <c r="AF133" s="228">
        <f>9.185/2</f>
        <v>4.5925000000000002</v>
      </c>
      <c r="AG133" s="228">
        <v>50.25</v>
      </c>
      <c r="AH133" s="228">
        <f>IF(B133="ОСНО",AG133*1.18,AG133)</f>
        <v>50.25</v>
      </c>
      <c r="AI133" s="228">
        <f>9.185/2</f>
        <v>4.5925000000000002</v>
      </c>
      <c r="AJ133" s="228">
        <v>55.69</v>
      </c>
      <c r="AK133" s="228">
        <f>IF(B133="ОСНО",AJ133*1.18,AJ133)</f>
        <v>55.69</v>
      </c>
      <c r="AL133" s="229"/>
      <c r="AM133" s="229">
        <f t="shared" si="222"/>
        <v>1.1082587064676617</v>
      </c>
      <c r="AN133" s="239">
        <v>0</v>
      </c>
      <c r="AO133" s="240"/>
      <c r="AP133" s="228">
        <f>IF(B133="ОСНО",AO133*1.18,AO133)</f>
        <v>0</v>
      </c>
      <c r="AQ133" s="228"/>
      <c r="AR133" s="240">
        <f>9.1/2</f>
        <v>4.55</v>
      </c>
      <c r="AS133" s="240">
        <v>20.28</v>
      </c>
      <c r="AT133" s="228">
        <f>IF(B133="ОСНО",AS133*1.18,AS133)</f>
        <v>20.28</v>
      </c>
      <c r="AU133" s="240">
        <f>9.1/2</f>
        <v>4.55</v>
      </c>
      <c r="AV133" s="228">
        <f t="shared" ref="AV133:AV134" si="226">AS133*1.04</f>
        <v>21.091200000000001</v>
      </c>
      <c r="AW133" s="228">
        <f>IF(B133="ОСНО",AV133*1.18,AV133)</f>
        <v>21.091200000000001</v>
      </c>
      <c r="AX133" s="241" t="e">
        <f t="shared" si="223"/>
        <v>#DIV/0!</v>
      </c>
      <c r="AY133" s="229">
        <f t="shared" si="224"/>
        <v>1.04</v>
      </c>
      <c r="AZ133" s="229"/>
      <c r="BA133" s="230">
        <f t="shared" si="125"/>
        <v>293.78803999999997</v>
      </c>
    </row>
    <row r="134" spans="1:53" s="231" customFormat="1" ht="15.75" hidden="1">
      <c r="A134" s="246" t="s">
        <v>349</v>
      </c>
      <c r="B134" s="237" t="s">
        <v>398</v>
      </c>
      <c r="C134" s="228">
        <f>843/2</f>
        <v>421.5</v>
      </c>
      <c r="D134" s="228">
        <v>42.44</v>
      </c>
      <c r="E134" s="228">
        <f t="shared" si="216"/>
        <v>42.44</v>
      </c>
      <c r="F134" s="228">
        <f t="shared" si="220"/>
        <v>421.5</v>
      </c>
      <c r="G134" s="228">
        <v>42.44</v>
      </c>
      <c r="H134" s="228">
        <f t="shared" si="217"/>
        <v>42.44</v>
      </c>
      <c r="I134" s="228">
        <f>843/2</f>
        <v>421.5</v>
      </c>
      <c r="J134" s="228">
        <v>48.48</v>
      </c>
      <c r="K134" s="228">
        <f t="shared" si="218"/>
        <v>48.48</v>
      </c>
      <c r="L134" s="229">
        <f t="shared" si="221"/>
        <v>1</v>
      </c>
      <c r="M134" s="229">
        <f>(K134*I134)/(H134*F134)</f>
        <v>1.1423185673892555</v>
      </c>
      <c r="N134" s="238" t="s">
        <v>350</v>
      </c>
      <c r="O134" s="228">
        <f>514/2</f>
        <v>257</v>
      </c>
      <c r="P134" s="228">
        <v>31</v>
      </c>
      <c r="Q134" s="228">
        <f>IF(B134="ОСНО",P134*1.18,P134)</f>
        <v>31</v>
      </c>
      <c r="R134" s="228"/>
      <c r="S134" s="228">
        <f>O134</f>
        <v>257</v>
      </c>
      <c r="T134" s="228">
        <v>33.200000000000003</v>
      </c>
      <c r="U134" s="228">
        <f>IF(B134="ОСНО",T134*1.18,T134)</f>
        <v>33.200000000000003</v>
      </c>
      <c r="V134" s="228">
        <f>514/2</f>
        <v>257</v>
      </c>
      <c r="W134" s="228">
        <f t="shared" si="225"/>
        <v>34.528000000000006</v>
      </c>
      <c r="X134" s="228">
        <f>IF(B134="ОСНО",W134*1.18,W134)</f>
        <v>34.528000000000006</v>
      </c>
      <c r="Y134" s="229">
        <f>(T134*S134)/(P134*O134)</f>
        <v>1.0709677419354842</v>
      </c>
      <c r="Z134" s="229">
        <f>(X134*V134)/(U134*S134)</f>
        <v>1.04</v>
      </c>
      <c r="AA134" s="228">
        <f>500/2</f>
        <v>250</v>
      </c>
      <c r="AB134" s="228">
        <v>51.3</v>
      </c>
      <c r="AC134" s="228">
        <f t="shared" si="219"/>
        <v>51.3</v>
      </c>
      <c r="AD134" s="228"/>
      <c r="AE134" s="230">
        <f>(J134-W134)*V134+(G134-T134)*O134</f>
        <v>5960.3439999999955</v>
      </c>
      <c r="AF134" s="228">
        <f>AA134</f>
        <v>250</v>
      </c>
      <c r="AG134" s="228">
        <v>51.3</v>
      </c>
      <c r="AH134" s="228">
        <f>IF(B134="ОСНО",AG134*1.18,AG134)</f>
        <v>51.3</v>
      </c>
      <c r="AI134" s="228">
        <f>500/2</f>
        <v>250</v>
      </c>
      <c r="AJ134" s="228">
        <v>57.66</v>
      </c>
      <c r="AK134" s="228">
        <f>IF(B134="ОСНО",AJ134*1.18,AJ134)</f>
        <v>57.66</v>
      </c>
      <c r="AL134" s="229">
        <f t="shared" ref="AL134:AL137" si="227">AG134/AB134</f>
        <v>1</v>
      </c>
      <c r="AM134" s="229">
        <f t="shared" si="222"/>
        <v>1.1239766081871345</v>
      </c>
      <c r="AN134" s="239">
        <f>310/2</f>
        <v>155</v>
      </c>
      <c r="AO134" s="239">
        <v>39</v>
      </c>
      <c r="AP134" s="228">
        <f>IF(B134="ОСНО",AO134*1.18,AO134)</f>
        <v>39</v>
      </c>
      <c r="AQ134" s="228"/>
      <c r="AR134" s="239">
        <f>AN134</f>
        <v>155</v>
      </c>
      <c r="AS134" s="239">
        <v>41.77</v>
      </c>
      <c r="AT134" s="228">
        <f>IF(B134="ОСНО",AS134*1.18,AS134)</f>
        <v>41.77</v>
      </c>
      <c r="AU134" s="228">
        <f>310/2</f>
        <v>155</v>
      </c>
      <c r="AV134" s="228">
        <f t="shared" si="226"/>
        <v>43.440800000000003</v>
      </c>
      <c r="AW134" s="228">
        <f>IF(B134="ОСНО",AV134*1.18,AV134)</f>
        <v>43.440800000000003</v>
      </c>
      <c r="AX134" s="229">
        <f>AS134/AO134</f>
        <v>1.0710256410256411</v>
      </c>
      <c r="AY134" s="229">
        <f t="shared" si="224"/>
        <v>1.04</v>
      </c>
      <c r="AZ134" s="229"/>
      <c r="BA134" s="230">
        <f t="shared" si="125"/>
        <v>3681.1259999999984</v>
      </c>
    </row>
    <row r="135" spans="1:53" ht="15.75" hidden="1">
      <c r="A135" s="246" t="s">
        <v>427</v>
      </c>
      <c r="B135" s="237" t="s">
        <v>397</v>
      </c>
      <c r="C135" s="181">
        <f>268.783/2</f>
        <v>134.39150000000001</v>
      </c>
      <c r="D135" s="181">
        <v>32.71</v>
      </c>
      <c r="E135" s="181">
        <f t="shared" si="216"/>
        <v>38.597799999999999</v>
      </c>
      <c r="F135" s="228">
        <f>I135</f>
        <v>107.4115</v>
      </c>
      <c r="G135" s="228">
        <v>34.159999999999997</v>
      </c>
      <c r="H135" s="228">
        <f t="shared" si="217"/>
        <v>40.308799999999991</v>
      </c>
      <c r="I135" s="228">
        <f>214.823/2</f>
        <v>107.4115</v>
      </c>
      <c r="J135" s="228">
        <v>36.07</v>
      </c>
      <c r="K135" s="228">
        <f t="shared" si="218"/>
        <v>42.562599999999996</v>
      </c>
      <c r="L135" s="229">
        <f t="shared" si="221"/>
        <v>0.83467287114390154</v>
      </c>
      <c r="M135" s="229">
        <f>(K135*I135)/(H135*F135)</f>
        <v>1.0559133489461361</v>
      </c>
      <c r="N135" s="195"/>
      <c r="O135" s="181">
        <f>38.416/2</f>
        <v>19.207999999999998</v>
      </c>
      <c r="P135" s="181">
        <v>32.71</v>
      </c>
      <c r="Q135" s="181">
        <f>IF(B135="ОСНО",P135*1.18,P135)</f>
        <v>38.597799999999999</v>
      </c>
      <c r="R135" s="181"/>
      <c r="S135" s="228">
        <f>V135</f>
        <v>22.403500000000001</v>
      </c>
      <c r="T135" s="228">
        <v>34.159999999999997</v>
      </c>
      <c r="U135" s="228">
        <f>IF(B135="ОСНО",T135*1.18,T135)</f>
        <v>40.308799999999991</v>
      </c>
      <c r="V135" s="228">
        <f>44.807/2</f>
        <v>22.403500000000001</v>
      </c>
      <c r="W135" s="228">
        <v>36.07</v>
      </c>
      <c r="X135" s="228">
        <f>IF(B135="ОСНО",W135*1.18,W135)</f>
        <v>42.562599999999996</v>
      </c>
      <c r="Y135" s="229">
        <f>(T135*S135)/(P135*O135)</f>
        <v>1.2180666213290574</v>
      </c>
      <c r="Z135" s="229">
        <f>(X135*V135)/(U135*S135)</f>
        <v>1.0559133489461359</v>
      </c>
      <c r="AA135" s="181">
        <f>93.877/2</f>
        <v>46.938499999999998</v>
      </c>
      <c r="AB135" s="181">
        <v>52.27</v>
      </c>
      <c r="AC135" s="181">
        <f t="shared" si="219"/>
        <v>61.678600000000003</v>
      </c>
      <c r="AD135" s="181"/>
      <c r="AE135" s="230">
        <f>(J135-W135)*V135+(G135-T135)*O135</f>
        <v>0</v>
      </c>
      <c r="AF135" s="228">
        <f>92.132/2</f>
        <v>46.066000000000003</v>
      </c>
      <c r="AG135" s="228">
        <v>55.52</v>
      </c>
      <c r="AH135" s="228">
        <f>IF(B135="ОСНО",AG135*1.18,AG135)</f>
        <v>65.513599999999997</v>
      </c>
      <c r="AI135" s="228">
        <f>AF135</f>
        <v>46.066000000000003</v>
      </c>
      <c r="AJ135" s="228">
        <v>58.79</v>
      </c>
      <c r="AK135" s="228">
        <f>IF(B135="ОСНО",AJ135*1.18,AJ135)</f>
        <v>69.372199999999992</v>
      </c>
      <c r="AL135" s="229">
        <f t="shared" si="227"/>
        <v>1.0621771570690646</v>
      </c>
      <c r="AM135" s="229">
        <f t="shared" si="222"/>
        <v>1.0588976945244957</v>
      </c>
      <c r="AN135" s="194">
        <f>35.516/2</f>
        <v>17.757999999999999</v>
      </c>
      <c r="AO135" s="184">
        <v>52.27</v>
      </c>
      <c r="AP135" s="181">
        <f>IF(B135="ОСНО",AO135*1.18,AO135)</f>
        <v>61.678600000000003</v>
      </c>
      <c r="AQ135" s="181"/>
      <c r="AR135" s="240">
        <f>47.115/2</f>
        <v>23.557500000000001</v>
      </c>
      <c r="AS135" s="239">
        <v>55.52</v>
      </c>
      <c r="AT135" s="228">
        <f>IF(B135="ОСНО",AS135*1.18,AS135)</f>
        <v>65.513599999999997</v>
      </c>
      <c r="AU135" s="228">
        <f>47.115236/2</f>
        <v>23.557618000000002</v>
      </c>
      <c r="AV135" s="228">
        <v>58.79</v>
      </c>
      <c r="AW135" s="228">
        <f>IF(B135="ОСНО",AV135*1.18,AV135)</f>
        <v>69.372199999999992</v>
      </c>
      <c r="AX135" s="229">
        <f>AS135/AO135</f>
        <v>1.0621771570690646</v>
      </c>
      <c r="AY135" s="229">
        <f t="shared" si="224"/>
        <v>1.0589029985647356</v>
      </c>
      <c r="AZ135" s="229"/>
      <c r="BA135" s="230">
        <f t="shared" si="125"/>
        <v>0</v>
      </c>
    </row>
    <row r="136" spans="1:53" s="216" customFormat="1" ht="15.75">
      <c r="A136" s="185" t="s">
        <v>104</v>
      </c>
      <c r="B136" s="185"/>
      <c r="C136" s="42">
        <f>SUM(C137:C140)</f>
        <v>116.208</v>
      </c>
      <c r="D136" s="42">
        <f>SUMPRODUCT(C137:C140,D137:D140)/C136</f>
        <v>43.362117840424062</v>
      </c>
      <c r="E136" s="42">
        <f>SUMPRODUCT(C137:C140,E137:E140)/C136</f>
        <v>43.362117840424062</v>
      </c>
      <c r="F136" s="42">
        <f>SUM(F137:F140)</f>
        <v>116.208</v>
      </c>
      <c r="G136" s="42">
        <f>SUMPRODUCT(F137:F140,G137:G140)/F136</f>
        <v>45.2136927750241</v>
      </c>
      <c r="H136" s="42">
        <f>SUMPRODUCT(F137:F140,H137:H140)/F136</f>
        <v>45.2136927750241</v>
      </c>
      <c r="I136" s="42">
        <f>SUM(I137:I140)</f>
        <v>116.208</v>
      </c>
      <c r="J136" s="42">
        <f>SUMPRODUCT(I137:I140,J137:J140)/I136</f>
        <v>47.392770721464956</v>
      </c>
      <c r="K136" s="42">
        <f>SUMPRODUCT(I137:I140,K137:K140)/I136</f>
        <v>47.392770721464956</v>
      </c>
      <c r="L136" s="84">
        <f>G136/D136</f>
        <v>1.0427002883349465</v>
      </c>
      <c r="M136" s="84">
        <f>J136/G136</f>
        <v>1.0481950889807561</v>
      </c>
      <c r="N136" s="84"/>
      <c r="O136" s="42">
        <f>SUM(O137:O140)</f>
        <v>57.929000000000002</v>
      </c>
      <c r="P136" s="42">
        <f>SUMPRODUCT(O137:O140,P137:P140)/O136</f>
        <v>29.999999999999996</v>
      </c>
      <c r="Q136" s="42">
        <f>SUMPRODUCT(O137:O140,Q137:Q140)/O136</f>
        <v>29.999999999999996</v>
      </c>
      <c r="R136" s="84">
        <f>K136/H136</f>
        <v>1.0481950889807561</v>
      </c>
      <c r="S136" s="42">
        <f>SUM(S137:S140)</f>
        <v>57.929000000000002</v>
      </c>
      <c r="T136" s="42">
        <f>SUMPRODUCT(S137:S140,T137:T140)/S136</f>
        <v>32.129999999999995</v>
      </c>
      <c r="U136" s="42">
        <f>SUMPRODUCT(S137:S140,U137:U140)/S136</f>
        <v>32.129999999999995</v>
      </c>
      <c r="V136" s="42">
        <f>SUM(V137:V140)</f>
        <v>57.929000000000002</v>
      </c>
      <c r="W136" s="42">
        <f>SUMPRODUCT(V137:V140,W137:W140)/V136</f>
        <v>34.06</v>
      </c>
      <c r="X136" s="42">
        <f>SUMPRODUCT(V137:V140,X137:X140)/V136</f>
        <v>34.06</v>
      </c>
      <c r="Y136" s="84">
        <f>T136/P136</f>
        <v>1.071</v>
      </c>
      <c r="Z136" s="84">
        <f>W136/T136</f>
        <v>1.0600684718331779</v>
      </c>
      <c r="AA136" s="42">
        <f>SUM(AA137:AA140)</f>
        <v>53.707500000000003</v>
      </c>
      <c r="AB136" s="42">
        <f>SUMPRODUCT(AA137:AA140,AB137:AB140)/AA136</f>
        <v>49.63</v>
      </c>
      <c r="AC136" s="42">
        <f>SUMPRODUCT(AA137:AA140,AC137:AC140)/AA136</f>
        <v>49.63</v>
      </c>
      <c r="AD136" s="84">
        <f>X136/U136</f>
        <v>1.0600684718331779</v>
      </c>
      <c r="AE136" s="222">
        <f>AE137+AE138+AE139+AE140</f>
        <v>1537.5224600000001</v>
      </c>
      <c r="AF136" s="42">
        <f>SUM(AF137:AF140)</f>
        <v>53.707500000000003</v>
      </c>
      <c r="AG136" s="42">
        <f>SUMPRODUCT(AF137:AF140,AG137:AG140)/AF136</f>
        <v>50.71</v>
      </c>
      <c r="AH136" s="42">
        <f>SUMPRODUCT(AF137:AF140,AH137:AH140)/AF136</f>
        <v>50.71</v>
      </c>
      <c r="AI136" s="42">
        <f>SUM(AI137:AI140)</f>
        <v>53.707500000000003</v>
      </c>
      <c r="AJ136" s="42">
        <f>SUMPRODUCT(AI137:AI140,AJ137:AJ140)/AI136</f>
        <v>56.45000000000001</v>
      </c>
      <c r="AK136" s="42">
        <f>SUMPRODUCT(AI137:AI140,AK137:AK140)/AI136</f>
        <v>56.45000000000001</v>
      </c>
      <c r="AL136" s="84">
        <f t="shared" si="227"/>
        <v>1.0217610316340922</v>
      </c>
      <c r="AM136" s="84">
        <f>AJ136/AG136</f>
        <v>1.1131926641688032</v>
      </c>
      <c r="AN136" s="42">
        <f>SUM(AN137:AN140)</f>
        <v>24.574999999999999</v>
      </c>
      <c r="AO136" s="42">
        <f>SUMPRODUCT(AN137:AN140,AO137:AO140)/AN136</f>
        <v>35</v>
      </c>
      <c r="AP136" s="42">
        <f>SUMPRODUCT(AN137:AN140,AP137:AP140)/AN136</f>
        <v>35</v>
      </c>
      <c r="AQ136" s="84">
        <f>AK136/AH136</f>
        <v>1.1131926641688032</v>
      </c>
      <c r="AR136" s="42">
        <f>SUM(AR137:AR140)</f>
        <v>24.557500000000001</v>
      </c>
      <c r="AS136" s="42">
        <f>SUMPRODUCT(AR137:AR140,AS137:AS140)/AR136</f>
        <v>37.49</v>
      </c>
      <c r="AT136" s="42">
        <f>SUMPRODUCT(AR137:AR140,AT137:AT140)/AR136</f>
        <v>37.49</v>
      </c>
      <c r="AU136" s="42">
        <f>SUM(AU137:AU140)</f>
        <v>24.557500000000001</v>
      </c>
      <c r="AV136" s="42">
        <f>SUMPRODUCT(AU137:AU140,AV137:AV140)/AU136</f>
        <v>39.739400000000003</v>
      </c>
      <c r="AW136" s="42">
        <f>SUMPRODUCT(AU137:AU140,AW137:AW140)/AU136</f>
        <v>39.739400000000003</v>
      </c>
      <c r="AX136" s="84">
        <f>AS136/AO136</f>
        <v>1.0711428571428572</v>
      </c>
      <c r="AY136" s="84">
        <f>AV136/AS136</f>
        <v>1.06</v>
      </c>
      <c r="AZ136" s="84">
        <f>AW136/AT136</f>
        <v>1.06</v>
      </c>
      <c r="BA136" s="224">
        <f>BA137</f>
        <v>735.02070950000007</v>
      </c>
    </row>
    <row r="137" spans="1:53" s="231" customFormat="1" ht="15.75" hidden="1">
      <c r="A137" s="246" t="s">
        <v>351</v>
      </c>
      <c r="B137" s="237" t="s">
        <v>398</v>
      </c>
      <c r="C137" s="228">
        <f>145.04/2</f>
        <v>72.52</v>
      </c>
      <c r="D137" s="228">
        <v>43.04</v>
      </c>
      <c r="E137" s="228">
        <f t="shared" ref="E137:E140" si="228">IF(B137="ОСНО",D137*1.18,D137)</f>
        <v>43.04</v>
      </c>
      <c r="F137" s="228">
        <f>C137</f>
        <v>72.52</v>
      </c>
      <c r="G137" s="228">
        <v>44.79</v>
      </c>
      <c r="H137" s="228">
        <f t="shared" ref="H137:H140" si="229">IF(B137="ОСНО",G137*1.18,G137)</f>
        <v>44.79</v>
      </c>
      <c r="I137" s="228">
        <f>145.04/2</f>
        <v>72.52</v>
      </c>
      <c r="J137" s="228">
        <v>47.5</v>
      </c>
      <c r="K137" s="228">
        <f t="shared" ref="K137:K140" si="230">IF(B137="ОСНО",J137*1.18,J137)</f>
        <v>47.5</v>
      </c>
      <c r="L137" s="229">
        <f>(G137*F137)/(D137*C137)</f>
        <v>1.0406598513011154</v>
      </c>
      <c r="M137" s="229">
        <f>(K137*I137)/(H137*F137)</f>
        <v>1.0605045769144898</v>
      </c>
      <c r="N137" s="238" t="s">
        <v>289</v>
      </c>
      <c r="O137" s="228">
        <f>55.6/2</f>
        <v>27.8</v>
      </c>
      <c r="P137" s="228">
        <v>30</v>
      </c>
      <c r="Q137" s="228">
        <f>IF(B137="ОСНО",P137*1.18,P137)</f>
        <v>30</v>
      </c>
      <c r="R137" s="228"/>
      <c r="S137" s="228">
        <f>O137</f>
        <v>27.8</v>
      </c>
      <c r="T137" s="228">
        <v>32.130000000000003</v>
      </c>
      <c r="U137" s="228">
        <f>IF(B137="ОСНО",T137*1.18,T137)</f>
        <v>32.130000000000003</v>
      </c>
      <c r="V137" s="228">
        <f>55.6/2</f>
        <v>27.8</v>
      </c>
      <c r="W137" s="227">
        <f>W140</f>
        <v>34.06</v>
      </c>
      <c r="X137" s="227">
        <f>IF(B137="ОСНО",W137*1.18,W137)</f>
        <v>34.06</v>
      </c>
      <c r="Y137" s="241">
        <f>T137/P137</f>
        <v>1.0710000000000002</v>
      </c>
      <c r="Z137" s="229">
        <f>(X137*V137)/(U137*S137)</f>
        <v>1.0600684718331777</v>
      </c>
      <c r="AA137" s="228">
        <f>107.415/2</f>
        <v>53.707500000000003</v>
      </c>
      <c r="AB137" s="228">
        <v>49.63</v>
      </c>
      <c r="AC137" s="228">
        <f>IF(B137="ОСНО",AB137*1.18,AB137)</f>
        <v>49.63</v>
      </c>
      <c r="AD137" s="228"/>
      <c r="AE137" s="230">
        <f>(J137-W137)*V137+(G137-T137)*O137</f>
        <v>725.57999999999993</v>
      </c>
      <c r="AF137" s="228">
        <f>AA137</f>
        <v>53.707500000000003</v>
      </c>
      <c r="AG137" s="228">
        <v>50.71</v>
      </c>
      <c r="AH137" s="228">
        <f>IF(B137="ОСНО",AG137*1.18,AG137)</f>
        <v>50.71</v>
      </c>
      <c r="AI137" s="228">
        <f>107.415/2</f>
        <v>53.707500000000003</v>
      </c>
      <c r="AJ137" s="228">
        <v>56.45</v>
      </c>
      <c r="AK137" s="228">
        <f>IF(B137="ОСНО",AJ137*1.18,AJ137)</f>
        <v>56.45</v>
      </c>
      <c r="AL137" s="229">
        <f t="shared" si="227"/>
        <v>1.0217610316340922</v>
      </c>
      <c r="AM137" s="229">
        <f>(AK137*AI137)/(AH137*AF137)</f>
        <v>1.1131926641688032</v>
      </c>
      <c r="AN137" s="239">
        <f>49.15/2</f>
        <v>24.574999999999999</v>
      </c>
      <c r="AO137" s="240">
        <v>35</v>
      </c>
      <c r="AP137" s="228">
        <f>IF(B137="ОСНО",AO137*1.18,AO137)</f>
        <v>35</v>
      </c>
      <c r="AQ137" s="228"/>
      <c r="AR137" s="240">
        <f>AU137</f>
        <v>24.557500000000001</v>
      </c>
      <c r="AS137" s="240">
        <v>37.49</v>
      </c>
      <c r="AT137" s="228">
        <f>IF(B137="ОСНО",AS137*1.18,AS137)</f>
        <v>37.49</v>
      </c>
      <c r="AU137" s="228">
        <f>49.115/2</f>
        <v>24.557500000000001</v>
      </c>
      <c r="AV137" s="228">
        <f>AS137*1.06</f>
        <v>39.739400000000003</v>
      </c>
      <c r="AW137" s="228">
        <f>IF(B137="ОСНО",AV137*1.18,AV137)</f>
        <v>39.739400000000003</v>
      </c>
      <c r="AX137" s="229">
        <f>AS137/AO137</f>
        <v>1.0711428571428572</v>
      </c>
      <c r="AY137" s="229">
        <f>(AW137*AU137)/(AT137*AR137)</f>
        <v>1.06</v>
      </c>
      <c r="AZ137" s="229"/>
      <c r="BA137" s="230">
        <f t="shared" si="125"/>
        <v>735.02070950000007</v>
      </c>
    </row>
    <row r="138" spans="1:53" s="231" customFormat="1" ht="15.75" hidden="1">
      <c r="A138" s="246" t="s">
        <v>352</v>
      </c>
      <c r="B138" s="237" t="s">
        <v>398</v>
      </c>
      <c r="C138" s="228">
        <f>66.934/2</f>
        <v>33.466999999999999</v>
      </c>
      <c r="D138" s="228">
        <v>43.1</v>
      </c>
      <c r="E138" s="228">
        <f t="shared" si="228"/>
        <v>43.1</v>
      </c>
      <c r="F138" s="228">
        <f>C138</f>
        <v>33.466999999999999</v>
      </c>
      <c r="G138" s="228">
        <v>45.06</v>
      </c>
      <c r="H138" s="228">
        <f t="shared" si="229"/>
        <v>45.06</v>
      </c>
      <c r="I138" s="228">
        <f>66.934/2</f>
        <v>33.466999999999999</v>
      </c>
      <c r="J138" s="227">
        <v>45.64</v>
      </c>
      <c r="K138" s="227">
        <f t="shared" si="230"/>
        <v>45.64</v>
      </c>
      <c r="L138" s="229">
        <f>(G138*F138)/(D138*C138)</f>
        <v>1.0454756380510442</v>
      </c>
      <c r="M138" s="229">
        <f>(K138*I138)/(H138*F138)</f>
        <v>1.0128717265867733</v>
      </c>
      <c r="N138" s="238" t="s">
        <v>353</v>
      </c>
      <c r="O138" s="228">
        <f>45.344/2</f>
        <v>22.672000000000001</v>
      </c>
      <c r="P138" s="228">
        <v>30</v>
      </c>
      <c r="Q138" s="228">
        <f>IF(B138="ОСНО",P138*1.18,P138)</f>
        <v>30</v>
      </c>
      <c r="R138" s="228"/>
      <c r="S138" s="228">
        <f>O138</f>
        <v>22.672000000000001</v>
      </c>
      <c r="T138" s="228">
        <v>32.130000000000003</v>
      </c>
      <c r="U138" s="228">
        <f>IF(B138="ОСНО",T138*1.18,T138)</f>
        <v>32.130000000000003</v>
      </c>
      <c r="V138" s="228">
        <f>45.344/2</f>
        <v>22.672000000000001</v>
      </c>
      <c r="W138" s="227">
        <f>W140</f>
        <v>34.06</v>
      </c>
      <c r="X138" s="227">
        <f>IF(B138="ОСНО",W138*1.18,W138)</f>
        <v>34.06</v>
      </c>
      <c r="Y138" s="229">
        <f>(T138*S138)/(P138*O138)</f>
        <v>1.0710000000000002</v>
      </c>
      <c r="Z138" s="229">
        <f>(X138*V138)/(U138*S138)</f>
        <v>1.0600684718331779</v>
      </c>
      <c r="AA138" s="228"/>
      <c r="AB138" s="228"/>
      <c r="AC138" s="228">
        <f>IF(B138="ОСНО",AB138*1.18,AB138)</f>
        <v>0</v>
      </c>
      <c r="AD138" s="228"/>
      <c r="AE138" s="230">
        <f>(J138-W138)*V138+(G138-T138)*O138</f>
        <v>555.69071999999994</v>
      </c>
      <c r="AF138" s="228"/>
      <c r="AG138" s="228"/>
      <c r="AH138" s="228">
        <f>IF(B138="ОСНО",AG138*1.18,AG138)</f>
        <v>0</v>
      </c>
      <c r="AI138" s="228"/>
      <c r="AJ138" s="228"/>
      <c r="AK138" s="228">
        <f>IF(B138="ОСНО",AJ138*1.18,AJ138)</f>
        <v>0</v>
      </c>
      <c r="AL138" s="229"/>
      <c r="AM138" s="229"/>
      <c r="AN138" s="239"/>
      <c r="AO138" s="240"/>
      <c r="AP138" s="228">
        <f>IF(B138="ОСНО",AO138*1.18,AO138)</f>
        <v>0</v>
      </c>
      <c r="AQ138" s="228"/>
      <c r="AR138" s="240"/>
      <c r="AS138" s="240"/>
      <c r="AT138" s="228">
        <f>IF(B138="ОСНО",AS138*1.18,AS138)</f>
        <v>0</v>
      </c>
      <c r="AU138" s="228"/>
      <c r="AV138" s="228"/>
      <c r="AW138" s="228">
        <f>IF(B138="ОСНО",AV138*1.18,AV138)</f>
        <v>0</v>
      </c>
      <c r="AX138" s="241"/>
      <c r="AY138" s="229"/>
      <c r="AZ138" s="229"/>
      <c r="BA138" s="230">
        <f t="shared" si="125"/>
        <v>0</v>
      </c>
    </row>
    <row r="139" spans="1:53" s="231" customFormat="1" ht="15.75" hidden="1">
      <c r="A139" s="246" t="s">
        <v>354</v>
      </c>
      <c r="B139" s="237" t="s">
        <v>398</v>
      </c>
      <c r="C139" s="228">
        <f>1.942/2</f>
        <v>0.97099999999999997</v>
      </c>
      <c r="D139" s="228">
        <v>82.19</v>
      </c>
      <c r="E139" s="228">
        <f t="shared" si="228"/>
        <v>82.19</v>
      </c>
      <c r="F139" s="228">
        <f>C139</f>
        <v>0.97099999999999997</v>
      </c>
      <c r="G139" s="228">
        <v>82.19</v>
      </c>
      <c r="H139" s="228">
        <f t="shared" si="229"/>
        <v>82.19</v>
      </c>
      <c r="I139" s="228">
        <f>1.942/2</f>
        <v>0.97099999999999997</v>
      </c>
      <c r="J139" s="228">
        <v>89.82</v>
      </c>
      <c r="K139" s="228">
        <f t="shared" si="230"/>
        <v>89.82</v>
      </c>
      <c r="L139" s="229">
        <f>(G139*F139)/(D139*C139)</f>
        <v>1</v>
      </c>
      <c r="M139" s="229">
        <f>(K139*I139)/(H139*F139)</f>
        <v>1.0928336780630246</v>
      </c>
      <c r="N139" s="238" t="s">
        <v>355</v>
      </c>
      <c r="O139" s="228">
        <f>1.314/2</f>
        <v>0.65700000000000003</v>
      </c>
      <c r="P139" s="228">
        <v>30</v>
      </c>
      <c r="Q139" s="228">
        <f>IF(B139="ОСНО",P139*1.18,P139)</f>
        <v>30</v>
      </c>
      <c r="R139" s="228"/>
      <c r="S139" s="228">
        <f>O139</f>
        <v>0.65700000000000003</v>
      </c>
      <c r="T139" s="228">
        <v>32.130000000000003</v>
      </c>
      <c r="U139" s="228">
        <f>IF(B139="ОСНО",T139*1.18,T139)</f>
        <v>32.130000000000003</v>
      </c>
      <c r="V139" s="228">
        <f>1.314/2</f>
        <v>0.65700000000000003</v>
      </c>
      <c r="W139" s="227">
        <f>W140</f>
        <v>34.06</v>
      </c>
      <c r="X139" s="227">
        <f>IF(B139="ОСНО",W139*1.18,W139)</f>
        <v>34.06</v>
      </c>
      <c r="Y139" s="229">
        <f>(T139*S139)/(P139*O139)</f>
        <v>1.0710000000000002</v>
      </c>
      <c r="Z139" s="229">
        <f>(X139*V139)/(U139*S139)</f>
        <v>1.0600684718331777</v>
      </c>
      <c r="AA139" s="228"/>
      <c r="AB139" s="228"/>
      <c r="AC139" s="228">
        <f>IF(B139="ОСНО",AB139*1.18,AB139)</f>
        <v>0</v>
      </c>
      <c r="AD139" s="228"/>
      <c r="AE139" s="230">
        <f>(J139-W139)*V139+(G139-T139)*O139</f>
        <v>69.523740000000004</v>
      </c>
      <c r="AF139" s="228"/>
      <c r="AG139" s="228"/>
      <c r="AH139" s="228">
        <f>IF(B139="ОСНО",AG139*1.18,AG139)</f>
        <v>0</v>
      </c>
      <c r="AI139" s="228"/>
      <c r="AJ139" s="228"/>
      <c r="AK139" s="228">
        <f>IF(B139="ОСНО",AJ139*1.18,AJ139)</f>
        <v>0</v>
      </c>
      <c r="AL139" s="229"/>
      <c r="AM139" s="229"/>
      <c r="AN139" s="239"/>
      <c r="AO139" s="239"/>
      <c r="AP139" s="228">
        <f>IF(B139="ОСНО",AO139*1.18,AO139)</f>
        <v>0</v>
      </c>
      <c r="AQ139" s="228"/>
      <c r="AR139" s="239"/>
      <c r="AS139" s="239"/>
      <c r="AT139" s="228">
        <f>IF(B139="ОСНО",AS139*1.18,AS139)</f>
        <v>0</v>
      </c>
      <c r="AU139" s="228"/>
      <c r="AV139" s="228"/>
      <c r="AW139" s="228">
        <f>IF(B139="ОСНО",AV139*1.18,AV139)</f>
        <v>0</v>
      </c>
      <c r="AX139" s="241"/>
      <c r="AY139" s="229"/>
      <c r="AZ139" s="229"/>
      <c r="BA139" s="230">
        <f t="shared" si="125"/>
        <v>0</v>
      </c>
    </row>
    <row r="140" spans="1:53" s="207" customFormat="1" ht="15.75" hidden="1">
      <c r="A140" s="208" t="s">
        <v>432</v>
      </c>
      <c r="B140" s="201" t="s">
        <v>398</v>
      </c>
      <c r="C140" s="202">
        <f>18.5/2</f>
        <v>9.25</v>
      </c>
      <c r="D140" s="202">
        <v>42.76</v>
      </c>
      <c r="E140" s="202">
        <f t="shared" si="228"/>
        <v>42.76</v>
      </c>
      <c r="F140" s="202">
        <f t="shared" ref="F140" si="231">C140</f>
        <v>9.25</v>
      </c>
      <c r="G140" s="202">
        <v>45.21</v>
      </c>
      <c r="H140" s="202">
        <f t="shared" si="229"/>
        <v>45.21</v>
      </c>
      <c r="I140" s="202">
        <f>18.5/2</f>
        <v>9.25</v>
      </c>
      <c r="J140" s="202">
        <v>48.44</v>
      </c>
      <c r="K140" s="202">
        <f t="shared" si="230"/>
        <v>48.44</v>
      </c>
      <c r="L140" s="203">
        <f t="shared" ref="L140" si="232">(G140*F140)/(D140*C140)</f>
        <v>1.0572965388213285</v>
      </c>
      <c r="M140" s="203">
        <f>(K140*I140)/(H140*F140)</f>
        <v>1.0714443707144437</v>
      </c>
      <c r="N140" s="204" t="s">
        <v>356</v>
      </c>
      <c r="O140" s="202">
        <f>13.6/2</f>
        <v>6.8</v>
      </c>
      <c r="P140" s="202">
        <v>30</v>
      </c>
      <c r="Q140" s="202">
        <f>IF(B140="ОСНО",P140*1.18,P140)</f>
        <v>30</v>
      </c>
      <c r="R140" s="202"/>
      <c r="S140" s="202">
        <f>O140</f>
        <v>6.8</v>
      </c>
      <c r="T140" s="202">
        <v>32.130000000000003</v>
      </c>
      <c r="U140" s="202">
        <f>IF(B140="ОСНО",T140*1.18,T140)</f>
        <v>32.130000000000003</v>
      </c>
      <c r="V140" s="202">
        <f>13.6/2</f>
        <v>6.8</v>
      </c>
      <c r="W140" s="202">
        <v>34.06</v>
      </c>
      <c r="X140" s="202">
        <f>IF(B140="ОСНО",W140*1.18,W140)</f>
        <v>34.06</v>
      </c>
      <c r="Y140" s="203">
        <f>(T140*S140)/(P140*O140)</f>
        <v>1.071</v>
      </c>
      <c r="Z140" s="203">
        <f>(X140*V140)/(U140*S140)</f>
        <v>1.0600684718331777</v>
      </c>
      <c r="AA140" s="202"/>
      <c r="AB140" s="202"/>
      <c r="AC140" s="202">
        <f>IF(B140="ОСНО",AB140*1.18,AB140)</f>
        <v>0</v>
      </c>
      <c r="AD140" s="202"/>
      <c r="AE140" s="272">
        <f>(J140-W140)*V140+(G140-T140)*O140</f>
        <v>186.72799999999995</v>
      </c>
      <c r="AF140" s="202"/>
      <c r="AG140" s="202"/>
      <c r="AH140" s="202">
        <f>IF(B140="ОСНО",AG140*1.18,AG140)</f>
        <v>0</v>
      </c>
      <c r="AI140" s="202"/>
      <c r="AJ140" s="202"/>
      <c r="AK140" s="202">
        <f>IF(B140="ОСНО",AJ140*1.18,AJ140)</f>
        <v>0</v>
      </c>
      <c r="AL140" s="206"/>
      <c r="AM140" s="203"/>
      <c r="AN140" s="205"/>
      <c r="AO140" s="205"/>
      <c r="AP140" s="202">
        <f>IF(B140="ОСНО",AO140*1.18,AO140)</f>
        <v>0</v>
      </c>
      <c r="AQ140" s="202"/>
      <c r="AR140" s="205"/>
      <c r="AS140" s="205"/>
      <c r="AT140" s="202">
        <f>IF(B140="ОСНО",AS140*1.18,AS140)</f>
        <v>0</v>
      </c>
      <c r="AU140" s="202"/>
      <c r="AV140" s="202"/>
      <c r="AW140" s="202">
        <f>IF(B140="ОСНО",AV140*1.18,AV140)</f>
        <v>0</v>
      </c>
      <c r="AX140" s="206"/>
      <c r="AY140" s="203"/>
      <c r="AZ140" s="203"/>
      <c r="BA140" s="223">
        <f t="shared" si="125"/>
        <v>0</v>
      </c>
    </row>
    <row r="141" spans="1:53" s="216" customFormat="1" ht="15.75">
      <c r="A141" s="43" t="s">
        <v>105</v>
      </c>
      <c r="B141" s="43"/>
      <c r="C141" s="42">
        <f>SUM(C142:C142)</f>
        <v>28.525500000000001</v>
      </c>
      <c r="D141" s="42">
        <f>SUMPRODUCT(C142:C142,D142:D142)/C141</f>
        <v>46.03</v>
      </c>
      <c r="E141" s="42">
        <f>SUMPRODUCT(C142:C142,E142:E142)/C141</f>
        <v>46.03</v>
      </c>
      <c r="F141" s="42">
        <f>SUM(F142:F142)</f>
        <v>28.525500000000001</v>
      </c>
      <c r="G141" s="42">
        <f>SUMPRODUCT(F142:F142,G142:G142)/F141</f>
        <v>48.06</v>
      </c>
      <c r="H141" s="42">
        <f>SUMPRODUCT(F142:F142,H142:H142)/F141</f>
        <v>48.06</v>
      </c>
      <c r="I141" s="42">
        <f>SUM(I142:I142)</f>
        <v>28.525500000000001</v>
      </c>
      <c r="J141" s="42">
        <f>SUMPRODUCT(I142:I142,J142:J142)/I141</f>
        <v>50.38</v>
      </c>
      <c r="K141" s="42">
        <f>SUMPRODUCT(I142:I142,K142:K142)/I141</f>
        <v>50.38</v>
      </c>
      <c r="L141" s="84">
        <f>G141/D141</f>
        <v>1.0441016728220727</v>
      </c>
      <c r="M141" s="84">
        <f>J141/G141</f>
        <v>1.0482729920932168</v>
      </c>
      <c r="N141" s="84"/>
      <c r="O141" s="42">
        <f>SUM(O142:O142)</f>
        <v>9.5574999999999992</v>
      </c>
      <c r="P141" s="42">
        <f>SUMPRODUCT(O142:O142,P142:P142)/O141</f>
        <v>28.499999999999996</v>
      </c>
      <c r="Q141" s="42">
        <f>SUMPRODUCT(O142:O142,Q142:Q142)/O141</f>
        <v>28.499999999999996</v>
      </c>
      <c r="R141" s="84">
        <f>K141/H141</f>
        <v>1.0482729920932168</v>
      </c>
      <c r="S141" s="42">
        <f>SUM(S142:S142)</f>
        <v>9.5574999999999992</v>
      </c>
      <c r="T141" s="42">
        <f>SUMPRODUCT(S142:S142,T142:T142)/S141</f>
        <v>30.52</v>
      </c>
      <c r="U141" s="42">
        <f>SUMPRODUCT(S142:S142,U142:U142)/S141</f>
        <v>30.52</v>
      </c>
      <c r="V141" s="42">
        <f>SUM(V142:V142)</f>
        <v>9.5574999999999992</v>
      </c>
      <c r="W141" s="42">
        <f>SUMPRODUCT(V142:V142,W142:W142)/V141</f>
        <v>32.351199999999999</v>
      </c>
      <c r="X141" s="42">
        <f>SUMPRODUCT(V142:V142,X142:X142)/V141</f>
        <v>32.351199999999999</v>
      </c>
      <c r="Y141" s="84">
        <f>T141/P141</f>
        <v>1.0708771929824563</v>
      </c>
      <c r="Z141" s="84">
        <f>W141/T141</f>
        <v>1.06</v>
      </c>
      <c r="AA141" s="42">
        <f>SUM(AA142:AA142)</f>
        <v>16.508500000000002</v>
      </c>
      <c r="AB141" s="42">
        <f>SUMPRODUCT(AA142:AA142,AB142:AB142)/AA141</f>
        <v>41.3</v>
      </c>
      <c r="AC141" s="42">
        <f>SUMPRODUCT(AA142:AA142,AC142:AC142)/AA141</f>
        <v>41.3</v>
      </c>
      <c r="AD141" s="84">
        <f>X141/U141</f>
        <v>1.06</v>
      </c>
      <c r="AE141" s="222">
        <f>AE142</f>
        <v>339.94880599999999</v>
      </c>
      <c r="AF141" s="42">
        <f>SUM(AF142:AF142)</f>
        <v>16.508500000000002</v>
      </c>
      <c r="AG141" s="42">
        <f>SUMPRODUCT(AF142:AF142,AG142:AG142)/AF141</f>
        <v>42.64</v>
      </c>
      <c r="AH141" s="42">
        <f>SUMPRODUCT(AF142:AF142,AH142:AH142)/AF141</f>
        <v>42.64</v>
      </c>
      <c r="AI141" s="42">
        <f>SUM(AI142:AI142)</f>
        <v>16.508500000000002</v>
      </c>
      <c r="AJ141" s="42">
        <f>SUMPRODUCT(AI142:AI142,AJ142:AJ142)/AI141</f>
        <v>45.5</v>
      </c>
      <c r="AK141" s="42">
        <f>SUMPRODUCT(AI142:AI142,AK142:AK142)/AI141</f>
        <v>45.5</v>
      </c>
      <c r="AL141" s="84">
        <f>AG141/AB141</f>
        <v>1.0324455205811138</v>
      </c>
      <c r="AM141" s="84">
        <f>AJ141/AG141</f>
        <v>1.0670731707317074</v>
      </c>
      <c r="AN141" s="42">
        <f>SUM(AN142:AN142)</f>
        <v>6.7169999999999996</v>
      </c>
      <c r="AO141" s="42">
        <f>SUMPRODUCT(AN142:AN142,AO142:AO142)/AN141</f>
        <v>32</v>
      </c>
      <c r="AP141" s="42">
        <f>SUMPRODUCT(AN142:AN142,AP142:AP142)/AN141</f>
        <v>32</v>
      </c>
      <c r="AQ141" s="84">
        <f>AK141/AH141</f>
        <v>1.0670731707317074</v>
      </c>
      <c r="AR141" s="42">
        <f>SUM(AR142:AR142)</f>
        <v>6.7169999999999996</v>
      </c>
      <c r="AS141" s="42">
        <f>SUMPRODUCT(AR142:AR142,AS142:AS142)/AR141</f>
        <v>34.270000000000003</v>
      </c>
      <c r="AT141" s="42">
        <f>SUMPRODUCT(AR142:AR142,AT142:AT142)/AR141</f>
        <v>34.270000000000003</v>
      </c>
      <c r="AU141" s="42">
        <f>SUM(AU142:AU142)</f>
        <v>6.7169999999999996</v>
      </c>
      <c r="AV141" s="42">
        <f>SUMPRODUCT(AU142:AU142,AV142:AV142)/AU141</f>
        <v>36.326200000000007</v>
      </c>
      <c r="AW141" s="42">
        <f>SUMPRODUCT(AU142:AU142,AW142:AW142)/AU141</f>
        <v>36.326200000000007</v>
      </c>
      <c r="AX141" s="84">
        <f>AS141/AO141</f>
        <v>1.0709375000000001</v>
      </c>
      <c r="AY141" s="84">
        <f>AV141/AS141</f>
        <v>1.06</v>
      </c>
      <c r="AZ141" s="84">
        <f>AW141/AT141</f>
        <v>1.06</v>
      </c>
      <c r="BA141" s="224">
        <f>BA142</f>
        <v>117.84170459999993</v>
      </c>
    </row>
    <row r="142" spans="1:53" s="231" customFormat="1" ht="15.75" hidden="1">
      <c r="A142" s="236" t="s">
        <v>357</v>
      </c>
      <c r="B142" s="236" t="s">
        <v>398</v>
      </c>
      <c r="C142" s="228">
        <f>57.051/2</f>
        <v>28.525500000000001</v>
      </c>
      <c r="D142" s="228">
        <v>46.03</v>
      </c>
      <c r="E142" s="228">
        <f t="shared" ref="E142" si="233">IF(B142="ОСНО",D142*1.18,D142)</f>
        <v>46.03</v>
      </c>
      <c r="F142" s="228">
        <f>C142</f>
        <v>28.525500000000001</v>
      </c>
      <c r="G142" s="228">
        <v>48.06</v>
      </c>
      <c r="H142" s="228">
        <f t="shared" ref="H142" si="234">IF(B142="ОСНО",G142*1.18,G142)</f>
        <v>48.06</v>
      </c>
      <c r="I142" s="228">
        <f>57.051/2</f>
        <v>28.525500000000001</v>
      </c>
      <c r="J142" s="228">
        <v>50.38</v>
      </c>
      <c r="K142" s="228">
        <f t="shared" ref="K142" si="235">IF(B142="ОСНО",J142*1.18,J142)</f>
        <v>50.38</v>
      </c>
      <c r="L142" s="229">
        <f>(G142*F142)/(D142*C142)</f>
        <v>1.0441016728220727</v>
      </c>
      <c r="M142" s="229">
        <f>(K142*I142)/(H142*F142)</f>
        <v>1.0482729920932168</v>
      </c>
      <c r="N142" s="238" t="s">
        <v>358</v>
      </c>
      <c r="O142" s="228">
        <f>19.115/2</f>
        <v>9.5574999999999992</v>
      </c>
      <c r="P142" s="228">
        <v>28.5</v>
      </c>
      <c r="Q142" s="228">
        <f>IF(B142="ОСНО",P142*1.18,P142)</f>
        <v>28.5</v>
      </c>
      <c r="R142" s="228"/>
      <c r="S142" s="228">
        <f>O142</f>
        <v>9.5574999999999992</v>
      </c>
      <c r="T142" s="228">
        <v>30.52</v>
      </c>
      <c r="U142" s="228">
        <f>IF(B142="ОСНО",T142*1.18,T142)</f>
        <v>30.52</v>
      </c>
      <c r="V142" s="228">
        <f>19.115/2</f>
        <v>9.5574999999999992</v>
      </c>
      <c r="W142" s="228">
        <f>T142*1.06</f>
        <v>32.351199999999999</v>
      </c>
      <c r="X142" s="228">
        <f>IF(B142="ОСНО",W142*1.18,W142)</f>
        <v>32.351199999999999</v>
      </c>
      <c r="Y142" s="241">
        <f>T142/P142</f>
        <v>1.0708771929824561</v>
      </c>
      <c r="Z142" s="229">
        <f>(X142*V142)/(U142*S142)</f>
        <v>1.06</v>
      </c>
      <c r="AA142" s="228">
        <f>33.017/2</f>
        <v>16.508500000000002</v>
      </c>
      <c r="AB142" s="228">
        <v>41.3</v>
      </c>
      <c r="AC142" s="228">
        <f>IF(B142="ОСНО",AB142*1.18,AB142)</f>
        <v>41.3</v>
      </c>
      <c r="AD142" s="228"/>
      <c r="AE142" s="230">
        <f>(J142-W142)*V142+(G142-T142)*O142</f>
        <v>339.94880599999999</v>
      </c>
      <c r="AF142" s="228">
        <f>AA142</f>
        <v>16.508500000000002</v>
      </c>
      <c r="AG142" s="228">
        <v>42.64</v>
      </c>
      <c r="AH142" s="228">
        <f>IF(B142="ОСНО",AG142*1.18,AG142)</f>
        <v>42.64</v>
      </c>
      <c r="AI142" s="228">
        <f>33.017/2</f>
        <v>16.508500000000002</v>
      </c>
      <c r="AJ142" s="228">
        <v>45.5</v>
      </c>
      <c r="AK142" s="228">
        <f>IF(B142="ОСНО",AJ142*1.18,AJ142)</f>
        <v>45.5</v>
      </c>
      <c r="AL142" s="241">
        <f>AG142/AB142</f>
        <v>1.0324455205811138</v>
      </c>
      <c r="AM142" s="229">
        <f>(AK142*AI142)/(AH142*AF142)</f>
        <v>1.0670731707317074</v>
      </c>
      <c r="AN142" s="239">
        <f>13.434/2</f>
        <v>6.7169999999999996</v>
      </c>
      <c r="AO142" s="240">
        <v>32</v>
      </c>
      <c r="AP142" s="228">
        <f>IF(B142="ОСНО",AO142*1.18,AO142)</f>
        <v>32</v>
      </c>
      <c r="AQ142" s="228"/>
      <c r="AR142" s="240">
        <f>AN142</f>
        <v>6.7169999999999996</v>
      </c>
      <c r="AS142" s="240">
        <v>34.270000000000003</v>
      </c>
      <c r="AT142" s="228">
        <f>IF(B142="ОСНО",AS142*1.18,AS142)</f>
        <v>34.270000000000003</v>
      </c>
      <c r="AU142" s="228">
        <f>13.434/2</f>
        <v>6.7169999999999996</v>
      </c>
      <c r="AV142" s="228">
        <f>AS142*1.06</f>
        <v>36.326200000000007</v>
      </c>
      <c r="AW142" s="228">
        <f>IF(B142="ОСНО",AV142*1.18,AV142)</f>
        <v>36.326200000000007</v>
      </c>
      <c r="AX142" s="229">
        <f>AS142/AO142</f>
        <v>1.0709375000000001</v>
      </c>
      <c r="AY142" s="229">
        <f>(AW142*AU142)/(AT142*AR142)</f>
        <v>1.06</v>
      </c>
      <c r="AZ142" s="229"/>
      <c r="BA142" s="230">
        <f t="shared" ref="BA142:BA203" si="236">(AG142-AS142)*AR142+(AJ142-AV142)*AU142</f>
        <v>117.84170459999993</v>
      </c>
    </row>
    <row r="143" spans="1:53" s="216" customFormat="1" ht="15.75">
      <c r="A143" s="43" t="s">
        <v>117</v>
      </c>
      <c r="B143" s="43"/>
      <c r="C143" s="42">
        <f>SUM(C144:C168)</f>
        <v>607.9905</v>
      </c>
      <c r="D143" s="42">
        <f>SUMPRODUCT(C144:C168,D144:D168)/C143</f>
        <v>55.882542276565175</v>
      </c>
      <c r="E143" s="42">
        <f>SUMPRODUCT(C144:C169,E144:E169)/C143</f>
        <v>62.610295452642752</v>
      </c>
      <c r="F143" s="42">
        <f>SUM(F144:F169)</f>
        <v>1057.4735000000003</v>
      </c>
      <c r="G143" s="42">
        <f>SUMPRODUCT(F144:F169,G144:G169)/F143</f>
        <v>54.829565095484647</v>
      </c>
      <c r="H143" s="42">
        <f>SUMPRODUCT(F144:F169,H144:H169)/F143</f>
        <v>56.068963306030817</v>
      </c>
      <c r="I143" s="42">
        <f>SUM(I144:I169)</f>
        <v>1057.4735000000003</v>
      </c>
      <c r="J143" s="42">
        <f>SUMPRODUCT(I144:I169,J144:J169)/I143</f>
        <v>62.828380399130552</v>
      </c>
      <c r="K143" s="42">
        <f>SUMPRODUCT(I144:I169,K144:K169)/I143</f>
        <v>64.159158826391376</v>
      </c>
      <c r="L143" s="84">
        <f>G143/D143</f>
        <v>0.98115731428485664</v>
      </c>
      <c r="M143" s="84">
        <f>J143/G143</f>
        <v>1.1458850765953754</v>
      </c>
      <c r="N143" s="84"/>
      <c r="O143" s="42">
        <f>SUM(O144:O169)</f>
        <v>416.1585</v>
      </c>
      <c r="P143" s="42">
        <f>SUMPRODUCT(O144:O169,P144:P169)/O143</f>
        <v>27.058085909575311</v>
      </c>
      <c r="Q143" s="42">
        <f>SUMPRODUCT(O144:O169,Q144:Q169)/O143</f>
        <v>27.442418949270522</v>
      </c>
      <c r="R143" s="84">
        <f>K143/H143</f>
        <v>1.144290085696847</v>
      </c>
      <c r="S143" s="42">
        <f>SUM(S144:S169)</f>
        <v>529.66800000000001</v>
      </c>
      <c r="T143" s="42">
        <f>SUMPRODUCT(S144:S169,T144:T169)/S143</f>
        <v>29.045916187120984</v>
      </c>
      <c r="U143" s="42">
        <f>SUMPRODUCT(S144:S169,U144:U169)/S143</f>
        <v>29.364729773745058</v>
      </c>
      <c r="V143" s="42">
        <f>SUM(V144:V169)</f>
        <v>529.66800000000001</v>
      </c>
      <c r="W143" s="42">
        <f>SUMPRODUCT(V144:V169,W144:W169)/V143</f>
        <v>30.460216751625556</v>
      </c>
      <c r="X143" s="42">
        <f>SUMPRODUCT(V144:V169,X144:X169)/V143</f>
        <v>30.797406714481529</v>
      </c>
      <c r="Y143" s="84">
        <f>T143/P143</f>
        <v>1.0734652955197477</v>
      </c>
      <c r="Z143" s="84">
        <f>W143/T143</f>
        <v>1.048691890295121</v>
      </c>
      <c r="AA143" s="42">
        <f>SUM(AA144:AA168)</f>
        <v>526.64350000000002</v>
      </c>
      <c r="AB143" s="42">
        <f>SUMPRODUCT(AA144:AA168,AB144:AB168)/AA143</f>
        <v>40.267198493857798</v>
      </c>
      <c r="AC143" s="42">
        <f>SUMPRODUCT(AA144:AA169,AC144:AC169)/AA143</f>
        <v>42.712644515502426</v>
      </c>
      <c r="AD143" s="84">
        <f>X143/U143</f>
        <v>1.0487890388154508</v>
      </c>
      <c r="AE143" s="222">
        <f>SUM(AE144:AE169)</f>
        <v>43491.114918599997</v>
      </c>
      <c r="AF143" s="42">
        <f>SUM(AF144:AF169)</f>
        <v>629.40949999999998</v>
      </c>
      <c r="AG143" s="42">
        <f>SUMPRODUCT(AF144:AF169,AG144:AG169)/AF143</f>
        <v>42.656484395294314</v>
      </c>
      <c r="AH143" s="42">
        <f>SUMPRODUCT(AF144:AF169,AH144:AH169)/AF143</f>
        <v>43.607208284590556</v>
      </c>
      <c r="AI143" s="42">
        <f>SUM(AI144:AI169)</f>
        <v>629.40949999999998</v>
      </c>
      <c r="AJ143" s="42">
        <f>SUMPRODUCT(AI144:AI169,AJ144:AJ169)/AI143</f>
        <v>45.179994423344432</v>
      </c>
      <c r="AK143" s="42">
        <f>SUMPRODUCT(AI144:AI169,AK144:AK169)/AI143</f>
        <v>46.217044566375314</v>
      </c>
      <c r="AL143" s="84">
        <f>AG143/AB143</f>
        <v>1.0593357867148609</v>
      </c>
      <c r="AM143" s="84">
        <f>AJ143/AG143</f>
        <v>1.0591588843718331</v>
      </c>
      <c r="AN143" s="42">
        <f>SUM(AN144:AN169)</f>
        <v>372.24050000000011</v>
      </c>
      <c r="AO143" s="42">
        <f>SUMPRODUCT(AN144:AN169,AO144:AO169)/AN143</f>
        <v>23.077469673504087</v>
      </c>
      <c r="AP143" s="42">
        <f>SUMPRODUCT(AN144:AN169,AP144:AP169)/AN143</f>
        <v>23.389694041352293</v>
      </c>
      <c r="AQ143" s="84">
        <f>AK143/AH143</f>
        <v>1.0598487356666442</v>
      </c>
      <c r="AR143" s="42">
        <f>SUM(AR144:AR169)</f>
        <v>440.23550000000006</v>
      </c>
      <c r="AS143" s="42">
        <f>SUMPRODUCT(AR144:AR169,AS144:AS169)/AR143</f>
        <v>25.502730459038403</v>
      </c>
      <c r="AT143" s="42">
        <f>SUMPRODUCT(AR144:AR169,AT144:AT169)/AR143</f>
        <v>25.787046294767233</v>
      </c>
      <c r="AU143" s="42">
        <f>SUM(AU144:AU169)</f>
        <v>440.23550000000006</v>
      </c>
      <c r="AV143" s="42">
        <f>SUMPRODUCT(AU144:AU168,AV144:AV168)/AU143</f>
        <v>26.672617375700046</v>
      </c>
      <c r="AW143" s="42">
        <f>SUMPRODUCT(AU144:AU169,AW144:AW169)/AU143</f>
        <v>27.287547138202164</v>
      </c>
      <c r="AX143" s="84">
        <f>AS143/AO143</f>
        <v>1.1050921448428477</v>
      </c>
      <c r="AY143" s="84">
        <f>AV143/AS143</f>
        <v>1.0458730063645802</v>
      </c>
      <c r="AZ143" s="84"/>
      <c r="BA143" s="222">
        <f>SUM(BA144:BA169)</f>
        <v>16984.548788300002</v>
      </c>
    </row>
    <row r="144" spans="1:53" s="231" customFormat="1" ht="15.75" hidden="1">
      <c r="A144" s="246" t="s">
        <v>107</v>
      </c>
      <c r="B144" s="246" t="s">
        <v>398</v>
      </c>
      <c r="C144" s="243">
        <f>112.85/2</f>
        <v>56.424999999999997</v>
      </c>
      <c r="D144" s="244">
        <v>64.41</v>
      </c>
      <c r="E144" s="228">
        <f t="shared" ref="E144:E169" si="237">IF(B144="ОСНО",D144*1.18,D144)</f>
        <v>64.41</v>
      </c>
      <c r="F144" s="244">
        <f>106.76/2</f>
        <v>53.38</v>
      </c>
      <c r="G144" s="244">
        <v>68.03</v>
      </c>
      <c r="H144" s="228">
        <f t="shared" si="126"/>
        <v>68.03</v>
      </c>
      <c r="I144" s="228">
        <f>F144</f>
        <v>53.38</v>
      </c>
      <c r="J144" s="244">
        <v>105.96</v>
      </c>
      <c r="K144" s="228">
        <f t="shared" si="127"/>
        <v>105.96</v>
      </c>
      <c r="L144" s="250">
        <f>(G144*F144)/(D144*C144)</f>
        <v>0.99920402202961955</v>
      </c>
      <c r="M144" s="229">
        <f>(K144*I144)/(H144*F144)</f>
        <v>1.5575481405262384</v>
      </c>
      <c r="N144" s="250" t="s">
        <v>265</v>
      </c>
      <c r="O144" s="244">
        <f>39.548/2</f>
        <v>19.774000000000001</v>
      </c>
      <c r="P144" s="244">
        <v>25.26</v>
      </c>
      <c r="Q144" s="228">
        <f>IF(B144="ОСНО",P144*1.18,P144)</f>
        <v>25.26</v>
      </c>
      <c r="R144" s="228"/>
      <c r="S144" s="244">
        <f>37.413/2</f>
        <v>18.706499999999998</v>
      </c>
      <c r="T144" s="244">
        <v>27.05</v>
      </c>
      <c r="U144" s="228">
        <f>IF(B144="ОСНО",T144*1.18,T144)</f>
        <v>27.05</v>
      </c>
      <c r="V144" s="244">
        <f>S144</f>
        <v>18.706499999999998</v>
      </c>
      <c r="W144" s="244">
        <f>T144*1.04</f>
        <v>28.132000000000001</v>
      </c>
      <c r="X144" s="228">
        <f t="shared" ref="X144:X151" si="238">IF(B144="ОСНО",W144*1.18,W144)</f>
        <v>28.132000000000001</v>
      </c>
      <c r="Y144" s="250">
        <f t="shared" ref="Y144:Y159" si="239">(T144*S144)/(P144*O144)</f>
        <v>1.0130524511300736</v>
      </c>
      <c r="Z144" s="229">
        <f t="shared" ref="Z144:Z160" si="240">(X144*V144)/(U144*S144)</f>
        <v>1.04</v>
      </c>
      <c r="AA144" s="244">
        <f>140.24/2</f>
        <v>70.12</v>
      </c>
      <c r="AB144" s="244">
        <v>42.43</v>
      </c>
      <c r="AC144" s="228">
        <f>IF(B144="ОСНО",AB144*1.18,AB144)</f>
        <v>42.43</v>
      </c>
      <c r="AD144" s="228"/>
      <c r="AE144" s="230">
        <f t="shared" ref="AE144:AE163" si="241">(J144-W144)*V144+(G144-T144)*S144</f>
        <v>2222.4818519999994</v>
      </c>
      <c r="AF144" s="244">
        <f>141.68/2</f>
        <v>70.84</v>
      </c>
      <c r="AG144" s="244">
        <v>44.51</v>
      </c>
      <c r="AH144" s="228">
        <f>IF(B144="ОСНО",AG144*1.18,AG144)</f>
        <v>44.51</v>
      </c>
      <c r="AI144" s="244">
        <f>AF144</f>
        <v>70.84</v>
      </c>
      <c r="AJ144" s="244">
        <v>34.68</v>
      </c>
      <c r="AK144" s="228">
        <f>IF(B144="ОСНО",AJ144*1.18,AJ144)</f>
        <v>34.68</v>
      </c>
      <c r="AL144" s="250">
        <f>(AG144*AF144)/(AB144*AA144)</f>
        <v>1.0597933928019962</v>
      </c>
      <c r="AM144" s="229">
        <f>(AK144*AI144)/(AH144*AF144)</f>
        <v>0.77915075263985623</v>
      </c>
      <c r="AN144" s="254">
        <f>37.5/2</f>
        <v>18.75</v>
      </c>
      <c r="AO144" s="254">
        <v>23.59</v>
      </c>
      <c r="AP144" s="228">
        <f>IF(B144="ОСНО",AO144*1.18,AO144)</f>
        <v>23.59</v>
      </c>
      <c r="AQ144" s="228"/>
      <c r="AR144" s="254">
        <f>37.885/2</f>
        <v>18.942499999999999</v>
      </c>
      <c r="AS144" s="254">
        <v>25.26</v>
      </c>
      <c r="AT144" s="228">
        <f>IF(B144="ОСНО",AS144*1.18,AS144)</f>
        <v>25.26</v>
      </c>
      <c r="AU144" s="244">
        <f>AR144</f>
        <v>18.942499999999999</v>
      </c>
      <c r="AV144" s="244">
        <f>AS144*1.04</f>
        <v>26.270400000000002</v>
      </c>
      <c r="AW144" s="228">
        <f>IF(B144="ОСНО",AV144*1.18,AV144)</f>
        <v>26.270400000000002</v>
      </c>
      <c r="AX144" s="250">
        <f>(AS144*AR144)/(AO144*AN144)</f>
        <v>1.0817861805849935</v>
      </c>
      <c r="AY144" s="229">
        <f>(AW144*AU144)/(AT144*AR144)</f>
        <v>1.04</v>
      </c>
      <c r="AZ144" s="229"/>
      <c r="BA144" s="230">
        <f t="shared" si="236"/>
        <v>523.94197299999985</v>
      </c>
    </row>
    <row r="145" spans="1:53" s="231" customFormat="1" ht="15.75" hidden="1">
      <c r="A145" s="234" t="s">
        <v>58</v>
      </c>
      <c r="B145" s="234" t="s">
        <v>397</v>
      </c>
      <c r="C145" s="243">
        <f>43.84/2</f>
        <v>21.92</v>
      </c>
      <c r="D145" s="244">
        <v>109.08</v>
      </c>
      <c r="E145" s="228">
        <f t="shared" si="237"/>
        <v>128.71439999999998</v>
      </c>
      <c r="F145" s="244">
        <f>47.15/2</f>
        <v>23.574999999999999</v>
      </c>
      <c r="G145" s="244">
        <v>126.82</v>
      </c>
      <c r="H145" s="228">
        <f t="shared" si="126"/>
        <v>149.64759999999998</v>
      </c>
      <c r="I145" s="228">
        <f t="shared" ref="I145:I169" si="242">F145</f>
        <v>23.574999999999999</v>
      </c>
      <c r="J145" s="244">
        <v>126.82</v>
      </c>
      <c r="K145" s="228">
        <f t="shared" si="127"/>
        <v>149.64759999999998</v>
      </c>
      <c r="L145" s="250">
        <f>(G145*F145)/(D145*C145)</f>
        <v>1.2504138377645548</v>
      </c>
      <c r="M145" s="229">
        <f>(K145*I145)/(H145*F145)</f>
        <v>1</v>
      </c>
      <c r="N145" s="250" t="s">
        <v>320</v>
      </c>
      <c r="O145" s="251">
        <f>25.181/2</f>
        <v>12.5905</v>
      </c>
      <c r="P145" s="251">
        <v>38.93</v>
      </c>
      <c r="Q145" s="228">
        <f>IF(B145="ОСНО",P145*1.18,P145)</f>
        <v>45.937399999999997</v>
      </c>
      <c r="R145" s="228"/>
      <c r="S145" s="251">
        <f>27.345/2</f>
        <v>13.672499999999999</v>
      </c>
      <c r="T145" s="251">
        <v>41.69</v>
      </c>
      <c r="U145" s="228">
        <f>IF(B145="ОСНО",T145*1.18,T145)</f>
        <v>49.194199999999995</v>
      </c>
      <c r="V145" s="244">
        <f t="shared" ref="V145:V169" si="243">S145</f>
        <v>13.672499999999999</v>
      </c>
      <c r="W145" s="244">
        <v>44.2</v>
      </c>
      <c r="X145" s="228">
        <f t="shared" si="238"/>
        <v>52.155999999999999</v>
      </c>
      <c r="Y145" s="250">
        <f t="shared" si="239"/>
        <v>1.1629269794369217</v>
      </c>
      <c r="Z145" s="229">
        <f t="shared" si="240"/>
        <v>1.060206284480691</v>
      </c>
      <c r="AA145" s="244">
        <f>28.19/2</f>
        <v>14.095000000000001</v>
      </c>
      <c r="AB145" s="244">
        <v>43.07</v>
      </c>
      <c r="AC145" s="228">
        <f>IF(B145="ОСНО",AB145*1.18,AB145)</f>
        <v>50.822599999999994</v>
      </c>
      <c r="AD145" s="228"/>
      <c r="AE145" s="230">
        <f t="shared" si="241"/>
        <v>2293.5618749999994</v>
      </c>
      <c r="AF145" s="244">
        <f>29.072/2</f>
        <v>14.536</v>
      </c>
      <c r="AG145" s="244">
        <v>46.2</v>
      </c>
      <c r="AH145" s="228">
        <f>IF(B145="ОСНО",AG145*1.18,AG145)</f>
        <v>54.515999999999998</v>
      </c>
      <c r="AI145" s="244">
        <f t="shared" ref="AI145:AI169" si="244">AF145</f>
        <v>14.536</v>
      </c>
      <c r="AJ145" s="244">
        <v>50.92</v>
      </c>
      <c r="AK145" s="228">
        <f>IF(B145="ОСНО",AJ145*1.18,AJ145)</f>
        <v>60.085599999999999</v>
      </c>
      <c r="AL145" s="250">
        <f>(AG145*AF145)/(AB145*AA145)</f>
        <v>1.1062338358248158</v>
      </c>
      <c r="AM145" s="229">
        <f t="shared" ref="AM145:AM169" si="245">(AK145*AI145)/(AH145*AF145)</f>
        <v>1.1021645021645021</v>
      </c>
      <c r="AN145" s="254">
        <f>20.54/2</f>
        <v>10.27</v>
      </c>
      <c r="AO145" s="254">
        <v>33.06</v>
      </c>
      <c r="AP145" s="228">
        <f>IF(B145="ОСНО",AO145*1.18,AO145)</f>
        <v>39.010800000000003</v>
      </c>
      <c r="AQ145" s="228"/>
      <c r="AR145" s="254">
        <f>22.851/2</f>
        <v>11.4255</v>
      </c>
      <c r="AS145" s="254">
        <v>35.409999999999997</v>
      </c>
      <c r="AT145" s="228">
        <f>IF(B145="ОСНО",AS145*1.18,AS145)</f>
        <v>41.783799999999992</v>
      </c>
      <c r="AU145" s="244">
        <f t="shared" ref="AU145:AU169" si="246">AR145</f>
        <v>11.4255</v>
      </c>
      <c r="AV145" s="244">
        <v>37.53</v>
      </c>
      <c r="AW145" s="228">
        <f>IF(B145="ОСНО",AV145*1.18,AV145)</f>
        <v>44.285399999999996</v>
      </c>
      <c r="AX145" s="256">
        <f t="shared" ref="AX145" si="247">AS145/AO145</f>
        <v>1.0710828796128249</v>
      </c>
      <c r="AY145" s="229">
        <f t="shared" ref="AY145:AY169" si="248">(AW145*AU145)/(AT145*AR145)</f>
        <v>1.059870093194013</v>
      </c>
      <c r="AZ145" s="229"/>
      <c r="BA145" s="230">
        <f t="shared" si="236"/>
        <v>276.26859000000007</v>
      </c>
    </row>
    <row r="146" spans="1:53" s="231" customFormat="1" ht="15.75" hidden="1">
      <c r="A146" s="234" t="s">
        <v>455</v>
      </c>
      <c r="B146" s="236" t="s">
        <v>398</v>
      </c>
      <c r="C146" s="243"/>
      <c r="D146" s="244"/>
      <c r="E146" s="228"/>
      <c r="F146" s="244">
        <f>171.536/2</f>
        <v>85.768000000000001</v>
      </c>
      <c r="G146" s="244">
        <v>106.48</v>
      </c>
      <c r="H146" s="228">
        <f t="shared" si="126"/>
        <v>106.48</v>
      </c>
      <c r="I146" s="228">
        <f t="shared" si="242"/>
        <v>85.768000000000001</v>
      </c>
      <c r="J146" s="244">
        <v>106.48</v>
      </c>
      <c r="K146" s="228">
        <f t="shared" si="127"/>
        <v>106.48</v>
      </c>
      <c r="L146" s="250"/>
      <c r="M146" s="229"/>
      <c r="N146" s="250"/>
      <c r="O146" s="251"/>
      <c r="P146" s="251"/>
      <c r="Q146" s="228"/>
      <c r="R146" s="228"/>
      <c r="S146" s="251">
        <f>120.137/2</f>
        <v>60.0685</v>
      </c>
      <c r="T146" s="251">
        <v>32.9</v>
      </c>
      <c r="U146" s="228">
        <f>IF(B146="ОСНО",T146*1.18,T146)</f>
        <v>32.9</v>
      </c>
      <c r="V146" s="244">
        <f t="shared" si="243"/>
        <v>60.0685</v>
      </c>
      <c r="W146" s="244">
        <v>34.22</v>
      </c>
      <c r="X146" s="228">
        <f t="shared" si="238"/>
        <v>34.22</v>
      </c>
      <c r="Y146" s="250"/>
      <c r="Z146" s="229">
        <f t="shared" si="240"/>
        <v>1.0401215805471125</v>
      </c>
      <c r="AA146" s="244"/>
      <c r="AB146" s="244"/>
      <c r="AC146" s="228"/>
      <c r="AD146" s="228"/>
      <c r="AE146" s="230">
        <f t="shared" si="241"/>
        <v>8760.390040000002</v>
      </c>
      <c r="AF146" s="244"/>
      <c r="AG146" s="244"/>
      <c r="AH146" s="228"/>
      <c r="AI146" s="244">
        <f t="shared" si="244"/>
        <v>0</v>
      </c>
      <c r="AJ146" s="244"/>
      <c r="AK146" s="228"/>
      <c r="AL146" s="250"/>
      <c r="AM146" s="229"/>
      <c r="AN146" s="254"/>
      <c r="AO146" s="254"/>
      <c r="AP146" s="228"/>
      <c r="AQ146" s="228"/>
      <c r="AR146" s="254"/>
      <c r="AS146" s="254"/>
      <c r="AT146" s="228"/>
      <c r="AU146" s="244">
        <f t="shared" si="246"/>
        <v>0</v>
      </c>
      <c r="AV146" s="244"/>
      <c r="AW146" s="228"/>
      <c r="AX146" s="256"/>
      <c r="AY146" s="229"/>
      <c r="AZ146" s="229"/>
      <c r="BA146" s="230">
        <f t="shared" si="236"/>
        <v>0</v>
      </c>
    </row>
    <row r="147" spans="1:53" ht="15.75" hidden="1">
      <c r="A147" s="246" t="s">
        <v>108</v>
      </c>
      <c r="B147" s="246" t="s">
        <v>398</v>
      </c>
      <c r="C147" s="243">
        <f>168.1/2</f>
        <v>84.05</v>
      </c>
      <c r="D147" s="244">
        <v>62.63</v>
      </c>
      <c r="E147" s="228">
        <f t="shared" si="237"/>
        <v>62.63</v>
      </c>
      <c r="F147" s="244"/>
      <c r="G147" s="244"/>
      <c r="H147" s="228"/>
      <c r="I147" s="228"/>
      <c r="J147" s="244"/>
      <c r="K147" s="228">
        <f t="shared" si="127"/>
        <v>0</v>
      </c>
      <c r="L147" s="250">
        <f t="shared" ref="L147:L166" si="249">(G147*F147)/(D147*C147)</f>
        <v>0</v>
      </c>
      <c r="M147" s="229"/>
      <c r="N147" s="250" t="s">
        <v>266</v>
      </c>
      <c r="O147" s="244">
        <f>132.62/2</f>
        <v>66.31</v>
      </c>
      <c r="P147" s="244">
        <v>30.72</v>
      </c>
      <c r="Q147" s="228">
        <f>IF(B147="ОСНО",P147*1.18,P147)</f>
        <v>30.72</v>
      </c>
      <c r="R147" s="228"/>
      <c r="S147" s="244"/>
      <c r="T147" s="244"/>
      <c r="U147" s="228"/>
      <c r="V147" s="244"/>
      <c r="W147" s="244"/>
      <c r="X147" s="228">
        <f t="shared" si="238"/>
        <v>0</v>
      </c>
      <c r="Y147" s="250">
        <f t="shared" si="239"/>
        <v>0</v>
      </c>
      <c r="Z147" s="229"/>
      <c r="AA147" s="191">
        <f>198.7/2</f>
        <v>99.35</v>
      </c>
      <c r="AB147" s="191">
        <v>28.36</v>
      </c>
      <c r="AC147" s="181">
        <f>IF(B147="ОСНО",AB147*1.18,AB147)</f>
        <v>28.36</v>
      </c>
      <c r="AD147" s="181"/>
      <c r="AE147" s="230">
        <f t="shared" si="241"/>
        <v>0</v>
      </c>
      <c r="AF147" s="244">
        <f>198.7/2</f>
        <v>99.35</v>
      </c>
      <c r="AG147" s="244">
        <v>28.36</v>
      </c>
      <c r="AH147" s="228">
        <f t="shared" ref="AH147:AH158" si="250">IF(B147="ОСНО",AG147*1.18,AG147)</f>
        <v>28.36</v>
      </c>
      <c r="AI147" s="244">
        <f t="shared" si="244"/>
        <v>99.35</v>
      </c>
      <c r="AJ147" s="244">
        <v>31.62</v>
      </c>
      <c r="AK147" s="228">
        <f t="shared" ref="AK147:AK158" si="251">IF(B147="ОСНО",AJ147*1.18,AJ147)</f>
        <v>31.62</v>
      </c>
      <c r="AL147" s="250">
        <f t="shared" ref="AL147:AL167" si="252">(AG147*AF147)/(AB147*AA147)</f>
        <v>1</v>
      </c>
      <c r="AM147" s="229">
        <f t="shared" si="245"/>
        <v>1.1149506346967561</v>
      </c>
      <c r="AN147" s="254">
        <f>132.62/2</f>
        <v>66.31</v>
      </c>
      <c r="AO147" s="254">
        <v>27.59</v>
      </c>
      <c r="AP147" s="228">
        <f>IF(B147="ОСНО",AO147*1.18,AO147)</f>
        <v>27.59</v>
      </c>
      <c r="AQ147" s="228"/>
      <c r="AR147" s="254">
        <f>132.62/2</f>
        <v>66.31</v>
      </c>
      <c r="AS147" s="254">
        <v>28.36</v>
      </c>
      <c r="AT147" s="228">
        <f t="shared" ref="AT147:AT158" si="253">IF(B147="ОСНО",AS147*1.18,AS147)</f>
        <v>28.36</v>
      </c>
      <c r="AU147" s="244">
        <f t="shared" si="246"/>
        <v>66.31</v>
      </c>
      <c r="AV147" s="244">
        <v>31.62</v>
      </c>
      <c r="AW147" s="228">
        <f t="shared" ref="AW147:AW156" si="254">IF(B147="ОСНО",AV147*1.18,AV147)</f>
        <v>31.62</v>
      </c>
      <c r="AX147" s="192">
        <f t="shared" ref="AX147:AX169" si="255">(AS147*AR147)/(AO147*AN147)</f>
        <v>1.0279086625588982</v>
      </c>
      <c r="AY147" s="209">
        <f t="shared" si="248"/>
        <v>1.1149506346967561</v>
      </c>
      <c r="AZ147" s="209"/>
      <c r="BA147" s="230">
        <f t="shared" si="236"/>
        <v>0</v>
      </c>
    </row>
    <row r="148" spans="1:53" s="231" customFormat="1" ht="15.75" hidden="1">
      <c r="A148" s="246" t="s">
        <v>109</v>
      </c>
      <c r="B148" s="246" t="s">
        <v>398</v>
      </c>
      <c r="C148" s="243">
        <f>66.883/2</f>
        <v>33.441499999999998</v>
      </c>
      <c r="D148" s="244">
        <v>58.63</v>
      </c>
      <c r="E148" s="228">
        <f t="shared" si="237"/>
        <v>58.63</v>
      </c>
      <c r="F148" s="244">
        <f>65.055/2</f>
        <v>32.527500000000003</v>
      </c>
      <c r="G148" s="244">
        <v>58.63</v>
      </c>
      <c r="H148" s="228">
        <f t="shared" si="126"/>
        <v>58.63</v>
      </c>
      <c r="I148" s="228">
        <f t="shared" si="242"/>
        <v>32.527500000000003</v>
      </c>
      <c r="J148" s="244">
        <v>63.87</v>
      </c>
      <c r="K148" s="228">
        <f t="shared" si="127"/>
        <v>63.87</v>
      </c>
      <c r="L148" s="250">
        <f t="shared" si="249"/>
        <v>0.97266869010062362</v>
      </c>
      <c r="M148" s="229">
        <f>(K148*I148)/(H148*F148)</f>
        <v>1.0893740405935528</v>
      </c>
      <c r="N148" s="250" t="s">
        <v>269</v>
      </c>
      <c r="O148" s="244">
        <f>55.925/2</f>
        <v>27.962499999999999</v>
      </c>
      <c r="P148" s="244">
        <v>21</v>
      </c>
      <c r="Q148" s="228">
        <f>IF(B148="ОСНО",P148*1.18,P148)</f>
        <v>21</v>
      </c>
      <c r="R148" s="228"/>
      <c r="S148" s="244">
        <f>53.419/2</f>
        <v>26.709499999999998</v>
      </c>
      <c r="T148" s="244">
        <v>22.5</v>
      </c>
      <c r="U148" s="228">
        <f>IF(B148="ОСНО",T148*1.18,T148)</f>
        <v>22.5</v>
      </c>
      <c r="V148" s="244">
        <f t="shared" si="243"/>
        <v>26.709499999999998</v>
      </c>
      <c r="W148" s="244">
        <f t="shared" ref="W148:W167" si="256">T148*1.06</f>
        <v>23.85</v>
      </c>
      <c r="X148" s="228">
        <f t="shared" si="238"/>
        <v>23.85</v>
      </c>
      <c r="Y148" s="250">
        <f t="shared" si="239"/>
        <v>1.0234178427741236</v>
      </c>
      <c r="Z148" s="229">
        <f t="shared" si="240"/>
        <v>1.06</v>
      </c>
      <c r="AA148" s="244">
        <f>56.428/2</f>
        <v>28.213999999999999</v>
      </c>
      <c r="AB148" s="244">
        <v>37.86</v>
      </c>
      <c r="AC148" s="228">
        <f>IF(B148="ОСНО",AB148*1.18,AB148)</f>
        <v>37.86</v>
      </c>
      <c r="AD148" s="228"/>
      <c r="AE148" s="230">
        <f t="shared" si="241"/>
        <v>2033.9284249999996</v>
      </c>
      <c r="AF148" s="244">
        <f>55.18/2</f>
        <v>27.59</v>
      </c>
      <c r="AG148" s="244">
        <v>40.54</v>
      </c>
      <c r="AH148" s="228">
        <f t="shared" si="250"/>
        <v>40.54</v>
      </c>
      <c r="AI148" s="244">
        <f t="shared" si="244"/>
        <v>27.59</v>
      </c>
      <c r="AJ148" s="244">
        <v>44.13</v>
      </c>
      <c r="AK148" s="228">
        <f t="shared" si="251"/>
        <v>44.13</v>
      </c>
      <c r="AL148" s="250">
        <f t="shared" si="252"/>
        <v>1.0471048548990769</v>
      </c>
      <c r="AM148" s="229">
        <f t="shared" si="245"/>
        <v>1.0885545140601876</v>
      </c>
      <c r="AN148" s="254">
        <f>54.845/2</f>
        <v>27.422499999999999</v>
      </c>
      <c r="AO148" s="254">
        <v>16.3</v>
      </c>
      <c r="AP148" s="228">
        <f>IF(B148="ОСНО",AO148*1.18,AO148)</f>
        <v>16.3</v>
      </c>
      <c r="AQ148" s="228"/>
      <c r="AR148" s="254">
        <f>52.37/2</f>
        <v>26.184999999999999</v>
      </c>
      <c r="AS148" s="254">
        <v>17.46</v>
      </c>
      <c r="AT148" s="228">
        <f t="shared" si="253"/>
        <v>17.46</v>
      </c>
      <c r="AU148" s="244">
        <f t="shared" si="246"/>
        <v>26.184999999999999</v>
      </c>
      <c r="AV148" s="244">
        <v>18.5</v>
      </c>
      <c r="AW148" s="228">
        <f t="shared" si="254"/>
        <v>18.5</v>
      </c>
      <c r="AX148" s="250">
        <f t="shared" si="255"/>
        <v>1.0228269629916322</v>
      </c>
      <c r="AY148" s="229">
        <f t="shared" si="248"/>
        <v>1.0595647193585338</v>
      </c>
      <c r="AZ148" s="229"/>
      <c r="BA148" s="230">
        <f t="shared" si="236"/>
        <v>1275.47135</v>
      </c>
    </row>
    <row r="149" spans="1:53" s="231" customFormat="1" ht="15.75" hidden="1">
      <c r="A149" s="246" t="s">
        <v>406</v>
      </c>
      <c r="B149" s="246" t="s">
        <v>398</v>
      </c>
      <c r="C149" s="243">
        <f>53.1/2</f>
        <v>26.55</v>
      </c>
      <c r="D149" s="244">
        <v>39.86</v>
      </c>
      <c r="E149" s="228">
        <f t="shared" si="237"/>
        <v>39.86</v>
      </c>
      <c r="F149" s="244">
        <f>52.789/2</f>
        <v>26.394500000000001</v>
      </c>
      <c r="G149" s="244">
        <v>42.67</v>
      </c>
      <c r="H149" s="228">
        <f t="shared" si="126"/>
        <v>42.67</v>
      </c>
      <c r="I149" s="228">
        <f t="shared" si="242"/>
        <v>26.394500000000001</v>
      </c>
      <c r="J149" s="244">
        <v>44.55</v>
      </c>
      <c r="K149" s="228">
        <f t="shared" si="127"/>
        <v>44.55</v>
      </c>
      <c r="L149" s="250">
        <f t="shared" si="249"/>
        <v>1.0642269742592485</v>
      </c>
      <c r="M149" s="229">
        <f>(K149*I149)/(H149*F149)</f>
        <v>1.0440590578861024</v>
      </c>
      <c r="N149" s="250" t="s">
        <v>270</v>
      </c>
      <c r="O149" s="244">
        <f>44.496/2</f>
        <v>22.248000000000001</v>
      </c>
      <c r="P149" s="244">
        <v>21</v>
      </c>
      <c r="Q149" s="228">
        <f>IF(B149="ОСНО",P149*1.18,P149)</f>
        <v>21</v>
      </c>
      <c r="R149" s="228"/>
      <c r="S149" s="244">
        <f>44.185/2</f>
        <v>22.092500000000001</v>
      </c>
      <c r="T149" s="244">
        <v>22.5</v>
      </c>
      <c r="U149" s="228">
        <f>IF(B149="ОСНО",T149*1.18,T149)</f>
        <v>22.5</v>
      </c>
      <c r="V149" s="244">
        <f t="shared" si="243"/>
        <v>22.092500000000001</v>
      </c>
      <c r="W149" s="244">
        <f t="shared" si="256"/>
        <v>23.85</v>
      </c>
      <c r="X149" s="228">
        <f t="shared" si="238"/>
        <v>23.85</v>
      </c>
      <c r="Y149" s="250">
        <f t="shared" si="239"/>
        <v>1.0639399368161504</v>
      </c>
      <c r="Z149" s="229">
        <f t="shared" si="240"/>
        <v>1.06</v>
      </c>
      <c r="AA149" s="244">
        <f>50.322/2</f>
        <v>25.161000000000001</v>
      </c>
      <c r="AB149" s="244">
        <v>46.74</v>
      </c>
      <c r="AC149" s="228">
        <f>IF(B149="ОСНО",AB149*1.18,AB149)</f>
        <v>46.74</v>
      </c>
      <c r="AD149" s="228"/>
      <c r="AE149" s="230">
        <f t="shared" si="241"/>
        <v>902.92047500000001</v>
      </c>
      <c r="AF149" s="244">
        <f>49.87/2</f>
        <v>24.934999999999999</v>
      </c>
      <c r="AG149" s="244">
        <v>50.04</v>
      </c>
      <c r="AH149" s="228">
        <f t="shared" si="250"/>
        <v>50.04</v>
      </c>
      <c r="AI149" s="244">
        <f t="shared" si="244"/>
        <v>24.934999999999999</v>
      </c>
      <c r="AJ149" s="244">
        <v>51.37</v>
      </c>
      <c r="AK149" s="228">
        <f t="shared" si="251"/>
        <v>51.37</v>
      </c>
      <c r="AL149" s="250">
        <f t="shared" si="252"/>
        <v>1.0609870125735574</v>
      </c>
      <c r="AM149" s="229">
        <f t="shared" si="245"/>
        <v>1.0265787370103916</v>
      </c>
      <c r="AN149" s="254">
        <f>43.52/2</f>
        <v>21.76</v>
      </c>
      <c r="AO149" s="254">
        <v>20.7</v>
      </c>
      <c r="AP149" s="228">
        <f>IF(B149="ОСНО",AO149*1.18,AO149)</f>
        <v>20.7</v>
      </c>
      <c r="AQ149" s="228"/>
      <c r="AR149" s="254">
        <f>43.068/2</f>
        <v>21.533999999999999</v>
      </c>
      <c r="AS149" s="254">
        <v>22.17</v>
      </c>
      <c r="AT149" s="228">
        <f t="shared" si="253"/>
        <v>22.17</v>
      </c>
      <c r="AU149" s="244">
        <f t="shared" si="246"/>
        <v>21.533999999999999</v>
      </c>
      <c r="AV149" s="244">
        <f t="shared" ref="AV149:AV156" si="257">AS149*1.06</f>
        <v>23.500200000000003</v>
      </c>
      <c r="AW149" s="228">
        <f t="shared" si="254"/>
        <v>23.500200000000003</v>
      </c>
      <c r="AX149" s="250">
        <f t="shared" si="255"/>
        <v>1.0598909047314578</v>
      </c>
      <c r="AY149" s="229">
        <f t="shared" si="248"/>
        <v>1.06</v>
      </c>
      <c r="AZ149" s="229"/>
      <c r="BA149" s="230">
        <f t="shared" si="236"/>
        <v>1200.3008531999999</v>
      </c>
    </row>
    <row r="150" spans="1:53" s="231" customFormat="1" ht="16.5" hidden="1" customHeight="1">
      <c r="A150" s="236" t="s">
        <v>404</v>
      </c>
      <c r="B150" s="236" t="s">
        <v>398</v>
      </c>
      <c r="C150" s="227">
        <f>37.65/2</f>
        <v>18.824999999999999</v>
      </c>
      <c r="D150" s="228">
        <v>78.2</v>
      </c>
      <c r="E150" s="228">
        <f t="shared" si="237"/>
        <v>78.2</v>
      </c>
      <c r="F150" s="228">
        <f>36.493/2</f>
        <v>18.246500000000001</v>
      </c>
      <c r="G150" s="228">
        <v>83.74</v>
      </c>
      <c r="H150" s="228">
        <f t="shared" ref="H150:H218" si="258">IF(B150="ОСНО",G150*1.18,G150)</f>
        <v>83.74</v>
      </c>
      <c r="I150" s="228">
        <f t="shared" si="242"/>
        <v>18.246500000000001</v>
      </c>
      <c r="J150" s="228">
        <v>91.21</v>
      </c>
      <c r="K150" s="228">
        <f t="shared" ref="K150:K218" si="259">IF(B150="ОСНО",J150*1.18,J150)</f>
        <v>91.21</v>
      </c>
      <c r="L150" s="229">
        <f t="shared" si="249"/>
        <v>1.037936513112087</v>
      </c>
      <c r="M150" s="229">
        <f>(K150*I150)/(H150*F150)</f>
        <v>1.089204681155959</v>
      </c>
      <c r="N150" s="238" t="s">
        <v>267</v>
      </c>
      <c r="O150" s="228">
        <f>30.238/2</f>
        <v>15.119</v>
      </c>
      <c r="P150" s="228">
        <v>30.72</v>
      </c>
      <c r="Q150" s="228">
        <f>IF(B150="ОСНО",P150*1.18,P150)</f>
        <v>30.72</v>
      </c>
      <c r="R150" s="228"/>
      <c r="S150" s="228">
        <f>29.442/2</f>
        <v>14.721</v>
      </c>
      <c r="T150" s="228">
        <v>32.9</v>
      </c>
      <c r="U150" s="228">
        <f>IF(B150="ОСНО",T150*1.18,T150)</f>
        <v>32.9</v>
      </c>
      <c r="V150" s="244">
        <f t="shared" si="243"/>
        <v>14.721</v>
      </c>
      <c r="W150" s="244">
        <v>34.880000000000003</v>
      </c>
      <c r="X150" s="228">
        <f t="shared" si="238"/>
        <v>34.880000000000003</v>
      </c>
      <c r="Y150" s="229">
        <f t="shared" si="239"/>
        <v>1.0427709700955752</v>
      </c>
      <c r="Z150" s="229">
        <f t="shared" si="240"/>
        <v>1.0601823708206688</v>
      </c>
      <c r="AA150" s="228">
        <f>28.742/2</f>
        <v>14.371</v>
      </c>
      <c r="AB150" s="228">
        <v>36.36</v>
      </c>
      <c r="AC150" s="228">
        <f>IF(B150="ОСНО",AB150*1.18,AB150)</f>
        <v>36.36</v>
      </c>
      <c r="AD150" s="228"/>
      <c r="AE150" s="230">
        <f t="shared" si="241"/>
        <v>1577.6495699999998</v>
      </c>
      <c r="AF150" s="228">
        <f>28.185/2</f>
        <v>14.092499999999999</v>
      </c>
      <c r="AG150" s="228">
        <v>38.93</v>
      </c>
      <c r="AH150" s="228">
        <f t="shared" si="250"/>
        <v>38.93</v>
      </c>
      <c r="AI150" s="244">
        <f t="shared" si="244"/>
        <v>14.092499999999999</v>
      </c>
      <c r="AJ150" s="228">
        <v>41.93</v>
      </c>
      <c r="AK150" s="228">
        <f t="shared" si="251"/>
        <v>41.93</v>
      </c>
      <c r="AL150" s="229">
        <f t="shared" si="252"/>
        <v>1.0499329932645338</v>
      </c>
      <c r="AM150" s="229">
        <f t="shared" si="245"/>
        <v>1.0770613922424865</v>
      </c>
      <c r="AN150" s="240">
        <f>24.884/2</f>
        <v>12.442</v>
      </c>
      <c r="AO150" s="240">
        <v>28.64</v>
      </c>
      <c r="AP150" s="228">
        <f>IF(B150="ОСНО",AO150*1.18,AO150)</f>
        <v>28.64</v>
      </c>
      <c r="AQ150" s="228"/>
      <c r="AR150" s="240">
        <f>24.869/2</f>
        <v>12.4345</v>
      </c>
      <c r="AS150" s="240">
        <v>30.67</v>
      </c>
      <c r="AT150" s="228">
        <f t="shared" si="253"/>
        <v>30.67</v>
      </c>
      <c r="AU150" s="244">
        <f t="shared" si="246"/>
        <v>12.4345</v>
      </c>
      <c r="AV150" s="244">
        <f t="shared" si="257"/>
        <v>32.510200000000005</v>
      </c>
      <c r="AW150" s="228">
        <f t="shared" si="254"/>
        <v>32.510200000000005</v>
      </c>
      <c r="AX150" s="229">
        <f t="shared" si="255"/>
        <v>1.0702343651077313</v>
      </c>
      <c r="AY150" s="229">
        <f t="shared" si="248"/>
        <v>1.06</v>
      </c>
      <c r="AZ150" s="229"/>
      <c r="BA150" s="230">
        <f t="shared" si="236"/>
        <v>219.83947309999991</v>
      </c>
    </row>
    <row r="151" spans="1:53" s="231" customFormat="1" ht="16.5" hidden="1" customHeight="1">
      <c r="A151" s="236" t="s">
        <v>405</v>
      </c>
      <c r="B151" s="236" t="s">
        <v>398</v>
      </c>
      <c r="C151" s="227">
        <f>3.344/2</f>
        <v>1.6719999999999999</v>
      </c>
      <c r="D151" s="228">
        <v>187.17</v>
      </c>
      <c r="E151" s="228">
        <f t="shared" si="237"/>
        <v>187.17</v>
      </c>
      <c r="F151" s="228">
        <f>3.186/2</f>
        <v>1.593</v>
      </c>
      <c r="G151" s="228">
        <v>200.41</v>
      </c>
      <c r="H151" s="228">
        <f t="shared" si="258"/>
        <v>200.41</v>
      </c>
      <c r="I151" s="228">
        <f t="shared" si="242"/>
        <v>1.593</v>
      </c>
      <c r="J151" s="228">
        <v>216.42</v>
      </c>
      <c r="K151" s="228">
        <f t="shared" si="259"/>
        <v>216.42</v>
      </c>
      <c r="L151" s="229">
        <f t="shared" si="249"/>
        <v>1.0201467501462864</v>
      </c>
      <c r="M151" s="229">
        <f>(K151*I151)/(H151*F151)</f>
        <v>1.079886233221895</v>
      </c>
      <c r="N151" s="238" t="s">
        <v>268</v>
      </c>
      <c r="O151" s="228">
        <f>3.144/2</f>
        <v>1.5720000000000001</v>
      </c>
      <c r="P151" s="228">
        <v>30.72</v>
      </c>
      <c r="Q151" s="228">
        <f>IF(B151="ОСНО",P151*1.18,P151)</f>
        <v>30.72</v>
      </c>
      <c r="R151" s="228"/>
      <c r="S151" s="228">
        <f>2.986/2</f>
        <v>1.4930000000000001</v>
      </c>
      <c r="T151" s="228">
        <v>32.9</v>
      </c>
      <c r="U151" s="228">
        <f>IF(B151="ОСНО",T151*1.18,T151)</f>
        <v>32.9</v>
      </c>
      <c r="V151" s="244">
        <f t="shared" si="243"/>
        <v>1.4930000000000001</v>
      </c>
      <c r="W151" s="244">
        <v>34.880000000000003</v>
      </c>
      <c r="X151" s="228">
        <f t="shared" si="238"/>
        <v>34.880000000000003</v>
      </c>
      <c r="Y151" s="229">
        <f t="shared" si="239"/>
        <v>1.0171428547762935</v>
      </c>
      <c r="Z151" s="229">
        <f t="shared" si="240"/>
        <v>1.0601823708206688</v>
      </c>
      <c r="AA151" s="228">
        <f>3.284/2</f>
        <v>1.6419999999999999</v>
      </c>
      <c r="AB151" s="228">
        <v>163.77000000000001</v>
      </c>
      <c r="AC151" s="228">
        <f>IF(B151="ОСНО",AB151*1.18,AB151)</f>
        <v>163.77000000000001</v>
      </c>
      <c r="AD151" s="228"/>
      <c r="AE151" s="230">
        <f t="shared" si="241"/>
        <v>521.13165000000004</v>
      </c>
      <c r="AF151" s="228">
        <f>3.126/2</f>
        <v>1.5629999999999999</v>
      </c>
      <c r="AG151" s="228">
        <v>175.34</v>
      </c>
      <c r="AH151" s="228">
        <f t="shared" si="250"/>
        <v>175.34</v>
      </c>
      <c r="AI151" s="244">
        <f>AF151</f>
        <v>1.5629999999999999</v>
      </c>
      <c r="AJ151" s="228">
        <v>201.63</v>
      </c>
      <c r="AK151" s="228">
        <f t="shared" si="251"/>
        <v>201.63</v>
      </c>
      <c r="AL151" s="229">
        <f t="shared" si="252"/>
        <v>1.0191367873767887</v>
      </c>
      <c r="AM151" s="229">
        <f t="shared" si="245"/>
        <v>1.1499372647427852</v>
      </c>
      <c r="AN151" s="240">
        <f>3.144/2</f>
        <v>1.5720000000000001</v>
      </c>
      <c r="AO151" s="240">
        <v>28.64</v>
      </c>
      <c r="AP151" s="228">
        <f>IF(B151="ОСНО",AO151*1.18,AO151)</f>
        <v>28.64</v>
      </c>
      <c r="AQ151" s="228"/>
      <c r="AR151" s="240">
        <f>2.986/2</f>
        <v>1.4930000000000001</v>
      </c>
      <c r="AS151" s="240">
        <v>30.67</v>
      </c>
      <c r="AT151" s="228">
        <f t="shared" si="253"/>
        <v>30.67</v>
      </c>
      <c r="AU151" s="244">
        <f t="shared" si="246"/>
        <v>1.4930000000000001</v>
      </c>
      <c r="AV151" s="244">
        <f t="shared" si="257"/>
        <v>32.510200000000005</v>
      </c>
      <c r="AW151" s="228">
        <f t="shared" si="254"/>
        <v>32.510200000000005</v>
      </c>
      <c r="AX151" s="229">
        <f t="shared" si="255"/>
        <v>1.0170634053335608</v>
      </c>
      <c r="AY151" s="229">
        <f t="shared" si="248"/>
        <v>1.06</v>
      </c>
      <c r="AZ151" s="229"/>
      <c r="BA151" s="230">
        <f t="shared" si="236"/>
        <v>468.48817140000006</v>
      </c>
    </row>
    <row r="152" spans="1:53" s="231" customFormat="1" ht="16.5" hidden="1" customHeight="1">
      <c r="A152" s="236" t="s">
        <v>442</v>
      </c>
      <c r="B152" s="236" t="s">
        <v>398</v>
      </c>
      <c r="C152" s="227"/>
      <c r="D152" s="228"/>
      <c r="E152" s="228"/>
      <c r="F152" s="228">
        <f>24.991/2</f>
        <v>12.4955</v>
      </c>
      <c r="G152" s="228">
        <v>75.38</v>
      </c>
      <c r="H152" s="228">
        <v>75.38</v>
      </c>
      <c r="I152" s="228">
        <f t="shared" si="242"/>
        <v>12.4955</v>
      </c>
      <c r="J152" s="228">
        <v>83.6</v>
      </c>
      <c r="K152" s="228">
        <f>J152</f>
        <v>83.6</v>
      </c>
      <c r="L152" s="229"/>
      <c r="M152" s="229">
        <f>J152/G152</f>
        <v>1.1090474927036349</v>
      </c>
      <c r="N152" s="238"/>
      <c r="O152" s="228"/>
      <c r="P152" s="228"/>
      <c r="Q152" s="228"/>
      <c r="R152" s="228"/>
      <c r="S152" s="228">
        <f>16.37/2</f>
        <v>8.1850000000000005</v>
      </c>
      <c r="T152" s="228">
        <v>29</v>
      </c>
      <c r="U152" s="228">
        <v>29</v>
      </c>
      <c r="V152" s="244">
        <f t="shared" si="243"/>
        <v>8.1850000000000005</v>
      </c>
      <c r="W152" s="244">
        <v>30.74</v>
      </c>
      <c r="X152" s="228">
        <v>30.74</v>
      </c>
      <c r="Y152" s="229"/>
      <c r="Z152" s="229">
        <f>W152/T152</f>
        <v>1.06</v>
      </c>
      <c r="AA152" s="228"/>
      <c r="AB152" s="228"/>
      <c r="AC152" s="228"/>
      <c r="AD152" s="228"/>
      <c r="AE152" s="230">
        <f t="shared" si="241"/>
        <v>812.27940000000001</v>
      </c>
      <c r="AF152" s="228">
        <f>21.484/2</f>
        <v>10.742000000000001</v>
      </c>
      <c r="AG152" s="228">
        <v>68.77</v>
      </c>
      <c r="AH152" s="228">
        <f t="shared" si="250"/>
        <v>68.77</v>
      </c>
      <c r="AI152" s="244">
        <f t="shared" si="244"/>
        <v>10.742000000000001</v>
      </c>
      <c r="AJ152" s="228">
        <v>76.81</v>
      </c>
      <c r="AK152" s="228">
        <f t="shared" si="251"/>
        <v>76.81</v>
      </c>
      <c r="AL152" s="229"/>
      <c r="AM152" s="229">
        <f t="shared" si="245"/>
        <v>1.1169114439435801</v>
      </c>
      <c r="AN152" s="240"/>
      <c r="AO152" s="240"/>
      <c r="AP152" s="228"/>
      <c r="AQ152" s="228"/>
      <c r="AR152" s="240">
        <f>13.71/2</f>
        <v>6.8550000000000004</v>
      </c>
      <c r="AS152" s="240">
        <v>27</v>
      </c>
      <c r="AT152" s="228">
        <f t="shared" si="253"/>
        <v>27</v>
      </c>
      <c r="AU152" s="244">
        <f t="shared" si="246"/>
        <v>6.8550000000000004</v>
      </c>
      <c r="AV152" s="244">
        <f t="shared" si="257"/>
        <v>28.62</v>
      </c>
      <c r="AW152" s="228">
        <f t="shared" si="254"/>
        <v>28.62</v>
      </c>
      <c r="AX152" s="229"/>
      <c r="AY152" s="229"/>
      <c r="AZ152" s="229"/>
      <c r="BA152" s="230">
        <f t="shared" si="236"/>
        <v>616.67579999999998</v>
      </c>
    </row>
    <row r="153" spans="1:53" s="231" customFormat="1" ht="15.75" hidden="1">
      <c r="A153" s="246" t="s">
        <v>110</v>
      </c>
      <c r="B153" s="246" t="s">
        <v>397</v>
      </c>
      <c r="C153" s="243">
        <f>19.1/2</f>
        <v>9.5500000000000007</v>
      </c>
      <c r="D153" s="244">
        <v>68.34</v>
      </c>
      <c r="E153" s="228">
        <f t="shared" si="237"/>
        <v>80.641199999999998</v>
      </c>
      <c r="F153" s="244">
        <f>19.1/2</f>
        <v>9.5500000000000007</v>
      </c>
      <c r="G153" s="244">
        <v>69.94</v>
      </c>
      <c r="H153" s="228">
        <f t="shared" si="258"/>
        <v>82.529199999999989</v>
      </c>
      <c r="I153" s="228">
        <f t="shared" si="242"/>
        <v>9.5500000000000007</v>
      </c>
      <c r="J153" s="244">
        <v>73.45</v>
      </c>
      <c r="K153" s="228">
        <f t="shared" si="259"/>
        <v>86.670999999999992</v>
      </c>
      <c r="L153" s="250">
        <f t="shared" si="249"/>
        <v>1.0234123500146326</v>
      </c>
      <c r="M153" s="229">
        <f t="shared" ref="M153:M169" si="260">(K153*I153)/(H153*F153)</f>
        <v>1.050185873605948</v>
      </c>
      <c r="N153" s="250" t="s">
        <v>271</v>
      </c>
      <c r="O153" s="244">
        <f>17.6/2</f>
        <v>8.8000000000000007</v>
      </c>
      <c r="P153" s="244">
        <v>30.04</v>
      </c>
      <c r="Q153" s="228">
        <f t="shared" ref="Q153:Q159" si="261">IF(B153="ОСНО",P153*1.18,P153)</f>
        <v>35.447199999999995</v>
      </c>
      <c r="R153" s="228"/>
      <c r="S153" s="244">
        <f>17.6/2</f>
        <v>8.8000000000000007</v>
      </c>
      <c r="T153" s="244">
        <v>27.27</v>
      </c>
      <c r="U153" s="228">
        <f t="shared" ref="U153:U162" si="262">IF(B153="ОСНО",T153*1.18,T153)</f>
        <v>32.178599999999996</v>
      </c>
      <c r="V153" s="244">
        <f t="shared" si="243"/>
        <v>8.8000000000000007</v>
      </c>
      <c r="W153" s="244">
        <f t="shared" si="256"/>
        <v>28.906200000000002</v>
      </c>
      <c r="X153" s="228">
        <f t="shared" ref="X153:X160" si="263">IF(B153="ОСНО",W153*1.18,W153)</f>
        <v>34.109316</v>
      </c>
      <c r="Y153" s="250">
        <f t="shared" si="239"/>
        <v>0.90778961384820234</v>
      </c>
      <c r="Z153" s="229">
        <f t="shared" si="240"/>
        <v>1.0600000000000003</v>
      </c>
      <c r="AA153" s="244">
        <f>14.369/2</f>
        <v>7.1844999999999999</v>
      </c>
      <c r="AB153" s="244">
        <v>92.01</v>
      </c>
      <c r="AC153" s="228">
        <f t="shared" ref="AC153:AC159" si="264">IF(B153="ОСНО",AB153*1.18,AB153)</f>
        <v>108.5718</v>
      </c>
      <c r="AD153" s="228"/>
      <c r="AE153" s="230">
        <f t="shared" si="241"/>
        <v>767.48144000000013</v>
      </c>
      <c r="AF153" s="244">
        <f>14.369/2</f>
        <v>7.1844999999999999</v>
      </c>
      <c r="AG153" s="244">
        <v>94.3</v>
      </c>
      <c r="AH153" s="228">
        <f t="shared" si="250"/>
        <v>111.27399999999999</v>
      </c>
      <c r="AI153" s="244">
        <f t="shared" si="244"/>
        <v>7.1844999999999999</v>
      </c>
      <c r="AJ153" s="244">
        <v>101.52</v>
      </c>
      <c r="AK153" s="228">
        <f t="shared" si="251"/>
        <v>119.79359999999998</v>
      </c>
      <c r="AL153" s="250">
        <f t="shared" si="252"/>
        <v>1.0248885990653189</v>
      </c>
      <c r="AM153" s="229">
        <f t="shared" si="245"/>
        <v>1.0765641569459174</v>
      </c>
      <c r="AN153" s="254">
        <f>13.645/2</f>
        <v>6.8224999999999998</v>
      </c>
      <c r="AO153" s="254">
        <v>28.6</v>
      </c>
      <c r="AP153" s="228">
        <f>IF(B153="ОСНО",AO153*1.18,AO153)</f>
        <v>33.747999999999998</v>
      </c>
      <c r="AQ153" s="228"/>
      <c r="AR153" s="254">
        <f>13.645/2</f>
        <v>6.8224999999999998</v>
      </c>
      <c r="AS153" s="254">
        <v>25.96</v>
      </c>
      <c r="AT153" s="228">
        <f t="shared" si="253"/>
        <v>30.6328</v>
      </c>
      <c r="AU153" s="244">
        <f t="shared" si="246"/>
        <v>6.8224999999999998</v>
      </c>
      <c r="AV153" s="244">
        <f t="shared" si="257"/>
        <v>27.517600000000002</v>
      </c>
      <c r="AW153" s="228">
        <f t="shared" si="254"/>
        <v>32.470768</v>
      </c>
      <c r="AX153" s="250">
        <f t="shared" si="255"/>
        <v>0.90769230769230769</v>
      </c>
      <c r="AY153" s="229">
        <f t="shared" si="248"/>
        <v>1.06</v>
      </c>
      <c r="AZ153" s="229"/>
      <c r="BA153" s="230">
        <f t="shared" si="236"/>
        <v>971.13102400000002</v>
      </c>
    </row>
    <row r="154" spans="1:53" ht="15.75" hidden="1">
      <c r="A154" s="246" t="s">
        <v>443</v>
      </c>
      <c r="B154" s="246" t="s">
        <v>398</v>
      </c>
      <c r="C154" s="243">
        <f>108.212/2</f>
        <v>54.106000000000002</v>
      </c>
      <c r="D154" s="244">
        <v>75.290000000000006</v>
      </c>
      <c r="E154" s="228">
        <f t="shared" si="237"/>
        <v>75.290000000000006</v>
      </c>
      <c r="F154" s="244">
        <f>108.212/2</f>
        <v>54.106000000000002</v>
      </c>
      <c r="G154" s="244">
        <v>75.290000000000006</v>
      </c>
      <c r="H154" s="228">
        <f t="shared" si="258"/>
        <v>75.290000000000006</v>
      </c>
      <c r="I154" s="228">
        <f t="shared" si="242"/>
        <v>54.106000000000002</v>
      </c>
      <c r="J154" s="244">
        <v>81.64</v>
      </c>
      <c r="K154" s="228">
        <f t="shared" si="259"/>
        <v>81.64</v>
      </c>
      <c r="L154" s="250">
        <f t="shared" si="249"/>
        <v>1</v>
      </c>
      <c r="M154" s="229">
        <f t="shared" si="260"/>
        <v>1.0843405498738212</v>
      </c>
      <c r="N154" s="192" t="s">
        <v>271</v>
      </c>
      <c r="O154" s="191">
        <f>88.68/2</f>
        <v>44.34</v>
      </c>
      <c r="P154" s="191">
        <v>25.46</v>
      </c>
      <c r="Q154" s="181">
        <f t="shared" si="261"/>
        <v>25.46</v>
      </c>
      <c r="R154" s="181"/>
      <c r="S154" s="244">
        <f>88.68/2</f>
        <v>44.34</v>
      </c>
      <c r="T154" s="244">
        <v>27.27</v>
      </c>
      <c r="U154" s="228">
        <f t="shared" si="262"/>
        <v>27.27</v>
      </c>
      <c r="V154" s="244">
        <f t="shared" si="243"/>
        <v>44.34</v>
      </c>
      <c r="W154" s="244">
        <f>T154*1.04</f>
        <v>28.360800000000001</v>
      </c>
      <c r="X154" s="228">
        <f t="shared" si="263"/>
        <v>28.360800000000001</v>
      </c>
      <c r="Y154" s="250">
        <f t="shared" si="239"/>
        <v>1.0710919088766693</v>
      </c>
      <c r="Z154" s="229">
        <f t="shared" si="240"/>
        <v>1.04</v>
      </c>
      <c r="AA154" s="191">
        <f>106.845/2</f>
        <v>53.422499999999999</v>
      </c>
      <c r="AB154" s="191">
        <v>65.900000000000006</v>
      </c>
      <c r="AC154" s="181">
        <f t="shared" si="264"/>
        <v>65.900000000000006</v>
      </c>
      <c r="AD154" s="181"/>
      <c r="AE154" s="230">
        <f t="shared" si="241"/>
        <v>4491.6065280000012</v>
      </c>
      <c r="AF154" s="244">
        <f>106.845/2</f>
        <v>53.422499999999999</v>
      </c>
      <c r="AG154" s="244">
        <v>65.900000000000006</v>
      </c>
      <c r="AH154" s="228">
        <f t="shared" si="250"/>
        <v>65.900000000000006</v>
      </c>
      <c r="AI154" s="244">
        <f t="shared" si="244"/>
        <v>53.422499999999999</v>
      </c>
      <c r="AJ154" s="244">
        <v>72.84</v>
      </c>
      <c r="AK154" s="228">
        <f t="shared" si="251"/>
        <v>72.84</v>
      </c>
      <c r="AL154" s="250">
        <f t="shared" si="252"/>
        <v>1</v>
      </c>
      <c r="AM154" s="229">
        <f t="shared" si="245"/>
        <v>1.1053110773899848</v>
      </c>
      <c r="AN154" s="254">
        <f>88.671/2</f>
        <v>44.335500000000003</v>
      </c>
      <c r="AO154" s="254">
        <v>24.24</v>
      </c>
      <c r="AP154" s="228">
        <f>IF(B154="ОСНО",AO154*1.18,AO154)</f>
        <v>24.24</v>
      </c>
      <c r="AQ154" s="228"/>
      <c r="AR154" s="254">
        <f>88.671/2</f>
        <v>44.335500000000003</v>
      </c>
      <c r="AS154" s="254">
        <v>25.96</v>
      </c>
      <c r="AT154" s="228">
        <f t="shared" si="253"/>
        <v>25.96</v>
      </c>
      <c r="AU154" s="244">
        <f t="shared" si="246"/>
        <v>44.335500000000003</v>
      </c>
      <c r="AV154" s="244">
        <f>AS154*1.04</f>
        <v>26.9984</v>
      </c>
      <c r="AW154" s="228">
        <f t="shared" si="254"/>
        <v>26.9984</v>
      </c>
      <c r="AX154" s="192">
        <f t="shared" si="255"/>
        <v>1.0709570957095711</v>
      </c>
      <c r="AY154" s="229">
        <f t="shared" si="248"/>
        <v>1.0399999999999998</v>
      </c>
      <c r="AZ154" s="229"/>
      <c r="BA154" s="230">
        <f t="shared" si="236"/>
        <v>3803.1701268000006</v>
      </c>
    </row>
    <row r="155" spans="1:53" s="231" customFormat="1" ht="15.75" hidden="1">
      <c r="A155" s="246" t="s">
        <v>407</v>
      </c>
      <c r="B155" s="246" t="s">
        <v>398</v>
      </c>
      <c r="C155" s="243">
        <f>9.587/2</f>
        <v>4.7934999999999999</v>
      </c>
      <c r="D155" s="244">
        <v>59.48</v>
      </c>
      <c r="E155" s="228">
        <f t="shared" si="237"/>
        <v>59.48</v>
      </c>
      <c r="F155" s="244">
        <f>14.903</f>
        <v>14.903</v>
      </c>
      <c r="G155" s="244">
        <v>63.77</v>
      </c>
      <c r="H155" s="228">
        <f t="shared" si="258"/>
        <v>63.77</v>
      </c>
      <c r="I155" s="228">
        <f t="shared" si="242"/>
        <v>14.903</v>
      </c>
      <c r="J155" s="244">
        <v>68.67</v>
      </c>
      <c r="K155" s="228">
        <f t="shared" si="259"/>
        <v>68.67</v>
      </c>
      <c r="L155" s="250">
        <f t="shared" si="249"/>
        <v>3.3332387874776352</v>
      </c>
      <c r="M155" s="229">
        <f t="shared" si="260"/>
        <v>1.0768386388583975</v>
      </c>
      <c r="N155" s="250" t="s">
        <v>272</v>
      </c>
      <c r="O155" s="244">
        <f>9.027/2</f>
        <v>4.5134999999999996</v>
      </c>
      <c r="P155" s="244">
        <v>24</v>
      </c>
      <c r="Q155" s="228">
        <f t="shared" si="261"/>
        <v>24</v>
      </c>
      <c r="R155" s="228"/>
      <c r="S155" s="244">
        <f>5.493/2</f>
        <v>2.7465000000000002</v>
      </c>
      <c r="T155" s="244">
        <v>26.04</v>
      </c>
      <c r="U155" s="228">
        <f t="shared" si="262"/>
        <v>26.04</v>
      </c>
      <c r="V155" s="244">
        <f t="shared" si="243"/>
        <v>2.7465000000000002</v>
      </c>
      <c r="W155" s="244">
        <f t="shared" si="256"/>
        <v>27.602399999999999</v>
      </c>
      <c r="X155" s="228">
        <f t="shared" si="263"/>
        <v>27.602399999999999</v>
      </c>
      <c r="Y155" s="250">
        <f t="shared" si="239"/>
        <v>0.66023097374543049</v>
      </c>
      <c r="Z155" s="229">
        <f t="shared" si="240"/>
        <v>1.06</v>
      </c>
      <c r="AA155" s="244">
        <f>14.824/2</f>
        <v>7.4119999999999999</v>
      </c>
      <c r="AB155" s="244">
        <v>44.67</v>
      </c>
      <c r="AC155" s="228">
        <f t="shared" si="264"/>
        <v>44.67</v>
      </c>
      <c r="AD155" s="228"/>
      <c r="AE155" s="230">
        <f t="shared" si="241"/>
        <v>216.41760840000001</v>
      </c>
      <c r="AF155" s="244">
        <f>13.274/2</f>
        <v>6.6369999999999996</v>
      </c>
      <c r="AG155" s="244">
        <v>48.32</v>
      </c>
      <c r="AH155" s="228">
        <f t="shared" si="250"/>
        <v>48.32</v>
      </c>
      <c r="AI155" s="244">
        <f t="shared" si="244"/>
        <v>6.6369999999999996</v>
      </c>
      <c r="AJ155" s="244">
        <v>53.78</v>
      </c>
      <c r="AK155" s="228">
        <f t="shared" si="251"/>
        <v>53.78</v>
      </c>
      <c r="AL155" s="250">
        <f t="shared" si="252"/>
        <v>0.96860650224933065</v>
      </c>
      <c r="AM155" s="229">
        <f t="shared" si="245"/>
        <v>1.112996688741722</v>
      </c>
      <c r="AN155" s="254">
        <f>14.264/2</f>
        <v>7.1319999999999997</v>
      </c>
      <c r="AO155" s="254">
        <v>21.47</v>
      </c>
      <c r="AP155" s="228">
        <f>IF(B155="ОСНО",AO155*1.18,AO155)</f>
        <v>21.47</v>
      </c>
      <c r="AQ155" s="228"/>
      <c r="AR155" s="254">
        <f>12.986/2</f>
        <v>6.4930000000000003</v>
      </c>
      <c r="AS155" s="254">
        <v>22.99</v>
      </c>
      <c r="AT155" s="228">
        <f t="shared" si="253"/>
        <v>22.99</v>
      </c>
      <c r="AU155" s="244">
        <f t="shared" si="246"/>
        <v>6.4930000000000003</v>
      </c>
      <c r="AV155" s="244">
        <f t="shared" si="257"/>
        <v>24.369399999999999</v>
      </c>
      <c r="AW155" s="228">
        <f t="shared" si="254"/>
        <v>24.369399999999999</v>
      </c>
      <c r="AX155" s="250">
        <f t="shared" si="255"/>
        <v>0.97485718114542963</v>
      </c>
      <c r="AY155" s="229">
        <f t="shared" si="248"/>
        <v>1.06</v>
      </c>
      <c r="AZ155" s="229"/>
      <c r="BA155" s="230">
        <f t="shared" si="236"/>
        <v>355.43071580000003</v>
      </c>
    </row>
    <row r="156" spans="1:53" s="231" customFormat="1" ht="15.75" hidden="1">
      <c r="A156" s="246" t="s">
        <v>112</v>
      </c>
      <c r="B156" s="246" t="s">
        <v>397</v>
      </c>
      <c r="C156" s="243">
        <f>86.547/2</f>
        <v>43.273499999999999</v>
      </c>
      <c r="D156" s="244">
        <v>27.18</v>
      </c>
      <c r="E156" s="228">
        <f t="shared" si="237"/>
        <v>32.072399999999995</v>
      </c>
      <c r="F156" s="244">
        <f>100.982/2</f>
        <v>50.491</v>
      </c>
      <c r="G156" s="244">
        <v>28.8</v>
      </c>
      <c r="H156" s="228">
        <f t="shared" si="258"/>
        <v>33.984000000000002</v>
      </c>
      <c r="I156" s="228">
        <f t="shared" si="242"/>
        <v>50.491</v>
      </c>
      <c r="J156" s="244">
        <v>30.54</v>
      </c>
      <c r="K156" s="228">
        <f t="shared" si="259"/>
        <v>36.037199999999999</v>
      </c>
      <c r="L156" s="250">
        <f t="shared" si="249"/>
        <v>1.2363316429452986</v>
      </c>
      <c r="M156" s="229">
        <f t="shared" si="260"/>
        <v>1.0604166666666666</v>
      </c>
      <c r="N156" s="250" t="s">
        <v>272</v>
      </c>
      <c r="O156" s="244">
        <f>1.896/2</f>
        <v>0.94799999999999995</v>
      </c>
      <c r="P156" s="244">
        <v>20.34</v>
      </c>
      <c r="Q156" s="228">
        <f t="shared" si="261"/>
        <v>24.001199999999997</v>
      </c>
      <c r="R156" s="228"/>
      <c r="S156" s="244">
        <f>0.957/2</f>
        <v>0.47849999999999998</v>
      </c>
      <c r="T156" s="244">
        <v>22.07</v>
      </c>
      <c r="U156" s="228">
        <f t="shared" si="262"/>
        <v>26.0426</v>
      </c>
      <c r="V156" s="244">
        <f t="shared" si="243"/>
        <v>0.47849999999999998</v>
      </c>
      <c r="W156" s="244">
        <f t="shared" si="256"/>
        <v>23.394200000000001</v>
      </c>
      <c r="X156" s="228">
        <f t="shared" si="263"/>
        <v>27.605156000000001</v>
      </c>
      <c r="Y156" s="250">
        <f t="shared" si="239"/>
        <v>0.54767761348219512</v>
      </c>
      <c r="Z156" s="229">
        <f t="shared" si="240"/>
        <v>1.06</v>
      </c>
      <c r="AA156" s="244">
        <f>84.508/2</f>
        <v>42.253999999999998</v>
      </c>
      <c r="AB156" s="244">
        <v>21.94</v>
      </c>
      <c r="AC156" s="228">
        <f t="shared" si="264"/>
        <v>25.889199999999999</v>
      </c>
      <c r="AD156" s="228"/>
      <c r="AE156" s="230">
        <f t="shared" si="241"/>
        <v>6.639570299999999</v>
      </c>
      <c r="AF156" s="244">
        <f>97.782/2</f>
        <v>48.890999999999998</v>
      </c>
      <c r="AG156" s="244">
        <v>22.3</v>
      </c>
      <c r="AH156" s="228">
        <f t="shared" si="250"/>
        <v>26.314</v>
      </c>
      <c r="AI156" s="244">
        <f t="shared" si="244"/>
        <v>48.890999999999998</v>
      </c>
      <c r="AJ156" s="244">
        <v>23.6</v>
      </c>
      <c r="AK156" s="228">
        <f t="shared" si="251"/>
        <v>27.847999999999999</v>
      </c>
      <c r="AL156" s="250">
        <f t="shared" si="252"/>
        <v>1.1760596020446559</v>
      </c>
      <c r="AM156" s="229">
        <f t="shared" si="245"/>
        <v>1.0582959641255607</v>
      </c>
      <c r="AN156" s="254">
        <f>1.408/2</f>
        <v>0.70399999999999996</v>
      </c>
      <c r="AO156" s="254">
        <v>18.190000000000001</v>
      </c>
      <c r="AP156" s="228">
        <f>IF(B156="ОСНО",AO156*1.18,AO156)</f>
        <v>21.464200000000002</v>
      </c>
      <c r="AQ156" s="228"/>
      <c r="AR156" s="254">
        <f>1.408/2</f>
        <v>0.70399999999999996</v>
      </c>
      <c r="AS156" s="254">
        <v>19.48</v>
      </c>
      <c r="AT156" s="228">
        <f t="shared" si="253"/>
        <v>22.9864</v>
      </c>
      <c r="AU156" s="244">
        <f t="shared" si="246"/>
        <v>0.70399999999999996</v>
      </c>
      <c r="AV156" s="244">
        <f t="shared" si="257"/>
        <v>20.648800000000001</v>
      </c>
      <c r="AW156" s="228">
        <f t="shared" si="254"/>
        <v>24.365584000000002</v>
      </c>
      <c r="AX156" s="250">
        <f t="shared" si="255"/>
        <v>1.0709180868609127</v>
      </c>
      <c r="AY156" s="229">
        <f t="shared" si="248"/>
        <v>1.06</v>
      </c>
      <c r="AZ156" s="229"/>
      <c r="BA156" s="230">
        <f t="shared" si="236"/>
        <v>4.0629248000000002</v>
      </c>
    </row>
    <row r="157" spans="1:53" s="231" customFormat="1" ht="15.75" hidden="1">
      <c r="A157" s="246" t="s">
        <v>113</v>
      </c>
      <c r="B157" s="246" t="s">
        <v>398</v>
      </c>
      <c r="C157" s="243">
        <f>275.76/2</f>
        <v>137.88</v>
      </c>
      <c r="D157" s="244">
        <v>25.48</v>
      </c>
      <c r="E157" s="228">
        <f t="shared" si="237"/>
        <v>25.48</v>
      </c>
      <c r="F157" s="244">
        <f>507.2</f>
        <v>507.2</v>
      </c>
      <c r="G157" s="244">
        <v>27.09</v>
      </c>
      <c r="H157" s="228">
        <f t="shared" si="258"/>
        <v>27.09</v>
      </c>
      <c r="I157" s="228">
        <f t="shared" si="242"/>
        <v>507.2</v>
      </c>
      <c r="J157" s="244">
        <v>27.42</v>
      </c>
      <c r="K157" s="228">
        <f t="shared" si="259"/>
        <v>27.42</v>
      </c>
      <c r="L157" s="250">
        <f t="shared" si="249"/>
        <v>3.9109976185694197</v>
      </c>
      <c r="M157" s="229">
        <f t="shared" si="260"/>
        <v>1.0121816168327797</v>
      </c>
      <c r="N157" s="250" t="s">
        <v>272</v>
      </c>
      <c r="O157" s="244">
        <f>196.8/2</f>
        <v>98.4</v>
      </c>
      <c r="P157" s="244">
        <v>24</v>
      </c>
      <c r="Q157" s="228">
        <f t="shared" si="261"/>
        <v>24</v>
      </c>
      <c r="R157" s="228"/>
      <c r="S157" s="244">
        <f>186.35</f>
        <v>186.35</v>
      </c>
      <c r="T157" s="244">
        <v>26.04</v>
      </c>
      <c r="U157" s="228">
        <f t="shared" si="262"/>
        <v>26.04</v>
      </c>
      <c r="V157" s="244">
        <f t="shared" si="243"/>
        <v>186.35</v>
      </c>
      <c r="W157" s="244">
        <v>27.42</v>
      </c>
      <c r="X157" s="228">
        <f t="shared" si="263"/>
        <v>27.42</v>
      </c>
      <c r="Y157" s="250">
        <f t="shared" si="239"/>
        <v>2.0547738821138211</v>
      </c>
      <c r="Z157" s="229">
        <f t="shared" si="240"/>
        <v>1.0529953917050692</v>
      </c>
      <c r="AA157" s="244">
        <f>224.247/2</f>
        <v>112.12350000000001</v>
      </c>
      <c r="AB157" s="244">
        <v>19.39</v>
      </c>
      <c r="AC157" s="228">
        <f t="shared" si="264"/>
        <v>19.39</v>
      </c>
      <c r="AD157" s="228"/>
      <c r="AE157" s="230">
        <f t="shared" si="241"/>
        <v>195.66750000000013</v>
      </c>
      <c r="AF157" s="244">
        <f>225.894/2</f>
        <v>112.947</v>
      </c>
      <c r="AG157" s="244">
        <v>20.12</v>
      </c>
      <c r="AH157" s="228">
        <f t="shared" si="250"/>
        <v>20.12</v>
      </c>
      <c r="AI157" s="244">
        <f t="shared" si="244"/>
        <v>112.947</v>
      </c>
      <c r="AJ157" s="244">
        <v>20.95</v>
      </c>
      <c r="AK157" s="228">
        <f t="shared" si="251"/>
        <v>20.95</v>
      </c>
      <c r="AL157" s="250">
        <f t="shared" si="252"/>
        <v>1.0452693629084722</v>
      </c>
      <c r="AM157" s="229">
        <f t="shared" si="245"/>
        <v>1.0412524850894631</v>
      </c>
      <c r="AN157" s="254">
        <f>217.103/2</f>
        <v>108.5515</v>
      </c>
      <c r="AO157" s="254">
        <v>19.39</v>
      </c>
      <c r="AP157" s="228">
        <f>IF(B157="ОСНО",AO157*1.18,AO157)</f>
        <v>19.39</v>
      </c>
      <c r="AQ157" s="228"/>
      <c r="AR157" s="254">
        <f>217.96/2</f>
        <v>108.98</v>
      </c>
      <c r="AS157" s="254">
        <v>20.12</v>
      </c>
      <c r="AT157" s="228">
        <f t="shared" si="253"/>
        <v>20.12</v>
      </c>
      <c r="AU157" s="244">
        <f t="shared" si="246"/>
        <v>108.98</v>
      </c>
      <c r="AV157" s="244">
        <v>20.95</v>
      </c>
      <c r="AW157" s="228">
        <v>20.95</v>
      </c>
      <c r="AX157" s="250">
        <f t="shared" si="255"/>
        <v>1.0417443215048423</v>
      </c>
      <c r="AY157" s="229">
        <f t="shared" si="248"/>
        <v>1.0412524850894631</v>
      </c>
      <c r="AZ157" s="229"/>
      <c r="BA157" s="230">
        <f t="shared" si="236"/>
        <v>0</v>
      </c>
    </row>
    <row r="158" spans="1:53" s="231" customFormat="1" ht="15.75" hidden="1">
      <c r="A158" s="246" t="s">
        <v>452</v>
      </c>
      <c r="B158" s="246" t="s">
        <v>398</v>
      </c>
      <c r="C158" s="243">
        <f>85.894/2</f>
        <v>42.947000000000003</v>
      </c>
      <c r="D158" s="244">
        <v>57.83</v>
      </c>
      <c r="E158" s="228">
        <f t="shared" si="237"/>
        <v>57.83</v>
      </c>
      <c r="F158" s="244">
        <f>70.303/2</f>
        <v>35.151499999999999</v>
      </c>
      <c r="G158" s="244">
        <v>61.93</v>
      </c>
      <c r="H158" s="228">
        <f t="shared" si="258"/>
        <v>61.93</v>
      </c>
      <c r="I158" s="228">
        <f t="shared" si="242"/>
        <v>35.151499999999999</v>
      </c>
      <c r="J158" s="244">
        <v>152.6</v>
      </c>
      <c r="K158" s="228">
        <f t="shared" si="259"/>
        <v>152.6</v>
      </c>
      <c r="L158" s="250">
        <f t="shared" si="249"/>
        <v>0.8765141219929975</v>
      </c>
      <c r="M158" s="229">
        <f t="shared" si="260"/>
        <v>2.4640723397384141</v>
      </c>
      <c r="N158" s="250" t="s">
        <v>273</v>
      </c>
      <c r="O158" s="244">
        <f>78.809/2</f>
        <v>39.404499999999999</v>
      </c>
      <c r="P158" s="244">
        <v>35.4</v>
      </c>
      <c r="Q158" s="228">
        <f t="shared" si="261"/>
        <v>35.4</v>
      </c>
      <c r="R158" s="228"/>
      <c r="S158" s="244">
        <f>65.311/2</f>
        <v>32.655500000000004</v>
      </c>
      <c r="T158" s="244">
        <v>37.909999999999997</v>
      </c>
      <c r="U158" s="228">
        <f t="shared" si="262"/>
        <v>37.909999999999997</v>
      </c>
      <c r="V158" s="244">
        <f t="shared" si="243"/>
        <v>32.655500000000004</v>
      </c>
      <c r="W158" s="244">
        <f>T158*1.04</f>
        <v>39.426400000000001</v>
      </c>
      <c r="X158" s="228">
        <f t="shared" si="263"/>
        <v>39.426400000000001</v>
      </c>
      <c r="Y158" s="250">
        <f t="shared" si="239"/>
        <v>0.88748503587268479</v>
      </c>
      <c r="Z158" s="229">
        <f t="shared" si="240"/>
        <v>1.04</v>
      </c>
      <c r="AA158" s="244"/>
      <c r="AB158" s="244"/>
      <c r="AC158" s="228">
        <f t="shared" si="264"/>
        <v>0</v>
      </c>
      <c r="AD158" s="228"/>
      <c r="AE158" s="230">
        <f t="shared" si="241"/>
        <v>4480.1256048000005</v>
      </c>
      <c r="AF158" s="244">
        <f>66.515/2</f>
        <v>33.2575</v>
      </c>
      <c r="AG158" s="244">
        <v>45.02</v>
      </c>
      <c r="AH158" s="228">
        <f t="shared" si="250"/>
        <v>45.02</v>
      </c>
      <c r="AI158" s="244">
        <f t="shared" si="244"/>
        <v>33.2575</v>
      </c>
      <c r="AJ158" s="244">
        <v>54.62</v>
      </c>
      <c r="AK158" s="228">
        <f t="shared" si="251"/>
        <v>54.62</v>
      </c>
      <c r="AL158" s="250"/>
      <c r="AM158" s="229">
        <f t="shared" si="245"/>
        <v>1.2132385606397154</v>
      </c>
      <c r="AN158" s="254"/>
      <c r="AO158" s="254"/>
      <c r="AP158" s="228"/>
      <c r="AQ158" s="228"/>
      <c r="AR158" s="254">
        <f>63.143/2</f>
        <v>31.5715</v>
      </c>
      <c r="AS158" s="254">
        <v>32.19</v>
      </c>
      <c r="AT158" s="228">
        <f t="shared" si="253"/>
        <v>32.19</v>
      </c>
      <c r="AU158" s="244">
        <f t="shared" si="246"/>
        <v>31.5715</v>
      </c>
      <c r="AV158" s="244">
        <v>33.479999999999997</v>
      </c>
      <c r="AW158" s="228">
        <f>IF(B158="ОСНО",AV158*1.18,AV158)</f>
        <v>33.479999999999997</v>
      </c>
      <c r="AX158" s="250"/>
      <c r="AY158" s="229">
        <f t="shared" si="248"/>
        <v>1.0400745573159367</v>
      </c>
      <c r="AZ158" s="229"/>
      <c r="BA158" s="230">
        <f t="shared" si="236"/>
        <v>1072.4838550000002</v>
      </c>
    </row>
    <row r="159" spans="1:53" ht="15.75" hidden="1">
      <c r="A159" s="246" t="s">
        <v>453</v>
      </c>
      <c r="B159" s="246" t="s">
        <v>398</v>
      </c>
      <c r="C159" s="243">
        <f>8.612/2</f>
        <v>4.306</v>
      </c>
      <c r="D159" s="244">
        <v>65.73</v>
      </c>
      <c r="E159" s="228">
        <f t="shared" si="237"/>
        <v>65.73</v>
      </c>
      <c r="F159" s="244">
        <f>7.025/2</f>
        <v>3.5125000000000002</v>
      </c>
      <c r="G159" s="244">
        <v>70.41</v>
      </c>
      <c r="H159" s="228">
        <f t="shared" si="258"/>
        <v>70.41</v>
      </c>
      <c r="I159" s="228">
        <f t="shared" si="242"/>
        <v>3.5125000000000002</v>
      </c>
      <c r="J159" s="244">
        <v>160.30000000000001</v>
      </c>
      <c r="K159" s="228">
        <f t="shared" si="259"/>
        <v>160.30000000000001</v>
      </c>
      <c r="L159" s="250">
        <f t="shared" si="249"/>
        <v>0.87380196993018977</v>
      </c>
      <c r="M159" s="229">
        <f t="shared" si="260"/>
        <v>2.2766652464138617</v>
      </c>
      <c r="N159" s="250" t="s">
        <v>273</v>
      </c>
      <c r="O159" s="244">
        <f>8.572/2</f>
        <v>4.2859999999999996</v>
      </c>
      <c r="P159" s="244">
        <v>35.4</v>
      </c>
      <c r="Q159" s="228">
        <f t="shared" si="261"/>
        <v>35.4</v>
      </c>
      <c r="R159" s="228"/>
      <c r="S159" s="244">
        <f>7.005/2</f>
        <v>3.5024999999999999</v>
      </c>
      <c r="T159" s="244">
        <v>37.909999999999997</v>
      </c>
      <c r="U159" s="228">
        <f t="shared" si="262"/>
        <v>37.909999999999997</v>
      </c>
      <c r="V159" s="244">
        <f t="shared" si="243"/>
        <v>3.5024999999999999</v>
      </c>
      <c r="W159" s="244">
        <f>T159*1.04</f>
        <v>39.426400000000001</v>
      </c>
      <c r="X159" s="228">
        <f t="shared" si="263"/>
        <v>39.426400000000001</v>
      </c>
      <c r="Y159" s="250">
        <f t="shared" si="239"/>
        <v>0.87513791453451117</v>
      </c>
      <c r="Z159" s="229">
        <f t="shared" si="240"/>
        <v>1.0400000000000003</v>
      </c>
      <c r="AA159" s="244"/>
      <c r="AB159" s="244"/>
      <c r="AC159" s="228">
        <f t="shared" si="264"/>
        <v>0</v>
      </c>
      <c r="AD159" s="228"/>
      <c r="AE159" s="230">
        <f t="shared" si="241"/>
        <v>537.19103400000006</v>
      </c>
      <c r="AF159" s="244"/>
      <c r="AG159" s="244"/>
      <c r="AH159" s="228"/>
      <c r="AI159" s="244">
        <f t="shared" si="244"/>
        <v>0</v>
      </c>
      <c r="AJ159" s="244"/>
      <c r="AK159" s="228"/>
      <c r="AL159" s="250"/>
      <c r="AM159" s="229"/>
      <c r="AN159" s="254"/>
      <c r="AO159" s="254"/>
      <c r="AP159" s="228"/>
      <c r="AQ159" s="228"/>
      <c r="AR159" s="254"/>
      <c r="AS159" s="254"/>
      <c r="AT159" s="228"/>
      <c r="AU159" s="244">
        <f t="shared" si="246"/>
        <v>0</v>
      </c>
      <c r="AV159" s="244"/>
      <c r="AW159" s="228"/>
      <c r="AX159" s="250"/>
      <c r="AY159" s="229"/>
      <c r="AZ159" s="229"/>
      <c r="BA159" s="230">
        <f t="shared" si="236"/>
        <v>0</v>
      </c>
    </row>
    <row r="160" spans="1:53" s="231" customFormat="1" ht="15.75" hidden="1">
      <c r="A160" s="246" t="s">
        <v>454</v>
      </c>
      <c r="B160" s="246" t="s">
        <v>398</v>
      </c>
      <c r="C160" s="243"/>
      <c r="D160" s="244"/>
      <c r="E160" s="228"/>
      <c r="F160" s="244">
        <f>88.729/2</f>
        <v>44.3645</v>
      </c>
      <c r="G160" s="244">
        <v>98.04</v>
      </c>
      <c r="H160" s="228">
        <f t="shared" si="258"/>
        <v>98.04</v>
      </c>
      <c r="I160" s="228">
        <f t="shared" si="242"/>
        <v>44.3645</v>
      </c>
      <c r="J160" s="244">
        <v>105.95</v>
      </c>
      <c r="K160" s="228">
        <f t="shared" si="259"/>
        <v>105.95</v>
      </c>
      <c r="L160" s="250"/>
      <c r="M160" s="229">
        <f t="shared" si="260"/>
        <v>1.0806813545491636</v>
      </c>
      <c r="N160" s="250"/>
      <c r="O160" s="244"/>
      <c r="P160" s="244"/>
      <c r="Q160" s="228"/>
      <c r="R160" s="228"/>
      <c r="S160" s="244">
        <f>76.441/2</f>
        <v>38.220500000000001</v>
      </c>
      <c r="T160" s="244">
        <v>37.909999999999997</v>
      </c>
      <c r="U160" s="228">
        <f t="shared" si="262"/>
        <v>37.909999999999997</v>
      </c>
      <c r="V160" s="244">
        <f t="shared" si="243"/>
        <v>38.220500000000001</v>
      </c>
      <c r="W160" s="244">
        <v>39.43</v>
      </c>
      <c r="X160" s="228">
        <f t="shared" si="263"/>
        <v>39.43</v>
      </c>
      <c r="Y160" s="250"/>
      <c r="Z160" s="229">
        <f t="shared" si="240"/>
        <v>1.0400949617515167</v>
      </c>
      <c r="AA160" s="244"/>
      <c r="AB160" s="244"/>
      <c r="AC160" s="228"/>
      <c r="AD160" s="228"/>
      <c r="AE160" s="230">
        <f t="shared" si="241"/>
        <v>4840.6263250000011</v>
      </c>
      <c r="AF160" s="244">
        <f>76.838/2</f>
        <v>38.418999999999997</v>
      </c>
      <c r="AG160" s="244">
        <v>32.53</v>
      </c>
      <c r="AH160" s="228">
        <f>IF(B160="ОСНО",AG160*1.18,AG160)</f>
        <v>32.53</v>
      </c>
      <c r="AI160" s="244">
        <f t="shared" si="244"/>
        <v>38.418999999999997</v>
      </c>
      <c r="AJ160" s="244">
        <v>36.94</v>
      </c>
      <c r="AK160" s="228">
        <f>IF(B160="ОСНО",AJ160*1.18,AJ160)</f>
        <v>36.94</v>
      </c>
      <c r="AL160" s="250"/>
      <c r="AM160" s="229">
        <f t="shared" si="245"/>
        <v>1.1355671687672915</v>
      </c>
      <c r="AN160" s="254"/>
      <c r="AO160" s="254"/>
      <c r="AP160" s="228"/>
      <c r="AQ160" s="228"/>
      <c r="AR160" s="254">
        <f>66.518/2</f>
        <v>33.259</v>
      </c>
      <c r="AS160" s="254">
        <v>32.19</v>
      </c>
      <c r="AT160" s="228">
        <f>IF(B160="ОСНО",AS160*1.18,AS160)</f>
        <v>32.19</v>
      </c>
      <c r="AU160" s="244">
        <f t="shared" si="246"/>
        <v>33.259</v>
      </c>
      <c r="AV160" s="244">
        <v>33.479999999999997</v>
      </c>
      <c r="AW160" s="244">
        <v>33.479999999999997</v>
      </c>
      <c r="AX160" s="250"/>
      <c r="AY160" s="229">
        <f t="shared" si="248"/>
        <v>1.0400745573159367</v>
      </c>
      <c r="AZ160" s="229"/>
      <c r="BA160" s="230">
        <f t="shared" si="236"/>
        <v>126.38420000000013</v>
      </c>
    </row>
    <row r="161" spans="1:54" s="231" customFormat="1" ht="15.75" hidden="1">
      <c r="A161" s="246" t="s">
        <v>118</v>
      </c>
      <c r="B161" s="246" t="s">
        <v>397</v>
      </c>
      <c r="C161" s="243">
        <f>1.22/2</f>
        <v>0.61</v>
      </c>
      <c r="D161" s="244">
        <v>40.299999999999997</v>
      </c>
      <c r="E161" s="228">
        <f t="shared" si="237"/>
        <v>47.553999999999995</v>
      </c>
      <c r="F161" s="244">
        <f>C161</f>
        <v>0.61</v>
      </c>
      <c r="G161" s="244">
        <v>43.11</v>
      </c>
      <c r="H161" s="228">
        <f t="shared" si="258"/>
        <v>50.869799999999998</v>
      </c>
      <c r="I161" s="228">
        <f t="shared" si="242"/>
        <v>0.61</v>
      </c>
      <c r="J161" s="244">
        <v>43.79</v>
      </c>
      <c r="K161" s="228">
        <f t="shared" si="259"/>
        <v>51.672199999999997</v>
      </c>
      <c r="L161" s="250">
        <f>(G161*F161)/(D161*C161)</f>
        <v>1.069727047146402</v>
      </c>
      <c r="M161" s="229">
        <f t="shared" si="260"/>
        <v>1.0157736024124333</v>
      </c>
      <c r="N161" s="250"/>
      <c r="O161" s="244"/>
      <c r="P161" s="244"/>
      <c r="Q161" s="228">
        <f>IF(B161="ОСНО",P161*1.18,P161)</f>
        <v>0</v>
      </c>
      <c r="R161" s="228"/>
      <c r="S161" s="244"/>
      <c r="T161" s="244"/>
      <c r="U161" s="228">
        <f t="shared" si="262"/>
        <v>0</v>
      </c>
      <c r="V161" s="244">
        <f t="shared" si="243"/>
        <v>0</v>
      </c>
      <c r="W161" s="244"/>
      <c r="X161" s="228"/>
      <c r="Y161" s="250"/>
      <c r="Z161" s="229"/>
      <c r="AA161" s="244"/>
      <c r="AB161" s="244"/>
      <c r="AC161" s="228"/>
      <c r="AD161" s="228"/>
      <c r="AE161" s="230">
        <f t="shared" si="241"/>
        <v>0</v>
      </c>
      <c r="AF161" s="244"/>
      <c r="AG161" s="244"/>
      <c r="AH161" s="228"/>
      <c r="AI161" s="244">
        <f t="shared" si="244"/>
        <v>0</v>
      </c>
      <c r="AJ161" s="244"/>
      <c r="AK161" s="228"/>
      <c r="AL161" s="250"/>
      <c r="AM161" s="229"/>
      <c r="AN161" s="254"/>
      <c r="AO161" s="254"/>
      <c r="AP161" s="228"/>
      <c r="AQ161" s="228"/>
      <c r="AR161" s="254"/>
      <c r="AS161" s="254"/>
      <c r="AT161" s="228"/>
      <c r="AU161" s="244">
        <f t="shared" si="246"/>
        <v>0</v>
      </c>
      <c r="AV161" s="244"/>
      <c r="AW161" s="228"/>
      <c r="AX161" s="250"/>
      <c r="AY161" s="229"/>
      <c r="AZ161" s="229"/>
      <c r="BA161" s="230">
        <f t="shared" si="236"/>
        <v>0</v>
      </c>
    </row>
    <row r="162" spans="1:54" s="231" customFormat="1" ht="15.75" hidden="1">
      <c r="A162" s="246" t="s">
        <v>119</v>
      </c>
      <c r="B162" s="246" t="s">
        <v>397</v>
      </c>
      <c r="C162" s="243">
        <f>2.46/2</f>
        <v>1.23</v>
      </c>
      <c r="D162" s="244">
        <v>40.299999999999997</v>
      </c>
      <c r="E162" s="228">
        <f t="shared" si="237"/>
        <v>47.553999999999995</v>
      </c>
      <c r="F162" s="244">
        <f>C162</f>
        <v>1.23</v>
      </c>
      <c r="G162" s="244">
        <v>43.11</v>
      </c>
      <c r="H162" s="228">
        <f t="shared" si="258"/>
        <v>50.869799999999998</v>
      </c>
      <c r="I162" s="228">
        <f t="shared" si="242"/>
        <v>1.23</v>
      </c>
      <c r="J162" s="244">
        <v>43.79</v>
      </c>
      <c r="K162" s="228">
        <f t="shared" si="259"/>
        <v>51.672199999999997</v>
      </c>
      <c r="L162" s="250">
        <f t="shared" ref="L162:L163" si="265">(G162*F162)/(D162*C162)</f>
        <v>1.0697270471464022</v>
      </c>
      <c r="M162" s="229">
        <f t="shared" si="260"/>
        <v>1.0157736024124333</v>
      </c>
      <c r="N162" s="250" t="s">
        <v>321</v>
      </c>
      <c r="O162" s="244">
        <f>1.11/2</f>
        <v>0.55500000000000005</v>
      </c>
      <c r="P162" s="244">
        <v>26.03</v>
      </c>
      <c r="Q162" s="228">
        <f>IF(B162="ОСНО",P162*1.18,P162)</f>
        <v>30.715399999999999</v>
      </c>
      <c r="R162" s="228"/>
      <c r="S162" s="244">
        <f t="shared" ref="S162" si="266">O162</f>
        <v>0.55500000000000005</v>
      </c>
      <c r="T162" s="244">
        <v>27.88</v>
      </c>
      <c r="U162" s="228">
        <f t="shared" si="262"/>
        <v>32.898399999999995</v>
      </c>
      <c r="V162" s="244">
        <f t="shared" si="243"/>
        <v>0.55500000000000005</v>
      </c>
      <c r="W162" s="244">
        <v>29</v>
      </c>
      <c r="X162" s="228">
        <f>IF(B162="ОСНО",W162*1.18,W162)</f>
        <v>34.22</v>
      </c>
      <c r="Y162" s="250">
        <f t="shared" ref="Y162:Y169" si="267">(T162*S162)/(P162*O162)</f>
        <v>1.0710718401844026</v>
      </c>
      <c r="Z162" s="229">
        <f t="shared" ref="Z162:Z169" si="268">(X162*V162)/(U162*S162)</f>
        <v>1.0401721664275467</v>
      </c>
      <c r="AA162" s="244"/>
      <c r="AB162" s="244"/>
      <c r="AC162" s="228">
        <f>IF(B162="ОСНО",AB162*1.18,AB162)</f>
        <v>0</v>
      </c>
      <c r="AD162" s="228"/>
      <c r="AE162" s="230">
        <f t="shared" si="241"/>
        <v>16.661100000000001</v>
      </c>
      <c r="AF162" s="244"/>
      <c r="AG162" s="244"/>
      <c r="AH162" s="228"/>
      <c r="AI162" s="244">
        <f t="shared" si="244"/>
        <v>0</v>
      </c>
      <c r="AJ162" s="244"/>
      <c r="AK162" s="228"/>
      <c r="AL162" s="250"/>
      <c r="AM162" s="229"/>
      <c r="AN162" s="254"/>
      <c r="AO162" s="254"/>
      <c r="AP162" s="228"/>
      <c r="AQ162" s="228"/>
      <c r="AR162" s="254"/>
      <c r="AS162" s="254"/>
      <c r="AT162" s="228"/>
      <c r="AU162" s="244">
        <f t="shared" si="246"/>
        <v>0</v>
      </c>
      <c r="AV162" s="244"/>
      <c r="AW162" s="228"/>
      <c r="AX162" s="250"/>
      <c r="AY162" s="229"/>
      <c r="AZ162" s="229"/>
      <c r="BA162" s="230">
        <f t="shared" si="236"/>
        <v>0</v>
      </c>
    </row>
    <row r="163" spans="1:54" s="231" customFormat="1" ht="15.75" hidden="1">
      <c r="A163" s="246" t="s">
        <v>120</v>
      </c>
      <c r="B163" s="246" t="s">
        <v>397</v>
      </c>
      <c r="C163" s="243">
        <f>50.39/2</f>
        <v>25.195</v>
      </c>
      <c r="D163" s="244">
        <v>69.78</v>
      </c>
      <c r="E163" s="228">
        <f t="shared" si="237"/>
        <v>82.340400000000002</v>
      </c>
      <c r="F163" s="244">
        <v>23.128</v>
      </c>
      <c r="G163" s="244">
        <v>74.45</v>
      </c>
      <c r="H163" s="228">
        <f t="shared" si="258"/>
        <v>87.850999999999999</v>
      </c>
      <c r="I163" s="228">
        <f t="shared" si="242"/>
        <v>23.128</v>
      </c>
      <c r="J163" s="244">
        <v>76.94</v>
      </c>
      <c r="K163" s="228">
        <f t="shared" si="259"/>
        <v>90.789199999999994</v>
      </c>
      <c r="L163" s="250">
        <f t="shared" si="265"/>
        <v>0.97939403122824542</v>
      </c>
      <c r="M163" s="229">
        <f t="shared" si="260"/>
        <v>1.0334452652787105</v>
      </c>
      <c r="N163" s="250" t="s">
        <v>321</v>
      </c>
      <c r="O163" s="244">
        <f>7.71/2</f>
        <v>3.855</v>
      </c>
      <c r="P163" s="244">
        <v>26.03</v>
      </c>
      <c r="Q163" s="228">
        <f>IF(B163="ОСНО",P163*1.18,P163)</f>
        <v>30.715399999999999</v>
      </c>
      <c r="R163" s="228"/>
      <c r="S163" s="244">
        <v>3.6629999999999998</v>
      </c>
      <c r="T163" s="244">
        <v>27.88</v>
      </c>
      <c r="U163" s="228">
        <f>T163*1.18</f>
        <v>32.898399999999995</v>
      </c>
      <c r="V163" s="244">
        <f t="shared" si="243"/>
        <v>3.6629999999999998</v>
      </c>
      <c r="W163" s="244">
        <v>29</v>
      </c>
      <c r="X163" s="228">
        <f>IF(B163="ОСНО",W163*1.18,W163)</f>
        <v>34.22</v>
      </c>
      <c r="Y163" s="250">
        <f t="shared" si="267"/>
        <v>1.0177266279106267</v>
      </c>
      <c r="Z163" s="229">
        <f>W163/T163</f>
        <v>1.0401721664275467</v>
      </c>
      <c r="AA163" s="244">
        <f>26.47/2</f>
        <v>13.234999999999999</v>
      </c>
      <c r="AB163" s="244">
        <v>65.22</v>
      </c>
      <c r="AC163" s="228">
        <f>IF(B163="ОСНО",AB163*1.18,AB163)</f>
        <v>76.959599999999995</v>
      </c>
      <c r="AD163" s="228"/>
      <c r="AE163" s="230">
        <f t="shared" si="241"/>
        <v>346.19012999999995</v>
      </c>
      <c r="AF163" s="244">
        <v>12.574</v>
      </c>
      <c r="AG163" s="244">
        <v>70.39</v>
      </c>
      <c r="AH163" s="228">
        <f>IF(B163="ОСНО",AG163*1.18,AG163)</f>
        <v>83.060199999999995</v>
      </c>
      <c r="AI163" s="244">
        <f t="shared" si="244"/>
        <v>12.574</v>
      </c>
      <c r="AJ163" s="244">
        <v>79.760000000000005</v>
      </c>
      <c r="AK163" s="228">
        <f>IF(B163="ОСНО",AJ163*1.18,AJ163)</f>
        <v>94.116799999999998</v>
      </c>
      <c r="AL163" s="250">
        <f t="shared" ref="AL163" si="269">(AG163*AF163)/(AB163*AA163)</f>
        <v>1.025367814402145</v>
      </c>
      <c r="AM163" s="229">
        <f t="shared" si="245"/>
        <v>1.1331154993607047</v>
      </c>
      <c r="AN163" s="254">
        <f>7.71/2</f>
        <v>3.855</v>
      </c>
      <c r="AO163" s="254">
        <v>25.48</v>
      </c>
      <c r="AP163" s="228">
        <f>IF(B163="ОСНО",AO163*1.18,AO163)</f>
        <v>30.066399999999998</v>
      </c>
      <c r="AQ163" s="228"/>
      <c r="AR163" s="254">
        <v>3.6629999999999998</v>
      </c>
      <c r="AS163" s="254">
        <v>27.29</v>
      </c>
      <c r="AT163" s="228">
        <f>IF(B163="ОСНО",AS163*1.18,AS163)</f>
        <v>32.202199999999998</v>
      </c>
      <c r="AU163" s="244">
        <f t="shared" si="246"/>
        <v>3.6629999999999998</v>
      </c>
      <c r="AV163" s="244">
        <f>AS163*1.04</f>
        <v>28.381599999999999</v>
      </c>
      <c r="AW163" s="228">
        <f>IF(B163="ОСНО",AV163*1.18,AV163)</f>
        <v>33.490288</v>
      </c>
      <c r="AX163" s="256">
        <f t="shared" ref="AX163" si="270">AS163/AO163</f>
        <v>1.0710361067503924</v>
      </c>
      <c r="AY163" s="229">
        <f t="shared" si="248"/>
        <v>1.04</v>
      </c>
      <c r="AZ163" s="229"/>
      <c r="BA163" s="230">
        <f t="shared" si="236"/>
        <v>346.07437920000001</v>
      </c>
    </row>
    <row r="164" spans="1:54" s="231" customFormat="1" ht="15.75" hidden="1">
      <c r="A164" s="246" t="s">
        <v>457</v>
      </c>
      <c r="B164" s="246" t="s">
        <v>397</v>
      </c>
      <c r="C164" s="243"/>
      <c r="D164" s="244"/>
      <c r="E164" s="228"/>
      <c r="F164" s="244">
        <v>7.4359999999999999</v>
      </c>
      <c r="G164" s="244">
        <v>49.52</v>
      </c>
      <c r="H164" s="228">
        <f t="shared" si="258"/>
        <v>58.433599999999998</v>
      </c>
      <c r="I164" s="228">
        <f t="shared" si="242"/>
        <v>7.4359999999999999</v>
      </c>
      <c r="J164" s="244">
        <v>97.48</v>
      </c>
      <c r="K164" s="228">
        <f t="shared" si="259"/>
        <v>115.0264</v>
      </c>
      <c r="L164" s="250"/>
      <c r="M164" s="229">
        <f t="shared" si="260"/>
        <v>1.9684975767366721</v>
      </c>
      <c r="N164" s="250"/>
      <c r="O164" s="244"/>
      <c r="P164" s="244"/>
      <c r="Q164" s="228"/>
      <c r="R164" s="228"/>
      <c r="S164" s="244"/>
      <c r="T164" s="244"/>
      <c r="U164" s="228"/>
      <c r="V164" s="244">
        <f t="shared" si="243"/>
        <v>0</v>
      </c>
      <c r="W164" s="244"/>
      <c r="X164" s="228"/>
      <c r="Y164" s="250"/>
      <c r="Z164" s="229"/>
      <c r="AA164" s="244"/>
      <c r="AB164" s="244"/>
      <c r="AC164" s="228"/>
      <c r="AD164" s="228"/>
      <c r="AE164" s="230"/>
      <c r="AF164" s="244"/>
      <c r="AG164" s="244"/>
      <c r="AH164" s="228"/>
      <c r="AI164" s="244"/>
      <c r="AJ164" s="244"/>
      <c r="AK164" s="228"/>
      <c r="AL164" s="250"/>
      <c r="AM164" s="229"/>
      <c r="AN164" s="254"/>
      <c r="AO164" s="254"/>
      <c r="AP164" s="228"/>
      <c r="AQ164" s="228"/>
      <c r="AR164" s="254"/>
      <c r="AS164" s="254"/>
      <c r="AT164" s="228"/>
      <c r="AU164" s="244"/>
      <c r="AV164" s="244"/>
      <c r="AW164" s="228"/>
      <c r="AX164" s="256"/>
      <c r="AY164" s="229"/>
      <c r="AZ164" s="229"/>
      <c r="BA164" s="230">
        <f t="shared" si="236"/>
        <v>0</v>
      </c>
    </row>
    <row r="165" spans="1:54" s="231" customFormat="1" ht="15.75" hidden="1">
      <c r="A165" s="246" t="s">
        <v>115</v>
      </c>
      <c r="B165" s="246" t="s">
        <v>398</v>
      </c>
      <c r="C165" s="243">
        <f>21.081/2</f>
        <v>10.5405</v>
      </c>
      <c r="D165" s="244">
        <v>37.26</v>
      </c>
      <c r="E165" s="228">
        <f t="shared" si="237"/>
        <v>37.26</v>
      </c>
      <c r="F165" s="244">
        <f>21.107/2</f>
        <v>10.5535</v>
      </c>
      <c r="G165" s="244">
        <v>40.299999999999997</v>
      </c>
      <c r="H165" s="228">
        <f t="shared" si="258"/>
        <v>40.299999999999997</v>
      </c>
      <c r="I165" s="228">
        <f t="shared" si="242"/>
        <v>10.5535</v>
      </c>
      <c r="J165" s="244">
        <v>45.03</v>
      </c>
      <c r="K165" s="228">
        <f t="shared" si="259"/>
        <v>45.03</v>
      </c>
      <c r="L165" s="250">
        <f t="shared" si="249"/>
        <v>1.0829227999060853</v>
      </c>
      <c r="M165" s="229">
        <f t="shared" si="260"/>
        <v>1.1173697270471465</v>
      </c>
      <c r="N165" s="250" t="s">
        <v>274</v>
      </c>
      <c r="O165" s="244">
        <f>20.271/2</f>
        <v>10.1355</v>
      </c>
      <c r="P165" s="244">
        <v>23</v>
      </c>
      <c r="Q165" s="228">
        <f>IF(B165="ОСНО",P165*1.18,P165)</f>
        <v>23</v>
      </c>
      <c r="R165" s="228"/>
      <c r="S165" s="244">
        <f>20.548/2</f>
        <v>10.273999999999999</v>
      </c>
      <c r="T165" s="244">
        <v>24.96</v>
      </c>
      <c r="U165" s="228">
        <f>IF(B165="ОСНО",T165*1.18,T165)</f>
        <v>24.96</v>
      </c>
      <c r="V165" s="244">
        <f t="shared" si="243"/>
        <v>10.273999999999999</v>
      </c>
      <c r="W165" s="244">
        <f t="shared" si="256"/>
        <v>26.457600000000003</v>
      </c>
      <c r="X165" s="228">
        <f>IF(B165="ОСНО",W165*1.18,W165)</f>
        <v>26.457600000000003</v>
      </c>
      <c r="Y165" s="250">
        <f t="shared" si="267"/>
        <v>1.1000467148400048</v>
      </c>
      <c r="Z165" s="229">
        <f t="shared" si="268"/>
        <v>1.0600000000000003</v>
      </c>
      <c r="AA165" s="244">
        <f>22.13/2</f>
        <v>11.065</v>
      </c>
      <c r="AB165" s="244">
        <v>61.79</v>
      </c>
      <c r="AC165" s="228">
        <f t="shared" ref="AC165:AC174" si="271">IF(B165="ОСНО",AB165*1.18,AB165)</f>
        <v>61.79</v>
      </c>
      <c r="AD165" s="228"/>
      <c r="AE165" s="230">
        <f>(J165-W165)*V165+(G165-T165)*S165</f>
        <v>348.41599759999991</v>
      </c>
      <c r="AF165" s="244">
        <f>21.064</f>
        <v>21.064</v>
      </c>
      <c r="AG165" s="244">
        <v>66.930000000000007</v>
      </c>
      <c r="AH165" s="228">
        <f>IF(B165="ОСНО",AG165*1.18,AG165)</f>
        <v>66.930000000000007</v>
      </c>
      <c r="AI165" s="244">
        <f t="shared" si="244"/>
        <v>21.064</v>
      </c>
      <c r="AJ165" s="244">
        <v>76.25</v>
      </c>
      <c r="AK165" s="228">
        <f>IF(B165="ОСНО",AJ165*1.18,AJ165)</f>
        <v>76.25</v>
      </c>
      <c r="AL165" s="250">
        <f t="shared" si="252"/>
        <v>2.0620161272452719</v>
      </c>
      <c r="AM165" s="229">
        <f t="shared" si="245"/>
        <v>1.1392499626475421</v>
      </c>
      <c r="AN165" s="254">
        <f>21.32/2</f>
        <v>10.66</v>
      </c>
      <c r="AO165" s="254">
        <v>25.69</v>
      </c>
      <c r="AP165" s="228">
        <f>IF(B165="ОСНО",AO165*1.18,AO165)</f>
        <v>25.69</v>
      </c>
      <c r="AQ165" s="228"/>
      <c r="AR165" s="254">
        <f>20.505/2</f>
        <v>10.2525</v>
      </c>
      <c r="AS165" s="254">
        <v>28</v>
      </c>
      <c r="AT165" s="228">
        <f>IF(B165="ОСНО",AS165*1.18,AS165)</f>
        <v>28</v>
      </c>
      <c r="AU165" s="244">
        <f t="shared" si="246"/>
        <v>10.2525</v>
      </c>
      <c r="AV165" s="244">
        <f>AS165*1.06</f>
        <v>29.68</v>
      </c>
      <c r="AW165" s="228">
        <f>IF(B165="ОСНО",AV165*1.18,AV165)</f>
        <v>29.68</v>
      </c>
      <c r="AX165" s="250">
        <f t="shared" si="255"/>
        <v>1.0482539325498053</v>
      </c>
      <c r="AY165" s="229">
        <f t="shared" si="248"/>
        <v>1.06</v>
      </c>
      <c r="AZ165" s="229"/>
      <c r="BA165" s="230">
        <f t="shared" si="236"/>
        <v>876.58875</v>
      </c>
    </row>
    <row r="166" spans="1:54" s="231" customFormat="1" ht="15.75" hidden="1">
      <c r="A166" s="246" t="s">
        <v>409</v>
      </c>
      <c r="B166" s="246" t="s">
        <v>398</v>
      </c>
      <c r="C166" s="243">
        <f>15.972/2</f>
        <v>7.9859999999999998</v>
      </c>
      <c r="D166" s="244">
        <v>54.14</v>
      </c>
      <c r="E166" s="228">
        <f t="shared" si="237"/>
        <v>54.14</v>
      </c>
      <c r="F166" s="244">
        <f>15.753/2</f>
        <v>7.8765000000000001</v>
      </c>
      <c r="G166" s="244">
        <v>58.29</v>
      </c>
      <c r="H166" s="228">
        <f t="shared" si="258"/>
        <v>58.29</v>
      </c>
      <c r="I166" s="228">
        <f t="shared" si="242"/>
        <v>7.8765000000000001</v>
      </c>
      <c r="J166" s="244">
        <v>61.23</v>
      </c>
      <c r="K166" s="228">
        <f t="shared" si="259"/>
        <v>61.23</v>
      </c>
      <c r="L166" s="250">
        <f t="shared" si="249"/>
        <v>1.0618905975186905</v>
      </c>
      <c r="M166" s="229">
        <f t="shared" si="260"/>
        <v>1.0504374678332475</v>
      </c>
      <c r="N166" s="250" t="s">
        <v>276</v>
      </c>
      <c r="O166" s="244">
        <f>13.797/2</f>
        <v>6.8985000000000003</v>
      </c>
      <c r="P166" s="244">
        <v>23</v>
      </c>
      <c r="Q166" s="228">
        <f>IF(B166="ОСНО",P166*1.18,P166)</f>
        <v>23</v>
      </c>
      <c r="R166" s="228"/>
      <c r="S166" s="244">
        <f>13.529/2</f>
        <v>6.7645</v>
      </c>
      <c r="T166" s="244">
        <v>24.96</v>
      </c>
      <c r="U166" s="228">
        <f>IF(B166="ОСНО",T166*1.18,T166)</f>
        <v>24.96</v>
      </c>
      <c r="V166" s="244">
        <f t="shared" si="243"/>
        <v>6.7645</v>
      </c>
      <c r="W166" s="244">
        <f t="shared" si="256"/>
        <v>26.457600000000003</v>
      </c>
      <c r="X166" s="228">
        <f>IF(B166="ОСНО",W166*1.18,W166)</f>
        <v>26.457600000000003</v>
      </c>
      <c r="Y166" s="250">
        <f t="shared" si="267"/>
        <v>1.0641375724401336</v>
      </c>
      <c r="Z166" s="229">
        <f t="shared" si="268"/>
        <v>1.0599999999999998</v>
      </c>
      <c r="AA166" s="244">
        <f>13.438/2</f>
        <v>6.7190000000000003</v>
      </c>
      <c r="AB166" s="244">
        <v>63.82</v>
      </c>
      <c r="AC166" s="228">
        <f t="shared" si="271"/>
        <v>63.82</v>
      </c>
      <c r="AD166" s="228"/>
      <c r="AE166" s="230">
        <f>(J166-W166)*V166+(G166-T166)*S166</f>
        <v>460.67868479999993</v>
      </c>
      <c r="AF166" s="244">
        <f>13.193/2</f>
        <v>6.5964999999999998</v>
      </c>
      <c r="AG166" s="244">
        <v>68.84</v>
      </c>
      <c r="AH166" s="228">
        <f>IF(B166="ОСНО",AG166*1.18,AG166)</f>
        <v>68.84</v>
      </c>
      <c r="AI166" s="244">
        <f t="shared" si="244"/>
        <v>6.5964999999999998</v>
      </c>
      <c r="AJ166" s="244">
        <v>72.91</v>
      </c>
      <c r="AK166" s="228">
        <f>IF(B166="ОСНО",AJ166*1.18,AJ166)</f>
        <v>72.91</v>
      </c>
      <c r="AL166" s="250">
        <f t="shared" si="252"/>
        <v>1.058992751463842</v>
      </c>
      <c r="AM166" s="229">
        <f t="shared" si="245"/>
        <v>1.0591226031377106</v>
      </c>
      <c r="AN166" s="254">
        <f>12.436/2</f>
        <v>6.218</v>
      </c>
      <c r="AO166" s="254">
        <v>25.69</v>
      </c>
      <c r="AP166" s="228">
        <f>IF(B166="ОСНО",AO166*1.18,AO166)</f>
        <v>25.69</v>
      </c>
      <c r="AQ166" s="228"/>
      <c r="AR166" s="254">
        <f>12.289/2</f>
        <v>6.1444999999999999</v>
      </c>
      <c r="AS166" s="254">
        <v>28</v>
      </c>
      <c r="AT166" s="228">
        <f>IF(B166="ОСНО",AS166*1.18,AS166)</f>
        <v>28</v>
      </c>
      <c r="AU166" s="244">
        <f t="shared" si="246"/>
        <v>6.1444999999999999</v>
      </c>
      <c r="AV166" s="244">
        <f t="shared" ref="AV166:AV167" si="272">AS166*1.06</f>
        <v>29.68</v>
      </c>
      <c r="AW166" s="228">
        <f>IF(B166="ОСНО",AV166*1.18,AV166)</f>
        <v>29.68</v>
      </c>
      <c r="AX166" s="250">
        <f t="shared" si="255"/>
        <v>1.0770348544219428</v>
      </c>
      <c r="AY166" s="229">
        <f t="shared" si="248"/>
        <v>1.0599999999999998</v>
      </c>
      <c r="AZ166" s="229"/>
      <c r="BA166" s="230">
        <f t="shared" si="236"/>
        <v>516.56811500000003</v>
      </c>
    </row>
    <row r="167" spans="1:54" s="231" customFormat="1" ht="15.75" hidden="1">
      <c r="A167" s="246" t="s">
        <v>408</v>
      </c>
      <c r="B167" s="246" t="s">
        <v>398</v>
      </c>
      <c r="C167" s="243">
        <f>23.972/2</f>
        <v>11.986000000000001</v>
      </c>
      <c r="D167" s="244">
        <v>75.59</v>
      </c>
      <c r="E167" s="228">
        <f t="shared" si="237"/>
        <v>75.59</v>
      </c>
      <c r="F167" s="244">
        <f>23.228/2</f>
        <v>11.614000000000001</v>
      </c>
      <c r="G167" s="244">
        <v>81.150000000000006</v>
      </c>
      <c r="H167" s="228">
        <f t="shared" si="258"/>
        <v>81.150000000000006</v>
      </c>
      <c r="I167" s="228">
        <f t="shared" si="242"/>
        <v>11.614000000000001</v>
      </c>
      <c r="J167" s="244">
        <v>84.11</v>
      </c>
      <c r="K167" s="228">
        <f t="shared" si="259"/>
        <v>84.11</v>
      </c>
      <c r="L167" s="250">
        <f>(G167*F167)/(D167*C167)</f>
        <v>1.0402356349639026</v>
      </c>
      <c r="M167" s="229">
        <f t="shared" si="260"/>
        <v>1.0364756623536659</v>
      </c>
      <c r="N167" s="250" t="s">
        <v>275</v>
      </c>
      <c r="O167" s="244">
        <f>19.86/2</f>
        <v>9.93</v>
      </c>
      <c r="P167" s="244">
        <v>30.72</v>
      </c>
      <c r="Q167" s="228">
        <f>IF(B167="ОСНО",P167*1.18,P167)</f>
        <v>30.72</v>
      </c>
      <c r="R167" s="228"/>
      <c r="S167" s="244">
        <f>18.975/2</f>
        <v>9.4875000000000007</v>
      </c>
      <c r="T167" s="244">
        <v>33.33</v>
      </c>
      <c r="U167" s="228">
        <f>IF(B167="ОСНО",T167*1.18,T167)</f>
        <v>33.33</v>
      </c>
      <c r="V167" s="244">
        <f t="shared" si="243"/>
        <v>9.4875000000000007</v>
      </c>
      <c r="W167" s="244">
        <f t="shared" si="256"/>
        <v>35.329799999999999</v>
      </c>
      <c r="X167" s="228">
        <f>IF(B167="ОСНО",W167*1.18,W167)</f>
        <v>35.329799999999999</v>
      </c>
      <c r="Y167" s="250">
        <f t="shared" si="267"/>
        <v>1.0366129803153323</v>
      </c>
      <c r="Z167" s="229">
        <f t="shared" si="268"/>
        <v>1.06</v>
      </c>
      <c r="AA167" s="244">
        <f>21.068/2</f>
        <v>10.534000000000001</v>
      </c>
      <c r="AB167" s="244">
        <v>73.180000000000007</v>
      </c>
      <c r="AC167" s="228">
        <f t="shared" si="271"/>
        <v>73.180000000000007</v>
      </c>
      <c r="AD167" s="228"/>
      <c r="AE167" s="230">
        <f>(J167-W167)*V167+(G167-T167)*S167</f>
        <v>916.4943975000001</v>
      </c>
      <c r="AF167" s="244">
        <f>20.226/2</f>
        <v>10.113</v>
      </c>
      <c r="AG167" s="244">
        <v>78.63</v>
      </c>
      <c r="AH167" s="228">
        <f>IF(B167="ОСНО",AG167*1.18,AG167)</f>
        <v>78.63</v>
      </c>
      <c r="AI167" s="244">
        <f t="shared" si="244"/>
        <v>10.113</v>
      </c>
      <c r="AJ167" s="244">
        <v>84.41</v>
      </c>
      <c r="AK167" s="228">
        <f>IF(B167="ОСНО",AJ167*1.18,AJ167)</f>
        <v>84.41</v>
      </c>
      <c r="AL167" s="250">
        <f t="shared" si="252"/>
        <v>1.0315316641753949</v>
      </c>
      <c r="AM167" s="229">
        <f t="shared" si="245"/>
        <v>1.0735088388655729</v>
      </c>
      <c r="AN167" s="254">
        <f>18.354/2</f>
        <v>9.1769999999999996</v>
      </c>
      <c r="AO167" s="254">
        <v>29.99</v>
      </c>
      <c r="AP167" s="228">
        <f>IF(B167="ОСНО",AO167*1.18,AO167)</f>
        <v>29.99</v>
      </c>
      <c r="AQ167" s="228"/>
      <c r="AR167" s="254">
        <f>17.533/2</f>
        <v>8.7665000000000006</v>
      </c>
      <c r="AS167" s="254">
        <v>32.700000000000003</v>
      </c>
      <c r="AT167" s="228">
        <f>IF(B167="ОСНО",AS167*1.18,AS167)</f>
        <v>32.700000000000003</v>
      </c>
      <c r="AU167" s="244">
        <f>AR167</f>
        <v>8.7665000000000006</v>
      </c>
      <c r="AV167" s="244">
        <f t="shared" si="272"/>
        <v>34.662000000000006</v>
      </c>
      <c r="AW167" s="228">
        <f>IF(B167="ОСНО",AV167*1.18,AV167)</f>
        <v>34.662000000000006</v>
      </c>
      <c r="AX167" s="250">
        <f t="shared" si="255"/>
        <v>1.0415899775243815</v>
      </c>
      <c r="AY167" s="229">
        <f t="shared" si="248"/>
        <v>1.0600000000000003</v>
      </c>
      <c r="AZ167" s="229"/>
      <c r="BA167" s="230">
        <f t="shared" si="236"/>
        <v>838.76118699999984</v>
      </c>
    </row>
    <row r="168" spans="1:54" s="231" customFormat="1" ht="15.75" hidden="1">
      <c r="A168" s="246" t="s">
        <v>116</v>
      </c>
      <c r="B168" s="246" t="s">
        <v>398</v>
      </c>
      <c r="C168" s="243">
        <f>21.407/2</f>
        <v>10.7035</v>
      </c>
      <c r="D168" s="244">
        <v>173.01</v>
      </c>
      <c r="E168" s="228">
        <f t="shared" si="237"/>
        <v>173.01</v>
      </c>
      <c r="F168" s="244">
        <f>17.494/2</f>
        <v>8.7469999999999999</v>
      </c>
      <c r="G168" s="244">
        <v>191.67</v>
      </c>
      <c r="H168" s="228">
        <f t="shared" si="258"/>
        <v>191.67</v>
      </c>
      <c r="I168" s="228">
        <f t="shared" si="242"/>
        <v>8.7469999999999999</v>
      </c>
      <c r="J168" s="244">
        <v>194.2</v>
      </c>
      <c r="K168" s="228">
        <f t="shared" si="259"/>
        <v>194.2</v>
      </c>
      <c r="L168" s="250">
        <f>(G168*F168)/(D168*C168)</f>
        <v>0.90534946616505119</v>
      </c>
      <c r="M168" s="229">
        <f t="shared" si="260"/>
        <v>1.013199770438775</v>
      </c>
      <c r="N168" s="250" t="s">
        <v>277</v>
      </c>
      <c r="O168" s="251">
        <f>19.583/2</f>
        <v>9.7914999999999992</v>
      </c>
      <c r="P168" s="251">
        <v>23</v>
      </c>
      <c r="Q168" s="228">
        <f>IF(B168="ОСНО",P168*1.18,P168)</f>
        <v>23</v>
      </c>
      <c r="R168" s="228"/>
      <c r="S168" s="244">
        <f>14.914/2</f>
        <v>7.4569999999999999</v>
      </c>
      <c r="T168" s="271">
        <v>24.96</v>
      </c>
      <c r="U168" s="228">
        <f>IF(B168="ОСНО",T168*1.18,T168)</f>
        <v>24.96</v>
      </c>
      <c r="V168" s="244">
        <f t="shared" si="243"/>
        <v>7.4569999999999999</v>
      </c>
      <c r="W168" s="244">
        <f>T168*1.04</f>
        <v>25.958400000000001</v>
      </c>
      <c r="X168" s="228">
        <f>IF(B168="ОСНО",W168*1.18,W168)</f>
        <v>25.958400000000001</v>
      </c>
      <c r="Y168" s="250">
        <f t="shared" si="267"/>
        <v>0.82647868936899582</v>
      </c>
      <c r="Z168" s="229">
        <f t="shared" si="268"/>
        <v>1.04</v>
      </c>
      <c r="AA168" s="244">
        <f>19.482/2</f>
        <v>9.7409999999999997</v>
      </c>
      <c r="AB168" s="244">
        <v>144.81</v>
      </c>
      <c r="AC168" s="228">
        <f t="shared" si="271"/>
        <v>144.81</v>
      </c>
      <c r="AD168" s="228"/>
      <c r="AE168" s="230">
        <f>(J168-W168)*V168+(G168-T168)*S168</f>
        <v>2497.7340811999998</v>
      </c>
      <c r="AF168" s="244">
        <f>15.46/2</f>
        <v>7.73</v>
      </c>
      <c r="AG168" s="244">
        <v>177.03</v>
      </c>
      <c r="AH168" s="228">
        <f>IF(B168="ОСНО",AG168*1.18,AG168)</f>
        <v>177.03</v>
      </c>
      <c r="AI168" s="244">
        <f t="shared" si="244"/>
        <v>7.73</v>
      </c>
      <c r="AJ168" s="244">
        <v>177.03</v>
      </c>
      <c r="AK168" s="228">
        <f>IF(B168="ОСНО",AJ168*1.18,AJ168)</f>
        <v>177.03</v>
      </c>
      <c r="AL168" s="250">
        <f>(AG168*AF168)/(AB168*AA168)</f>
        <v>0.97011733799758049</v>
      </c>
      <c r="AM168" s="229">
        <f t="shared" si="245"/>
        <v>1</v>
      </c>
      <c r="AN168" s="254">
        <f>18.937/2</f>
        <v>9.4685000000000006</v>
      </c>
      <c r="AO168" s="254">
        <v>22.01</v>
      </c>
      <c r="AP168" s="228">
        <f>IF(B168="ОСНО",AO168*1.18,AO168)</f>
        <v>22.01</v>
      </c>
      <c r="AQ168" s="228"/>
      <c r="AR168" s="254">
        <f>14.548/2</f>
        <v>7.274</v>
      </c>
      <c r="AS168" s="254">
        <v>23</v>
      </c>
      <c r="AT168" s="228">
        <f>IF(B168="ОСНО",AS168*1.18,AS168)</f>
        <v>23</v>
      </c>
      <c r="AU168" s="244">
        <f t="shared" si="246"/>
        <v>7.274</v>
      </c>
      <c r="AV168" s="244">
        <f>AS168*1.04</f>
        <v>23.92</v>
      </c>
      <c r="AW168" s="228">
        <f>IF(B168="ОСНО",AV168*1.18,AV168)</f>
        <v>23.92</v>
      </c>
      <c r="AX168" s="250">
        <f t="shared" si="255"/>
        <v>0.80278621547613682</v>
      </c>
      <c r="AY168" s="229">
        <f t="shared" si="248"/>
        <v>1.0400000000000003</v>
      </c>
      <c r="AZ168" s="229"/>
      <c r="BA168" s="230">
        <f t="shared" si="236"/>
        <v>2234.1363600000004</v>
      </c>
    </row>
    <row r="169" spans="1:54" s="231" customFormat="1" ht="15.75" hidden="1">
      <c r="A169" s="246" t="s">
        <v>278</v>
      </c>
      <c r="B169" s="246" t="s">
        <v>398</v>
      </c>
      <c r="C169" s="243">
        <f>25.44/2</f>
        <v>12.72</v>
      </c>
      <c r="D169" s="244">
        <v>235.93</v>
      </c>
      <c r="E169" s="244">
        <f t="shared" si="237"/>
        <v>235.93</v>
      </c>
      <c r="F169" s="244">
        <f>26.04/2</f>
        <v>13.02</v>
      </c>
      <c r="G169" s="244">
        <v>235.93</v>
      </c>
      <c r="H169" s="228">
        <f t="shared" si="258"/>
        <v>235.93</v>
      </c>
      <c r="I169" s="228">
        <f t="shared" si="242"/>
        <v>13.02</v>
      </c>
      <c r="J169" s="244">
        <v>300.83</v>
      </c>
      <c r="K169" s="228">
        <f t="shared" si="259"/>
        <v>300.83</v>
      </c>
      <c r="L169" s="250">
        <f>(G169*F169)/(D169*C169)</f>
        <v>1.0235849056603772</v>
      </c>
      <c r="M169" s="229">
        <f t="shared" si="260"/>
        <v>1.2750815919976264</v>
      </c>
      <c r="N169" s="250" t="s">
        <v>270</v>
      </c>
      <c r="O169" s="251">
        <f>17.45/2</f>
        <v>8.7249999999999996</v>
      </c>
      <c r="P169" s="251">
        <v>23</v>
      </c>
      <c r="Q169" s="228">
        <f>IF(B169="ОСНО",P169*1.18,P169)</f>
        <v>23</v>
      </c>
      <c r="R169" s="228"/>
      <c r="S169" s="244">
        <f>17.45/2</f>
        <v>8.7249999999999996</v>
      </c>
      <c r="T169" s="271">
        <v>24.63</v>
      </c>
      <c r="U169" s="228">
        <f>IF(B169="ОСНО",T169*1.18,T169)</f>
        <v>24.63</v>
      </c>
      <c r="V169" s="244">
        <f t="shared" si="243"/>
        <v>8.7249999999999996</v>
      </c>
      <c r="W169" s="244">
        <f>T169*1.04</f>
        <v>25.615200000000002</v>
      </c>
      <c r="X169" s="228">
        <f>IF(B169="ОСНО",W169*1.18,W169)</f>
        <v>25.615200000000002</v>
      </c>
      <c r="Y169" s="250">
        <f t="shared" si="267"/>
        <v>1.0708695652173912</v>
      </c>
      <c r="Z169" s="229">
        <f t="shared" si="268"/>
        <v>1.0400000000000003</v>
      </c>
      <c r="AA169" s="244">
        <f>13.85/2</f>
        <v>6.9249999999999998</v>
      </c>
      <c r="AB169" s="244">
        <v>106.48</v>
      </c>
      <c r="AC169" s="228">
        <f t="shared" si="271"/>
        <v>106.48</v>
      </c>
      <c r="AD169" s="228"/>
      <c r="AE169" s="230">
        <f>(J169-W169)*V169+(G169-T169)*S169</f>
        <v>4244.8416299999999</v>
      </c>
      <c r="AF169" s="244">
        <f>13.85/2</f>
        <v>6.9249999999999998</v>
      </c>
      <c r="AG169" s="244">
        <v>106.48</v>
      </c>
      <c r="AH169" s="228">
        <f>IF(B169="ОСНО",AG169*1.18,AG169)</f>
        <v>106.48</v>
      </c>
      <c r="AI169" s="244">
        <f t="shared" si="244"/>
        <v>6.9249999999999998</v>
      </c>
      <c r="AJ169" s="244">
        <v>118.89</v>
      </c>
      <c r="AK169" s="228">
        <f>IF(B169="ОСНО",AJ169*1.18,AJ169)</f>
        <v>118.89</v>
      </c>
      <c r="AL169" s="250">
        <f>(AG169*AF169)/(AB169*AA169)</f>
        <v>1</v>
      </c>
      <c r="AM169" s="229">
        <f t="shared" si="245"/>
        <v>1.1165477084898572</v>
      </c>
      <c r="AN169" s="254">
        <f>13.58/2</f>
        <v>6.79</v>
      </c>
      <c r="AO169" s="254">
        <v>18.3</v>
      </c>
      <c r="AP169" s="228">
        <f>IF(B169="ОСНО",AO169*1.18,AO169)</f>
        <v>18.3</v>
      </c>
      <c r="AQ169" s="228"/>
      <c r="AR169" s="254">
        <f>13.58/2</f>
        <v>6.79</v>
      </c>
      <c r="AS169" s="254">
        <v>19.600000000000001</v>
      </c>
      <c r="AT169" s="228">
        <f>IF(B169="ОСНО",AS169*1.18,AS169)</f>
        <v>19.600000000000001</v>
      </c>
      <c r="AU169" s="244">
        <f t="shared" si="246"/>
        <v>6.79</v>
      </c>
      <c r="AV169" s="244">
        <f>AS169*1.04</f>
        <v>20.384000000000004</v>
      </c>
      <c r="AW169" s="228">
        <f>IF(B169="ОСНО",AV169*1.18,AV169)</f>
        <v>20.384000000000004</v>
      </c>
      <c r="AX169" s="250">
        <f t="shared" si="255"/>
        <v>1.0710382513661203</v>
      </c>
      <c r="AY169" s="229">
        <f t="shared" si="248"/>
        <v>1.0400000000000003</v>
      </c>
      <c r="AZ169" s="229"/>
      <c r="BA169" s="230">
        <f t="shared" si="236"/>
        <v>1258.7709399999999</v>
      </c>
    </row>
    <row r="170" spans="1:54" s="216" customFormat="1" ht="15.75">
      <c r="A170" s="196" t="s">
        <v>121</v>
      </c>
      <c r="B170" s="196"/>
      <c r="C170" s="42">
        <f>SUM(C171:C174)</f>
        <v>36.3705</v>
      </c>
      <c r="D170" s="42">
        <f>SUMPRODUCT(C171:C174,D171:D174)/C170</f>
        <v>37.440717339602145</v>
      </c>
      <c r="E170" s="42">
        <f>SUMPRODUCT(C171:C174,E171:E174)/C170</f>
        <v>37.440717339602145</v>
      </c>
      <c r="F170" s="42">
        <f>SUM(F171:F174)</f>
        <v>35.4895</v>
      </c>
      <c r="G170" s="42">
        <f>SUMPRODUCT(F171:F174,G171:G174)/F170</f>
        <v>39.506263965398212</v>
      </c>
      <c r="H170" s="42">
        <f>SUMPRODUCT(F171:F174,H171:H174)/F170</f>
        <v>39.506263965398212</v>
      </c>
      <c r="I170" s="42">
        <f>SUM(I171:I174)</f>
        <v>35.4895</v>
      </c>
      <c r="J170" s="42">
        <f>SUMPRODUCT(I171:I174,J171:J174)/I170</f>
        <v>40.903860014933997</v>
      </c>
      <c r="K170" s="42">
        <f>SUMPRODUCT(I171:I174,K171:K174)/I170</f>
        <v>40.903860014933997</v>
      </c>
      <c r="L170" s="84">
        <f>G170/D170</f>
        <v>1.0551684575661502</v>
      </c>
      <c r="M170" s="84">
        <f>J170/G170</f>
        <v>1.0353765684034277</v>
      </c>
      <c r="N170" s="84"/>
      <c r="O170" s="42">
        <f>SUM(O171:O174)</f>
        <v>18.859000000000002</v>
      </c>
      <c r="P170" s="42">
        <f>SUMPRODUCT(O171:O174,P171:P174)/O170</f>
        <v>16.640861127313219</v>
      </c>
      <c r="Q170" s="42">
        <f>SUMPRODUCT(O171:O174,Q171:Q174)/O170</f>
        <v>16.640861127313219</v>
      </c>
      <c r="R170" s="84">
        <f>K170/H170</f>
        <v>1.0353765684034277</v>
      </c>
      <c r="S170" s="42">
        <f>SUM(S171:S174)</f>
        <v>18.859000000000002</v>
      </c>
      <c r="T170" s="42">
        <f>SUMPRODUCT(S171:S174,T171:T174)/S170</f>
        <v>17.825721406225142</v>
      </c>
      <c r="U170" s="42">
        <f>SUMPRODUCT(S171:S174,U171:U174)/S170</f>
        <v>17.825721406225142</v>
      </c>
      <c r="V170" s="42">
        <f>SUM(V171:V174)</f>
        <v>18.859000000000002</v>
      </c>
      <c r="W170" s="42">
        <f>SUMPRODUCT(V171:V174,W171:W174)/V170</f>
        <v>18.89532832069569</v>
      </c>
      <c r="X170" s="42">
        <f>SUMPRODUCT(V171:V174,X171:X174)/V170</f>
        <v>18.89532832069569</v>
      </c>
      <c r="Y170" s="84">
        <f>T170/P170</f>
        <v>1.0712018608800942</v>
      </c>
      <c r="Z170" s="84">
        <f>W170/T170</f>
        <v>1.0600035695664478</v>
      </c>
      <c r="AA170" s="42">
        <f>SUM(AA171:AA174)</f>
        <v>10.040000000000001</v>
      </c>
      <c r="AB170" s="42">
        <f>SUMPRODUCT(AA171:AA174,AB171:AB174)/AA170</f>
        <v>63.349203187251</v>
      </c>
      <c r="AC170" s="42">
        <f t="shared" si="271"/>
        <v>63.349203187251</v>
      </c>
      <c r="AD170" s="84">
        <f>X170/U170</f>
        <v>1.0600035695664478</v>
      </c>
      <c r="AE170" s="222">
        <f>AE172+AE173+AE174</f>
        <v>866.35791319999998</v>
      </c>
      <c r="AF170" s="42">
        <f>SUM(AF171:AF174)</f>
        <v>10.040000000000001</v>
      </c>
      <c r="AG170" s="42">
        <f>SUMPRODUCT(AF171:AF174,AG171:AG174)/AF170</f>
        <v>64.748565737051806</v>
      </c>
      <c r="AH170" s="42">
        <f>SUMPRODUCT(AF171:AF174,AH171:AH174)/AF170</f>
        <v>64.748565737051806</v>
      </c>
      <c r="AI170" s="42">
        <f>SUM(AI171:AI174)</f>
        <v>10.040000000000001</v>
      </c>
      <c r="AJ170" s="42">
        <f>SUMPRODUCT(AI171:AI174,AJ171:AJ174)/AI170</f>
        <v>67.19</v>
      </c>
      <c r="AK170" s="42">
        <f>SUMPRODUCT(AI171:AI174,AK171:AK174)/AI170</f>
        <v>67.19</v>
      </c>
      <c r="AL170" s="84">
        <f>AG170/AB170</f>
        <v>1.0220896630011982</v>
      </c>
      <c r="AM170" s="84">
        <f>AJ170/AG170</f>
        <v>1.0377063836882969</v>
      </c>
      <c r="AN170" s="42">
        <f>SUM(AN171:AN174)</f>
        <v>10.040000000000001</v>
      </c>
      <c r="AO170" s="42">
        <f>SUMPRODUCT(AN171:AN174,AO171:AO174)/AN170</f>
        <v>52.780876494023893</v>
      </c>
      <c r="AP170" s="42">
        <f>SUMPRODUCT(AN171:AN174,AP171:AP174)/AN170</f>
        <v>52.780876494023893</v>
      </c>
      <c r="AQ170" s="84">
        <f>AK170/AH170</f>
        <v>1.0377063836882969</v>
      </c>
      <c r="AR170" s="42">
        <f>SUM(AR171:AR174)</f>
        <v>6.8250000000000002</v>
      </c>
      <c r="AS170" s="42">
        <f>SUMPRODUCT(AR171:AR174,AS171:AS174)/AR170</f>
        <v>61.228864468864472</v>
      </c>
      <c r="AT170" s="42">
        <f>SUMPRODUCT(AR171:AR174,AT171:AT174)/AR170</f>
        <v>61.228864468864472</v>
      </c>
      <c r="AU170" s="42">
        <f>SUM(AU171:AU174)</f>
        <v>6.8250000000000002</v>
      </c>
      <c r="AV170" s="42">
        <f>SUMPRODUCT(AU171:AU174,AV171:AV174)/AU170</f>
        <v>64.980427838827836</v>
      </c>
      <c r="AW170" s="42">
        <f>SUMPRODUCT(AU171:AU174,AW171:AW174)/AU170</f>
        <v>64.980427838827836</v>
      </c>
      <c r="AX170" s="84">
        <f>AS170/AO170</f>
        <v>1.1600577431827435</v>
      </c>
      <c r="AY170" s="84">
        <f>AV170/AS170</f>
        <v>1.0612711570352751</v>
      </c>
      <c r="AZ170" s="84">
        <f>AW170/AT170</f>
        <v>1.0612711570352751</v>
      </c>
      <c r="BA170" s="225">
        <f>BA172+BA173+BA174+BA171</f>
        <v>20.96508</v>
      </c>
    </row>
    <row r="171" spans="1:54" s="231" customFormat="1" ht="31.5" hidden="1">
      <c r="A171" s="255" t="s">
        <v>122</v>
      </c>
      <c r="B171" s="255" t="s">
        <v>398</v>
      </c>
      <c r="C171" s="228"/>
      <c r="D171" s="228"/>
      <c r="E171" s="228">
        <f t="shared" ref="E171:E232" si="273">IF(B171="ОСНО",D171*1.18,D171)</f>
        <v>0</v>
      </c>
      <c r="F171" s="228"/>
      <c r="G171" s="228"/>
      <c r="H171" s="228">
        <f t="shared" si="258"/>
        <v>0</v>
      </c>
      <c r="I171" s="228"/>
      <c r="J171" s="228"/>
      <c r="K171" s="228"/>
      <c r="L171" s="229"/>
      <c r="M171" s="229"/>
      <c r="N171" s="229"/>
      <c r="O171" s="239"/>
      <c r="P171" s="239"/>
      <c r="Q171" s="228"/>
      <c r="R171" s="228"/>
      <c r="S171" s="239"/>
      <c r="T171" s="239"/>
      <c r="U171" s="228"/>
      <c r="V171" s="228"/>
      <c r="W171" s="228"/>
      <c r="X171" s="228"/>
      <c r="Y171" s="229"/>
      <c r="Z171" s="229"/>
      <c r="AA171" s="228">
        <f>7.28/2</f>
        <v>3.64</v>
      </c>
      <c r="AB171" s="228">
        <v>69.150000000000006</v>
      </c>
      <c r="AC171" s="228">
        <f t="shared" si="271"/>
        <v>69.150000000000006</v>
      </c>
      <c r="AD171" s="228"/>
      <c r="AE171" s="230"/>
      <c r="AF171" s="228">
        <f>AA171</f>
        <v>3.64</v>
      </c>
      <c r="AG171" s="228">
        <v>68.790000000000006</v>
      </c>
      <c r="AH171" s="228">
        <f>IF(B171="ОСНО",AG171*1.18,AG171)</f>
        <v>68.790000000000006</v>
      </c>
      <c r="AI171" s="228">
        <f>AF171</f>
        <v>3.64</v>
      </c>
      <c r="AJ171" s="228">
        <v>68.790000000000006</v>
      </c>
      <c r="AK171" s="228">
        <f>IF(B171="ОСНО",AJ171*1.18,AJ171)</f>
        <v>68.790000000000006</v>
      </c>
      <c r="AL171" s="229">
        <f>(AG171*AF171)/(AB171*AA171)</f>
        <v>0.99479392624728857</v>
      </c>
      <c r="AM171" s="229">
        <f>(AK171*AI171)/(AH171*AF171)</f>
        <v>1</v>
      </c>
      <c r="AN171" s="228">
        <f>7.28/2</f>
        <v>3.64</v>
      </c>
      <c r="AO171" s="228">
        <v>40</v>
      </c>
      <c r="AP171" s="228">
        <f>IF(B171="ОСНО",AO171*1.18,AO171)</f>
        <v>40</v>
      </c>
      <c r="AQ171" s="228"/>
      <c r="AR171" s="228">
        <f>0.85/2</f>
        <v>0.42499999999999999</v>
      </c>
      <c r="AS171" s="239">
        <v>42.84</v>
      </c>
      <c r="AT171" s="228">
        <f>IF(B171="ОСНО",AS171*1.18,AS171)</f>
        <v>42.84</v>
      </c>
      <c r="AU171" s="228">
        <f>AR171</f>
        <v>0.42499999999999999</v>
      </c>
      <c r="AV171" s="228">
        <f>AS171*1.06</f>
        <v>45.410400000000003</v>
      </c>
      <c r="AW171" s="228">
        <f>IF(B171="ОСНО",AV171*1.18,AV171)</f>
        <v>45.410400000000003</v>
      </c>
      <c r="AX171" s="229">
        <f>(AS171*AR171)/(AO171*AN171)</f>
        <v>0.12504807692307693</v>
      </c>
      <c r="AY171" s="229">
        <f>(AW171*AU171)/(AT171*AR171)</f>
        <v>1.06</v>
      </c>
      <c r="AZ171" s="229"/>
      <c r="BA171" s="230">
        <f t="shared" si="236"/>
        <v>20.96508</v>
      </c>
    </row>
    <row r="172" spans="1:54" s="231" customFormat="1" ht="15.75" hidden="1">
      <c r="A172" s="255" t="s">
        <v>123</v>
      </c>
      <c r="B172" s="255" t="s">
        <v>398</v>
      </c>
      <c r="C172" s="228">
        <f>39.5/2</f>
        <v>19.75</v>
      </c>
      <c r="D172" s="228">
        <v>38.21</v>
      </c>
      <c r="E172" s="228">
        <f t="shared" si="273"/>
        <v>38.21</v>
      </c>
      <c r="F172" s="228">
        <f>C172</f>
        <v>19.75</v>
      </c>
      <c r="G172" s="228">
        <v>40.229999999999997</v>
      </c>
      <c r="H172" s="228">
        <f t="shared" si="258"/>
        <v>40.229999999999997</v>
      </c>
      <c r="I172" s="228">
        <f>F172</f>
        <v>19.75</v>
      </c>
      <c r="J172" s="228">
        <v>40.340000000000003</v>
      </c>
      <c r="K172" s="228">
        <f t="shared" si="259"/>
        <v>40.340000000000003</v>
      </c>
      <c r="L172" s="229">
        <f t="shared" ref="L172:L174" si="274">(G172*F172)/(D172*C172)</f>
        <v>1.0528657419523684</v>
      </c>
      <c r="M172" s="229">
        <f>(K172*I172)/(H172*F172)</f>
        <v>1.0027342779020634</v>
      </c>
      <c r="N172" s="229" t="s">
        <v>367</v>
      </c>
      <c r="O172" s="228">
        <v>12.67</v>
      </c>
      <c r="P172" s="228">
        <v>15</v>
      </c>
      <c r="Q172" s="228">
        <f>IF(B172="ОСНО",P172*1.18,P172)</f>
        <v>15</v>
      </c>
      <c r="R172" s="228"/>
      <c r="S172" s="228">
        <f>O172</f>
        <v>12.67</v>
      </c>
      <c r="T172" s="252">
        <v>16.07</v>
      </c>
      <c r="U172" s="228">
        <f>IF(B172="ОСНО",T172*1.18,T172)</f>
        <v>16.07</v>
      </c>
      <c r="V172" s="228">
        <f>S172</f>
        <v>12.67</v>
      </c>
      <c r="W172" s="228">
        <f>T172*1.06</f>
        <v>17.034200000000002</v>
      </c>
      <c r="X172" s="228">
        <f>IF(B172="ОСНО",W172*1.18,W172)</f>
        <v>17.034200000000002</v>
      </c>
      <c r="Y172" s="229">
        <f>(T172*S172)/(P172*O172)</f>
        <v>1.0713333333333332</v>
      </c>
      <c r="Z172" s="229">
        <f>(X172*V172)/(U172*S172)</f>
        <v>1.06</v>
      </c>
      <c r="AA172" s="228">
        <f>12.8/2</f>
        <v>6.4</v>
      </c>
      <c r="AB172" s="228">
        <v>60.05</v>
      </c>
      <c r="AC172" s="228">
        <f t="shared" si="271"/>
        <v>60.05</v>
      </c>
      <c r="AD172" s="228"/>
      <c r="AE172" s="230">
        <f>(J172-W172)*V172+(G172-T172)*O172</f>
        <v>601.39168599999994</v>
      </c>
      <c r="AF172" s="228">
        <f>AA172</f>
        <v>6.4</v>
      </c>
      <c r="AG172" s="228">
        <v>62.45</v>
      </c>
      <c r="AH172" s="228">
        <f>IF(B172="ОСНО",AG172*1.18,AG172)</f>
        <v>62.45</v>
      </c>
      <c r="AI172" s="228">
        <f>AF172</f>
        <v>6.4</v>
      </c>
      <c r="AJ172" s="228">
        <v>66.28</v>
      </c>
      <c r="AK172" s="228">
        <f>IF(B172="ОСНО",AJ172*1.18,AJ172)</f>
        <v>66.28</v>
      </c>
      <c r="AL172" s="229">
        <f>(AG172*AF172)/(AB172*AA172)</f>
        <v>1.0399666944213157</v>
      </c>
      <c r="AM172" s="229">
        <f t="shared" ref="AM172" si="275">(AK172*AI172)/(AH172*AF172)</f>
        <v>1.0613290632506003</v>
      </c>
      <c r="AN172" s="228">
        <f>12.8/2</f>
        <v>6.4</v>
      </c>
      <c r="AO172" s="228">
        <v>60.05</v>
      </c>
      <c r="AP172" s="228">
        <f>IF(B172="ОСНО",AO172*1.18,AO172)</f>
        <v>60.05</v>
      </c>
      <c r="AQ172" s="228"/>
      <c r="AR172" s="228">
        <f>AN172</f>
        <v>6.4</v>
      </c>
      <c r="AS172" s="239">
        <v>62.45</v>
      </c>
      <c r="AT172" s="228">
        <f>IF(B172="ОСНО",AS172*1.18,AS172)</f>
        <v>62.45</v>
      </c>
      <c r="AU172" s="228">
        <f>AR172</f>
        <v>6.4</v>
      </c>
      <c r="AV172" s="228">
        <v>66.28</v>
      </c>
      <c r="AW172" s="228">
        <f>IF(B172="ОСНО",AV172*1.18,AV172)</f>
        <v>66.28</v>
      </c>
      <c r="AX172" s="229">
        <f>(AS172*AR172)/(AO172*AN172)</f>
        <v>1.0399666944213157</v>
      </c>
      <c r="AY172" s="229">
        <f t="shared" ref="AY172" si="276">(AW172*AU172)/(AT172*AR172)</f>
        <v>1.0613290632506003</v>
      </c>
      <c r="AZ172" s="229"/>
      <c r="BA172" s="230">
        <f t="shared" si="236"/>
        <v>0</v>
      </c>
      <c r="BB172" s="231" t="s">
        <v>435</v>
      </c>
    </row>
    <row r="173" spans="1:54" s="231" customFormat="1" ht="15.75" hidden="1">
      <c r="A173" s="234" t="s">
        <v>124</v>
      </c>
      <c r="B173" s="234" t="s">
        <v>398</v>
      </c>
      <c r="C173" s="228">
        <f>14/2</f>
        <v>7</v>
      </c>
      <c r="D173" s="228">
        <v>32.549999999999997</v>
      </c>
      <c r="E173" s="228">
        <f t="shared" si="273"/>
        <v>32.549999999999997</v>
      </c>
      <c r="F173" s="228">
        <f>C173</f>
        <v>7</v>
      </c>
      <c r="G173" s="228">
        <v>32.99</v>
      </c>
      <c r="H173" s="228">
        <f t="shared" si="258"/>
        <v>32.99</v>
      </c>
      <c r="I173" s="228">
        <f>F173</f>
        <v>7</v>
      </c>
      <c r="J173" s="228">
        <v>37.979999999999997</v>
      </c>
      <c r="K173" s="228">
        <f t="shared" si="259"/>
        <v>37.979999999999997</v>
      </c>
      <c r="L173" s="229">
        <f t="shared" si="274"/>
        <v>1.0135176651305686</v>
      </c>
      <c r="M173" s="229">
        <f>J173/G173</f>
        <v>1.1512579569566534</v>
      </c>
      <c r="N173" s="229" t="s">
        <v>368</v>
      </c>
      <c r="O173" s="228">
        <v>0.25</v>
      </c>
      <c r="P173" s="228">
        <v>20</v>
      </c>
      <c r="Q173" s="228">
        <f>IF(B173="ОСНО",P173*1.18,P173)</f>
        <v>20</v>
      </c>
      <c r="R173" s="228"/>
      <c r="S173" s="228">
        <f>O173</f>
        <v>0.25</v>
      </c>
      <c r="T173" s="252">
        <v>21.42</v>
      </c>
      <c r="U173" s="228">
        <f>IF(B173="ОСНО",T173*1.18,T173)</f>
        <v>21.42</v>
      </c>
      <c r="V173" s="228">
        <f>S173</f>
        <v>0.25</v>
      </c>
      <c r="W173" s="228">
        <v>22.71</v>
      </c>
      <c r="X173" s="228">
        <f>IF(B173="ОСНО",W173*1.18,W173)</f>
        <v>22.71</v>
      </c>
      <c r="Y173" s="229">
        <f>(T173*S173)/(P173*O173)</f>
        <v>1.0710000000000002</v>
      </c>
      <c r="Z173" s="229">
        <f>(X173*V173)/(U173*S173)</f>
        <v>1.0602240896358543</v>
      </c>
      <c r="AA173" s="228"/>
      <c r="AB173" s="228"/>
      <c r="AC173" s="228">
        <f t="shared" si="271"/>
        <v>0</v>
      </c>
      <c r="AD173" s="228"/>
      <c r="AE173" s="230">
        <f>(J173-W173)*V173+(G173-T173)*O173</f>
        <v>6.7099999999999991</v>
      </c>
      <c r="AF173" s="228"/>
      <c r="AG173" s="228"/>
      <c r="AH173" s="228">
        <f>IF(B173="ОСНО",AG173*1.18,AG173)</f>
        <v>0</v>
      </c>
      <c r="AI173" s="228"/>
      <c r="AJ173" s="228"/>
      <c r="AK173" s="228">
        <f>IF(B173="ОСНО",AJ173*1.18,AJ173)</f>
        <v>0</v>
      </c>
      <c r="AL173" s="229"/>
      <c r="AM173" s="229"/>
      <c r="AN173" s="239"/>
      <c r="AO173" s="239"/>
      <c r="AP173" s="228">
        <f>IF(B173="ОСНО",AO173*1.18,AO173)</f>
        <v>0</v>
      </c>
      <c r="AQ173" s="228"/>
      <c r="AR173" s="239"/>
      <c r="AS173" s="239"/>
      <c r="AT173" s="228"/>
      <c r="AU173" s="228"/>
      <c r="AV173" s="228"/>
      <c r="AW173" s="228"/>
      <c r="AX173" s="229"/>
      <c r="AY173" s="229"/>
      <c r="AZ173" s="229"/>
      <c r="BA173" s="230"/>
    </row>
    <row r="174" spans="1:54" s="231" customFormat="1" ht="15.75" hidden="1">
      <c r="A174" s="234" t="s">
        <v>125</v>
      </c>
      <c r="B174" s="234" t="s">
        <v>398</v>
      </c>
      <c r="C174" s="240">
        <f>19.241/2</f>
        <v>9.6204999999999998</v>
      </c>
      <c r="D174" s="240">
        <v>39.42</v>
      </c>
      <c r="E174" s="228">
        <f t="shared" si="273"/>
        <v>39.42</v>
      </c>
      <c r="F174" s="240">
        <f>17.479/2</f>
        <v>8.7394999999999996</v>
      </c>
      <c r="G174" s="239">
        <v>43.09</v>
      </c>
      <c r="H174" s="228">
        <f t="shared" si="258"/>
        <v>43.09</v>
      </c>
      <c r="I174" s="240">
        <f>17.479/2</f>
        <v>8.7394999999999996</v>
      </c>
      <c r="J174" s="239">
        <v>44.52</v>
      </c>
      <c r="K174" s="228">
        <f t="shared" si="259"/>
        <v>44.52</v>
      </c>
      <c r="L174" s="229">
        <f t="shared" si="274"/>
        <v>0.99299901321091799</v>
      </c>
      <c r="M174" s="229">
        <f>J174/G174</f>
        <v>1.0331863541424924</v>
      </c>
      <c r="N174" s="229" t="s">
        <v>368</v>
      </c>
      <c r="O174" s="240">
        <v>5.9390000000000001</v>
      </c>
      <c r="P174" s="240">
        <v>20</v>
      </c>
      <c r="Q174" s="228">
        <f>IF(B174="ОСНО",P174*1.18,P174)</f>
        <v>20</v>
      </c>
      <c r="R174" s="228"/>
      <c r="S174" s="228">
        <f>O174</f>
        <v>5.9390000000000001</v>
      </c>
      <c r="T174" s="240">
        <v>21.42</v>
      </c>
      <c r="U174" s="228">
        <f>IF(B174="ОСНО",T174*1.18,T174)</f>
        <v>21.42</v>
      </c>
      <c r="V174" s="228">
        <f>S174</f>
        <v>5.9390000000000001</v>
      </c>
      <c r="W174" s="240">
        <f>T174*1.06</f>
        <v>22.705200000000001</v>
      </c>
      <c r="X174" s="228">
        <f>IF(B174="ОСНО",W174*1.18,W174)</f>
        <v>22.705200000000001</v>
      </c>
      <c r="Y174" s="229">
        <f>(T174*S174)/(P174*O174)</f>
        <v>1.0710000000000002</v>
      </c>
      <c r="Z174" s="229">
        <f>(X174*V174)/(U174*S174)</f>
        <v>1.0599999999999998</v>
      </c>
      <c r="AA174" s="239"/>
      <c r="AB174" s="239"/>
      <c r="AC174" s="228">
        <f t="shared" si="271"/>
        <v>0</v>
      </c>
      <c r="AD174" s="228"/>
      <c r="AE174" s="230">
        <f>(J174-W174)*V174+(G174-T174)*O174</f>
        <v>258.25622720000001</v>
      </c>
      <c r="AF174" s="239"/>
      <c r="AG174" s="239"/>
      <c r="AH174" s="228">
        <f>IF(B174="ОСНО",AG174*1.18,AG174)</f>
        <v>0</v>
      </c>
      <c r="AI174" s="239"/>
      <c r="AJ174" s="239"/>
      <c r="AK174" s="228">
        <f>IF(B174="ОСНО",AJ174*1.18,AJ174)</f>
        <v>0</v>
      </c>
      <c r="AL174" s="229"/>
      <c r="AM174" s="229"/>
      <c r="AN174" s="239"/>
      <c r="AO174" s="239"/>
      <c r="AP174" s="228">
        <f>IF(B174="ОСНО",AO174*1.18,AO174)</f>
        <v>0</v>
      </c>
      <c r="AQ174" s="228"/>
      <c r="AR174" s="239"/>
      <c r="AS174" s="239"/>
      <c r="AT174" s="228"/>
      <c r="AU174" s="239"/>
      <c r="AV174" s="239"/>
      <c r="AW174" s="228"/>
      <c r="AX174" s="229"/>
      <c r="AY174" s="229"/>
      <c r="AZ174" s="229"/>
      <c r="BA174" s="230"/>
    </row>
    <row r="175" spans="1:54" s="216" customFormat="1" ht="15.75">
      <c r="A175" s="193" t="s">
        <v>126</v>
      </c>
      <c r="B175" s="193"/>
      <c r="C175" s="42">
        <f>SUM(C176:C179)</f>
        <v>98.519499999999994</v>
      </c>
      <c r="D175" s="42">
        <f>SUMPRODUCT(C176:C179,D176:D179)/C175</f>
        <v>40.48939149102462</v>
      </c>
      <c r="E175" s="42">
        <f>SUMPRODUCT(C176:C179,E176:E179)/C175</f>
        <v>40.48939149102462</v>
      </c>
      <c r="F175" s="42">
        <f>SUM(F176:F179)</f>
        <v>98.519499999999994</v>
      </c>
      <c r="G175" s="42">
        <f>SUMPRODUCT(F176:F179,G176:G179)/F175</f>
        <v>42.436994858885804</v>
      </c>
      <c r="H175" s="42">
        <f>SUMPRODUCT(F176:F179,H176:H179)/F175</f>
        <v>42.436994858885804</v>
      </c>
      <c r="I175" s="42">
        <f>SUM(I176:I179)</f>
        <v>98.519499999999994</v>
      </c>
      <c r="J175" s="42">
        <f>SUMPRODUCT(I176:I179,J176:J179)/I175</f>
        <v>43.101518836372499</v>
      </c>
      <c r="K175" s="42">
        <f>SUMPRODUCT(I176:I179,K176:K179)/I175</f>
        <v>43.101518836372499</v>
      </c>
      <c r="L175" s="84">
        <f>G175/D175</f>
        <v>1.0481015716991675</v>
      </c>
      <c r="M175" s="84">
        <f>J175/G175</f>
        <v>1.0156590724601591</v>
      </c>
      <c r="N175" s="84"/>
      <c r="O175" s="42">
        <f>SUM(O176:O179)</f>
        <v>71.009999999999991</v>
      </c>
      <c r="P175" s="42">
        <f>SUMPRODUCT(O176:O179,P176:P179)/O175</f>
        <v>41.564534572595413</v>
      </c>
      <c r="Q175" s="42">
        <f>SUMPRODUCT(O176:O179,Q176:Q179)/O175</f>
        <v>41.564534572595413</v>
      </c>
      <c r="R175" s="84">
        <f>K175/H175</f>
        <v>1.0156590724601591</v>
      </c>
      <c r="S175" s="42">
        <f>SUM(S176:S179)</f>
        <v>71.009999999999991</v>
      </c>
      <c r="T175" s="42">
        <f>SUMPRODUCT(S176:S179,T176:T179)/S175</f>
        <v>43.491081537811581</v>
      </c>
      <c r="U175" s="42">
        <f>SUMPRODUCT(S176:S179,U176:U179)/S175</f>
        <v>43.491081537811581</v>
      </c>
      <c r="V175" s="42">
        <f>SUM(V176:V179)</f>
        <v>71.009999999999991</v>
      </c>
      <c r="W175" s="42">
        <f>SUMPRODUCT(V176:V179,W176:W179)/V175</f>
        <v>44.123872693986769</v>
      </c>
      <c r="X175" s="42">
        <f>SUMPRODUCT(V176:V179,X176:X179)/V175</f>
        <v>44.123872693986769</v>
      </c>
      <c r="Y175" s="84">
        <f>T175/P175</f>
        <v>1.0463507407222692</v>
      </c>
      <c r="Z175" s="84">
        <f>W175/T175</f>
        <v>1.014549906183065</v>
      </c>
      <c r="AA175" s="42">
        <f>SUM(AA176:AA179)</f>
        <v>70.660499999999999</v>
      </c>
      <c r="AB175" s="42">
        <f>SUMPRODUCT(AA176:AA179,AB176:AB179)/AA175</f>
        <v>30.986715703964734</v>
      </c>
      <c r="AC175" s="42">
        <f>SUMPRODUCT(AA176:AA179,AC176:AC179)/AA175</f>
        <v>30.986715703964734</v>
      </c>
      <c r="AD175" s="84">
        <f>X175/U175</f>
        <v>1.014549906183065</v>
      </c>
      <c r="AE175" s="222">
        <f>SUM(AE176:AE179)</f>
        <v>0</v>
      </c>
      <c r="AF175" s="42">
        <f>SUM(AF176:AF179)</f>
        <v>70.660499999999999</v>
      </c>
      <c r="AG175" s="42">
        <f>SUMPRODUCT(AF176:AF179,AG176:AG179)/AF175</f>
        <v>31.70833902958513</v>
      </c>
      <c r="AH175" s="42">
        <f>SUMPRODUCT(AF176:AF179,AH176:AH179)/AF175</f>
        <v>31.70833902958513</v>
      </c>
      <c r="AI175" s="42">
        <f>SUM(AI176:AI179)</f>
        <v>70.660499999999999</v>
      </c>
      <c r="AJ175" s="42">
        <f>SUMPRODUCT(AI176:AI179,AJ176:AJ179)/AI175</f>
        <v>32.111490719709025</v>
      </c>
      <c r="AK175" s="42">
        <f>SUMPRODUCT(AI176:AI179,AK176:AK179)/AI175</f>
        <v>32.111490719709025</v>
      </c>
      <c r="AL175" s="84">
        <f>AG175/AB175</f>
        <v>1.0232881513650725</v>
      </c>
      <c r="AM175" s="84">
        <f>AJ175/AG175</f>
        <v>1.012714374276992</v>
      </c>
      <c r="AN175" s="42">
        <f>SUM(AN176:AN179)</f>
        <v>61.55</v>
      </c>
      <c r="AO175" s="42">
        <f>SUMPRODUCT(AN176:AN179,AO176:AO179)/AN175</f>
        <v>30.475073923639318</v>
      </c>
      <c r="AP175" s="42">
        <f>SUMPRODUCT(AN176:AN179,AP176:AP179)/AN175</f>
        <v>30.475073923639318</v>
      </c>
      <c r="AQ175" s="84">
        <f>AK175/AH175</f>
        <v>1.012714374276992</v>
      </c>
      <c r="AR175" s="42">
        <f>SUM(AR176:AR179)</f>
        <v>61.55</v>
      </c>
      <c r="AS175" s="42">
        <f>SUMPRODUCT(AR176:AR179,AS176:AS179)/AR175</f>
        <v>31.182757108042246</v>
      </c>
      <c r="AT175" s="42">
        <f>SUMPRODUCT(AR176:AR179,AT176:AT179)/AR175</f>
        <v>31.182757108042246</v>
      </c>
      <c r="AU175" s="42">
        <f>SUM(AU176:AU179)</f>
        <v>61.55</v>
      </c>
      <c r="AV175" s="42">
        <f>SUMPRODUCT(AU176:AU179,AV176:AV179)/AU175</f>
        <v>31.508887083671816</v>
      </c>
      <c r="AW175" s="42">
        <f>SUMPRODUCT(AU176:AU179,AW176:AW179)/AU175</f>
        <v>31.508887083671816</v>
      </c>
      <c r="AX175" s="84">
        <f>AS175/AO175</f>
        <v>1.0232217052590635</v>
      </c>
      <c r="AY175" s="84">
        <f>AV175/AS175</f>
        <v>1.0104586638859288</v>
      </c>
      <c r="AZ175" s="84">
        <f>AW175/AT175</f>
        <v>1.0104586638859288</v>
      </c>
      <c r="BA175" s="224">
        <f>SUM(BA176:BA179)</f>
        <v>0</v>
      </c>
    </row>
    <row r="176" spans="1:54" s="231" customFormat="1" ht="15.75" hidden="1">
      <c r="A176" s="253" t="s">
        <v>128</v>
      </c>
      <c r="B176" s="253" t="s">
        <v>398</v>
      </c>
      <c r="C176" s="228">
        <f>35.646/2</f>
        <v>17.823</v>
      </c>
      <c r="D176" s="228">
        <v>30.78</v>
      </c>
      <c r="E176" s="228">
        <f t="shared" si="273"/>
        <v>30.78</v>
      </c>
      <c r="F176" s="228">
        <f>C176</f>
        <v>17.823</v>
      </c>
      <c r="G176" s="228">
        <v>32.83</v>
      </c>
      <c r="H176" s="228">
        <f t="shared" si="258"/>
        <v>32.83</v>
      </c>
      <c r="I176" s="228">
        <f>F176</f>
        <v>17.823</v>
      </c>
      <c r="J176" s="228">
        <v>33.520000000000003</v>
      </c>
      <c r="K176" s="228">
        <f t="shared" ref="K176:K179" si="277">IF(B176="ОСНО",J176*1.18,J176)</f>
        <v>33.520000000000003</v>
      </c>
      <c r="L176" s="229">
        <f>(G176*F176)/(D176*C176)</f>
        <v>1.0666016894087069</v>
      </c>
      <c r="M176" s="229">
        <f>(K176*I176)/(H176*F176)</f>
        <v>1.0210173621687482</v>
      </c>
      <c r="N176" s="229" t="s">
        <v>369</v>
      </c>
      <c r="O176" s="228">
        <v>7.22</v>
      </c>
      <c r="P176" s="228">
        <v>30.78</v>
      </c>
      <c r="Q176" s="228">
        <f>IF(B176="ОСНО",P176*1.18,P176)</f>
        <v>30.78</v>
      </c>
      <c r="R176" s="228"/>
      <c r="S176" s="228">
        <f>O176</f>
        <v>7.22</v>
      </c>
      <c r="T176" s="252">
        <v>32.83</v>
      </c>
      <c r="U176" s="228">
        <f>IF(B176="ОСНО",T176*1.18,T176)</f>
        <v>32.83</v>
      </c>
      <c r="V176" s="228">
        <v>7.22</v>
      </c>
      <c r="W176" s="228">
        <v>33.520000000000003</v>
      </c>
      <c r="X176" s="228">
        <f>IF(B176="ОСНО",W176*1.18,W176)</f>
        <v>33.520000000000003</v>
      </c>
      <c r="Y176" s="229">
        <f>(T176*S176)/(P176*O176)</f>
        <v>1.0666016894087067</v>
      </c>
      <c r="Z176" s="229">
        <f>(X176*V176)/(U176*S176)</f>
        <v>1.0210173621687484</v>
      </c>
      <c r="AA176" s="228">
        <f>10.78/2</f>
        <v>5.39</v>
      </c>
      <c r="AB176" s="228">
        <v>52.31</v>
      </c>
      <c r="AC176" s="228">
        <f>IF(B176="ОСНО",AB176*1.18,AB176)</f>
        <v>52.31</v>
      </c>
      <c r="AD176" s="228"/>
      <c r="AE176" s="230">
        <f>(J176-W176)*V176+(G176-T176)*O176</f>
        <v>0</v>
      </c>
      <c r="AF176" s="228">
        <f>AA176</f>
        <v>5.39</v>
      </c>
      <c r="AG176" s="228">
        <v>55.77</v>
      </c>
      <c r="AH176" s="228">
        <f>IF(B176="ОСНО",AG176*1.18,AG176)</f>
        <v>55.77</v>
      </c>
      <c r="AI176" s="228">
        <v>5.39</v>
      </c>
      <c r="AJ176" s="228">
        <v>57.98</v>
      </c>
      <c r="AK176" s="228">
        <f>IF(B176="ОСНО",AJ176*1.18,AJ176)</f>
        <v>57.98</v>
      </c>
      <c r="AL176" s="229">
        <f>(AG176*AF176)/(AB176*AA176)</f>
        <v>1.066144140699675</v>
      </c>
      <c r="AM176" s="229">
        <f t="shared" ref="AM176:AM179" si="278">(AK176*AI176)/(AH176*AF176)</f>
        <v>1.0396270396270395</v>
      </c>
      <c r="AN176" s="228">
        <v>4.2300000000000004</v>
      </c>
      <c r="AO176" s="228">
        <v>52.31</v>
      </c>
      <c r="AP176" s="228">
        <f>IF(B176="ОСНО",AO176*1.18,AO176)</f>
        <v>52.31</v>
      </c>
      <c r="AQ176" s="228"/>
      <c r="AR176" s="228">
        <f>AN176</f>
        <v>4.2300000000000004</v>
      </c>
      <c r="AS176" s="239">
        <v>55.77</v>
      </c>
      <c r="AT176" s="228">
        <f>IF(B176="ОСНО",AS176*1.18,AS176)</f>
        <v>55.77</v>
      </c>
      <c r="AU176" s="228">
        <v>4.2300000000000004</v>
      </c>
      <c r="AV176" s="228">
        <f>AJ176</f>
        <v>57.98</v>
      </c>
      <c r="AW176" s="228">
        <f>IF(B176="ОСНО",AV176*1.18,AV176)</f>
        <v>57.98</v>
      </c>
      <c r="AX176" s="229">
        <f>(AS176*AR176)/(AO176*AN176)</f>
        <v>1.066144140699675</v>
      </c>
      <c r="AY176" s="229">
        <f t="shared" ref="AY176:AY179" si="279">(AW176*AU176)/(AT176*AR176)</f>
        <v>1.0396270396270395</v>
      </c>
      <c r="AZ176" s="229"/>
      <c r="BA176" s="228">
        <f t="shared" si="236"/>
        <v>0</v>
      </c>
    </row>
    <row r="177" spans="1:53" s="231" customFormat="1" ht="15.75" hidden="1">
      <c r="A177" s="253" t="s">
        <v>129</v>
      </c>
      <c r="B177" s="253" t="s">
        <v>398</v>
      </c>
      <c r="C177" s="228">
        <f>(59.46)/2</f>
        <v>29.73</v>
      </c>
      <c r="D177" s="228">
        <v>42.48</v>
      </c>
      <c r="E177" s="228">
        <f t="shared" si="273"/>
        <v>42.48</v>
      </c>
      <c r="F177" s="228">
        <f>C177</f>
        <v>29.73</v>
      </c>
      <c r="G177" s="228">
        <v>44.87</v>
      </c>
      <c r="H177" s="228">
        <f t="shared" si="258"/>
        <v>44.87</v>
      </c>
      <c r="I177" s="228">
        <f t="shared" ref="I177:I179" si="280">F177</f>
        <v>29.73</v>
      </c>
      <c r="J177" s="228">
        <v>46.46</v>
      </c>
      <c r="K177" s="228">
        <f t="shared" si="277"/>
        <v>46.46</v>
      </c>
      <c r="L177" s="229">
        <f>(G177*F177)/(D177*C177)</f>
        <v>1.0562617702448209</v>
      </c>
      <c r="M177" s="229">
        <f>(K177*I177)/(H177*F177)</f>
        <v>1.0354357031424115</v>
      </c>
      <c r="N177" s="229" t="s">
        <v>370</v>
      </c>
      <c r="O177" s="228">
        <v>22.53</v>
      </c>
      <c r="P177" s="228">
        <v>42.48</v>
      </c>
      <c r="Q177" s="228">
        <f>IF(B177="ОСНО",P177*1.18,P177)</f>
        <v>42.48</v>
      </c>
      <c r="R177" s="228"/>
      <c r="S177" s="228">
        <f>O177</f>
        <v>22.53</v>
      </c>
      <c r="T177" s="252">
        <v>44.87</v>
      </c>
      <c r="U177" s="228">
        <f>IF(B177="ОСНО",T177*1.18,T177)</f>
        <v>44.87</v>
      </c>
      <c r="V177" s="228">
        <v>22.53</v>
      </c>
      <c r="W177" s="228">
        <v>46.46</v>
      </c>
      <c r="X177" s="228">
        <f>IF(B177="ОСНО",W177*1.18,W177)</f>
        <v>46.46</v>
      </c>
      <c r="Y177" s="229">
        <f>(T177*S177)/(P177*O177)</f>
        <v>1.0562617702448212</v>
      </c>
      <c r="Z177" s="229">
        <f>(X177*V177)/(U177*S177)</f>
        <v>1.0354357031424113</v>
      </c>
      <c r="AA177" s="228">
        <f>122.041/2</f>
        <v>61.020499999999998</v>
      </c>
      <c r="AB177" s="228">
        <v>27.85</v>
      </c>
      <c r="AC177" s="228">
        <f>IF(B177="ОСНО",AB177*1.18,AB177)</f>
        <v>27.85</v>
      </c>
      <c r="AD177" s="228"/>
      <c r="AE177" s="230">
        <f>(J177-W177)*V177+(G177-T177)*O177</f>
        <v>0</v>
      </c>
      <c r="AF177" s="228">
        <f>AA177</f>
        <v>61.020499999999998</v>
      </c>
      <c r="AG177" s="228">
        <v>28.38</v>
      </c>
      <c r="AH177" s="228">
        <f>IF(B177="ОСНО",AG177*1.18,AG177)</f>
        <v>28.38</v>
      </c>
      <c r="AI177" s="228">
        <v>61.020499999999998</v>
      </c>
      <c r="AJ177" s="228">
        <v>28.38</v>
      </c>
      <c r="AK177" s="228">
        <f>IF(B177="ОСНО",AJ177*1.18,AJ177)</f>
        <v>28.38</v>
      </c>
      <c r="AL177" s="229">
        <f>(AG177*AF177)/(AB177*AA177)</f>
        <v>1.0190305206463193</v>
      </c>
      <c r="AM177" s="229">
        <f t="shared" si="278"/>
        <v>1</v>
      </c>
      <c r="AN177" s="239">
        <v>54.57</v>
      </c>
      <c r="AO177" s="239">
        <v>27.85</v>
      </c>
      <c r="AP177" s="228">
        <f>IF(B177="ОСНО",AO177*1.18,AO177)</f>
        <v>27.85</v>
      </c>
      <c r="AQ177" s="228"/>
      <c r="AR177" s="239">
        <f>AN177</f>
        <v>54.57</v>
      </c>
      <c r="AS177" s="228">
        <f>AG177</f>
        <v>28.38</v>
      </c>
      <c r="AT177" s="228">
        <f>IF(B177="ОСНО",AS177*1.18,AS177)</f>
        <v>28.38</v>
      </c>
      <c r="AU177" s="228">
        <v>54.57</v>
      </c>
      <c r="AV177" s="228">
        <v>28.38</v>
      </c>
      <c r="AW177" s="228">
        <f>IF(B177="ОСНО",AV177*1.18,AV177)</f>
        <v>28.38</v>
      </c>
      <c r="AX177" s="229">
        <f>(AS177*AR177)/(AO177*AN177)</f>
        <v>1.0190305206463195</v>
      </c>
      <c r="AY177" s="229">
        <f t="shared" si="279"/>
        <v>1</v>
      </c>
      <c r="AZ177" s="229"/>
      <c r="BA177" s="230">
        <f t="shared" si="236"/>
        <v>0</v>
      </c>
    </row>
    <row r="178" spans="1:53" s="231" customFormat="1" ht="31.5" hidden="1">
      <c r="A178" s="253" t="s">
        <v>130</v>
      </c>
      <c r="B178" s="253" t="s">
        <v>398</v>
      </c>
      <c r="C178" s="228">
        <f>91.933/2</f>
        <v>45.966500000000003</v>
      </c>
      <c r="D178" s="228">
        <v>44.41</v>
      </c>
      <c r="E178" s="228">
        <f t="shared" si="273"/>
        <v>44.41</v>
      </c>
      <c r="F178" s="228">
        <f>C178</f>
        <v>45.966500000000003</v>
      </c>
      <c r="G178" s="228">
        <v>46.05</v>
      </c>
      <c r="H178" s="228">
        <f t="shared" si="258"/>
        <v>46.05</v>
      </c>
      <c r="I178" s="228">
        <f t="shared" si="280"/>
        <v>45.966500000000003</v>
      </c>
      <c r="J178" s="228">
        <v>46.05</v>
      </c>
      <c r="K178" s="228">
        <f t="shared" si="277"/>
        <v>46.05</v>
      </c>
      <c r="L178" s="229">
        <f>(G178*F178)/(D178*C178)</f>
        <v>1.0369286196802523</v>
      </c>
      <c r="M178" s="229">
        <f>(K178*I178)/(H178*F178)</f>
        <v>1</v>
      </c>
      <c r="N178" s="229" t="s">
        <v>371</v>
      </c>
      <c r="O178" s="228">
        <v>37.76</v>
      </c>
      <c r="P178" s="228">
        <v>44.41</v>
      </c>
      <c r="Q178" s="228">
        <f>IF(B178="ОСНО",P178*1.18,P178)</f>
        <v>44.41</v>
      </c>
      <c r="R178" s="228"/>
      <c r="S178" s="228">
        <f>O178</f>
        <v>37.76</v>
      </c>
      <c r="T178" s="252">
        <v>46.05</v>
      </c>
      <c r="U178" s="228">
        <f>IF(B178="ОСНО",T178*1.18,T178)</f>
        <v>46.05</v>
      </c>
      <c r="V178" s="228">
        <v>37.76</v>
      </c>
      <c r="W178" s="228">
        <v>46.05</v>
      </c>
      <c r="X178" s="228">
        <f>IF(B178="ОСНО",W178*1.18,W178)</f>
        <v>46.05</v>
      </c>
      <c r="Y178" s="229">
        <f>(T178*S178)/(P178*O178)</f>
        <v>1.0369286196802523</v>
      </c>
      <c r="Z178" s="229">
        <f>(X178*V178)/(U178*S178)</f>
        <v>1</v>
      </c>
      <c r="AA178" s="228"/>
      <c r="AB178" s="228"/>
      <c r="AC178" s="228">
        <f>IF(B178="ОСНО",AB178*1.18,AB178)</f>
        <v>0</v>
      </c>
      <c r="AD178" s="228"/>
      <c r="AE178" s="230">
        <f>(J178-W178)*V178+(G178-T178)*O178</f>
        <v>0</v>
      </c>
      <c r="AF178" s="228"/>
      <c r="AG178" s="228"/>
      <c r="AH178" s="228">
        <f>IF(B178="ОСНО",AG178*1.18,AG178)</f>
        <v>0</v>
      </c>
      <c r="AI178" s="228"/>
      <c r="AJ178" s="228"/>
      <c r="AK178" s="228">
        <f>IF(B178="ОСНО",AJ178*1.18,AJ178)</f>
        <v>0</v>
      </c>
      <c r="AL178" s="229"/>
      <c r="AM178" s="229"/>
      <c r="AN178" s="239"/>
      <c r="AO178" s="239"/>
      <c r="AP178" s="228">
        <f>IF(B178="ОСНО",AO178*1.18,AO178)</f>
        <v>0</v>
      </c>
      <c r="AQ178" s="228"/>
      <c r="AR178" s="239"/>
      <c r="AS178" s="239"/>
      <c r="AT178" s="228">
        <f>IF(B178="ОСНО",AS178*1.18,AS178)</f>
        <v>0</v>
      </c>
      <c r="AU178" s="228">
        <v>0</v>
      </c>
      <c r="AV178" s="228"/>
      <c r="AW178" s="228">
        <f>IF(B178="ОСНО",AV178*1.18,AV178)</f>
        <v>0</v>
      </c>
      <c r="AX178" s="229"/>
      <c r="AY178" s="229"/>
      <c r="AZ178" s="229"/>
      <c r="BA178" s="230">
        <f t="shared" si="236"/>
        <v>0</v>
      </c>
    </row>
    <row r="179" spans="1:53" s="231" customFormat="1" ht="15.75" hidden="1">
      <c r="A179" s="236" t="s">
        <v>131</v>
      </c>
      <c r="B179" s="236" t="s">
        <v>398</v>
      </c>
      <c r="C179" s="228">
        <f>10/2</f>
        <v>5</v>
      </c>
      <c r="D179" s="228">
        <v>27.22</v>
      </c>
      <c r="E179" s="228">
        <f t="shared" si="273"/>
        <v>27.22</v>
      </c>
      <c r="F179" s="228">
        <f>C179</f>
        <v>5</v>
      </c>
      <c r="G179" s="228">
        <v>29</v>
      </c>
      <c r="H179" s="228">
        <f t="shared" si="258"/>
        <v>29</v>
      </c>
      <c r="I179" s="228">
        <f t="shared" si="280"/>
        <v>5</v>
      </c>
      <c r="J179" s="228">
        <v>30.18</v>
      </c>
      <c r="K179" s="228">
        <f t="shared" si="277"/>
        <v>30.18</v>
      </c>
      <c r="L179" s="229">
        <f>(G179*F179)/(D179*C179)</f>
        <v>1.0653930933137399</v>
      </c>
      <c r="M179" s="229">
        <f>(K179*I179)/(H179*F179)</f>
        <v>1.0406896551724139</v>
      </c>
      <c r="N179" s="229" t="s">
        <v>372</v>
      </c>
      <c r="O179" s="252">
        <v>3.5</v>
      </c>
      <c r="P179" s="252">
        <v>27.22</v>
      </c>
      <c r="Q179" s="228">
        <f>IF(B179="ОСНО",P179*1.18,P179)</f>
        <v>27.22</v>
      </c>
      <c r="R179" s="228"/>
      <c r="S179" s="252">
        <f>O179</f>
        <v>3.5</v>
      </c>
      <c r="T179" s="252">
        <v>29</v>
      </c>
      <c r="U179" s="228">
        <f>IF(B179="ОСНО",T179*1.18,T179)</f>
        <v>29</v>
      </c>
      <c r="V179" s="228">
        <v>3.5</v>
      </c>
      <c r="W179" s="228">
        <v>30.18</v>
      </c>
      <c r="X179" s="228">
        <f>IF(B179="ОСНО",W179*1.18,W179)</f>
        <v>30.18</v>
      </c>
      <c r="Y179" s="229">
        <f>(T179*S179)/(P179*O179)</f>
        <v>1.0653930933137399</v>
      </c>
      <c r="Z179" s="229">
        <f>(X179*V179)/(U179*S179)</f>
        <v>1.0406896551724139</v>
      </c>
      <c r="AA179" s="228">
        <f>8.5/2</f>
        <v>4.25</v>
      </c>
      <c r="AB179" s="228">
        <v>48.98</v>
      </c>
      <c r="AC179" s="228">
        <f>IF(B179="ОСНО",AB179*1.18,AB179)</f>
        <v>48.98</v>
      </c>
      <c r="AD179" s="228"/>
      <c r="AE179" s="230">
        <f>(J179-W179)*V179+(G179-T179)*O179</f>
        <v>0</v>
      </c>
      <c r="AF179" s="228">
        <f>AA179</f>
        <v>4.25</v>
      </c>
      <c r="AG179" s="228">
        <v>48.98</v>
      </c>
      <c r="AH179" s="228">
        <f>IF(B179="ОСНО",AG179*1.18,AG179)</f>
        <v>48.98</v>
      </c>
      <c r="AI179" s="228">
        <v>4.25</v>
      </c>
      <c r="AJ179" s="228">
        <v>52.88</v>
      </c>
      <c r="AK179" s="228">
        <f>IF(B179="ОСНО",AJ179*1.18,AJ179)</f>
        <v>52.88</v>
      </c>
      <c r="AL179" s="229">
        <f>(AG179*AF179)/(AB179*AA179)</f>
        <v>1</v>
      </c>
      <c r="AM179" s="229">
        <f t="shared" si="278"/>
        <v>1.0796243364638629</v>
      </c>
      <c r="AN179" s="239">
        <v>2.75</v>
      </c>
      <c r="AO179" s="239">
        <v>48.98</v>
      </c>
      <c r="AP179" s="228">
        <f>IF(B179="ОСНО",AO179*1.18,AO179)</f>
        <v>48.98</v>
      </c>
      <c r="AQ179" s="228"/>
      <c r="AR179" s="239">
        <f>AN179</f>
        <v>2.75</v>
      </c>
      <c r="AS179" s="239">
        <v>48.98</v>
      </c>
      <c r="AT179" s="228">
        <f>IF(B179="ОСНО",AS179*1.18,AS179)</f>
        <v>48.98</v>
      </c>
      <c r="AU179" s="228">
        <v>2.75</v>
      </c>
      <c r="AV179" s="228">
        <v>52.88</v>
      </c>
      <c r="AW179" s="228">
        <f>IF(B179="ОСНО",AV179*1.18,AV179)</f>
        <v>52.88</v>
      </c>
      <c r="AX179" s="229">
        <f>(AS179*AR179)/(AO179*AN179)</f>
        <v>1</v>
      </c>
      <c r="AY179" s="229">
        <f t="shared" si="279"/>
        <v>1.0796243364638629</v>
      </c>
      <c r="AZ179" s="229"/>
      <c r="BA179" s="230">
        <f t="shared" si="236"/>
        <v>0</v>
      </c>
    </row>
    <row r="180" spans="1:53" s="216" customFormat="1" ht="22.5" customHeight="1">
      <c r="A180" s="43" t="s">
        <v>132</v>
      </c>
      <c r="B180" s="43"/>
      <c r="C180" s="42">
        <f>SUM(C181:C190)</f>
        <v>333.25</v>
      </c>
      <c r="D180" s="42">
        <f>SUMPRODUCT(C181:C190,D181:D190)/C180</f>
        <v>55.040513443360837</v>
      </c>
      <c r="E180" s="42">
        <f>SUMPRODUCT(C181:C190,E181:E190)/C180</f>
        <v>58.358135924981241</v>
      </c>
      <c r="F180" s="42">
        <f>SUM(F181:F190)</f>
        <v>300.709</v>
      </c>
      <c r="G180" s="42">
        <f>SUMPRODUCT(F181:F190,G181:G190)/F180</f>
        <v>58.921076539112562</v>
      </c>
      <c r="H180" s="42">
        <f>SUMPRODUCT(F181:F190,H181:H190)/F180</f>
        <v>62.626897359240999</v>
      </c>
      <c r="I180" s="42">
        <f>SUM(I181:I190)</f>
        <v>300.70500000000004</v>
      </c>
      <c r="J180" s="42">
        <f>SUMPRODUCT(I181:I190,J181:J190)/I180</f>
        <v>64.943576595001744</v>
      </c>
      <c r="K180" s="42">
        <f>SUMPRODUCT(I181:I190,K181:K190)/I180</f>
        <v>69.047923575597338</v>
      </c>
      <c r="L180" s="84">
        <f>G180/D180</f>
        <v>1.0705037590128041</v>
      </c>
      <c r="M180" s="84">
        <f>J180/G180</f>
        <v>1.1022130010114695</v>
      </c>
      <c r="N180" s="84"/>
      <c r="O180" s="42">
        <f>SUM(O181:O190)</f>
        <v>303.3</v>
      </c>
      <c r="P180" s="42">
        <f>SUMPRODUCT(O181:O190,P181:P190)/O180</f>
        <v>58.66197098582262</v>
      </c>
      <c r="Q180" s="42">
        <f>SUMPRODUCT(O181:O190,Q181:Q190)/O180</f>
        <v>63.463455614902749</v>
      </c>
      <c r="R180" s="84">
        <f>K180/H180</f>
        <v>1.1025282504340586</v>
      </c>
      <c r="S180" s="42">
        <f>SUM(S181:S190)</f>
        <v>191.714</v>
      </c>
      <c r="T180" s="42">
        <f>SUMPRODUCT(S181:S190,T181:T190)/S180</f>
        <v>41.769992841561496</v>
      </c>
      <c r="U180" s="42">
        <f>SUMPRODUCT(S181:S190,U181:U190)/S180</f>
        <v>44.454838274721716</v>
      </c>
      <c r="V180" s="42">
        <f>SUM(V181:V190)</f>
        <v>191.714</v>
      </c>
      <c r="W180" s="42">
        <f>SUMPRODUCT(V181:V190,W181:W190)/V180</f>
        <v>44.054922040122278</v>
      </c>
      <c r="X180" s="42">
        <f>SUMPRODUCT(V181:V190,X181:X190)/V180</f>
        <v>46.888043416756211</v>
      </c>
      <c r="Y180" s="84">
        <f>T180/P180</f>
        <v>0.71204550647738096</v>
      </c>
      <c r="Z180" s="84">
        <f>W180/T180</f>
        <v>1.0547026475974699</v>
      </c>
      <c r="AA180" s="42">
        <f>SUM(AA181:AA190)</f>
        <v>226.03700000000001</v>
      </c>
      <c r="AB180" s="42">
        <f>SUMPRODUCT(AA181:AA190,AB181:AB190)/AA180</f>
        <v>58.492912731101541</v>
      </c>
      <c r="AC180" s="42">
        <f>SUMPRODUCT(AA181:AA190,AC181:AC190)/AA180</f>
        <v>61.668147558585538</v>
      </c>
      <c r="AD180" s="84">
        <f>X180/U180</f>
        <v>1.0547343154641073</v>
      </c>
      <c r="AE180" s="222">
        <f>SUM(AE181:AE190)</f>
        <v>13527.155668372881</v>
      </c>
      <c r="AF180" s="42">
        <f>SUM(AF181:AF190)</f>
        <v>229.9015</v>
      </c>
      <c r="AG180" s="42">
        <f>SUMPRODUCT(AF181:AF190,AG181:AG190)/AF180</f>
        <v>63.738199620272155</v>
      </c>
      <c r="AH180" s="42">
        <f>SUMPRODUCT(AF181:AF190,AH181:AH190)/AF180</f>
        <v>66.815491572695265</v>
      </c>
      <c r="AI180" s="42">
        <f>SUM(AI181:AI190)</f>
        <v>229.9015</v>
      </c>
      <c r="AJ180" s="42">
        <f>SUMPRODUCT(AI181:AI190,AJ181:AJ190)/AI180</f>
        <v>69.449984884831125</v>
      </c>
      <c r="AK180" s="42">
        <f>SUMPRODUCT(AI181:AI190,AK181:AK190)/AI180</f>
        <v>72.789023409590627</v>
      </c>
      <c r="AL180" s="84">
        <f>AG180/AB180</f>
        <v>1.0896738877286516</v>
      </c>
      <c r="AM180" s="84">
        <f>AJ180/AG180</f>
        <v>1.0896132193659001</v>
      </c>
      <c r="AN180" s="42">
        <f>SUM(AN181:AN190)</f>
        <v>132.92049999999998</v>
      </c>
      <c r="AO180" s="42">
        <f>SUMPRODUCT(AN181:AN190,AO181:AO190)/AN180</f>
        <v>45.156496853382293</v>
      </c>
      <c r="AP180" s="42">
        <f>SUMPRODUCT(AN181:AN190,AP181:AP190)/AN180</f>
        <v>46.143886985077565</v>
      </c>
      <c r="AQ180" s="84">
        <f>AK180/AH180</f>
        <v>1.0894033957738103</v>
      </c>
      <c r="AR180" s="42">
        <f>SUM(AR181:AR190)</f>
        <v>147.58049999999997</v>
      </c>
      <c r="AS180" s="42">
        <f>SUMPRODUCT(AR181:AR190,AS181:AS190)/AR180</f>
        <v>50.612597023319474</v>
      </c>
      <c r="AT180" s="42">
        <f>SUMPRODUCT(AR181:AR190,AT181:AT190)/AR180</f>
        <v>53.502834839291111</v>
      </c>
      <c r="AU180" s="42">
        <f>SUM(AU181:AU190)</f>
        <v>147.58049999999997</v>
      </c>
      <c r="AV180" s="42">
        <f>SUMPRODUCT(AU181:AU190,AV181:AV190)/AU180</f>
        <v>53.508801467673585</v>
      </c>
      <c r="AW180" s="42">
        <f>SUMPRODUCT(AU181:AU190,AW181:AW190)/AU180</f>
        <v>56.554545376929887</v>
      </c>
      <c r="AX180" s="84">
        <f>AS180/AO180</f>
        <v>1.1208264712750522</v>
      </c>
      <c r="AY180" s="84">
        <f>AV180/AS180</f>
        <v>1.0572229961450053</v>
      </c>
      <c r="AZ180" s="84">
        <f>AW180/AT180</f>
        <v>1.0570382961352485</v>
      </c>
      <c r="BA180" s="225">
        <f>SUM(BA181:BA190)</f>
        <v>5414.0645850000001</v>
      </c>
    </row>
    <row r="181" spans="1:53" s="231" customFormat="1" ht="31.5" hidden="1">
      <c r="A181" s="253" t="s">
        <v>459</v>
      </c>
      <c r="B181" s="253" t="s">
        <v>398</v>
      </c>
      <c r="C181" s="228">
        <f>217.298/2</f>
        <v>108.649</v>
      </c>
      <c r="D181" s="228">
        <v>43.02</v>
      </c>
      <c r="E181" s="228">
        <f t="shared" si="273"/>
        <v>43.02</v>
      </c>
      <c r="F181" s="228">
        <f>I181</f>
        <v>78.81</v>
      </c>
      <c r="G181" s="228">
        <v>43.46</v>
      </c>
      <c r="H181" s="228">
        <f t="shared" si="258"/>
        <v>43.46</v>
      </c>
      <c r="I181" s="228">
        <v>78.81</v>
      </c>
      <c r="J181" s="228">
        <v>47.6</v>
      </c>
      <c r="K181" s="228">
        <f t="shared" si="259"/>
        <v>47.6</v>
      </c>
      <c r="L181" s="229">
        <f>(G181*F181)/(D181*C181)</f>
        <v>0.73278219770642428</v>
      </c>
      <c r="M181" s="229">
        <f>(K181*I181)/(H181*F181)</f>
        <v>1.0952600092038656</v>
      </c>
      <c r="N181" s="229" t="s">
        <v>322</v>
      </c>
      <c r="O181" s="228">
        <f>S181</f>
        <v>24.67</v>
      </c>
      <c r="P181" s="228">
        <v>43.02</v>
      </c>
      <c r="Q181" s="228">
        <f t="shared" ref="Q181:Q187" si="281">IF(B181="ОСНО",P181*1.18,P181)</f>
        <v>43.02</v>
      </c>
      <c r="R181" s="228"/>
      <c r="S181" s="228">
        <f>V181</f>
        <v>24.67</v>
      </c>
      <c r="T181" s="252">
        <v>43.46</v>
      </c>
      <c r="U181" s="228">
        <f t="shared" ref="U181:U190" si="282">IF(B181="ОСНО",T181*1.18,T181)</f>
        <v>43.46</v>
      </c>
      <c r="V181" s="228">
        <v>24.67</v>
      </c>
      <c r="W181" s="228">
        <f>J181</f>
        <v>47.6</v>
      </c>
      <c r="X181" s="228">
        <f>IF(B181="ОСНО",W181*1.18,W181)</f>
        <v>47.6</v>
      </c>
      <c r="Y181" s="229">
        <f>(T181*S181)/(P181*O181)</f>
        <v>1.0102278010227799</v>
      </c>
      <c r="Z181" s="229">
        <f>(X181*V181)/(U181*S181)</f>
        <v>1.0952600092038656</v>
      </c>
      <c r="AA181" s="228">
        <f>AF181</f>
        <v>47.65</v>
      </c>
      <c r="AB181" s="228">
        <v>68.87</v>
      </c>
      <c r="AC181" s="228">
        <f t="shared" ref="AC181:AC187" si="283">IF(B181="ОСНО",AB181*1.18,AB181)</f>
        <v>68.87</v>
      </c>
      <c r="AD181" s="228"/>
      <c r="AE181" s="230">
        <f>(J181-W181)*V181+(G181-T181)*O181</f>
        <v>0</v>
      </c>
      <c r="AF181" s="228">
        <f>AI181</f>
        <v>47.65</v>
      </c>
      <c r="AG181" s="228">
        <v>71.14</v>
      </c>
      <c r="AH181" s="228">
        <f t="shared" ref="AH181:AH187" si="284">IF(B181="ОСНО",AG181*1.18,AG181)</f>
        <v>71.14</v>
      </c>
      <c r="AI181" s="228">
        <v>47.65</v>
      </c>
      <c r="AJ181" s="228">
        <v>78.92</v>
      </c>
      <c r="AK181" s="228">
        <f t="shared" ref="AK181:AK187" si="285">IF(B181="ОСНО",AJ181*1.18,AJ181)</f>
        <v>78.92</v>
      </c>
      <c r="AL181" s="229">
        <f>(AG181*AF181)/(AB181*AA181)</f>
        <v>1.0329606505009437</v>
      </c>
      <c r="AM181" s="229">
        <f>(AK181*AI181)/(AH181*AF181)</f>
        <v>1.1093618217599102</v>
      </c>
      <c r="AN181" s="228">
        <v>29.31</v>
      </c>
      <c r="AO181" s="228">
        <v>68.87</v>
      </c>
      <c r="AP181" s="228">
        <f t="shared" ref="AP181:AP187" si="286">IF(B181="ОСНО",AO181*1.18,AO181)</f>
        <v>68.87</v>
      </c>
      <c r="AQ181" s="228"/>
      <c r="AR181" s="228">
        <f>AU181</f>
        <v>18.309999999999999</v>
      </c>
      <c r="AS181" s="239">
        <v>71.14</v>
      </c>
      <c r="AT181" s="228">
        <f>IF(B181="ОСНО",AS181*1.18,AS181)</f>
        <v>71.14</v>
      </c>
      <c r="AU181" s="228">
        <v>18.309999999999999</v>
      </c>
      <c r="AV181" s="228">
        <v>78.92</v>
      </c>
      <c r="AW181" s="228">
        <f>IF(B181="ОСНО",AV181*1.18,AV181)</f>
        <v>78.92</v>
      </c>
      <c r="AX181" s="229">
        <f>(AS181*AR181)/(AO181*AN181)</f>
        <v>0.64529203379980493</v>
      </c>
      <c r="AY181" s="229">
        <f>AV181/AS181</f>
        <v>1.1093618217599102</v>
      </c>
      <c r="AZ181" s="229"/>
      <c r="BA181" s="230">
        <f t="shared" si="236"/>
        <v>0</v>
      </c>
    </row>
    <row r="182" spans="1:53" s="231" customFormat="1" ht="31.5" hidden="1">
      <c r="A182" s="253" t="s">
        <v>460</v>
      </c>
      <c r="B182" s="253" t="s">
        <v>398</v>
      </c>
      <c r="C182" s="228">
        <v>0</v>
      </c>
      <c r="D182" s="228">
        <v>0</v>
      </c>
      <c r="E182" s="228">
        <f t="shared" si="273"/>
        <v>0</v>
      </c>
      <c r="F182" s="228">
        <v>0</v>
      </c>
      <c r="G182" s="228">
        <v>0</v>
      </c>
      <c r="H182" s="228">
        <f t="shared" si="258"/>
        <v>0</v>
      </c>
      <c r="I182" s="228">
        <v>0</v>
      </c>
      <c r="J182" s="228">
        <v>0</v>
      </c>
      <c r="K182" s="228">
        <f t="shared" si="259"/>
        <v>0</v>
      </c>
      <c r="L182" s="229">
        <v>0</v>
      </c>
      <c r="M182" s="229">
        <v>0</v>
      </c>
      <c r="N182" s="229" t="s">
        <v>322</v>
      </c>
      <c r="O182" s="252">
        <v>0</v>
      </c>
      <c r="P182" s="252">
        <v>0</v>
      </c>
      <c r="Q182" s="228">
        <f t="shared" si="281"/>
        <v>0</v>
      </c>
      <c r="R182" s="228"/>
      <c r="S182" s="252">
        <v>0</v>
      </c>
      <c r="T182" s="252">
        <v>0</v>
      </c>
      <c r="U182" s="228">
        <f t="shared" si="282"/>
        <v>0</v>
      </c>
      <c r="V182" s="228">
        <v>0</v>
      </c>
      <c r="W182" s="228">
        <v>0</v>
      </c>
      <c r="X182" s="228">
        <f>IF(B182="ОСНО",W182*1.18,W182)</f>
        <v>0</v>
      </c>
      <c r="Y182" s="229">
        <v>0</v>
      </c>
      <c r="Z182" s="229">
        <v>0</v>
      </c>
      <c r="AA182" s="228">
        <f>10.165/2</f>
        <v>5.0824999999999996</v>
      </c>
      <c r="AB182" s="228">
        <v>51.78</v>
      </c>
      <c r="AC182" s="228">
        <f t="shared" si="283"/>
        <v>51.78</v>
      </c>
      <c r="AD182" s="228"/>
      <c r="AE182" s="230">
        <f>(J182-W182)*V182+(G182-T182)*O182</f>
        <v>0</v>
      </c>
      <c r="AF182" s="228">
        <v>5.0824999999999996</v>
      </c>
      <c r="AG182" s="228">
        <v>54.34</v>
      </c>
      <c r="AH182" s="228">
        <f t="shared" si="284"/>
        <v>54.34</v>
      </c>
      <c r="AI182" s="228">
        <v>5.0824999999999996</v>
      </c>
      <c r="AJ182" s="228">
        <v>60.5</v>
      </c>
      <c r="AK182" s="228">
        <f t="shared" si="285"/>
        <v>60.5</v>
      </c>
      <c r="AL182" s="229">
        <f>(AG182*AF182)/(AB182*AA182)</f>
        <v>1.0494399382000772</v>
      </c>
      <c r="AM182" s="229">
        <f t="shared" ref="AM182:AM190" si="287">(AK182*AI182)/(AH182*AF182)</f>
        <v>1.1133603238866396</v>
      </c>
      <c r="AN182" s="240">
        <v>0</v>
      </c>
      <c r="AO182" s="240">
        <v>0</v>
      </c>
      <c r="AP182" s="228">
        <f t="shared" si="286"/>
        <v>0</v>
      </c>
      <c r="AQ182" s="228"/>
      <c r="AR182" s="240">
        <v>0</v>
      </c>
      <c r="AS182" s="240">
        <v>0</v>
      </c>
      <c r="AT182" s="228">
        <f>IF(B182="ОСНО",AS182*1.18,AS182)</f>
        <v>0</v>
      </c>
      <c r="AU182" s="228">
        <v>0</v>
      </c>
      <c r="AV182" s="228">
        <v>0</v>
      </c>
      <c r="AW182" s="228">
        <f>IF(B182="ОСНО",AV182*1.18,AV182)</f>
        <v>0</v>
      </c>
      <c r="AX182" s="229">
        <v>0</v>
      </c>
      <c r="AY182" s="229">
        <v>0</v>
      </c>
      <c r="AZ182" s="229"/>
      <c r="BA182" s="230">
        <f t="shared" si="236"/>
        <v>0</v>
      </c>
    </row>
    <row r="183" spans="1:53" s="231" customFormat="1" ht="31.5" hidden="1">
      <c r="A183" s="253" t="s">
        <v>461</v>
      </c>
      <c r="B183" s="253" t="s">
        <v>398</v>
      </c>
      <c r="C183" s="228">
        <f>25.234/2</f>
        <v>12.617000000000001</v>
      </c>
      <c r="D183" s="228">
        <v>116.64</v>
      </c>
      <c r="E183" s="228">
        <f t="shared" si="273"/>
        <v>116.64</v>
      </c>
      <c r="F183" s="228">
        <v>11.76</v>
      </c>
      <c r="G183" s="228">
        <v>119.34</v>
      </c>
      <c r="H183" s="228">
        <f t="shared" si="258"/>
        <v>119.34</v>
      </c>
      <c r="I183" s="228">
        <v>11.76</v>
      </c>
      <c r="J183" s="228">
        <v>132.57</v>
      </c>
      <c r="K183" s="228">
        <f t="shared" si="259"/>
        <v>132.57</v>
      </c>
      <c r="L183" s="229">
        <f>(G183*F183)/(D183*C183)</f>
        <v>0.95365159881288908</v>
      </c>
      <c r="M183" s="229">
        <f t="shared" ref="M183:M190" si="288">(K183*I183)/(H183*F183)</f>
        <v>1.1108597285067872</v>
      </c>
      <c r="N183" s="229" t="s">
        <v>322</v>
      </c>
      <c r="O183" s="228">
        <v>9.8800000000000008</v>
      </c>
      <c r="P183" s="228">
        <v>70.739999999999995</v>
      </c>
      <c r="Q183" s="228">
        <f t="shared" si="281"/>
        <v>70.739999999999995</v>
      </c>
      <c r="R183" s="228"/>
      <c r="S183" s="228">
        <f>O183</f>
        <v>9.8800000000000008</v>
      </c>
      <c r="T183" s="252">
        <v>75.760000000000005</v>
      </c>
      <c r="U183" s="228">
        <f t="shared" si="282"/>
        <v>75.760000000000005</v>
      </c>
      <c r="V183" s="228">
        <v>9.8800000000000008</v>
      </c>
      <c r="W183" s="228">
        <f>T183*1.06</f>
        <v>80.305600000000013</v>
      </c>
      <c r="X183" s="228">
        <f>IF(B183="ОСНО",W183*1.18,W183)</f>
        <v>80.305600000000013</v>
      </c>
      <c r="Y183" s="229">
        <f>(T183*S183)/(P183*O183)</f>
        <v>1.0709640938648572</v>
      </c>
      <c r="Z183" s="229">
        <f>(X183*V183)/(U183*S183)</f>
        <v>1.06</v>
      </c>
      <c r="AA183" s="228">
        <f>20.976/2</f>
        <v>10.488</v>
      </c>
      <c r="AB183" s="228">
        <v>101</v>
      </c>
      <c r="AC183" s="228">
        <f t="shared" si="283"/>
        <v>101</v>
      </c>
      <c r="AD183" s="228"/>
      <c r="AE183" s="230">
        <f>(J183-W183)*V183+(G183-T183)*O183</f>
        <v>946.9426719999999</v>
      </c>
      <c r="AF183" s="228">
        <v>10.18</v>
      </c>
      <c r="AG183" s="228">
        <v>105.07</v>
      </c>
      <c r="AH183" s="228">
        <f t="shared" si="284"/>
        <v>105.07</v>
      </c>
      <c r="AI183" s="228">
        <v>10.18</v>
      </c>
      <c r="AJ183" s="228">
        <v>115.6</v>
      </c>
      <c r="AK183" s="228">
        <f t="shared" si="285"/>
        <v>115.6</v>
      </c>
      <c r="AL183" s="229">
        <f>(AG183*AF183)/(AB183*AA183)</f>
        <v>1.0097467355431196</v>
      </c>
      <c r="AM183" s="229">
        <f t="shared" si="287"/>
        <v>1.1002189016845914</v>
      </c>
      <c r="AN183" s="239">
        <v>9.6105</v>
      </c>
      <c r="AO183" s="239">
        <v>84.08</v>
      </c>
      <c r="AP183" s="228">
        <f t="shared" si="286"/>
        <v>84.08</v>
      </c>
      <c r="AQ183" s="228"/>
      <c r="AR183" s="239">
        <v>9.6105</v>
      </c>
      <c r="AS183" s="239">
        <v>90.05</v>
      </c>
      <c r="AT183" s="228">
        <f>IF(B183="ОСНО",AS183*1.18,AS183)</f>
        <v>90.05</v>
      </c>
      <c r="AU183" s="228">
        <v>9.6105</v>
      </c>
      <c r="AV183" s="228">
        <v>95.45</v>
      </c>
      <c r="AW183" s="228">
        <f>IF(B183="ОСНО",AV183*1.18,AV183)</f>
        <v>95.45</v>
      </c>
      <c r="AX183" s="229">
        <f t="shared" ref="AX183" si="289">(AS183*AR183)/(AO183*AN183)</f>
        <v>1.0710038058991436</v>
      </c>
      <c r="AY183" s="229">
        <f t="shared" ref="AY183:AY190" si="290">(AW183*AU183)/(AT183*AR183)</f>
        <v>1.0599666851749028</v>
      </c>
      <c r="AZ183" s="229"/>
      <c r="BA183" s="230">
        <f t="shared" si="236"/>
        <v>338.00128499999988</v>
      </c>
    </row>
    <row r="184" spans="1:53" s="231" customFormat="1" ht="15.75" hidden="1">
      <c r="A184" s="246" t="s">
        <v>141</v>
      </c>
      <c r="B184" s="246" t="s">
        <v>397</v>
      </c>
      <c r="C184" s="228">
        <f>3.13/2</f>
        <v>1.5649999999999999</v>
      </c>
      <c r="D184" s="228">
        <v>291.20999999999998</v>
      </c>
      <c r="E184" s="228">
        <f t="shared" si="273"/>
        <v>343.62779999999998</v>
      </c>
      <c r="F184" s="228">
        <f>C184</f>
        <v>1.5649999999999999</v>
      </c>
      <c r="G184" s="228">
        <v>301.67</v>
      </c>
      <c r="H184" s="228">
        <f t="shared" si="258"/>
        <v>355.97059999999999</v>
      </c>
      <c r="I184" s="228">
        <f>F184</f>
        <v>1.5649999999999999</v>
      </c>
      <c r="J184" s="228">
        <v>321.58</v>
      </c>
      <c r="K184" s="228">
        <f t="shared" si="259"/>
        <v>379.46439999999996</v>
      </c>
      <c r="L184" s="229">
        <f>(G184*F184)/(D184*C184)</f>
        <v>1.0359190961848839</v>
      </c>
      <c r="M184" s="229">
        <f t="shared" si="288"/>
        <v>1.0659992707262902</v>
      </c>
      <c r="N184" s="229" t="s">
        <v>323</v>
      </c>
      <c r="O184" s="228"/>
      <c r="P184" s="228"/>
      <c r="Q184" s="228">
        <f t="shared" si="281"/>
        <v>0</v>
      </c>
      <c r="R184" s="228"/>
      <c r="S184" s="228"/>
      <c r="T184" s="228"/>
      <c r="U184" s="228">
        <f t="shared" si="282"/>
        <v>0</v>
      </c>
      <c r="V184" s="228"/>
      <c r="W184" s="228"/>
      <c r="X184" s="228"/>
      <c r="Y184" s="229"/>
      <c r="Z184" s="229"/>
      <c r="AA184" s="228"/>
      <c r="AB184" s="228"/>
      <c r="AC184" s="228">
        <f t="shared" si="283"/>
        <v>0</v>
      </c>
      <c r="AD184" s="228"/>
      <c r="AE184" s="230">
        <f>(J184-W184)*V184+(G184-T184)*O184</f>
        <v>0</v>
      </c>
      <c r="AF184" s="228"/>
      <c r="AG184" s="228"/>
      <c r="AH184" s="228">
        <f t="shared" si="284"/>
        <v>0</v>
      </c>
      <c r="AI184" s="228"/>
      <c r="AJ184" s="228"/>
      <c r="AK184" s="228">
        <f t="shared" si="285"/>
        <v>0</v>
      </c>
      <c r="AL184" s="229"/>
      <c r="AM184" s="229"/>
      <c r="AN184" s="239"/>
      <c r="AO184" s="239"/>
      <c r="AP184" s="228">
        <f t="shared" si="286"/>
        <v>0</v>
      </c>
      <c r="AQ184" s="228"/>
      <c r="AR184" s="239"/>
      <c r="AS184" s="239"/>
      <c r="AT184" s="228"/>
      <c r="AU184" s="228"/>
      <c r="AV184" s="228"/>
      <c r="AW184" s="228"/>
      <c r="AX184" s="260"/>
      <c r="AY184" s="229"/>
      <c r="AZ184" s="229"/>
      <c r="BA184" s="230"/>
    </row>
    <row r="185" spans="1:53" s="231" customFormat="1" ht="15.75" hidden="1">
      <c r="A185" s="246" t="s">
        <v>142</v>
      </c>
      <c r="B185" s="246" t="s">
        <v>397</v>
      </c>
      <c r="C185" s="228">
        <f>136.93/2</f>
        <v>68.465000000000003</v>
      </c>
      <c r="D185" s="228">
        <v>33.83</v>
      </c>
      <c r="E185" s="228">
        <f t="shared" si="273"/>
        <v>39.919399999999996</v>
      </c>
      <c r="F185" s="228">
        <v>66.411000000000001</v>
      </c>
      <c r="G185" s="228">
        <v>36.35</v>
      </c>
      <c r="H185" s="228">
        <f t="shared" si="258"/>
        <v>42.893000000000001</v>
      </c>
      <c r="I185" s="228">
        <f>F185</f>
        <v>66.411000000000001</v>
      </c>
      <c r="J185" s="228">
        <v>37.85</v>
      </c>
      <c r="K185" s="228">
        <f t="shared" si="259"/>
        <v>44.662999999999997</v>
      </c>
      <c r="L185" s="229">
        <f t="shared" ref="L185" si="291">(G185*F185)/(D185*C185)</f>
        <v>1.0422546099198766</v>
      </c>
      <c r="M185" s="229">
        <f t="shared" si="288"/>
        <v>1.0412654745529573</v>
      </c>
      <c r="N185" s="229" t="s">
        <v>323</v>
      </c>
      <c r="O185" s="228">
        <v>33.380000000000003</v>
      </c>
      <c r="P185" s="228">
        <v>19.420000000000002</v>
      </c>
      <c r="Q185" s="228">
        <f t="shared" si="281"/>
        <v>22.915600000000001</v>
      </c>
      <c r="R185" s="228"/>
      <c r="S185" s="228">
        <v>32.378999999999998</v>
      </c>
      <c r="T185" s="228">
        <v>20.8</v>
      </c>
      <c r="U185" s="228">
        <f t="shared" si="282"/>
        <v>24.544</v>
      </c>
      <c r="V185" s="228">
        <f t="shared" ref="V185:V190" si="292">S185</f>
        <v>32.378999999999998</v>
      </c>
      <c r="W185" s="228">
        <v>21.63</v>
      </c>
      <c r="X185" s="228">
        <f t="shared" ref="X185:X190" si="293">IF(B185="ОСНО",W185*1.18,W185)</f>
        <v>25.523399999999999</v>
      </c>
      <c r="Y185" s="229">
        <f t="shared" ref="Y185:Y190" si="294">(T185*S185)/(P185*O185)</f>
        <v>1.0389417739983795</v>
      </c>
      <c r="Z185" s="229">
        <f t="shared" ref="Z185:Z190" si="295">(X185*V185)/(U185*S185)</f>
        <v>1.0399038461538461</v>
      </c>
      <c r="AA185" s="228">
        <f>109.73/2</f>
        <v>54.865000000000002</v>
      </c>
      <c r="AB185" s="228">
        <v>30.5</v>
      </c>
      <c r="AC185" s="228">
        <f t="shared" si="283"/>
        <v>35.989999999999995</v>
      </c>
      <c r="AD185" s="228"/>
      <c r="AE185" s="230">
        <f>(G185-T185)*S185+(J185-W185)*V185</f>
        <v>1028.68083</v>
      </c>
      <c r="AF185" s="228">
        <v>53.237000000000002</v>
      </c>
      <c r="AG185" s="228">
        <v>32.479999999999997</v>
      </c>
      <c r="AH185" s="228">
        <f t="shared" si="284"/>
        <v>38.326399999999992</v>
      </c>
      <c r="AI185" s="228">
        <f>AF185</f>
        <v>53.237000000000002</v>
      </c>
      <c r="AJ185" s="228">
        <v>34.840000000000003</v>
      </c>
      <c r="AK185" s="228">
        <f t="shared" si="285"/>
        <v>41.111200000000004</v>
      </c>
      <c r="AL185" s="229">
        <f t="shared" ref="AL185" si="296">(AG185*AF185)/(AB185*AA185)</f>
        <v>1.0333188975025134</v>
      </c>
      <c r="AM185" s="229">
        <f t="shared" si="287"/>
        <v>1.0726600985221677</v>
      </c>
      <c r="AN185" s="239">
        <f>66.9/2</f>
        <v>33.450000000000003</v>
      </c>
      <c r="AO185" s="239">
        <v>21.27</v>
      </c>
      <c r="AP185" s="228">
        <f t="shared" si="286"/>
        <v>25.098599999999998</v>
      </c>
      <c r="AQ185" s="228"/>
      <c r="AR185" s="239">
        <v>32.445</v>
      </c>
      <c r="AS185" s="239">
        <v>22.78</v>
      </c>
      <c r="AT185" s="228">
        <f>IF(B185="ОСНО",AS185*1.18,AS185)</f>
        <v>26.880400000000002</v>
      </c>
      <c r="AU185" s="228">
        <f>AR185</f>
        <v>32.445</v>
      </c>
      <c r="AV185" s="228">
        <v>23.69</v>
      </c>
      <c r="AW185" s="228">
        <f>IF(B185="ОСНО",AV185*1.18,AV185)</f>
        <v>27.9542</v>
      </c>
      <c r="AX185" s="229">
        <f t="shared" ref="AX185" si="297">AS185/AO185</f>
        <v>1.070992007522332</v>
      </c>
      <c r="AY185" s="229">
        <f t="shared" si="290"/>
        <v>1.0399473222124671</v>
      </c>
      <c r="AZ185" s="229"/>
      <c r="BA185" s="230">
        <f t="shared" si="236"/>
        <v>676.47824999999989</v>
      </c>
    </row>
    <row r="186" spans="1:53" s="231" customFormat="1" ht="18.75" hidden="1" customHeight="1">
      <c r="A186" s="236" t="s">
        <v>136</v>
      </c>
      <c r="B186" s="236" t="s">
        <v>398</v>
      </c>
      <c r="C186" s="228">
        <f>7.807/2</f>
        <v>3.9035000000000002</v>
      </c>
      <c r="D186" s="228">
        <v>118.97</v>
      </c>
      <c r="E186" s="228">
        <f t="shared" si="273"/>
        <v>118.97</v>
      </c>
      <c r="F186" s="228">
        <f t="shared" ref="F186:F190" si="298">C186</f>
        <v>3.9035000000000002</v>
      </c>
      <c r="G186" s="228">
        <v>118.97</v>
      </c>
      <c r="H186" s="228">
        <f t="shared" si="258"/>
        <v>118.97</v>
      </c>
      <c r="I186" s="228">
        <f>C186</f>
        <v>3.9035000000000002</v>
      </c>
      <c r="J186" s="228">
        <v>128.88</v>
      </c>
      <c r="K186" s="228">
        <f t="shared" si="259"/>
        <v>128.88</v>
      </c>
      <c r="L186" s="229">
        <f t="shared" ref="L186:L190" si="299">(G186*F186)/(D186*C186)</f>
        <v>1</v>
      </c>
      <c r="M186" s="229">
        <f t="shared" si="288"/>
        <v>1.0832983104984448</v>
      </c>
      <c r="N186" s="229" t="s">
        <v>324</v>
      </c>
      <c r="O186" s="228">
        <f t="shared" ref="O186:O190" si="300">U186</f>
        <v>80.78</v>
      </c>
      <c r="P186" s="228">
        <v>74.45</v>
      </c>
      <c r="Q186" s="228">
        <f t="shared" si="281"/>
        <v>74.45</v>
      </c>
      <c r="R186" s="228"/>
      <c r="S186" s="252">
        <f>4.12/2</f>
        <v>2.06</v>
      </c>
      <c r="T186" s="228">
        <v>80.78</v>
      </c>
      <c r="U186" s="228">
        <f t="shared" si="282"/>
        <v>80.78</v>
      </c>
      <c r="V186" s="228">
        <f t="shared" si="292"/>
        <v>2.06</v>
      </c>
      <c r="W186" s="228">
        <v>84</v>
      </c>
      <c r="X186" s="228">
        <f t="shared" si="293"/>
        <v>84</v>
      </c>
      <c r="Y186" s="229">
        <f t="shared" si="294"/>
        <v>2.7669576897246476E-2</v>
      </c>
      <c r="Z186" s="229">
        <f t="shared" si="295"/>
        <v>1.0398613518197573</v>
      </c>
      <c r="AA186" s="228">
        <v>0</v>
      </c>
      <c r="AB186" s="228">
        <v>0</v>
      </c>
      <c r="AC186" s="228">
        <f t="shared" si="283"/>
        <v>0</v>
      </c>
      <c r="AD186" s="228"/>
      <c r="AE186" s="230">
        <f>(G186-T186)*S186+(J186-W186)*V186</f>
        <v>171.12419999999997</v>
      </c>
      <c r="AF186" s="228">
        <v>0</v>
      </c>
      <c r="AG186" s="228">
        <v>0</v>
      </c>
      <c r="AH186" s="228">
        <f t="shared" si="284"/>
        <v>0</v>
      </c>
      <c r="AI186" s="228"/>
      <c r="AJ186" s="228"/>
      <c r="AK186" s="228">
        <f t="shared" si="285"/>
        <v>0</v>
      </c>
      <c r="AL186" s="229"/>
      <c r="AM186" s="229"/>
      <c r="AN186" s="228">
        <f>AA186</f>
        <v>0</v>
      </c>
      <c r="AO186" s="239">
        <v>0</v>
      </c>
      <c r="AP186" s="228">
        <f t="shared" si="286"/>
        <v>0</v>
      </c>
      <c r="AQ186" s="228"/>
      <c r="AR186" s="228">
        <f>AN186</f>
        <v>0</v>
      </c>
      <c r="AS186" s="239">
        <v>0</v>
      </c>
      <c r="AT186" s="228">
        <f>IF(B186="ОСНО",AS186*1.18,AS186)</f>
        <v>0</v>
      </c>
      <c r="AU186" s="228"/>
      <c r="AV186" s="228"/>
      <c r="AW186" s="228">
        <f>IF(B186="ОСНО",AV186*1.18,AV186)</f>
        <v>0</v>
      </c>
      <c r="AX186" s="229"/>
      <c r="AY186" s="229"/>
      <c r="AZ186" s="229"/>
      <c r="BA186" s="230">
        <f t="shared" si="236"/>
        <v>0</v>
      </c>
    </row>
    <row r="187" spans="1:53" s="231" customFormat="1" ht="22.5" hidden="1" customHeight="1">
      <c r="A187" s="236" t="s">
        <v>444</v>
      </c>
      <c r="B187" s="278" t="s">
        <v>397</v>
      </c>
      <c r="C187" s="228">
        <f>79.676/2</f>
        <v>39.838000000000001</v>
      </c>
      <c r="D187" s="228">
        <v>84.6</v>
      </c>
      <c r="E187" s="228">
        <f t="shared" si="273"/>
        <v>99.827999999999989</v>
      </c>
      <c r="F187" s="228">
        <f>79.68/2</f>
        <v>39.840000000000003</v>
      </c>
      <c r="G187" s="228">
        <v>82.59</v>
      </c>
      <c r="H187" s="228">
        <f t="shared" si="258"/>
        <v>97.456199999999995</v>
      </c>
      <c r="I187" s="228">
        <f>C187</f>
        <v>39.838000000000001</v>
      </c>
      <c r="J187" s="228">
        <v>95.97</v>
      </c>
      <c r="K187" s="228">
        <f t="shared" si="259"/>
        <v>113.24459999999999</v>
      </c>
      <c r="L187" s="229">
        <f t="shared" si="299"/>
        <v>0.97629014530123626</v>
      </c>
      <c r="M187" s="229">
        <f t="shared" si="288"/>
        <v>1.1619467517728013</v>
      </c>
      <c r="N187" s="229" t="s">
        <v>325</v>
      </c>
      <c r="O187" s="228">
        <f t="shared" si="300"/>
        <v>87.970000000000013</v>
      </c>
      <c r="P187" s="228">
        <v>84.6</v>
      </c>
      <c r="Q187" s="228">
        <f t="shared" si="281"/>
        <v>99.827999999999989</v>
      </c>
      <c r="R187" s="228"/>
      <c r="S187" s="228">
        <f>58.31/2</f>
        <v>29.155000000000001</v>
      </c>
      <c r="T187" s="252">
        <f>87.97/1.18</f>
        <v>74.550847457627128</v>
      </c>
      <c r="U187" s="228">
        <f t="shared" si="282"/>
        <v>87.970000000000013</v>
      </c>
      <c r="V187" s="228">
        <f t="shared" si="292"/>
        <v>29.155000000000001</v>
      </c>
      <c r="W187" s="228">
        <v>79.02</v>
      </c>
      <c r="X187" s="228">
        <f t="shared" si="293"/>
        <v>93.243599999999986</v>
      </c>
      <c r="Y187" s="229">
        <f t="shared" si="294"/>
        <v>0.2920523300076131</v>
      </c>
      <c r="Z187" s="229">
        <f t="shared" si="295"/>
        <v>1.0599477094464018</v>
      </c>
      <c r="AA187" s="228">
        <f>52.429/2</f>
        <v>26.214500000000001</v>
      </c>
      <c r="AB187" s="228">
        <v>88.27</v>
      </c>
      <c r="AC187" s="228">
        <f t="shared" si="283"/>
        <v>104.15859999999999</v>
      </c>
      <c r="AD187" s="228"/>
      <c r="AE187" s="230">
        <f>(G187-T187)*S187+(J187-W187)*V187</f>
        <v>728.55874237288128</v>
      </c>
      <c r="AF187" s="228">
        <f>52.43/2</f>
        <v>26.215</v>
      </c>
      <c r="AG187" s="228">
        <v>83.97</v>
      </c>
      <c r="AH187" s="228">
        <f t="shared" si="284"/>
        <v>99.084599999999995</v>
      </c>
      <c r="AI187" s="228">
        <f>AF187</f>
        <v>26.215</v>
      </c>
      <c r="AJ187" s="228">
        <v>91.93</v>
      </c>
      <c r="AK187" s="228">
        <f t="shared" si="285"/>
        <v>108.4774</v>
      </c>
      <c r="AL187" s="229">
        <f t="shared" ref="AL187" si="301">(AG187*AF187)/(AB187*AA187)</f>
        <v>0.95130397184249882</v>
      </c>
      <c r="AM187" s="229">
        <f t="shared" si="287"/>
        <v>1.0947957603906158</v>
      </c>
      <c r="AN187" s="228">
        <v>0.2</v>
      </c>
      <c r="AO187" s="228">
        <v>88.27</v>
      </c>
      <c r="AP187" s="228">
        <f t="shared" si="286"/>
        <v>104.15859999999999</v>
      </c>
      <c r="AQ187" s="228"/>
      <c r="AR187" s="228">
        <f>43.16/2</f>
        <v>21.58</v>
      </c>
      <c r="AS187" s="239">
        <v>75.56</v>
      </c>
      <c r="AT187" s="228">
        <f>IF(B187="ОСНО",AS187*1.18,AS187)</f>
        <v>89.160799999999995</v>
      </c>
      <c r="AU187" s="228">
        <f>AR187</f>
        <v>21.58</v>
      </c>
      <c r="AV187" s="228">
        <v>80.099999999999994</v>
      </c>
      <c r="AW187" s="228">
        <f>IF(B187="ОСНО",AV187*1.18,AV187)</f>
        <v>94.517999999999986</v>
      </c>
      <c r="AX187" s="229">
        <f t="shared" ref="AX187" si="302">(AS187*AR187)/(AO187*AN187)</f>
        <v>92.363475699558165</v>
      </c>
      <c r="AY187" s="229">
        <f t="shared" si="290"/>
        <v>1.060084700899947</v>
      </c>
      <c r="AZ187" s="229"/>
      <c r="BA187" s="230">
        <f t="shared" si="236"/>
        <v>436.77920000000017</v>
      </c>
    </row>
    <row r="188" spans="1:53" s="231" customFormat="1" ht="22.5" hidden="1" customHeight="1">
      <c r="A188" s="236" t="s">
        <v>449</v>
      </c>
      <c r="B188" s="278" t="s">
        <v>397</v>
      </c>
      <c r="C188" s="228"/>
      <c r="D188" s="228"/>
      <c r="E188" s="228"/>
      <c r="F188" s="228">
        <f>0.41/2</f>
        <v>0.20499999999999999</v>
      </c>
      <c r="G188" s="228">
        <v>70.37</v>
      </c>
      <c r="H188" s="228">
        <f t="shared" si="258"/>
        <v>83.036600000000007</v>
      </c>
      <c r="I188" s="228">
        <f>F188</f>
        <v>0.20499999999999999</v>
      </c>
      <c r="J188" s="228">
        <v>80.349999999999994</v>
      </c>
      <c r="K188" s="228">
        <f t="shared" si="259"/>
        <v>94.812999999999988</v>
      </c>
      <c r="L188" s="229"/>
      <c r="M188" s="229">
        <f t="shared" si="288"/>
        <v>1.1418217990621002</v>
      </c>
      <c r="N188" s="229"/>
      <c r="O188" s="228"/>
      <c r="P188" s="228"/>
      <c r="Q188" s="228"/>
      <c r="R188" s="228"/>
      <c r="S188" s="228">
        <f>0.39/2</f>
        <v>0.19500000000000001</v>
      </c>
      <c r="T188" s="252">
        <v>64.39</v>
      </c>
      <c r="U188" s="228">
        <f t="shared" si="282"/>
        <v>75.980199999999996</v>
      </c>
      <c r="V188" s="228">
        <f>S188</f>
        <v>0.19500000000000001</v>
      </c>
      <c r="W188" s="228">
        <v>68.25</v>
      </c>
      <c r="X188" s="228">
        <f t="shared" si="293"/>
        <v>80.534999999999997</v>
      </c>
      <c r="Y188" s="229"/>
      <c r="Z188" s="229">
        <f t="shared" si="295"/>
        <v>1.0599471967696847</v>
      </c>
      <c r="AA188" s="228"/>
      <c r="AB188" s="228"/>
      <c r="AC188" s="228"/>
      <c r="AD188" s="228"/>
      <c r="AE188" s="230">
        <f>(G188-T188)*S188+(J188-W188)*V188</f>
        <v>3.5255999999999998</v>
      </c>
      <c r="AF188" s="228"/>
      <c r="AG188" s="228"/>
      <c r="AH188" s="228"/>
      <c r="AI188" s="228"/>
      <c r="AJ188" s="228"/>
      <c r="AK188" s="228"/>
      <c r="AL188" s="229"/>
      <c r="AM188" s="229"/>
      <c r="AN188" s="228"/>
      <c r="AO188" s="228"/>
      <c r="AP188" s="228"/>
      <c r="AQ188" s="228"/>
      <c r="AR188" s="228"/>
      <c r="AS188" s="239"/>
      <c r="AT188" s="228"/>
      <c r="AU188" s="228"/>
      <c r="AV188" s="228"/>
      <c r="AW188" s="228"/>
      <c r="AX188" s="229"/>
      <c r="AY188" s="229"/>
      <c r="AZ188" s="229"/>
      <c r="BA188" s="230"/>
    </row>
    <row r="189" spans="1:53" s="231" customFormat="1" ht="31.5" hidden="1">
      <c r="A189" s="253" t="s">
        <v>139</v>
      </c>
      <c r="B189" s="253" t="s">
        <v>398</v>
      </c>
      <c r="C189" s="228">
        <f>165.666/2</f>
        <v>82.832999999999998</v>
      </c>
      <c r="D189" s="228">
        <v>39.01</v>
      </c>
      <c r="E189" s="228">
        <f t="shared" si="273"/>
        <v>39.01</v>
      </c>
      <c r="F189" s="228">
        <f>165.67/2</f>
        <v>82.834999999999994</v>
      </c>
      <c r="G189" s="228">
        <v>43.59</v>
      </c>
      <c r="H189" s="228">
        <f t="shared" si="258"/>
        <v>43.59</v>
      </c>
      <c r="I189" s="228">
        <f t="shared" ref="I189:I190" si="303">C189</f>
        <v>82.832999999999998</v>
      </c>
      <c r="J189" s="228">
        <v>46.89</v>
      </c>
      <c r="K189" s="228">
        <f t="shared" si="259"/>
        <v>46.89</v>
      </c>
      <c r="L189" s="229">
        <f t="shared" si="299"/>
        <v>1.1174327731116234</v>
      </c>
      <c r="M189" s="229">
        <f t="shared" si="288"/>
        <v>1.0756794647823302</v>
      </c>
      <c r="N189" s="229" t="s">
        <v>324</v>
      </c>
      <c r="O189" s="228">
        <f t="shared" si="300"/>
        <v>35</v>
      </c>
      <c r="P189" s="228">
        <v>28.39</v>
      </c>
      <c r="Q189" s="228">
        <f>IF(B189="ОСНО",P189*1.18,P189)</f>
        <v>28.39</v>
      </c>
      <c r="R189" s="228"/>
      <c r="S189" s="228">
        <f>123.51/2</f>
        <v>61.755000000000003</v>
      </c>
      <c r="T189" s="252">
        <v>35</v>
      </c>
      <c r="U189" s="228">
        <f t="shared" si="282"/>
        <v>35</v>
      </c>
      <c r="V189" s="228">
        <f t="shared" si="292"/>
        <v>61.755000000000003</v>
      </c>
      <c r="W189" s="228">
        <f>T189*1.04</f>
        <v>36.4</v>
      </c>
      <c r="X189" s="228">
        <f t="shared" si="293"/>
        <v>36.4</v>
      </c>
      <c r="Y189" s="229">
        <f t="shared" si="294"/>
        <v>2.1752377597745687</v>
      </c>
      <c r="Z189" s="229">
        <f t="shared" si="295"/>
        <v>1.04</v>
      </c>
      <c r="AA189" s="228">
        <f>144.314/2</f>
        <v>72.156999999999996</v>
      </c>
      <c r="AB189" s="228">
        <v>41.35</v>
      </c>
      <c r="AC189" s="228">
        <f>IF(B189="ОСНО",AB189*1.18,AB189)</f>
        <v>41.35</v>
      </c>
      <c r="AD189" s="228"/>
      <c r="AE189" s="230">
        <f>(G189-T189)*S189+(J189-W189)*V189</f>
        <v>1178.2854000000004</v>
      </c>
      <c r="AF189" s="228">
        <f>AA189</f>
        <v>72.156999999999996</v>
      </c>
      <c r="AG189" s="228">
        <v>46.62</v>
      </c>
      <c r="AH189" s="228">
        <f>IF(B189="ОСНО",AG189*1.18,AG189)</f>
        <v>46.62</v>
      </c>
      <c r="AI189" s="228">
        <f t="shared" ref="AI189:AI190" si="304">AF189</f>
        <v>72.156999999999996</v>
      </c>
      <c r="AJ189" s="228">
        <v>48.26</v>
      </c>
      <c r="AK189" s="228">
        <f>IF(B189="ОСНО",AJ189*1.18,AJ189)</f>
        <v>48.26</v>
      </c>
      <c r="AL189" s="229">
        <f>(AG189*AF189)/(AB189*AA189)</f>
        <v>1.1274486094316807</v>
      </c>
      <c r="AM189" s="229">
        <f t="shared" si="287"/>
        <v>1.0351780351780353</v>
      </c>
      <c r="AN189" s="228">
        <v>51.87</v>
      </c>
      <c r="AO189" s="228">
        <v>41.35</v>
      </c>
      <c r="AP189" s="228">
        <f>IF(B189="ОСНО",AO189*1.18,AO189)</f>
        <v>41.35</v>
      </c>
      <c r="AQ189" s="228"/>
      <c r="AR189" s="228">
        <f>AN189</f>
        <v>51.87</v>
      </c>
      <c r="AS189" s="228">
        <f>AG189</f>
        <v>46.62</v>
      </c>
      <c r="AT189" s="228">
        <f>IF(B189="ОСНО",AS189*1.18,AS189)</f>
        <v>46.62</v>
      </c>
      <c r="AU189" s="228">
        <f t="shared" ref="AU189:AU190" si="305">AR189</f>
        <v>51.87</v>
      </c>
      <c r="AV189" s="228">
        <f>AJ189</f>
        <v>48.26</v>
      </c>
      <c r="AW189" s="228">
        <f>IF(B189="ОСНО",AV189*1.18,AV189)</f>
        <v>48.26</v>
      </c>
      <c r="AX189" s="229">
        <f>(AS189*AR189)/(AO189*AN189)</f>
        <v>1.1274486094316805</v>
      </c>
      <c r="AY189" s="229">
        <f t="shared" si="290"/>
        <v>1.0351780351780353</v>
      </c>
      <c r="AZ189" s="229"/>
      <c r="BA189" s="230">
        <f t="shared" si="236"/>
        <v>0</v>
      </c>
    </row>
    <row r="190" spans="1:53" s="231" customFormat="1" ht="31.5" hidden="1">
      <c r="A190" s="253" t="s">
        <v>424</v>
      </c>
      <c r="B190" s="253" t="s">
        <v>398</v>
      </c>
      <c r="C190" s="228">
        <v>15.3795</v>
      </c>
      <c r="D190" s="228">
        <v>153.36000000000001</v>
      </c>
      <c r="E190" s="228">
        <f t="shared" si="273"/>
        <v>153.36000000000001</v>
      </c>
      <c r="F190" s="228">
        <f t="shared" si="298"/>
        <v>15.3795</v>
      </c>
      <c r="G190" s="228">
        <v>170.58</v>
      </c>
      <c r="H190" s="228">
        <f t="shared" si="258"/>
        <v>170.58</v>
      </c>
      <c r="I190" s="228">
        <f t="shared" si="303"/>
        <v>15.3795</v>
      </c>
      <c r="J190" s="228">
        <v>193.42</v>
      </c>
      <c r="K190" s="228">
        <f t="shared" si="259"/>
        <v>193.42</v>
      </c>
      <c r="L190" s="229">
        <f t="shared" si="299"/>
        <v>1.1122848200312989</v>
      </c>
      <c r="M190" s="229">
        <f t="shared" si="288"/>
        <v>1.1338961191229919</v>
      </c>
      <c r="N190" s="229" t="s">
        <v>324</v>
      </c>
      <c r="O190" s="228">
        <f t="shared" si="300"/>
        <v>31.62</v>
      </c>
      <c r="P190" s="228">
        <v>29.53</v>
      </c>
      <c r="Q190" s="228">
        <f>IF(B190="ОСНО",P190*1.18,P190)</f>
        <v>29.53</v>
      </c>
      <c r="R190" s="228"/>
      <c r="S190" s="228">
        <f t="shared" ref="S190" si="306">O190</f>
        <v>31.62</v>
      </c>
      <c r="T190" s="252">
        <v>31.62</v>
      </c>
      <c r="U190" s="228">
        <f t="shared" si="282"/>
        <v>31.62</v>
      </c>
      <c r="V190" s="228">
        <f t="shared" si="292"/>
        <v>31.62</v>
      </c>
      <c r="W190" s="228">
        <f>T190*1.04</f>
        <v>32.884800000000006</v>
      </c>
      <c r="X190" s="228">
        <f t="shared" si="293"/>
        <v>32.884800000000006</v>
      </c>
      <c r="Y190" s="229">
        <f t="shared" si="294"/>
        <v>1.0707754825601083</v>
      </c>
      <c r="Z190" s="229">
        <f t="shared" si="295"/>
        <v>1.04</v>
      </c>
      <c r="AA190" s="228">
        <f>19.16/2</f>
        <v>9.58</v>
      </c>
      <c r="AB190" s="228">
        <v>171.86</v>
      </c>
      <c r="AC190" s="228">
        <f>IF(B190="ОСНО",AB190*1.18,AB190)</f>
        <v>171.86</v>
      </c>
      <c r="AD190" s="228"/>
      <c r="AE190" s="230">
        <f>(J190-W190)*V190+(G190-T190)*O190</f>
        <v>9470.0382239999999</v>
      </c>
      <c r="AF190" s="228">
        <f>30.76/2</f>
        <v>15.38</v>
      </c>
      <c r="AG190" s="228">
        <v>170.58</v>
      </c>
      <c r="AH190" s="228">
        <f>IF(B190="ОСНО",AG190*1.18,AG190)</f>
        <v>170.58</v>
      </c>
      <c r="AI190" s="228">
        <f t="shared" si="304"/>
        <v>15.38</v>
      </c>
      <c r="AJ190" s="228">
        <v>193.42</v>
      </c>
      <c r="AK190" s="228">
        <f>IF(B190="ОСНО",AJ190*1.18,AJ190)</f>
        <v>193.42</v>
      </c>
      <c r="AL190" s="229">
        <f>(AG190*AF190)/(AB190*AA190)</f>
        <v>1.5934708714453456</v>
      </c>
      <c r="AM190" s="229">
        <f t="shared" si="287"/>
        <v>1.1338961191229919</v>
      </c>
      <c r="AN190" s="228">
        <v>8.48</v>
      </c>
      <c r="AO190" s="228">
        <v>35.57</v>
      </c>
      <c r="AP190" s="228">
        <f>IF(B190="ОСНО",AO190*1.18,AO190)</f>
        <v>35.57</v>
      </c>
      <c r="AQ190" s="228"/>
      <c r="AR190" s="228">
        <f>27.53/2</f>
        <v>13.765000000000001</v>
      </c>
      <c r="AS190" s="239">
        <v>37.31</v>
      </c>
      <c r="AT190" s="228">
        <f>IF(B190="ОСНО",AS190*1.18,AS190)</f>
        <v>37.31</v>
      </c>
      <c r="AU190" s="228">
        <f t="shared" si="305"/>
        <v>13.765000000000001</v>
      </c>
      <c r="AV190" s="228">
        <v>38.799999999999997</v>
      </c>
      <c r="AW190" s="228">
        <f>IF(B190="ОСНО",AV190*1.18,AV190)</f>
        <v>38.799999999999997</v>
      </c>
      <c r="AX190" s="229">
        <f>(AS190*AR190)/(AO190*AN190)</f>
        <v>1.7026357474764087</v>
      </c>
      <c r="AY190" s="229">
        <f t="shared" si="290"/>
        <v>1.0399356740820154</v>
      </c>
      <c r="AZ190" s="229"/>
      <c r="BA190" s="230">
        <f t="shared" si="236"/>
        <v>3962.8058500000006</v>
      </c>
    </row>
    <row r="191" spans="1:53" s="216" customFormat="1" ht="15.75">
      <c r="A191" s="43" t="s">
        <v>143</v>
      </c>
      <c r="B191" s="43"/>
      <c r="C191" s="42">
        <f>SUM(C192:C197)</f>
        <v>606.43150000000014</v>
      </c>
      <c r="D191" s="42">
        <f>SUMPRODUCT(C192:C197,D192:D197)/C191</f>
        <v>45.728940407943831</v>
      </c>
      <c r="E191" s="42">
        <f>SUMPRODUCT(C192:C197,E192:E197)/C191</f>
        <v>47.330233965418998</v>
      </c>
      <c r="F191" s="42">
        <f>SUM(F192:F197)</f>
        <v>458.71399999999994</v>
      </c>
      <c r="G191" s="42">
        <f>SUMPRODUCT(F192:F197,G192:G197)/F191</f>
        <v>61.905595174771229</v>
      </c>
      <c r="H191" s="42">
        <f>SUMPRODUCT(F192:F197,H192:H197)/F191</f>
        <v>63.792422939347844</v>
      </c>
      <c r="I191" s="42">
        <f>SUM(I192:I197)</f>
        <v>458.71399999999994</v>
      </c>
      <c r="J191" s="42">
        <f>SUMPRODUCT(I192:I197,J192:J197)/I191</f>
        <v>68.01051570259466</v>
      </c>
      <c r="K191" s="42">
        <f>SUMPRODUCT(I192:I197,K192:K197)/I191</f>
        <v>70.002842326373312</v>
      </c>
      <c r="L191" s="84">
        <f>G191/D191</f>
        <v>1.353750920588076</v>
      </c>
      <c r="M191" s="84">
        <f>J191/G191</f>
        <v>1.0986166195573774</v>
      </c>
      <c r="N191" s="84"/>
      <c r="O191" s="42">
        <f>SUM(O192:O197)</f>
        <v>179.38399999999999</v>
      </c>
      <c r="P191" s="42">
        <f>SUMPRODUCT(O192:O197,P192:P197)/O191</f>
        <v>27.601607445480091</v>
      </c>
      <c r="Q191" s="42">
        <f>SUMPRODUCT(O192:O197,Q192:Q197)/O191</f>
        <v>27.858442140882133</v>
      </c>
      <c r="R191" s="84">
        <f>K191/H191</f>
        <v>1.0973535586339176</v>
      </c>
      <c r="S191" s="42">
        <f>SUM(S192:S197)</f>
        <v>194.43</v>
      </c>
      <c r="T191" s="42">
        <f>SUMPRODUCT(S192:S197,T192:T197)/S191</f>
        <v>41.406729671347009</v>
      </c>
      <c r="U191" s="42">
        <f>SUMPRODUCT(S192:S197,U192:U197)/S191</f>
        <v>41.736812991822248</v>
      </c>
      <c r="V191" s="42">
        <f>SUM(V192:V197)</f>
        <v>194.43</v>
      </c>
      <c r="W191" s="42">
        <f>SUMPRODUCT(V192:V197,W192:W197)/V191</f>
        <v>43.855791431363471</v>
      </c>
      <c r="X191" s="42">
        <f>SUMPRODUCT(V192:V197,X192:X197)/V191</f>
        <v>44.204330815717739</v>
      </c>
      <c r="Y191" s="84">
        <f>T191/P191</f>
        <v>1.5001564583923384</v>
      </c>
      <c r="Z191" s="84">
        <f>W191/T191</f>
        <v>1.0591464667568564</v>
      </c>
      <c r="AA191" s="42">
        <f>SUM(AA192:AA197)</f>
        <v>382.72899999999998</v>
      </c>
      <c r="AB191" s="42">
        <f>SUMPRODUCT(AA192:AA197,AB192:AB197)/AA191</f>
        <v>33.86</v>
      </c>
      <c r="AC191" s="42">
        <f>SUMPRODUCT(AA192:AA197,AC192:AC197)/AA191</f>
        <v>33.86</v>
      </c>
      <c r="AD191" s="84">
        <f>X191/U191</f>
        <v>1.0591208970454684</v>
      </c>
      <c r="AE191" s="222">
        <f>SUM(AE192:AE197)</f>
        <v>11708.097896999998</v>
      </c>
      <c r="AF191" s="42">
        <f>SUM(AF192:AF197)</f>
        <v>382.72899999999998</v>
      </c>
      <c r="AG191" s="42">
        <f>SUMPRODUCT(AF192:AF197,AG192:AG197)/AF191</f>
        <v>42.51</v>
      </c>
      <c r="AH191" s="42">
        <f>SUMPRODUCT(AF192:AF197,AH192:AH197)/AF191</f>
        <v>42.51</v>
      </c>
      <c r="AI191" s="42">
        <f>SUM(AI192:AI197)</f>
        <v>382.72899999999998</v>
      </c>
      <c r="AJ191" s="42">
        <f>SUMPRODUCT(AI192:AI197,AJ192:AJ197)/AI191</f>
        <v>47.52</v>
      </c>
      <c r="AK191" s="42">
        <f>SUMPRODUCT(AI192:AI197,AK192:AK197)/AI191</f>
        <v>47.52</v>
      </c>
      <c r="AL191" s="84">
        <f>AG191/AB191</f>
        <v>1.2554636739515652</v>
      </c>
      <c r="AM191" s="84">
        <f>AJ191/AG191</f>
        <v>1.1178546224417785</v>
      </c>
      <c r="AN191" s="42">
        <f>SUM(AN192:AN197)</f>
        <v>6.43</v>
      </c>
      <c r="AO191" s="42">
        <f>SUMPRODUCT(AN192:AN197,AO192:AO197)/AN191</f>
        <v>29.59</v>
      </c>
      <c r="AP191" s="42">
        <f>SUMPRODUCT(AN192:AN197,AP192:AP197)/AN191</f>
        <v>29.59</v>
      </c>
      <c r="AQ191" s="84">
        <f>AK191/AH191</f>
        <v>1.1178546224417785</v>
      </c>
      <c r="AR191" s="42">
        <f>SUM(AR192:AR197)</f>
        <v>225.18700000000001</v>
      </c>
      <c r="AS191" s="42">
        <f>SUMPRODUCT(AR192:AR197,AS192:AS197)/AR191</f>
        <v>37.39</v>
      </c>
      <c r="AT191" s="42">
        <f>SUMPRODUCT(AR192:AR197,AT192:AT197)/AR191</f>
        <v>37.39</v>
      </c>
      <c r="AU191" s="42">
        <f>SUM(AU192:AU197)</f>
        <v>225.18700000000001</v>
      </c>
      <c r="AV191" s="42">
        <f>SUMPRODUCT(AU192:AU197,AV192:AV197)/AU191</f>
        <v>39.633400000000002</v>
      </c>
      <c r="AW191" s="42">
        <f>SUMPRODUCT(AU192:AU197,AW192:AW197)/AU191</f>
        <v>39.633400000000002</v>
      </c>
      <c r="AX191" s="84">
        <f>AS191/AO191</f>
        <v>1.2636025684352823</v>
      </c>
      <c r="AY191" s="84">
        <f>AV191/AS191</f>
        <v>1.06</v>
      </c>
      <c r="AZ191" s="84">
        <f>AW191/AT191</f>
        <v>1.06</v>
      </c>
      <c r="BA191" s="225">
        <f>SUM(BA192:BA197)</f>
        <v>2928.9172342000002</v>
      </c>
    </row>
    <row r="192" spans="1:53" s="231" customFormat="1" ht="15.75" hidden="1">
      <c r="A192" s="236" t="s">
        <v>437</v>
      </c>
      <c r="B192" s="236" t="s">
        <v>398</v>
      </c>
      <c r="C192" s="228">
        <f>430.581/2</f>
        <v>215.29050000000001</v>
      </c>
      <c r="D192" s="228">
        <v>55.17</v>
      </c>
      <c r="E192" s="228">
        <f t="shared" si="273"/>
        <v>55.17</v>
      </c>
      <c r="F192" s="228">
        <f>594.259/2</f>
        <v>297.12950000000001</v>
      </c>
      <c r="G192" s="228">
        <v>67.11</v>
      </c>
      <c r="H192" s="228">
        <f t="shared" si="258"/>
        <v>67.11</v>
      </c>
      <c r="I192" s="228">
        <f>F192</f>
        <v>297.12950000000001</v>
      </c>
      <c r="J192" s="228">
        <v>74.63</v>
      </c>
      <c r="K192" s="228">
        <f t="shared" si="259"/>
        <v>74.63</v>
      </c>
      <c r="L192" s="229">
        <f>(G192*F192)/(D192*C192)</f>
        <v>1.6788239670485618</v>
      </c>
      <c r="M192" s="229">
        <f>(K192*I192)/(H192*F192)</f>
        <v>1.112054835344956</v>
      </c>
      <c r="N192" s="229" t="s">
        <v>326</v>
      </c>
      <c r="O192" s="228">
        <v>164.86</v>
      </c>
      <c r="P192" s="228">
        <v>27.42</v>
      </c>
      <c r="Q192" s="228">
        <f>IF(B192="ОСНО",P192*1.18,P192)</f>
        <v>27.42</v>
      </c>
      <c r="R192" s="228"/>
      <c r="S192" s="228">
        <f>354.765/2</f>
        <v>177.38249999999999</v>
      </c>
      <c r="T192" s="228">
        <v>41.34</v>
      </c>
      <c r="U192" s="228">
        <f>IF(B192="ОСНО",T192*1.18,T192)</f>
        <v>41.34</v>
      </c>
      <c r="V192" s="228">
        <f>S192</f>
        <v>177.38249999999999</v>
      </c>
      <c r="W192" s="228">
        <f>T192*1.06</f>
        <v>43.820400000000006</v>
      </c>
      <c r="X192" s="228">
        <f>IF(B192="ОСНО",W192*1.18,W192)</f>
        <v>43.820400000000006</v>
      </c>
      <c r="Y192" s="229">
        <f t="shared" ref="Y192:Y197" si="307">(T192*S192)/(P192*O192)</f>
        <v>1.6221779649386214</v>
      </c>
      <c r="Z192" s="229">
        <f t="shared" ref="Z192:Z197" si="308">(X192*V192)/(U192*S192)</f>
        <v>1.06</v>
      </c>
      <c r="AA192" s="228">
        <f>765.458/2</f>
        <v>382.72899999999998</v>
      </c>
      <c r="AB192" s="228">
        <v>33.86</v>
      </c>
      <c r="AC192" s="228">
        <f>IF(B192="ОСНО",AB192*1.18,AB192)</f>
        <v>33.86</v>
      </c>
      <c r="AD192" s="228"/>
      <c r="AE192" s="230">
        <f>(G192-T192)*S192+(J192-W192)*V192</f>
        <v>10036.230896999998</v>
      </c>
      <c r="AF192" s="228"/>
      <c r="AG192" s="228"/>
      <c r="AH192" s="228"/>
      <c r="AI192" s="228"/>
      <c r="AJ192" s="228"/>
      <c r="AK192" s="228"/>
      <c r="AL192" s="229"/>
      <c r="AM192" s="229"/>
      <c r="AN192" s="240"/>
      <c r="AO192" s="239"/>
      <c r="AP192" s="228"/>
      <c r="AQ192" s="228"/>
      <c r="AR192" s="239"/>
      <c r="AS192" s="259"/>
      <c r="AT192" s="228"/>
      <c r="AU192" s="228"/>
      <c r="AV192" s="228"/>
      <c r="AW192" s="228"/>
      <c r="AX192" s="229"/>
      <c r="AY192" s="229"/>
      <c r="AZ192" s="229"/>
      <c r="BA192" s="230"/>
    </row>
    <row r="193" spans="1:53" s="231" customFormat="1" ht="15.75" hidden="1">
      <c r="A193" s="236" t="s">
        <v>436</v>
      </c>
      <c r="B193" s="236" t="s">
        <v>398</v>
      </c>
      <c r="C193" s="228">
        <f>410.776/2</f>
        <v>205.38800000000001</v>
      </c>
      <c r="D193" s="228">
        <v>34.270000000000003</v>
      </c>
      <c r="E193" s="228">
        <f t="shared" si="273"/>
        <v>34.270000000000003</v>
      </c>
      <c r="F193" s="228"/>
      <c r="G193" s="228"/>
      <c r="H193" s="228"/>
      <c r="I193" s="228"/>
      <c r="J193" s="228"/>
      <c r="K193" s="228"/>
      <c r="L193" s="229"/>
      <c r="M193" s="229"/>
      <c r="N193" s="229"/>
      <c r="O193" s="228"/>
      <c r="P193" s="228"/>
      <c r="Q193" s="228"/>
      <c r="R193" s="228"/>
      <c r="S193" s="228"/>
      <c r="T193" s="228"/>
      <c r="U193" s="228"/>
      <c r="V193" s="228"/>
      <c r="W193" s="228"/>
      <c r="X193" s="228"/>
      <c r="Y193" s="229"/>
      <c r="Z193" s="229"/>
      <c r="AA193" s="228"/>
      <c r="AB193" s="228"/>
      <c r="AC193" s="228"/>
      <c r="AD193" s="228"/>
      <c r="AE193" s="230"/>
      <c r="AF193" s="228">
        <f>765.458/2</f>
        <v>382.72899999999998</v>
      </c>
      <c r="AG193" s="228">
        <v>42.51</v>
      </c>
      <c r="AH193" s="228">
        <f>IF(B193="ОСНО",AG193*1.18,AG193)</f>
        <v>42.51</v>
      </c>
      <c r="AI193" s="228">
        <f>765.458/2</f>
        <v>382.72899999999998</v>
      </c>
      <c r="AJ193" s="228">
        <v>47.52</v>
      </c>
      <c r="AK193" s="228">
        <f>IF(B193="ОСНО",AJ193*1.18,AJ193)</f>
        <v>47.52</v>
      </c>
      <c r="AL193" s="229" t="e">
        <f t="shared" ref="AL193" si="309">(AG193*AF193)/(AB193*AA193)</f>
        <v>#DIV/0!</v>
      </c>
      <c r="AM193" s="229">
        <f t="shared" ref="AM193" si="310">(AK193*AI193)/(AH193*AF193)</f>
        <v>1.1178546224417785</v>
      </c>
      <c r="AN193" s="228">
        <v>6.43</v>
      </c>
      <c r="AO193" s="239">
        <v>29.59</v>
      </c>
      <c r="AP193" s="228">
        <f>IF(B193="ОСНО",AO193*1.18,AO193)</f>
        <v>29.59</v>
      </c>
      <c r="AQ193" s="228"/>
      <c r="AR193" s="228">
        <f>450.374/2</f>
        <v>225.18700000000001</v>
      </c>
      <c r="AS193" s="239">
        <v>37.39</v>
      </c>
      <c r="AT193" s="228">
        <f>IF(B193="ОСНО",AS193*1.18,AS193)</f>
        <v>37.39</v>
      </c>
      <c r="AU193" s="228">
        <f>450.374/2</f>
        <v>225.18700000000001</v>
      </c>
      <c r="AV193" s="228">
        <f>AS193*1.06</f>
        <v>39.633400000000002</v>
      </c>
      <c r="AW193" s="228">
        <f>IF(B193="ОСНО",AV193*1.18,AV193)</f>
        <v>39.633400000000002</v>
      </c>
      <c r="AX193" s="229">
        <f>(AS193*AR193)/(AO193*AN193)</f>
        <v>44.253012687128447</v>
      </c>
      <c r="AY193" s="229">
        <f t="shared" ref="AY193" si="311">(AW193*AU193)/(AT193*AR193)</f>
        <v>1.0600000000000003</v>
      </c>
      <c r="AZ193" s="229"/>
      <c r="BA193" s="230">
        <f t="shared" si="236"/>
        <v>2928.9172342000002</v>
      </c>
    </row>
    <row r="194" spans="1:53" ht="15.75" hidden="1">
      <c r="A194" s="236" t="s">
        <v>15</v>
      </c>
      <c r="B194" s="236" t="s">
        <v>397</v>
      </c>
      <c r="C194" s="181">
        <f>329.86/2</f>
        <v>164.93</v>
      </c>
      <c r="D194" s="181">
        <v>32.71</v>
      </c>
      <c r="E194" s="181">
        <f t="shared" si="273"/>
        <v>38.597799999999999</v>
      </c>
      <c r="F194" s="228">
        <f>I194</f>
        <v>140.76150000000001</v>
      </c>
      <c r="G194" s="228">
        <v>34.159999999999997</v>
      </c>
      <c r="H194" s="228">
        <f t="shared" si="258"/>
        <v>40.308799999999991</v>
      </c>
      <c r="I194" s="228">
        <f>281.523/2</f>
        <v>140.76150000000001</v>
      </c>
      <c r="J194" s="228">
        <v>36.07</v>
      </c>
      <c r="K194" s="228">
        <f t="shared" si="259"/>
        <v>42.562599999999996</v>
      </c>
      <c r="L194" s="229">
        <f>(G194*F194)/(D194*C194)</f>
        <v>0.89129515364837153</v>
      </c>
      <c r="M194" s="229">
        <f>(K194*I194)/(H194*F194)</f>
        <v>1.0559133489461359</v>
      </c>
      <c r="N194" s="182"/>
      <c r="O194" s="181">
        <f>15.65/2</f>
        <v>7.8250000000000002</v>
      </c>
      <c r="P194" s="181">
        <v>32.71</v>
      </c>
      <c r="Q194" s="181">
        <f>IF(B194="ОСНО",P194*1.18,P194)</f>
        <v>38.597799999999999</v>
      </c>
      <c r="R194" s="181"/>
      <c r="S194" s="228">
        <f>V194</f>
        <v>10.4375</v>
      </c>
      <c r="T194" s="228">
        <v>34.159999999999997</v>
      </c>
      <c r="U194" s="228">
        <f>IF(B194="ОСНО",T194*1.18,T194)</f>
        <v>40.308799999999991</v>
      </c>
      <c r="V194" s="228">
        <f>20.875/2</f>
        <v>10.4375</v>
      </c>
      <c r="W194" s="228">
        <v>36.07</v>
      </c>
      <c r="X194" s="228">
        <f>IF(B194="ОСНО",W194*1.18,W194)</f>
        <v>42.562599999999996</v>
      </c>
      <c r="Y194" s="229">
        <f t="shared" si="307"/>
        <v>1.3929946875582984</v>
      </c>
      <c r="Z194" s="229">
        <f t="shared" si="308"/>
        <v>1.0559133489461359</v>
      </c>
      <c r="AA194" s="228"/>
      <c r="AB194" s="228"/>
      <c r="AC194" s="228">
        <f>IF(B194="ОСНО",AB194*1.18,AB194)</f>
        <v>0</v>
      </c>
      <c r="AD194" s="228"/>
      <c r="AE194" s="230">
        <f>(J194-W194)*V194+(G194-T194)*O194</f>
        <v>0</v>
      </c>
      <c r="AF194" s="228"/>
      <c r="AG194" s="228"/>
      <c r="AH194" s="228">
        <f>IF(B194="ОСНО",AG194*1.18,AG194)</f>
        <v>0</v>
      </c>
      <c r="AI194" s="228"/>
      <c r="AJ194" s="228"/>
      <c r="AK194" s="228">
        <f>IF(B194="ОСНО",AJ194*1.18,AJ194)</f>
        <v>0</v>
      </c>
      <c r="AL194" s="229"/>
      <c r="AM194" s="229"/>
      <c r="AN194" s="228"/>
      <c r="AO194" s="239"/>
      <c r="AP194" s="228"/>
      <c r="AQ194" s="228"/>
      <c r="AR194" s="228"/>
      <c r="AS194" s="239"/>
      <c r="AT194" s="228"/>
      <c r="AU194" s="228"/>
      <c r="AV194" s="228"/>
      <c r="AW194" s="228"/>
      <c r="AX194" s="229"/>
      <c r="AY194" s="229"/>
      <c r="AZ194" s="229"/>
      <c r="BA194" s="230">
        <f t="shared" si="236"/>
        <v>0</v>
      </c>
    </row>
    <row r="195" spans="1:53" s="231" customFormat="1" ht="15.75" hidden="1">
      <c r="A195" s="236" t="s">
        <v>147</v>
      </c>
      <c r="B195" s="236" t="s">
        <v>398</v>
      </c>
      <c r="C195" s="228">
        <f>13.882/2</f>
        <v>6.9409999999999998</v>
      </c>
      <c r="D195" s="228">
        <v>164.26</v>
      </c>
      <c r="E195" s="228">
        <f t="shared" si="273"/>
        <v>164.26</v>
      </c>
      <c r="F195" s="228">
        <f>C195</f>
        <v>6.9409999999999998</v>
      </c>
      <c r="G195" s="228">
        <v>175.2</v>
      </c>
      <c r="H195" s="228">
        <f t="shared" si="258"/>
        <v>175.2</v>
      </c>
      <c r="I195" s="228">
        <f t="shared" ref="I195:I197" si="312">F195</f>
        <v>6.9409999999999998</v>
      </c>
      <c r="J195" s="228">
        <v>189.47</v>
      </c>
      <c r="K195" s="228">
        <f t="shared" si="259"/>
        <v>189.47</v>
      </c>
      <c r="L195" s="229">
        <f>(G195*F195)/(D195*C195)</f>
        <v>1.066601728966273</v>
      </c>
      <c r="M195" s="229">
        <f>(K195*I195)/(H195*F195)</f>
        <v>1.0814497716894977</v>
      </c>
      <c r="N195" s="229" t="s">
        <v>328</v>
      </c>
      <c r="O195" s="228">
        <f>1.553/2</f>
        <v>0.77649999999999997</v>
      </c>
      <c r="P195" s="228">
        <v>68.25</v>
      </c>
      <c r="Q195" s="228">
        <f>IF(B195="ОСНО",P195*1.18,P195)</f>
        <v>68.25</v>
      </c>
      <c r="R195" s="228"/>
      <c r="S195" s="228">
        <f>7.41/2</f>
        <v>3.7050000000000001</v>
      </c>
      <c r="T195" s="252">
        <v>73.099999999999994</v>
      </c>
      <c r="U195" s="228">
        <f>IF(B195="ОСНО",T195*1.18,T195)</f>
        <v>73.099999999999994</v>
      </c>
      <c r="V195" s="228">
        <f>S195</f>
        <v>3.7050000000000001</v>
      </c>
      <c r="W195" s="228">
        <f>T195*1.04</f>
        <v>76.024000000000001</v>
      </c>
      <c r="X195" s="228">
        <f>IF(B195="ОСНО",W195*1.18,W195)</f>
        <v>76.024000000000001</v>
      </c>
      <c r="Y195" s="229">
        <f t="shared" si="307"/>
        <v>5.1104774169809577</v>
      </c>
      <c r="Z195" s="229">
        <f t="shared" si="308"/>
        <v>1.0400000000000003</v>
      </c>
      <c r="AA195" s="228"/>
      <c r="AB195" s="228"/>
      <c r="AC195" s="228">
        <f>IF(B195="ОСНО",AB195*1.18,AB195)</f>
        <v>0</v>
      </c>
      <c r="AD195" s="228"/>
      <c r="AE195" s="230">
        <f>(G195-T195)*S195+(J195-W195)*V195</f>
        <v>798.59792999999991</v>
      </c>
      <c r="AF195" s="228"/>
      <c r="AG195" s="228"/>
      <c r="AH195" s="228">
        <f>IF(B195="ОСНО",AG195*1.18,AG195)</f>
        <v>0</v>
      </c>
      <c r="AI195" s="228"/>
      <c r="AJ195" s="228"/>
      <c r="AK195" s="228">
        <f>IF(B195="ОСНО",AJ195*1.18,AJ195)</f>
        <v>0</v>
      </c>
      <c r="AL195" s="229"/>
      <c r="AM195" s="229"/>
      <c r="AN195" s="239"/>
      <c r="AO195" s="239"/>
      <c r="AP195" s="228">
        <f>IF(B195="ОСНО",AO195*1.18,AO195)</f>
        <v>0</v>
      </c>
      <c r="AQ195" s="228"/>
      <c r="AR195" s="239"/>
      <c r="AS195" s="239"/>
      <c r="AT195" s="228">
        <f>IF(B195="ОСНО",AS195*1.18,AS195)</f>
        <v>0</v>
      </c>
      <c r="AU195" s="228">
        <f t="shared" ref="AU195:AU197" si="313">AR195</f>
        <v>0</v>
      </c>
      <c r="AV195" s="228"/>
      <c r="AW195" s="228">
        <f>IF(B195="ОСНО",AV195*1.18,AV195)</f>
        <v>0</v>
      </c>
      <c r="AX195" s="229"/>
      <c r="AY195" s="229"/>
      <c r="AZ195" s="229"/>
      <c r="BA195" s="230">
        <f t="shared" si="236"/>
        <v>0</v>
      </c>
    </row>
    <row r="196" spans="1:53" s="231" customFormat="1" ht="15.75" hidden="1">
      <c r="A196" s="236" t="s">
        <v>148</v>
      </c>
      <c r="B196" s="236" t="s">
        <v>398</v>
      </c>
      <c r="C196" s="228">
        <f t="shared" ref="C196:C197" si="314">13.882/2</f>
        <v>6.9409999999999998</v>
      </c>
      <c r="D196" s="228">
        <v>164.26</v>
      </c>
      <c r="E196" s="228">
        <f t="shared" si="273"/>
        <v>164.26</v>
      </c>
      <c r="F196" s="228">
        <f t="shared" ref="F196:F197" si="315">C196</f>
        <v>6.9409999999999998</v>
      </c>
      <c r="G196" s="228">
        <v>175.2</v>
      </c>
      <c r="H196" s="228">
        <f t="shared" si="258"/>
        <v>175.2</v>
      </c>
      <c r="I196" s="228">
        <f t="shared" si="312"/>
        <v>6.9409999999999998</v>
      </c>
      <c r="J196" s="228">
        <f>J195</f>
        <v>189.47</v>
      </c>
      <c r="K196" s="228">
        <f t="shared" si="259"/>
        <v>189.47</v>
      </c>
      <c r="L196" s="229">
        <f t="shared" ref="L196:L197" si="316">(G196*F196)/(D196*C196)</f>
        <v>1.066601728966273</v>
      </c>
      <c r="M196" s="229">
        <f>(K196*I196)/(H196*F196)</f>
        <v>1.0814497716894977</v>
      </c>
      <c r="N196" s="229" t="s">
        <v>328</v>
      </c>
      <c r="O196" s="228">
        <f>1.005/2</f>
        <v>0.50249999999999995</v>
      </c>
      <c r="P196" s="228">
        <v>57.23</v>
      </c>
      <c r="Q196" s="228">
        <f>IF(B196="ОСНО",P196*1.18,P196)</f>
        <v>57.23</v>
      </c>
      <c r="R196" s="228"/>
      <c r="S196" s="228">
        <f>1.72/2</f>
        <v>0.86</v>
      </c>
      <c r="T196" s="252">
        <v>61.29</v>
      </c>
      <c r="U196" s="228">
        <f>IF(B196="ОСНО",T196*1.18,T196)</f>
        <v>61.29</v>
      </c>
      <c r="V196" s="228">
        <f>S196</f>
        <v>0.86</v>
      </c>
      <c r="W196" s="228">
        <v>64.97</v>
      </c>
      <c r="X196" s="228">
        <f>IF(B196="ОСНО",W196*1.18,W196)</f>
        <v>64.97</v>
      </c>
      <c r="Y196" s="229">
        <f t="shared" si="307"/>
        <v>1.8328556414154982</v>
      </c>
      <c r="Z196" s="229">
        <f t="shared" si="308"/>
        <v>1.0600424212759014</v>
      </c>
      <c r="AA196" s="228"/>
      <c r="AB196" s="228"/>
      <c r="AC196" s="228">
        <f>IF(B196="ОСНО",AB196*1.18,AB196)</f>
        <v>0</v>
      </c>
      <c r="AD196" s="228"/>
      <c r="AE196" s="230">
        <f>(G196-T196)*S196+(J196-W196)*V196</f>
        <v>205.0326</v>
      </c>
      <c r="AF196" s="228"/>
      <c r="AG196" s="228"/>
      <c r="AH196" s="228">
        <f>IF(B196="ОСНО",AG196*1.18,AG196)</f>
        <v>0</v>
      </c>
      <c r="AI196" s="228"/>
      <c r="AJ196" s="228"/>
      <c r="AK196" s="228">
        <f>IF(B196="ОСНО",AJ196*1.18,AJ196)</f>
        <v>0</v>
      </c>
      <c r="AL196" s="229"/>
      <c r="AM196" s="229"/>
      <c r="AN196" s="239"/>
      <c r="AO196" s="239"/>
      <c r="AP196" s="228">
        <f>IF(B196="ОСНО",AO196*1.18,AO196)</f>
        <v>0</v>
      </c>
      <c r="AQ196" s="228"/>
      <c r="AR196" s="239"/>
      <c r="AS196" s="239"/>
      <c r="AT196" s="228">
        <f>IF(B196="ОСНО",AS196*1.18,AS196)</f>
        <v>0</v>
      </c>
      <c r="AU196" s="228">
        <f t="shared" si="313"/>
        <v>0</v>
      </c>
      <c r="AV196" s="228"/>
      <c r="AW196" s="228">
        <f>IF(B196="ОСНО",AV196*1.18,AV196)</f>
        <v>0</v>
      </c>
      <c r="AX196" s="229"/>
      <c r="AY196" s="229"/>
      <c r="AZ196" s="229"/>
      <c r="BA196" s="230">
        <f t="shared" si="236"/>
        <v>0</v>
      </c>
    </row>
    <row r="197" spans="1:53" s="231" customFormat="1" ht="15.75" hidden="1">
      <c r="A197" s="236" t="s">
        <v>149</v>
      </c>
      <c r="B197" s="236" t="s">
        <v>398</v>
      </c>
      <c r="C197" s="228">
        <f t="shared" si="314"/>
        <v>6.9409999999999998</v>
      </c>
      <c r="D197" s="228">
        <v>164.26</v>
      </c>
      <c r="E197" s="228">
        <f t="shared" si="273"/>
        <v>164.26</v>
      </c>
      <c r="F197" s="228">
        <f t="shared" si="315"/>
        <v>6.9409999999999998</v>
      </c>
      <c r="G197" s="228">
        <v>175.2</v>
      </c>
      <c r="H197" s="228">
        <f t="shared" si="258"/>
        <v>175.2</v>
      </c>
      <c r="I197" s="228">
        <f t="shared" si="312"/>
        <v>6.9409999999999998</v>
      </c>
      <c r="J197" s="228">
        <f>J196</f>
        <v>189.47</v>
      </c>
      <c r="K197" s="228">
        <f t="shared" si="259"/>
        <v>189.47</v>
      </c>
      <c r="L197" s="229">
        <f t="shared" si="316"/>
        <v>1.066601728966273</v>
      </c>
      <c r="M197" s="229">
        <f>(K197*I197)/(H197*F197)</f>
        <v>1.0814497716894977</v>
      </c>
      <c r="N197" s="229" t="s">
        <v>328</v>
      </c>
      <c r="O197" s="228">
        <v>5.42</v>
      </c>
      <c r="P197" s="228">
        <v>17.18</v>
      </c>
      <c r="Q197" s="228">
        <f>IF(B197="ОСНО",P197*1.18,P197)</f>
        <v>17.18</v>
      </c>
      <c r="R197" s="228"/>
      <c r="S197" s="228">
        <f>4.09/2</f>
        <v>2.0449999999999999</v>
      </c>
      <c r="T197" s="252">
        <v>18.399999999999999</v>
      </c>
      <c r="U197" s="228">
        <f>IF(B197="ОСНО",T197*1.18,T197)</f>
        <v>18.399999999999999</v>
      </c>
      <c r="V197" s="228">
        <f>S197</f>
        <v>2.0449999999999999</v>
      </c>
      <c r="W197" s="228">
        <f>T197*1.06</f>
        <v>19.503999999999998</v>
      </c>
      <c r="X197" s="228">
        <f>IF(B197="ОСНО",W197*1.18,W197)</f>
        <v>19.503999999999998</v>
      </c>
      <c r="Y197" s="229">
        <f t="shared" si="307"/>
        <v>0.40409985007882665</v>
      </c>
      <c r="Z197" s="229">
        <f t="shared" si="308"/>
        <v>1.06</v>
      </c>
      <c r="AA197" s="228"/>
      <c r="AB197" s="228"/>
      <c r="AC197" s="228">
        <f>IF(B197="ОСНО",AB197*1.18,AB197)</f>
        <v>0</v>
      </c>
      <c r="AD197" s="228"/>
      <c r="AE197" s="230">
        <f>(G197-T197)*S197+(J197-W197)*V197</f>
        <v>668.23646999999994</v>
      </c>
      <c r="AF197" s="228"/>
      <c r="AG197" s="228"/>
      <c r="AH197" s="228">
        <f>IF(B197="ОСНО",AG197*1.18,AG197)</f>
        <v>0</v>
      </c>
      <c r="AI197" s="228"/>
      <c r="AJ197" s="228"/>
      <c r="AK197" s="228">
        <f>IF(B197="ОСНО",AJ197*1.18,AJ197)</f>
        <v>0</v>
      </c>
      <c r="AL197" s="229"/>
      <c r="AM197" s="229"/>
      <c r="AN197" s="239"/>
      <c r="AO197" s="239"/>
      <c r="AP197" s="228">
        <f>IF(B197="ОСНО",AO197*1.18,AO197)</f>
        <v>0</v>
      </c>
      <c r="AQ197" s="228"/>
      <c r="AR197" s="239"/>
      <c r="AS197" s="239"/>
      <c r="AT197" s="228">
        <f>IF(B197="ОСНО",AS197*1.18,AS197)</f>
        <v>0</v>
      </c>
      <c r="AU197" s="228">
        <f t="shared" si="313"/>
        <v>0</v>
      </c>
      <c r="AV197" s="228"/>
      <c r="AW197" s="228">
        <f>IF(B197="ОСНО",AV197*1.18,AV197)</f>
        <v>0</v>
      </c>
      <c r="AX197" s="229"/>
      <c r="AY197" s="229"/>
      <c r="AZ197" s="229"/>
      <c r="BA197" s="230">
        <f t="shared" si="236"/>
        <v>0</v>
      </c>
    </row>
    <row r="198" spans="1:53" s="216" customFormat="1" ht="24" customHeight="1">
      <c r="A198" s="185" t="s">
        <v>150</v>
      </c>
      <c r="B198" s="185"/>
      <c r="C198" s="42">
        <f>SUM(C199:C212)</f>
        <v>841.69949999999994</v>
      </c>
      <c r="D198" s="42">
        <f>SUMPRODUCT(C199:C212,D199:D212)/C198</f>
        <v>39.117900266068837</v>
      </c>
      <c r="E198" s="42">
        <f>SUMPRODUCT(C199:C212,E199:E212)/C198</f>
        <v>42.405558698918085</v>
      </c>
      <c r="F198" s="42">
        <f>SUM(F199:F214)</f>
        <v>813.45150000000012</v>
      </c>
      <c r="G198" s="42">
        <f>SUMPRODUCT(F199:F214,G199:G214)/F198</f>
        <v>40.776794498504195</v>
      </c>
      <c r="H198" s="42">
        <f>SUMPRODUCT(F199:F214,H199:H214)/F198</f>
        <v>44.126666543733691</v>
      </c>
      <c r="I198" s="42">
        <f>SUM(I199:I214)</f>
        <v>813.45150000000012</v>
      </c>
      <c r="J198" s="42">
        <f>SUMPRODUCT(I199:I214,J199:J214)/I198</f>
        <v>44.040831586148641</v>
      </c>
      <c r="K198" s="42">
        <f>SUMPRODUCT(I199:I214,K199:K214)/I198</f>
        <v>47.610971869496822</v>
      </c>
      <c r="L198" s="84">
        <f>G198/D198</f>
        <v>1.0424075479806438</v>
      </c>
      <c r="M198" s="84">
        <f>J198/G198</f>
        <v>1.0800464364054949</v>
      </c>
      <c r="N198" s="84"/>
      <c r="O198" s="42">
        <f>SUM(O199:O212)</f>
        <v>536.61699999999996</v>
      </c>
      <c r="P198" s="42">
        <f>SUMPRODUCT(O199:O212,P199:P212)/O198</f>
        <v>26.756241304319467</v>
      </c>
      <c r="Q198" s="42">
        <f>SUMPRODUCT(O199:O212,Q199:Q212)/O198</f>
        <v>29.08743293484925</v>
      </c>
      <c r="R198" s="84">
        <f>K198/H198</f>
        <v>1.078961444375361</v>
      </c>
      <c r="S198" s="42">
        <f>SUM(S199:S214)</f>
        <v>536.81549999999993</v>
      </c>
      <c r="T198" s="42">
        <f>SUMPRODUCT(S199:S214,T199:T214)/S198</f>
        <v>29.10929039865653</v>
      </c>
      <c r="U198" s="42">
        <f>SUMPRODUCT(S199:S214,U199:U214)/S198</f>
        <v>31.616061444574541</v>
      </c>
      <c r="V198" s="42">
        <f>SUM(V199:V214)</f>
        <v>536.81549999999993</v>
      </c>
      <c r="W198" s="42">
        <f>SUMPRODUCT(V199:V214,W199:W214)/V198</f>
        <v>30.273148109546021</v>
      </c>
      <c r="X198" s="42">
        <f>SUMPRODUCT(V199:V214,X199:X214)/V198</f>
        <v>32.877977244136957</v>
      </c>
      <c r="Y198" s="84">
        <f>T198/P198</f>
        <v>1.0879439330649627</v>
      </c>
      <c r="Z198" s="84">
        <f>W198/T198</f>
        <v>1.0399823456686943</v>
      </c>
      <c r="AA198" s="42">
        <f>SUM(AA199:AA212)</f>
        <v>574.0440000000001</v>
      </c>
      <c r="AB198" s="42">
        <f>SUMPRODUCT(AA199:AA212,AB199:AB212)/AA198</f>
        <v>35.532767540467276</v>
      </c>
      <c r="AC198" s="42">
        <f>SUMPRODUCT(AA199:AA212,AC199:AC212)/AA198</f>
        <v>39.293726759272801</v>
      </c>
      <c r="AD198" s="84">
        <f>X198/U198</f>
        <v>1.0399137571823946</v>
      </c>
      <c r="AE198" s="224">
        <f>SUM(AE199:AE214)</f>
        <v>15425.003096</v>
      </c>
      <c r="AF198" s="42">
        <f>SUM(AF199:AF212)</f>
        <v>568.78300000000002</v>
      </c>
      <c r="AG198" s="42">
        <f>SUMPRODUCT(AF199:AF212,AG199:AG212)/AF198</f>
        <v>37.362483987742252</v>
      </c>
      <c r="AH198" s="42">
        <f>SUMPRODUCT(AF199:AF212,AH199:AH212)/AF198</f>
        <v>41.498110100688663</v>
      </c>
      <c r="AI198" s="42">
        <f>SUM(AI199:AI212)</f>
        <v>568.78300000000002</v>
      </c>
      <c r="AJ198" s="42">
        <f>SUMPRODUCT(AI199:AI212,AJ199:AJ212)/AI198</f>
        <v>41.270908061598185</v>
      </c>
      <c r="AK198" s="42">
        <f>SUMPRODUCT(AI199:AI212,AK199:AK212)/AI198</f>
        <v>45.816419580050741</v>
      </c>
      <c r="AL198" s="84">
        <f>AG198/AB198</f>
        <v>1.0514937781075218</v>
      </c>
      <c r="AM198" s="84">
        <f>AJ198/AG198</f>
        <v>1.1046082502206811</v>
      </c>
      <c r="AN198" s="42">
        <f>SUM(AN199:AN212)</f>
        <v>433.55849999999998</v>
      </c>
      <c r="AO198" s="42">
        <f>SUMPRODUCT(AN199:AN212,AO199:AO212)/AN198</f>
        <v>20.765303044456516</v>
      </c>
      <c r="AP198" s="42">
        <f>SUMPRODUCT(AN199:AN212,AP199:AP212)/AN198</f>
        <v>23.004742555387566</v>
      </c>
      <c r="AQ198" s="84">
        <f>AK198/AH198</f>
        <v>1.1040603889884233</v>
      </c>
      <c r="AR198" s="42">
        <f>SUM(AR199:AR212)</f>
        <v>430.33</v>
      </c>
      <c r="AS198" s="42">
        <f>SUMPRODUCT(AR199:AR212,AS199:AS212)/AR198</f>
        <v>22.103140148258316</v>
      </c>
      <c r="AT198" s="42">
        <f>SUMPRODUCT(AR199:AR212,AT199:AT212)/AR198</f>
        <v>24.499584723351848</v>
      </c>
      <c r="AU198" s="42">
        <f>SUM(AU199:AU212)</f>
        <v>430.33</v>
      </c>
      <c r="AV198" s="42">
        <f>SUMPRODUCT(AU199:AU212,AV199:AV212)/AU198</f>
        <v>22.991202686310505</v>
      </c>
      <c r="AW198" s="42">
        <f>SUMPRODUCT(AU199:AU212,AW199:AW212)/AU198</f>
        <v>25.484410720516813</v>
      </c>
      <c r="AX198" s="84">
        <f>AS198/AO198</f>
        <v>1.0644265629515552</v>
      </c>
      <c r="AY198" s="84">
        <f>AV198/AS198</f>
        <v>1.0401781164167376</v>
      </c>
      <c r="AZ198" s="84">
        <f>AW198/AT198</f>
        <v>1.0401976608291763</v>
      </c>
      <c r="BA198" s="225">
        <f>SUM(BA199:BA214)</f>
        <v>14160.165248000001</v>
      </c>
    </row>
    <row r="199" spans="1:53" s="279" customFormat="1" ht="15.75" hidden="1">
      <c r="A199" s="245" t="s">
        <v>151</v>
      </c>
      <c r="B199" s="245" t="s">
        <v>398</v>
      </c>
      <c r="C199" s="228">
        <f>35.93/2</f>
        <v>17.965</v>
      </c>
      <c r="D199" s="228">
        <v>9.75</v>
      </c>
      <c r="E199" s="228">
        <f t="shared" si="273"/>
        <v>9.75</v>
      </c>
      <c r="F199" s="228">
        <f t="shared" ref="F199:F214" si="317">C199</f>
        <v>17.965</v>
      </c>
      <c r="G199" s="228">
        <v>9.85</v>
      </c>
      <c r="H199" s="228">
        <f t="shared" si="258"/>
        <v>9.85</v>
      </c>
      <c r="I199" s="228">
        <f>F199</f>
        <v>17.965</v>
      </c>
      <c r="J199" s="228">
        <v>10.69</v>
      </c>
      <c r="K199" s="228">
        <f t="shared" si="259"/>
        <v>10.69</v>
      </c>
      <c r="L199" s="229">
        <f t="shared" ref="L199:L212" si="318">(G199*F199)/(D199*C199)</f>
        <v>1.0102564102564102</v>
      </c>
      <c r="M199" s="229">
        <f t="shared" ref="M199:M214" si="319">(K199*I199)/(H199*F199)</f>
        <v>1.085279187817259</v>
      </c>
      <c r="N199" s="229" t="s">
        <v>290</v>
      </c>
      <c r="O199" s="228">
        <f>1.58/2</f>
        <v>0.79</v>
      </c>
      <c r="P199" s="228">
        <v>9.75</v>
      </c>
      <c r="Q199" s="228">
        <f t="shared" ref="Q199:Q212" si="320">IF(B199="ОСНО",P199*1.18,P199)</f>
        <v>9.75</v>
      </c>
      <c r="R199" s="228"/>
      <c r="S199" s="228">
        <f t="shared" ref="S199:S210" si="321">O199</f>
        <v>0.79</v>
      </c>
      <c r="T199" s="228">
        <v>9.85</v>
      </c>
      <c r="U199" s="228">
        <f t="shared" ref="U199:U207" si="322">IF(B199="ОСНО",T199*1.18,T199)</f>
        <v>9.85</v>
      </c>
      <c r="V199" s="228">
        <f>S199</f>
        <v>0.79</v>
      </c>
      <c r="W199" s="228">
        <f>J199</f>
        <v>10.69</v>
      </c>
      <c r="X199" s="228">
        <f t="shared" ref="X199:X207" si="323">IF(B199="ОСНО",W199*1.18,W199)</f>
        <v>10.69</v>
      </c>
      <c r="Y199" s="229">
        <f>(T199*S199)/(P199*O199)</f>
        <v>1.0102564102564102</v>
      </c>
      <c r="Z199" s="209">
        <f>(X199*V199)/(U199*S199)</f>
        <v>1.0852791878172587</v>
      </c>
      <c r="AA199" s="228"/>
      <c r="AB199" s="228"/>
      <c r="AC199" s="228">
        <f t="shared" ref="AC199:AC207" si="324">IF(B199="ОСНО",AB199*1.18,AB199)</f>
        <v>0</v>
      </c>
      <c r="AD199" s="228"/>
      <c r="AE199" s="228">
        <f>(J199-W199)*V199+(G199-T199)*O199</f>
        <v>0</v>
      </c>
      <c r="AF199" s="228"/>
      <c r="AG199" s="228"/>
      <c r="AH199" s="228">
        <f t="shared" ref="AH199:AH214" si="325">IF(B199="ОСНО",AG199*1.18,AG199)</f>
        <v>0</v>
      </c>
      <c r="AI199" s="228"/>
      <c r="AJ199" s="228"/>
      <c r="AK199" s="228"/>
      <c r="AL199" s="229"/>
      <c r="AM199" s="229"/>
      <c r="AN199" s="240"/>
      <c r="AO199" s="240"/>
      <c r="AP199" s="228"/>
      <c r="AQ199" s="228"/>
      <c r="AR199" s="240"/>
      <c r="AS199" s="240"/>
      <c r="AT199" s="228"/>
      <c r="AU199" s="228"/>
      <c r="AV199" s="228"/>
      <c r="AW199" s="228"/>
      <c r="AX199" s="249"/>
      <c r="AY199" s="229"/>
      <c r="AZ199" s="229"/>
      <c r="BA199" s="230"/>
    </row>
    <row r="200" spans="1:53" s="279" customFormat="1" ht="15.75" hidden="1">
      <c r="A200" s="245" t="s">
        <v>152</v>
      </c>
      <c r="B200" s="245" t="s">
        <v>398</v>
      </c>
      <c r="C200" s="228">
        <f>21.5/2-5.95/2</f>
        <v>7.7750000000000004</v>
      </c>
      <c r="D200" s="228">
        <v>31.1</v>
      </c>
      <c r="E200" s="228">
        <f t="shared" si="273"/>
        <v>31.1</v>
      </c>
      <c r="F200" s="228">
        <f t="shared" si="317"/>
        <v>7.7750000000000004</v>
      </c>
      <c r="G200" s="228">
        <v>32.130000000000003</v>
      </c>
      <c r="H200" s="228">
        <f t="shared" si="258"/>
        <v>32.130000000000003</v>
      </c>
      <c r="I200" s="228">
        <f>F200</f>
        <v>7.7750000000000004</v>
      </c>
      <c r="J200" s="228">
        <v>34.76</v>
      </c>
      <c r="K200" s="228">
        <f t="shared" si="259"/>
        <v>34.76</v>
      </c>
      <c r="L200" s="229">
        <f t="shared" si="318"/>
        <v>1.0331189710610933</v>
      </c>
      <c r="M200" s="229">
        <f t="shared" si="319"/>
        <v>1.0818549642079052</v>
      </c>
      <c r="N200" s="229"/>
      <c r="O200" s="228"/>
      <c r="P200" s="228"/>
      <c r="Q200" s="228">
        <f t="shared" si="320"/>
        <v>0</v>
      </c>
      <c r="R200" s="228"/>
      <c r="S200" s="228"/>
      <c r="T200" s="228"/>
      <c r="U200" s="228">
        <f t="shared" si="322"/>
        <v>0</v>
      </c>
      <c r="V200" s="228">
        <f>S200</f>
        <v>0</v>
      </c>
      <c r="W200" s="228">
        <f t="shared" ref="W200:W201" si="326">T200*1.06</f>
        <v>0</v>
      </c>
      <c r="X200" s="228">
        <f t="shared" si="323"/>
        <v>0</v>
      </c>
      <c r="Y200" s="229"/>
      <c r="Z200" s="229"/>
      <c r="AA200" s="228"/>
      <c r="AB200" s="228"/>
      <c r="AC200" s="228">
        <f t="shared" si="324"/>
        <v>0</v>
      </c>
      <c r="AD200" s="228"/>
      <c r="AE200" s="230"/>
      <c r="AF200" s="228"/>
      <c r="AG200" s="228"/>
      <c r="AH200" s="228">
        <f t="shared" si="325"/>
        <v>0</v>
      </c>
      <c r="AI200" s="228"/>
      <c r="AJ200" s="228"/>
      <c r="AK200" s="228"/>
      <c r="AL200" s="229"/>
      <c r="AM200" s="229"/>
      <c r="AN200" s="240"/>
      <c r="AO200" s="240"/>
      <c r="AP200" s="228"/>
      <c r="AQ200" s="228"/>
      <c r="AR200" s="240"/>
      <c r="AS200" s="240"/>
      <c r="AT200" s="228"/>
      <c r="AU200" s="228"/>
      <c r="AV200" s="228"/>
      <c r="AW200" s="228"/>
      <c r="AX200" s="249"/>
      <c r="AY200" s="229"/>
      <c r="AZ200" s="229"/>
      <c r="BA200" s="230"/>
    </row>
    <row r="201" spans="1:53" s="279" customFormat="1" ht="31.5" hidden="1">
      <c r="A201" s="245" t="s">
        <v>153</v>
      </c>
      <c r="B201" s="245" t="s">
        <v>398</v>
      </c>
      <c r="C201" s="228">
        <f>57.54/2</f>
        <v>28.77</v>
      </c>
      <c r="D201" s="228">
        <v>37.520000000000003</v>
      </c>
      <c r="E201" s="228">
        <f t="shared" si="273"/>
        <v>37.520000000000003</v>
      </c>
      <c r="F201" s="228">
        <f>57.54/2</f>
        <v>28.77</v>
      </c>
      <c r="G201" s="228">
        <v>38</v>
      </c>
      <c r="H201" s="228">
        <f t="shared" si="258"/>
        <v>38</v>
      </c>
      <c r="I201" s="228">
        <f>F201</f>
        <v>28.77</v>
      </c>
      <c r="J201" s="228">
        <v>41.51</v>
      </c>
      <c r="K201" s="228">
        <f t="shared" si="259"/>
        <v>41.51</v>
      </c>
      <c r="L201" s="229">
        <f t="shared" si="318"/>
        <v>1.0127931769722813</v>
      </c>
      <c r="M201" s="229">
        <f t="shared" si="319"/>
        <v>1.0923684210526317</v>
      </c>
      <c r="N201" s="229" t="s">
        <v>291</v>
      </c>
      <c r="O201" s="252">
        <f>4.54/2</f>
        <v>2.27</v>
      </c>
      <c r="P201" s="252">
        <v>24.14</v>
      </c>
      <c r="Q201" s="228">
        <f t="shared" si="320"/>
        <v>24.14</v>
      </c>
      <c r="R201" s="228"/>
      <c r="S201" s="228">
        <f>4.54/2</f>
        <v>2.27</v>
      </c>
      <c r="T201" s="252">
        <v>26.7</v>
      </c>
      <c r="U201" s="228">
        <f t="shared" si="322"/>
        <v>26.7</v>
      </c>
      <c r="V201" s="228">
        <f>S201</f>
        <v>2.27</v>
      </c>
      <c r="W201" s="228">
        <f t="shared" si="326"/>
        <v>28.302</v>
      </c>
      <c r="X201" s="228">
        <f t="shared" si="323"/>
        <v>28.302</v>
      </c>
      <c r="Y201" s="229">
        <f t="shared" ref="Y201:Y207" si="327">(T201*S201)/(P201*O201)</f>
        <v>1.1060480530240264</v>
      </c>
      <c r="Z201" s="229">
        <f t="shared" ref="Z201:Z207" si="328">(X201*V201)/(U201*S201)</f>
        <v>1.06</v>
      </c>
      <c r="AA201" s="228"/>
      <c r="AB201" s="228"/>
      <c r="AC201" s="228">
        <f t="shared" si="324"/>
        <v>0</v>
      </c>
      <c r="AD201" s="228"/>
      <c r="AE201" s="230">
        <f t="shared" ref="AE201:AE207" si="329">(J201-W201)*V201+(G201-T201)*O201</f>
        <v>55.633160000000004</v>
      </c>
      <c r="AF201" s="228"/>
      <c r="AG201" s="228"/>
      <c r="AH201" s="228">
        <f t="shared" si="325"/>
        <v>0</v>
      </c>
      <c r="AI201" s="228"/>
      <c r="AJ201" s="228"/>
      <c r="AK201" s="228"/>
      <c r="AL201" s="229"/>
      <c r="AM201" s="229"/>
      <c r="AN201" s="240"/>
      <c r="AO201" s="240"/>
      <c r="AP201" s="228"/>
      <c r="AQ201" s="228"/>
      <c r="AR201" s="240"/>
      <c r="AS201" s="240"/>
      <c r="AT201" s="228"/>
      <c r="AU201" s="228"/>
      <c r="AV201" s="228"/>
      <c r="AW201" s="228"/>
      <c r="AX201" s="249"/>
      <c r="AY201" s="229"/>
      <c r="AZ201" s="229"/>
      <c r="BA201" s="230"/>
    </row>
    <row r="202" spans="1:53" s="280" customFormat="1" ht="15.75" hidden="1">
      <c r="A202" s="245" t="s">
        <v>428</v>
      </c>
      <c r="B202" s="245" t="s">
        <v>397</v>
      </c>
      <c r="C202" s="181">
        <f>191.689/2</f>
        <v>95.844499999999996</v>
      </c>
      <c r="D202" s="181">
        <v>32.71</v>
      </c>
      <c r="E202" s="181">
        <f t="shared" si="273"/>
        <v>38.597799999999999</v>
      </c>
      <c r="F202" s="228">
        <f>I202</f>
        <v>74.628500000000003</v>
      </c>
      <c r="G202" s="228">
        <v>34.159999999999997</v>
      </c>
      <c r="H202" s="228">
        <f t="shared" si="258"/>
        <v>40.308799999999991</v>
      </c>
      <c r="I202" s="228">
        <f>149.257/2</f>
        <v>74.628500000000003</v>
      </c>
      <c r="J202" s="228">
        <v>36.07</v>
      </c>
      <c r="K202" s="228">
        <f t="shared" si="259"/>
        <v>42.562599999999996</v>
      </c>
      <c r="L202" s="229">
        <f t="shared" si="318"/>
        <v>0.81315780403553806</v>
      </c>
      <c r="M202" s="229">
        <f t="shared" si="319"/>
        <v>1.0559133489461361</v>
      </c>
      <c r="N202" s="182"/>
      <c r="O202" s="186">
        <f>7.349/2</f>
        <v>3.6745000000000001</v>
      </c>
      <c r="P202" s="186">
        <v>22.42</v>
      </c>
      <c r="Q202" s="181">
        <f t="shared" si="320"/>
        <v>26.4556</v>
      </c>
      <c r="R202" s="181"/>
      <c r="S202" s="228">
        <f>V202</f>
        <v>6.7229999999999999</v>
      </c>
      <c r="T202" s="252">
        <v>24.01</v>
      </c>
      <c r="U202" s="228">
        <f t="shared" si="322"/>
        <v>28.331800000000001</v>
      </c>
      <c r="V202" s="228">
        <f>13.446/2</f>
        <v>6.7229999999999999</v>
      </c>
      <c r="W202" s="228">
        <v>24.97</v>
      </c>
      <c r="X202" s="228">
        <f t="shared" si="323"/>
        <v>29.464599999999997</v>
      </c>
      <c r="Y202" s="229">
        <f t="shared" si="327"/>
        <v>1.9593923645482541</v>
      </c>
      <c r="Z202" s="229">
        <f t="shared" si="328"/>
        <v>1.0399833402748853</v>
      </c>
      <c r="AA202" s="228">
        <f>67.362/2</f>
        <v>33.680999999999997</v>
      </c>
      <c r="AB202" s="228">
        <v>52.27</v>
      </c>
      <c r="AC202" s="228">
        <f t="shared" si="324"/>
        <v>61.678600000000003</v>
      </c>
      <c r="AD202" s="228"/>
      <c r="AE202" s="230">
        <f t="shared" si="329"/>
        <v>111.92147499999999</v>
      </c>
      <c r="AF202" s="228">
        <f>AI202</f>
        <v>32.53</v>
      </c>
      <c r="AG202" s="228">
        <v>55.52</v>
      </c>
      <c r="AH202" s="228">
        <f t="shared" si="325"/>
        <v>65.513599999999997</v>
      </c>
      <c r="AI202" s="228">
        <f>65.06/2</f>
        <v>32.53</v>
      </c>
      <c r="AJ202" s="228">
        <v>58.79</v>
      </c>
      <c r="AK202" s="228">
        <f>IF(B202="ОСНО",AJ202*1.18,AJ202)</f>
        <v>69.372199999999992</v>
      </c>
      <c r="AL202" s="229">
        <f t="shared" ref="AL202:AL210" si="330">(AG202*AF202)/(AB202*AA202)</f>
        <v>1.0258787719918254</v>
      </c>
      <c r="AM202" s="229">
        <f t="shared" ref="AM202:AM210" si="331">(AK202*AI202)/(AH202*AF202)</f>
        <v>1.0588976945244957</v>
      </c>
      <c r="AN202" s="194">
        <f>27.337/2</f>
        <v>13.6685</v>
      </c>
      <c r="AO202" s="194">
        <v>22.24</v>
      </c>
      <c r="AP202" s="181">
        <f>IF(B202="ОСНО",AO202*1.18,AO202)</f>
        <v>26.243199999999998</v>
      </c>
      <c r="AQ202" s="181"/>
      <c r="AR202" s="240">
        <f>AU202</f>
        <v>13.35</v>
      </c>
      <c r="AS202" s="240">
        <v>23.81</v>
      </c>
      <c r="AT202" s="228">
        <f>IF(B202="ОСНО",AS202*1.18,AS202)</f>
        <v>28.095799999999997</v>
      </c>
      <c r="AU202" s="228">
        <f>26.7/2</f>
        <v>13.35</v>
      </c>
      <c r="AV202" s="228">
        <v>24.76</v>
      </c>
      <c r="AW202" s="228">
        <f>IF(B202="ОСНО",AV202*1.18,AV202)</f>
        <v>29.216799999999999</v>
      </c>
      <c r="AX202" s="229">
        <f t="shared" ref="AX202:AX210" si="332">(AS202*AR202)/(AO202*AN202)</f>
        <v>1.0456468201449376</v>
      </c>
      <c r="AY202" s="229">
        <f t="shared" ref="AY202:AY210" si="333">(AW202*AU202)/(AT202*AR202)</f>
        <v>1.0398992020159596</v>
      </c>
      <c r="AZ202" s="229"/>
      <c r="BA202" s="230">
        <f>(AG202-AS202)*AR202+(AJ202-AV202)*AU202</f>
        <v>877.62900000000002</v>
      </c>
    </row>
    <row r="203" spans="1:53" s="279" customFormat="1" ht="15.75" hidden="1">
      <c r="A203" s="245" t="s">
        <v>154</v>
      </c>
      <c r="B203" s="245" t="s">
        <v>397</v>
      </c>
      <c r="C203" s="228">
        <f>229.28/2</f>
        <v>114.64</v>
      </c>
      <c r="D203" s="228">
        <v>19.170000000000002</v>
      </c>
      <c r="E203" s="228">
        <f t="shared" si="273"/>
        <v>22.6206</v>
      </c>
      <c r="F203" s="228">
        <f>229.28/2</f>
        <v>114.64</v>
      </c>
      <c r="G203" s="228">
        <v>20.149999999999999</v>
      </c>
      <c r="H203" s="228">
        <f t="shared" si="258"/>
        <v>23.776999999999997</v>
      </c>
      <c r="I203" s="228">
        <f>F203</f>
        <v>114.64</v>
      </c>
      <c r="J203" s="228">
        <v>20.94</v>
      </c>
      <c r="K203" s="228">
        <f t="shared" si="259"/>
        <v>24.709199999999999</v>
      </c>
      <c r="L203" s="229">
        <f t="shared" si="318"/>
        <v>1.0511215440792903</v>
      </c>
      <c r="M203" s="229">
        <f t="shared" si="319"/>
        <v>1.0392059553349877</v>
      </c>
      <c r="N203" s="229" t="s">
        <v>292</v>
      </c>
      <c r="O203" s="240">
        <f>191/2</f>
        <v>95.5</v>
      </c>
      <c r="P203" s="240">
        <v>19.170000000000002</v>
      </c>
      <c r="Q203" s="228">
        <f t="shared" si="320"/>
        <v>22.6206</v>
      </c>
      <c r="R203" s="228"/>
      <c r="S203" s="228">
        <f>191/2</f>
        <v>95.5</v>
      </c>
      <c r="T203" s="240">
        <v>20.149999999999999</v>
      </c>
      <c r="U203" s="228">
        <f t="shared" si="322"/>
        <v>23.776999999999997</v>
      </c>
      <c r="V203" s="228">
        <f t="shared" ref="V203:V214" si="334">S203</f>
        <v>95.5</v>
      </c>
      <c r="W203" s="228">
        <v>20.94</v>
      </c>
      <c r="X203" s="228">
        <f t="shared" si="323"/>
        <v>24.709199999999999</v>
      </c>
      <c r="Y203" s="229">
        <f t="shared" si="327"/>
        <v>1.0511215440792905</v>
      </c>
      <c r="Z203" s="229">
        <f t="shared" si="328"/>
        <v>1.0392059553349877</v>
      </c>
      <c r="AA203" s="228">
        <f>356.276/2</f>
        <v>178.13800000000001</v>
      </c>
      <c r="AB203" s="228">
        <v>20.68</v>
      </c>
      <c r="AC203" s="228">
        <f t="shared" si="324"/>
        <v>24.4024</v>
      </c>
      <c r="AD203" s="228"/>
      <c r="AE203" s="230">
        <f t="shared" si="329"/>
        <v>0</v>
      </c>
      <c r="AF203" s="228">
        <f>356.276/2</f>
        <v>178.13800000000001</v>
      </c>
      <c r="AG203" s="228">
        <v>21.86</v>
      </c>
      <c r="AH203" s="228">
        <f t="shared" si="325"/>
        <v>25.794799999999999</v>
      </c>
      <c r="AI203" s="228">
        <f>AF203</f>
        <v>178.13800000000001</v>
      </c>
      <c r="AJ203" s="228">
        <v>22.75</v>
      </c>
      <c r="AK203" s="228">
        <f>IF(B203="ОСНО",AJ203*1.18,AJ203)</f>
        <v>26.844999999999999</v>
      </c>
      <c r="AL203" s="229">
        <f t="shared" si="330"/>
        <v>1.0570599613152805</v>
      </c>
      <c r="AM203" s="229">
        <f t="shared" si="331"/>
        <v>1.0407136322049406</v>
      </c>
      <c r="AN203" s="240">
        <f>281.7/2</f>
        <v>140.85</v>
      </c>
      <c r="AO203" s="240">
        <v>20.68</v>
      </c>
      <c r="AP203" s="228">
        <f>IF(B203="ОСНО",AO203*1.18,AO203)</f>
        <v>24.4024</v>
      </c>
      <c r="AQ203" s="228"/>
      <c r="AR203" s="240">
        <f>281.7/2</f>
        <v>140.85</v>
      </c>
      <c r="AS203" s="240">
        <v>21.86</v>
      </c>
      <c r="AT203" s="228">
        <f>IF(B203="ОСНО",AS203*1.18,AS203)</f>
        <v>25.794799999999999</v>
      </c>
      <c r="AU203" s="228">
        <f>AR203</f>
        <v>140.85</v>
      </c>
      <c r="AV203" s="228">
        <f>AJ203</f>
        <v>22.75</v>
      </c>
      <c r="AW203" s="228">
        <f>IF(B203="ОСНО",AV203*1.18,AV203)</f>
        <v>26.844999999999999</v>
      </c>
      <c r="AX203" s="229">
        <f t="shared" si="332"/>
        <v>1.0570599613152805</v>
      </c>
      <c r="AY203" s="229">
        <f t="shared" si="333"/>
        <v>1.0407136322049406</v>
      </c>
      <c r="AZ203" s="229"/>
      <c r="BA203" s="230">
        <f t="shared" si="236"/>
        <v>0</v>
      </c>
    </row>
    <row r="204" spans="1:53" s="279" customFormat="1" ht="15.75" hidden="1">
      <c r="A204" s="245" t="s">
        <v>155</v>
      </c>
      <c r="B204" s="245" t="s">
        <v>397</v>
      </c>
      <c r="C204" s="228">
        <f>29.434/2</f>
        <v>14.717000000000001</v>
      </c>
      <c r="D204" s="228">
        <v>79.73</v>
      </c>
      <c r="E204" s="228">
        <f t="shared" si="273"/>
        <v>94.081400000000002</v>
      </c>
      <c r="F204" s="228">
        <f>29.434/2</f>
        <v>14.717000000000001</v>
      </c>
      <c r="G204" s="228">
        <v>85.39</v>
      </c>
      <c r="H204" s="228">
        <f t="shared" si="258"/>
        <v>100.7602</v>
      </c>
      <c r="I204" s="228">
        <f t="shared" ref="I204:I207" si="335">F204</f>
        <v>14.717000000000001</v>
      </c>
      <c r="J204" s="228">
        <v>97.42</v>
      </c>
      <c r="K204" s="228">
        <f t="shared" si="259"/>
        <v>114.95559999999999</v>
      </c>
      <c r="L204" s="229">
        <f t="shared" si="318"/>
        <v>1.0709895898657971</v>
      </c>
      <c r="M204" s="229">
        <f t="shared" si="319"/>
        <v>1.140883007377913</v>
      </c>
      <c r="N204" s="229" t="s">
        <v>293</v>
      </c>
      <c r="O204" s="240">
        <f>21.28/2</f>
        <v>10.64</v>
      </c>
      <c r="P204" s="240">
        <v>67.540000000000006</v>
      </c>
      <c r="Q204" s="228">
        <f t="shared" si="320"/>
        <v>79.697200000000009</v>
      </c>
      <c r="R204" s="228"/>
      <c r="S204" s="228">
        <f>21.28/2</f>
        <v>10.64</v>
      </c>
      <c r="T204" s="240">
        <v>72.34</v>
      </c>
      <c r="U204" s="228">
        <f t="shared" si="322"/>
        <v>85.361199999999997</v>
      </c>
      <c r="V204" s="228">
        <f t="shared" si="334"/>
        <v>10.64</v>
      </c>
      <c r="W204" s="228">
        <v>76.680000000000007</v>
      </c>
      <c r="X204" s="228">
        <f t="shared" si="323"/>
        <v>90.482399999999998</v>
      </c>
      <c r="Y204" s="229">
        <f t="shared" si="327"/>
        <v>1.0710689961504294</v>
      </c>
      <c r="Z204" s="229">
        <f t="shared" si="328"/>
        <v>1.0599944705557092</v>
      </c>
      <c r="AA204" s="228"/>
      <c r="AB204" s="228"/>
      <c r="AC204" s="228">
        <f t="shared" si="324"/>
        <v>0</v>
      </c>
      <c r="AD204" s="228"/>
      <c r="AE204" s="230">
        <f t="shared" si="329"/>
        <v>359.52559999999994</v>
      </c>
      <c r="AF204" s="228"/>
      <c r="AG204" s="228"/>
      <c r="AH204" s="228">
        <f t="shared" si="325"/>
        <v>0</v>
      </c>
      <c r="AI204" s="228"/>
      <c r="AJ204" s="228"/>
      <c r="AK204" s="228"/>
      <c r="AL204" s="229"/>
      <c r="AM204" s="229"/>
      <c r="AN204" s="240"/>
      <c r="AO204" s="240"/>
      <c r="AP204" s="228"/>
      <c r="AQ204" s="228"/>
      <c r="AR204" s="240"/>
      <c r="AS204" s="240"/>
      <c r="AT204" s="228"/>
      <c r="AU204" s="228"/>
      <c r="AV204" s="228"/>
      <c r="AW204" s="228"/>
      <c r="AX204" s="229"/>
      <c r="AY204" s="229"/>
      <c r="AZ204" s="229"/>
      <c r="BA204" s="230"/>
    </row>
    <row r="205" spans="1:53" s="279" customFormat="1" ht="15.75" hidden="1">
      <c r="A205" s="245" t="s">
        <v>156</v>
      </c>
      <c r="B205" s="245" t="s">
        <v>397</v>
      </c>
      <c r="C205" s="228">
        <f>4.944/2</f>
        <v>2.472</v>
      </c>
      <c r="D205" s="228">
        <v>83.81</v>
      </c>
      <c r="E205" s="228">
        <f t="shared" si="273"/>
        <v>98.895799999999994</v>
      </c>
      <c r="F205" s="228">
        <f>4.94/2</f>
        <v>2.4700000000000002</v>
      </c>
      <c r="G205" s="228">
        <v>88.86</v>
      </c>
      <c r="H205" s="228">
        <f t="shared" si="258"/>
        <v>104.8548</v>
      </c>
      <c r="I205" s="228">
        <f t="shared" si="335"/>
        <v>2.4700000000000002</v>
      </c>
      <c r="J205" s="228">
        <v>101.97</v>
      </c>
      <c r="K205" s="228">
        <f t="shared" si="259"/>
        <v>120.32459999999999</v>
      </c>
      <c r="L205" s="229">
        <f t="shared" si="318"/>
        <v>1.0593975276949827</v>
      </c>
      <c r="M205" s="229">
        <f t="shared" si="319"/>
        <v>1.1475354490209317</v>
      </c>
      <c r="N205" s="229" t="s">
        <v>294</v>
      </c>
      <c r="O205" s="252">
        <f>3.69/2</f>
        <v>1.845</v>
      </c>
      <c r="P205" s="252">
        <v>56.89</v>
      </c>
      <c r="Q205" s="228">
        <f t="shared" si="320"/>
        <v>67.130200000000002</v>
      </c>
      <c r="R205" s="228"/>
      <c r="S205" s="228">
        <f t="shared" si="321"/>
        <v>1.845</v>
      </c>
      <c r="T205" s="252">
        <v>60.93</v>
      </c>
      <c r="U205" s="228">
        <f t="shared" si="322"/>
        <v>71.89739999999999</v>
      </c>
      <c r="V205" s="228">
        <f t="shared" si="334"/>
        <v>1.845</v>
      </c>
      <c r="W205" s="228">
        <v>64.59</v>
      </c>
      <c r="X205" s="228">
        <f t="shared" si="323"/>
        <v>76.216200000000001</v>
      </c>
      <c r="Y205" s="229">
        <f t="shared" si="327"/>
        <v>1.071014238003164</v>
      </c>
      <c r="Z205" s="229">
        <f t="shared" si="328"/>
        <v>1.0600689315608076</v>
      </c>
      <c r="AA205" s="228"/>
      <c r="AB205" s="228"/>
      <c r="AC205" s="228">
        <f t="shared" si="324"/>
        <v>0</v>
      </c>
      <c r="AD205" s="228"/>
      <c r="AE205" s="230">
        <f t="shared" si="329"/>
        <v>120.49695</v>
      </c>
      <c r="AF205" s="228"/>
      <c r="AG205" s="228"/>
      <c r="AH205" s="228">
        <f t="shared" si="325"/>
        <v>0</v>
      </c>
      <c r="AI205" s="228"/>
      <c r="AJ205" s="228"/>
      <c r="AK205" s="228"/>
      <c r="AL205" s="229"/>
      <c r="AM205" s="229"/>
      <c r="AN205" s="240"/>
      <c r="AO205" s="240"/>
      <c r="AP205" s="228"/>
      <c r="AQ205" s="228"/>
      <c r="AR205" s="240"/>
      <c r="AS205" s="240"/>
      <c r="AT205" s="228"/>
      <c r="AU205" s="228"/>
      <c r="AV205" s="228"/>
      <c r="AW205" s="228"/>
      <c r="AX205" s="229"/>
      <c r="AY205" s="229"/>
      <c r="AZ205" s="229"/>
      <c r="BA205" s="230"/>
    </row>
    <row r="206" spans="1:53" s="279" customFormat="1" ht="15.75" hidden="1">
      <c r="A206" s="245" t="s">
        <v>157</v>
      </c>
      <c r="B206" s="245" t="s">
        <v>398</v>
      </c>
      <c r="C206" s="228">
        <f>25.57/2</f>
        <v>12.785</v>
      </c>
      <c r="D206" s="228">
        <v>67.62</v>
      </c>
      <c r="E206" s="228">
        <f t="shared" si="273"/>
        <v>67.62</v>
      </c>
      <c r="F206" s="228">
        <f>25.57/2</f>
        <v>12.785</v>
      </c>
      <c r="G206" s="228">
        <v>68.67</v>
      </c>
      <c r="H206" s="228">
        <f t="shared" si="258"/>
        <v>68.67</v>
      </c>
      <c r="I206" s="228">
        <f t="shared" si="335"/>
        <v>12.785</v>
      </c>
      <c r="J206" s="228">
        <v>74.400000000000006</v>
      </c>
      <c r="K206" s="228">
        <f t="shared" si="259"/>
        <v>74.400000000000006</v>
      </c>
      <c r="L206" s="229">
        <f t="shared" si="318"/>
        <v>1.015527950310559</v>
      </c>
      <c r="M206" s="229">
        <f t="shared" si="319"/>
        <v>1.0834425513324597</v>
      </c>
      <c r="N206" s="229" t="s">
        <v>295</v>
      </c>
      <c r="O206" s="240">
        <f>20.87/2</f>
        <v>10.435</v>
      </c>
      <c r="P206" s="240">
        <v>24.5</v>
      </c>
      <c r="Q206" s="228">
        <f t="shared" si="320"/>
        <v>24.5</v>
      </c>
      <c r="R206" s="228"/>
      <c r="S206" s="228">
        <f t="shared" si="321"/>
        <v>10.435</v>
      </c>
      <c r="T206" s="240">
        <v>26.24</v>
      </c>
      <c r="U206" s="228">
        <f t="shared" si="322"/>
        <v>26.24</v>
      </c>
      <c r="V206" s="228">
        <f t="shared" si="334"/>
        <v>10.435</v>
      </c>
      <c r="W206" s="228">
        <f t="shared" ref="W206" si="336">T206*1.06</f>
        <v>27.814399999999999</v>
      </c>
      <c r="X206" s="228">
        <f t="shared" si="323"/>
        <v>27.814399999999999</v>
      </c>
      <c r="Y206" s="229">
        <f t="shared" si="327"/>
        <v>1.0710204081632653</v>
      </c>
      <c r="Z206" s="229">
        <f t="shared" si="328"/>
        <v>1.06</v>
      </c>
      <c r="AA206" s="228"/>
      <c r="AB206" s="228"/>
      <c r="AC206" s="228">
        <f t="shared" si="324"/>
        <v>0</v>
      </c>
      <c r="AD206" s="228"/>
      <c r="AE206" s="230">
        <f t="shared" si="329"/>
        <v>928.87778600000024</v>
      </c>
      <c r="AF206" s="228"/>
      <c r="AG206" s="228"/>
      <c r="AH206" s="228">
        <f t="shared" si="325"/>
        <v>0</v>
      </c>
      <c r="AI206" s="228"/>
      <c r="AJ206" s="228"/>
      <c r="AK206" s="228"/>
      <c r="AL206" s="229"/>
      <c r="AM206" s="229"/>
      <c r="AN206" s="240"/>
      <c r="AO206" s="240"/>
      <c r="AP206" s="228"/>
      <c r="AQ206" s="228"/>
      <c r="AR206" s="240"/>
      <c r="AS206" s="240"/>
      <c r="AT206" s="228"/>
      <c r="AU206" s="228"/>
      <c r="AV206" s="228"/>
      <c r="AW206" s="228"/>
      <c r="AX206" s="229"/>
      <c r="AY206" s="229"/>
      <c r="AZ206" s="229"/>
      <c r="BA206" s="230"/>
    </row>
    <row r="207" spans="1:53" s="279" customFormat="1" ht="31.5" hidden="1">
      <c r="A207" s="245" t="s">
        <v>450</v>
      </c>
      <c r="B207" s="245" t="s">
        <v>398</v>
      </c>
      <c r="C207" s="228">
        <f>79.87/2</f>
        <v>39.935000000000002</v>
      </c>
      <c r="D207" s="228">
        <v>81.37</v>
      </c>
      <c r="E207" s="228">
        <f t="shared" si="273"/>
        <v>81.37</v>
      </c>
      <c r="F207" s="228">
        <f>79.87/2</f>
        <v>39.935000000000002</v>
      </c>
      <c r="G207" s="228">
        <v>81.37</v>
      </c>
      <c r="H207" s="228">
        <f t="shared" si="258"/>
        <v>81.37</v>
      </c>
      <c r="I207" s="228">
        <f t="shared" si="335"/>
        <v>39.935000000000002</v>
      </c>
      <c r="J207" s="228">
        <v>90.82</v>
      </c>
      <c r="K207" s="228">
        <f t="shared" si="259"/>
        <v>90.82</v>
      </c>
      <c r="L207" s="229">
        <f t="shared" si="318"/>
        <v>1</v>
      </c>
      <c r="M207" s="229">
        <f t="shared" si="319"/>
        <v>1.116136168120929</v>
      </c>
      <c r="N207" s="229" t="s">
        <v>296</v>
      </c>
      <c r="O207" s="240">
        <f>84.19/2</f>
        <v>42.094999999999999</v>
      </c>
      <c r="P207" s="240">
        <v>26.45</v>
      </c>
      <c r="Q207" s="228">
        <f t="shared" si="320"/>
        <v>26.45</v>
      </c>
      <c r="R207" s="228"/>
      <c r="S207" s="228">
        <f>68.14/2</f>
        <v>34.07</v>
      </c>
      <c r="T207" s="240">
        <v>28.33</v>
      </c>
      <c r="U207" s="228">
        <f t="shared" si="322"/>
        <v>28.33</v>
      </c>
      <c r="V207" s="228">
        <f t="shared" si="334"/>
        <v>34.07</v>
      </c>
      <c r="W207" s="228">
        <v>29.46</v>
      </c>
      <c r="X207" s="228">
        <f t="shared" si="323"/>
        <v>29.46</v>
      </c>
      <c r="Y207" s="229">
        <f t="shared" si="327"/>
        <v>0.86688705513745912</v>
      </c>
      <c r="Z207" s="229">
        <f t="shared" si="328"/>
        <v>1.0398870455347689</v>
      </c>
      <c r="AA207" s="228">
        <f>31.4/2</f>
        <v>15.7</v>
      </c>
      <c r="AB207" s="228">
        <v>35.369999999999997</v>
      </c>
      <c r="AC207" s="228">
        <f t="shared" si="324"/>
        <v>35.369999999999997</v>
      </c>
      <c r="AD207" s="228"/>
      <c r="AE207" s="230">
        <f t="shared" si="329"/>
        <v>4323.2539999999999</v>
      </c>
      <c r="AF207" s="228">
        <f>31.4/2</f>
        <v>15.7</v>
      </c>
      <c r="AG207" s="228">
        <v>35.369999999999997</v>
      </c>
      <c r="AH207" s="228">
        <f t="shared" si="325"/>
        <v>35.369999999999997</v>
      </c>
      <c r="AI207" s="228">
        <f>AF207</f>
        <v>15.7</v>
      </c>
      <c r="AJ207" s="228">
        <v>39.61</v>
      </c>
      <c r="AK207" s="228">
        <f t="shared" ref="AK207:AK214" si="337">IF(B207="ОСНО",AJ207*1.18,AJ207)</f>
        <v>39.61</v>
      </c>
      <c r="AL207" s="229">
        <f t="shared" si="330"/>
        <v>1</v>
      </c>
      <c r="AM207" s="229">
        <f t="shared" si="331"/>
        <v>1.1198756007916313</v>
      </c>
      <c r="AN207" s="240">
        <f>29.5/2</f>
        <v>14.75</v>
      </c>
      <c r="AO207" s="240">
        <v>26.24</v>
      </c>
      <c r="AP207" s="228">
        <f>IF(B207="ОСНО",AO207*1.18,AO207)</f>
        <v>26.24</v>
      </c>
      <c r="AQ207" s="228"/>
      <c r="AR207" s="240">
        <f>29.5/2</f>
        <v>14.75</v>
      </c>
      <c r="AS207" s="240">
        <v>28.1</v>
      </c>
      <c r="AT207" s="228">
        <f>IF(B207="ОСНО",AS207*1.18,AS207)</f>
        <v>28.1</v>
      </c>
      <c r="AU207" s="228">
        <f>AR207</f>
        <v>14.75</v>
      </c>
      <c r="AV207" s="228">
        <f>AS207*1.04</f>
        <v>29.224000000000004</v>
      </c>
      <c r="AW207" s="228">
        <f>IF(B207="ОСНО",AV207*1.18,AV207)</f>
        <v>29.224000000000004</v>
      </c>
      <c r="AX207" s="229">
        <f t="shared" si="332"/>
        <v>1.0708841463414636</v>
      </c>
      <c r="AY207" s="229">
        <f t="shared" si="333"/>
        <v>1.04</v>
      </c>
      <c r="AZ207" s="229"/>
      <c r="BA207" s="230">
        <f t="shared" ref="BA207:BA232" si="338">(AG207-AS207)*AR207+(AJ207-AV207)*AU207</f>
        <v>260.42599999999987</v>
      </c>
    </row>
    <row r="208" spans="1:53" s="279" customFormat="1" ht="15.75" hidden="1">
      <c r="A208" s="245" t="s">
        <v>59</v>
      </c>
      <c r="B208" s="245" t="s">
        <v>397</v>
      </c>
      <c r="C208" s="228">
        <v>2.286</v>
      </c>
      <c r="D208" s="228">
        <v>439.42</v>
      </c>
      <c r="E208" s="228">
        <f t="shared" si="273"/>
        <v>518.51559999999995</v>
      </c>
      <c r="F208" s="228">
        <f>C208</f>
        <v>2.286</v>
      </c>
      <c r="G208" s="228">
        <v>468.31</v>
      </c>
      <c r="H208" s="228">
        <f t="shared" si="258"/>
        <v>552.60579999999993</v>
      </c>
      <c r="I208" s="228">
        <f>F208</f>
        <v>2.286</v>
      </c>
      <c r="J208" s="228">
        <v>489.03</v>
      </c>
      <c r="K208" s="228">
        <f t="shared" si="259"/>
        <v>577.05539999999996</v>
      </c>
      <c r="L208" s="229">
        <f t="shared" si="318"/>
        <v>1.065745755768968</v>
      </c>
      <c r="M208" s="229">
        <f t="shared" si="319"/>
        <v>1.0442441972197904</v>
      </c>
      <c r="N208" s="229" t="s">
        <v>296</v>
      </c>
      <c r="O208" s="240"/>
      <c r="P208" s="240"/>
      <c r="Q208" s="228">
        <f t="shared" si="320"/>
        <v>0</v>
      </c>
      <c r="R208" s="228"/>
      <c r="S208" s="228"/>
      <c r="T208" s="240"/>
      <c r="U208" s="228"/>
      <c r="V208" s="228"/>
      <c r="W208" s="228"/>
      <c r="X208" s="228"/>
      <c r="Y208" s="229"/>
      <c r="Z208" s="229"/>
      <c r="AA208" s="228"/>
      <c r="AB208" s="228"/>
      <c r="AC208" s="228"/>
      <c r="AD208" s="228"/>
      <c r="AE208" s="230"/>
      <c r="AF208" s="228"/>
      <c r="AG208" s="228">
        <v>65.069999999999993</v>
      </c>
      <c r="AH208" s="228">
        <f t="shared" si="325"/>
        <v>76.782599999999988</v>
      </c>
      <c r="AI208" s="228"/>
      <c r="AJ208" s="228">
        <v>69.78</v>
      </c>
      <c r="AK208" s="228">
        <f t="shared" si="337"/>
        <v>82.340400000000002</v>
      </c>
      <c r="AL208" s="229"/>
      <c r="AM208" s="229">
        <f>AK208/AH208</f>
        <v>1.0723835869064087</v>
      </c>
      <c r="AN208" s="240"/>
      <c r="AO208" s="240"/>
      <c r="AP208" s="228"/>
      <c r="AQ208" s="228"/>
      <c r="AR208" s="240"/>
      <c r="AS208" s="240"/>
      <c r="AT208" s="228"/>
      <c r="AU208" s="228"/>
      <c r="AV208" s="228"/>
      <c r="AW208" s="228"/>
      <c r="AX208" s="229"/>
      <c r="AY208" s="229"/>
      <c r="AZ208" s="229"/>
      <c r="BA208" s="230"/>
    </row>
    <row r="209" spans="1:53" s="279" customFormat="1" ht="15.75" hidden="1">
      <c r="A209" s="245" t="s">
        <v>159</v>
      </c>
      <c r="B209" s="245" t="s">
        <v>398</v>
      </c>
      <c r="C209" s="228">
        <f>410.93/2</f>
        <v>205.465</v>
      </c>
      <c r="D209" s="228">
        <v>58.12</v>
      </c>
      <c r="E209" s="228">
        <f t="shared" si="273"/>
        <v>58.12</v>
      </c>
      <c r="F209" s="228">
        <f>385.93/2</f>
        <v>192.965</v>
      </c>
      <c r="G209" s="228">
        <v>60.11</v>
      </c>
      <c r="H209" s="228">
        <f t="shared" si="258"/>
        <v>60.11</v>
      </c>
      <c r="I209" s="228">
        <f>F209</f>
        <v>192.965</v>
      </c>
      <c r="J209" s="228">
        <v>65.209999999999994</v>
      </c>
      <c r="K209" s="228">
        <f t="shared" si="259"/>
        <v>65.209999999999994</v>
      </c>
      <c r="L209" s="229">
        <f t="shared" si="318"/>
        <v>0.97131884253147505</v>
      </c>
      <c r="M209" s="229">
        <f t="shared" si="319"/>
        <v>1.0848444518382965</v>
      </c>
      <c r="N209" s="229" t="s">
        <v>297</v>
      </c>
      <c r="O209" s="252">
        <f>325.43/2</f>
        <v>162.715</v>
      </c>
      <c r="P209" s="252">
        <v>36.729999999999997</v>
      </c>
      <c r="Q209" s="228">
        <f t="shared" si="320"/>
        <v>36.729999999999997</v>
      </c>
      <c r="R209" s="228"/>
      <c r="S209" s="228">
        <f>325.43/2</f>
        <v>162.715</v>
      </c>
      <c r="T209" s="252">
        <v>39.340000000000003</v>
      </c>
      <c r="U209" s="228">
        <f t="shared" ref="U209:U214" si="339">IF(B209="ОСНО",T209*1.18,T209)</f>
        <v>39.340000000000003</v>
      </c>
      <c r="V209" s="228">
        <f t="shared" si="334"/>
        <v>162.715</v>
      </c>
      <c r="W209" s="228">
        <v>40.909999999999997</v>
      </c>
      <c r="X209" s="228">
        <f t="shared" ref="X209:X214" si="340">IF(B209="ОСНО",W209*1.18,W209)</f>
        <v>40.909999999999997</v>
      </c>
      <c r="Y209" s="229">
        <f>(T209*S209)/(P209*O209)</f>
        <v>1.0710590797713044</v>
      </c>
      <c r="Z209" s="229">
        <f t="shared" ref="Z209:Z214" si="341">(X209*V209)/(U209*S209)</f>
        <v>1.0399084900864259</v>
      </c>
      <c r="AA209" s="228">
        <f>292.94/2</f>
        <v>146.47</v>
      </c>
      <c r="AB209" s="228">
        <v>53.58</v>
      </c>
      <c r="AC209" s="228">
        <f t="shared" ref="AC209:AC214" si="342">IF(B209="ОСНО",AB209*1.18,AB209)</f>
        <v>53.58</v>
      </c>
      <c r="AD209" s="228"/>
      <c r="AE209" s="230">
        <f t="shared" ref="AE209:AE214" si="343">(J209-W209)*V209+(G209-T209)*O209</f>
        <v>7333.5650499999992</v>
      </c>
      <c r="AF209" s="228">
        <f>284.72/2</f>
        <v>142.36000000000001</v>
      </c>
      <c r="AG209" s="228">
        <v>53.58</v>
      </c>
      <c r="AH209" s="228">
        <f t="shared" si="325"/>
        <v>53.58</v>
      </c>
      <c r="AI209" s="228">
        <f>AF209</f>
        <v>142.36000000000001</v>
      </c>
      <c r="AJ209" s="228">
        <v>59.63</v>
      </c>
      <c r="AK209" s="228">
        <f t="shared" si="337"/>
        <v>59.63</v>
      </c>
      <c r="AL209" s="229">
        <f t="shared" si="330"/>
        <v>0.97193964634396135</v>
      </c>
      <c r="AM209" s="209">
        <f t="shared" si="331"/>
        <v>1.1129152668906308</v>
      </c>
      <c r="AN209" s="240">
        <f>241.34/2</f>
        <v>120.67</v>
      </c>
      <c r="AO209" s="240">
        <v>26.7</v>
      </c>
      <c r="AP209" s="228">
        <f>IF(B209="ОСНО",AO209*1.18,AO209)</f>
        <v>26.7</v>
      </c>
      <c r="AQ209" s="228"/>
      <c r="AR209" s="240">
        <f>235.52/2</f>
        <v>117.76</v>
      </c>
      <c r="AS209" s="240">
        <v>28.6</v>
      </c>
      <c r="AT209" s="228">
        <f>IF(B209="ОСНО",AS209*1.18,AS209)</f>
        <v>28.6</v>
      </c>
      <c r="AU209" s="228">
        <f>AR209</f>
        <v>117.76</v>
      </c>
      <c r="AV209" s="228">
        <v>29.74</v>
      </c>
      <c r="AW209" s="228">
        <f>IF(B209="ОСНО",AV209*1.18,AV209)</f>
        <v>29.74</v>
      </c>
      <c r="AX209" s="229">
        <f t="shared" si="332"/>
        <v>1.0453296187422969</v>
      </c>
      <c r="AY209" s="229">
        <f t="shared" si="333"/>
        <v>1.0398601398601399</v>
      </c>
      <c r="AZ209" s="229"/>
      <c r="BA209" s="230">
        <f t="shared" si="338"/>
        <v>6461.4912000000004</v>
      </c>
    </row>
    <row r="210" spans="1:53" s="279" customFormat="1" ht="15.75" hidden="1">
      <c r="A210" s="245" t="s">
        <v>160</v>
      </c>
      <c r="B210" s="245" t="s">
        <v>397</v>
      </c>
      <c r="C210" s="228">
        <f>481.61/2</f>
        <v>240.80500000000001</v>
      </c>
      <c r="D210" s="228">
        <v>26.65</v>
      </c>
      <c r="E210" s="228">
        <f t="shared" si="273"/>
        <v>31.446999999999996</v>
      </c>
      <c r="F210" s="228">
        <f t="shared" si="317"/>
        <v>240.80500000000001</v>
      </c>
      <c r="G210" s="228">
        <v>26.65</v>
      </c>
      <c r="H210" s="228">
        <f t="shared" si="258"/>
        <v>31.446999999999996</v>
      </c>
      <c r="I210" s="228">
        <f t="shared" ref="I210:I214" si="344">F210</f>
        <v>240.80500000000001</v>
      </c>
      <c r="J210" s="228">
        <v>28.64</v>
      </c>
      <c r="K210" s="228">
        <f t="shared" si="259"/>
        <v>33.795200000000001</v>
      </c>
      <c r="L210" s="229">
        <f t="shared" si="318"/>
        <v>1</v>
      </c>
      <c r="M210" s="229">
        <f t="shared" si="319"/>
        <v>1.0746716697936212</v>
      </c>
      <c r="N210" s="229" t="s">
        <v>290</v>
      </c>
      <c r="O210" s="252">
        <f>327.54/2</f>
        <v>163.77000000000001</v>
      </c>
      <c r="P210" s="252">
        <v>20.46</v>
      </c>
      <c r="Q210" s="228">
        <f t="shared" si="320"/>
        <v>24.142800000000001</v>
      </c>
      <c r="R210" s="228"/>
      <c r="S210" s="228">
        <f t="shared" si="321"/>
        <v>163.77000000000001</v>
      </c>
      <c r="T210" s="252">
        <v>21.91</v>
      </c>
      <c r="U210" s="228">
        <f t="shared" si="339"/>
        <v>25.8538</v>
      </c>
      <c r="V210" s="228">
        <f t="shared" si="334"/>
        <v>163.77000000000001</v>
      </c>
      <c r="W210" s="228">
        <v>22.79</v>
      </c>
      <c r="X210" s="228">
        <f t="shared" si="340"/>
        <v>26.892199999999999</v>
      </c>
      <c r="Y210" s="229">
        <f>(T210*S210)/(P210*O210)</f>
        <v>1.0708699902248289</v>
      </c>
      <c r="Z210" s="229">
        <f t="shared" si="341"/>
        <v>1.0401643085349155</v>
      </c>
      <c r="AA210" s="228">
        <f>400.11/2</f>
        <v>200.05500000000001</v>
      </c>
      <c r="AB210" s="228">
        <v>32.74</v>
      </c>
      <c r="AC210" s="228">
        <f t="shared" si="342"/>
        <v>38.633200000000002</v>
      </c>
      <c r="AD210" s="228"/>
      <c r="AE210" s="230">
        <f t="shared" si="343"/>
        <v>1734.3243000000002</v>
      </c>
      <c r="AF210" s="228">
        <f>AA210</f>
        <v>200.05500000000001</v>
      </c>
      <c r="AG210" s="228">
        <v>36.83</v>
      </c>
      <c r="AH210" s="228">
        <f t="shared" si="325"/>
        <v>43.459399999999995</v>
      </c>
      <c r="AI210" s="228">
        <f>AF210</f>
        <v>200.05500000000001</v>
      </c>
      <c r="AJ210" s="228">
        <v>41.98</v>
      </c>
      <c r="AK210" s="228">
        <f t="shared" si="337"/>
        <v>49.536399999999993</v>
      </c>
      <c r="AL210" s="229">
        <f t="shared" si="330"/>
        <v>1.124923640806353</v>
      </c>
      <c r="AM210" s="229">
        <f t="shared" si="331"/>
        <v>1.1398316589736628</v>
      </c>
      <c r="AN210" s="240">
        <f>287.24/2</f>
        <v>143.62</v>
      </c>
      <c r="AO210" s="240">
        <v>15.16</v>
      </c>
      <c r="AP210" s="228">
        <f>IF(B210="ОСНО",AO210*1.18,AO210)</f>
        <v>17.8888</v>
      </c>
      <c r="AQ210" s="228"/>
      <c r="AR210" s="240">
        <f t="shared" ref="AR210" si="345">AN210</f>
        <v>143.62</v>
      </c>
      <c r="AS210" s="240">
        <v>16.239999999999998</v>
      </c>
      <c r="AT210" s="228">
        <f>IF(B210="ОСНО",AS210*1.18,AS210)</f>
        <v>19.163199999999996</v>
      </c>
      <c r="AU210" s="228">
        <f>AR210</f>
        <v>143.62</v>
      </c>
      <c r="AV210" s="228">
        <f>AS210*1.04</f>
        <v>16.889599999999998</v>
      </c>
      <c r="AW210" s="228">
        <f>IF(B210="ОСНО",AV210*1.18,AV210)</f>
        <v>19.929727999999997</v>
      </c>
      <c r="AX210" s="229">
        <f t="shared" si="332"/>
        <v>1.0712401055408971</v>
      </c>
      <c r="AY210" s="229">
        <f t="shared" si="333"/>
        <v>1.04</v>
      </c>
      <c r="AZ210" s="229"/>
      <c r="BA210" s="230">
        <f t="shared" si="338"/>
        <v>6560.6190480000005</v>
      </c>
    </row>
    <row r="211" spans="1:53" s="279" customFormat="1" ht="15.75" hidden="1" customHeight="1">
      <c r="A211" s="245" t="s">
        <v>161</v>
      </c>
      <c r="B211" s="245" t="s">
        <v>397</v>
      </c>
      <c r="C211" s="228">
        <f>111.26/2</f>
        <v>55.63</v>
      </c>
      <c r="D211" s="228">
        <v>19.84</v>
      </c>
      <c r="E211" s="228">
        <f t="shared" si="273"/>
        <v>23.411199999999997</v>
      </c>
      <c r="F211" s="228">
        <f>111.26/2</f>
        <v>55.63</v>
      </c>
      <c r="G211" s="228">
        <v>21.16</v>
      </c>
      <c r="H211" s="228">
        <f t="shared" si="258"/>
        <v>24.968799999999998</v>
      </c>
      <c r="I211" s="228">
        <f t="shared" si="344"/>
        <v>55.63</v>
      </c>
      <c r="J211" s="228">
        <v>21.44</v>
      </c>
      <c r="K211" s="228">
        <f t="shared" si="259"/>
        <v>25.299199999999999</v>
      </c>
      <c r="L211" s="229">
        <f t="shared" si="318"/>
        <v>1.0665322580645162</v>
      </c>
      <c r="M211" s="229">
        <f t="shared" si="319"/>
        <v>1.0132325141776939</v>
      </c>
      <c r="N211" s="229" t="s">
        <v>292</v>
      </c>
      <c r="O211" s="252">
        <f>82.27/2</f>
        <v>41.134999999999998</v>
      </c>
      <c r="P211" s="252">
        <v>19.84</v>
      </c>
      <c r="Q211" s="228">
        <f t="shared" si="320"/>
        <v>23.411199999999997</v>
      </c>
      <c r="R211" s="228"/>
      <c r="S211" s="228">
        <f>82.27/2</f>
        <v>41.134999999999998</v>
      </c>
      <c r="T211" s="252">
        <v>21.16</v>
      </c>
      <c r="U211" s="228">
        <f t="shared" si="339"/>
        <v>24.968799999999998</v>
      </c>
      <c r="V211" s="228">
        <f t="shared" si="334"/>
        <v>41.134999999999998</v>
      </c>
      <c r="W211" s="228">
        <f>J211</f>
        <v>21.44</v>
      </c>
      <c r="X211" s="228">
        <f t="shared" si="340"/>
        <v>25.299199999999999</v>
      </c>
      <c r="Y211" s="229">
        <f>(T211*S211)/(P211*O211)</f>
        <v>1.0665322580645162</v>
      </c>
      <c r="Z211" s="229">
        <f t="shared" si="341"/>
        <v>1.0132325141776939</v>
      </c>
      <c r="AA211" s="228"/>
      <c r="AB211" s="228"/>
      <c r="AC211" s="228">
        <f t="shared" si="342"/>
        <v>0</v>
      </c>
      <c r="AD211" s="228"/>
      <c r="AE211" s="230">
        <f t="shared" si="343"/>
        <v>0</v>
      </c>
      <c r="AF211" s="228"/>
      <c r="AG211" s="228"/>
      <c r="AH211" s="228">
        <f t="shared" si="325"/>
        <v>0</v>
      </c>
      <c r="AI211" s="228"/>
      <c r="AJ211" s="228"/>
      <c r="AK211" s="228">
        <f t="shared" si="337"/>
        <v>0</v>
      </c>
      <c r="AL211" s="229"/>
      <c r="AM211" s="229"/>
      <c r="AN211" s="240"/>
      <c r="AO211" s="240"/>
      <c r="AP211" s="228"/>
      <c r="AQ211" s="228"/>
      <c r="AR211" s="240"/>
      <c r="AS211" s="240"/>
      <c r="AT211" s="228"/>
      <c r="AU211" s="228"/>
      <c r="AV211" s="228"/>
      <c r="AW211" s="228"/>
      <c r="AX211" s="229"/>
      <c r="AY211" s="229"/>
      <c r="AZ211" s="229"/>
      <c r="BA211" s="230"/>
    </row>
    <row r="212" spans="1:53" s="279" customFormat="1" ht="15.75" hidden="1">
      <c r="A212" s="245" t="s">
        <v>162</v>
      </c>
      <c r="B212" s="245" t="s">
        <v>397</v>
      </c>
      <c r="C212" s="228">
        <f>5.22/2</f>
        <v>2.61</v>
      </c>
      <c r="D212" s="228">
        <v>51.53</v>
      </c>
      <c r="E212" s="228">
        <f t="shared" si="273"/>
        <v>60.805399999999999</v>
      </c>
      <c r="F212" s="228">
        <f>5.22/2</f>
        <v>2.61</v>
      </c>
      <c r="G212" s="228">
        <v>52.89</v>
      </c>
      <c r="H212" s="228">
        <f t="shared" si="258"/>
        <v>62.410199999999996</v>
      </c>
      <c r="I212" s="228">
        <f t="shared" si="344"/>
        <v>2.61</v>
      </c>
      <c r="J212" s="228">
        <v>57.01</v>
      </c>
      <c r="K212" s="228">
        <f t="shared" si="259"/>
        <v>67.271799999999999</v>
      </c>
      <c r="L212" s="229">
        <f t="shared" si="318"/>
        <v>1.0263923927809042</v>
      </c>
      <c r="M212" s="229">
        <f t="shared" si="319"/>
        <v>1.0778975231612782</v>
      </c>
      <c r="N212" s="229" t="s">
        <v>298</v>
      </c>
      <c r="O212" s="252">
        <f>3.495/2</f>
        <v>1.7475000000000001</v>
      </c>
      <c r="P212" s="252">
        <v>26.44</v>
      </c>
      <c r="Q212" s="228">
        <f t="shared" si="320"/>
        <v>31.199200000000001</v>
      </c>
      <c r="R212" s="228"/>
      <c r="S212" s="228">
        <f>3.495/2</f>
        <v>1.7475000000000001</v>
      </c>
      <c r="T212" s="252">
        <v>28.32</v>
      </c>
      <c r="U212" s="228">
        <f t="shared" si="339"/>
        <v>33.4176</v>
      </c>
      <c r="V212" s="228">
        <f t="shared" si="334"/>
        <v>1.7475000000000001</v>
      </c>
      <c r="W212" s="228">
        <v>29.45</v>
      </c>
      <c r="X212" s="228">
        <f t="shared" si="340"/>
        <v>34.750999999999998</v>
      </c>
      <c r="Y212" s="229">
        <f>(T212*S212)/(P212*O212)</f>
        <v>1.0711043872919819</v>
      </c>
      <c r="Z212" s="229">
        <f t="shared" si="341"/>
        <v>1.0399011299435028</v>
      </c>
      <c r="AA212" s="228"/>
      <c r="AB212" s="228"/>
      <c r="AC212" s="228">
        <f t="shared" si="342"/>
        <v>0</v>
      </c>
      <c r="AD212" s="228"/>
      <c r="AE212" s="230">
        <f t="shared" si="343"/>
        <v>91.097174999999993</v>
      </c>
      <c r="AF212" s="228"/>
      <c r="AG212" s="228"/>
      <c r="AH212" s="228">
        <f t="shared" si="325"/>
        <v>0</v>
      </c>
      <c r="AI212" s="228"/>
      <c r="AJ212" s="228"/>
      <c r="AK212" s="228">
        <f t="shared" si="337"/>
        <v>0</v>
      </c>
      <c r="AL212" s="229"/>
      <c r="AM212" s="229"/>
      <c r="AN212" s="240"/>
      <c r="AO212" s="240"/>
      <c r="AP212" s="228"/>
      <c r="AQ212" s="228"/>
      <c r="AR212" s="240"/>
      <c r="AS212" s="240"/>
      <c r="AT212" s="228"/>
      <c r="AU212" s="228"/>
      <c r="AV212" s="228"/>
      <c r="AW212" s="228"/>
      <c r="AX212" s="229"/>
      <c r="AY212" s="229"/>
      <c r="AZ212" s="229"/>
      <c r="BA212" s="230"/>
    </row>
    <row r="213" spans="1:53" s="279" customFormat="1" ht="19.5" hidden="1" customHeight="1">
      <c r="A213" s="245" t="s">
        <v>448</v>
      </c>
      <c r="B213" s="245" t="s">
        <v>398</v>
      </c>
      <c r="C213" s="228"/>
      <c r="D213" s="228"/>
      <c r="E213" s="228"/>
      <c r="F213" s="228">
        <f>5.52/2</f>
        <v>2.76</v>
      </c>
      <c r="G213" s="228">
        <v>140.32</v>
      </c>
      <c r="H213" s="228">
        <f t="shared" si="258"/>
        <v>140.32</v>
      </c>
      <c r="I213" s="228">
        <f t="shared" si="344"/>
        <v>2.76</v>
      </c>
      <c r="J213" s="228">
        <v>156.4</v>
      </c>
      <c r="K213" s="228">
        <f t="shared" si="259"/>
        <v>156.4</v>
      </c>
      <c r="L213" s="229"/>
      <c r="M213" s="229">
        <f t="shared" si="319"/>
        <v>1.1145952109464083</v>
      </c>
      <c r="N213" s="229"/>
      <c r="O213" s="252"/>
      <c r="P213" s="252"/>
      <c r="Q213" s="228"/>
      <c r="R213" s="228"/>
      <c r="S213" s="228">
        <f>5.32/2</f>
        <v>2.66</v>
      </c>
      <c r="T213" s="252">
        <v>85.36</v>
      </c>
      <c r="U213" s="228">
        <f t="shared" si="339"/>
        <v>85.36</v>
      </c>
      <c r="V213" s="228">
        <f t="shared" si="334"/>
        <v>2.66</v>
      </c>
      <c r="W213" s="228">
        <v>88.77</v>
      </c>
      <c r="X213" s="228">
        <f t="shared" si="340"/>
        <v>88.77</v>
      </c>
      <c r="Y213" s="229"/>
      <c r="Z213" s="229">
        <f t="shared" si="341"/>
        <v>1.0399484536082473</v>
      </c>
      <c r="AA213" s="228"/>
      <c r="AB213" s="228"/>
      <c r="AC213" s="228">
        <f t="shared" si="342"/>
        <v>0</v>
      </c>
      <c r="AD213" s="228"/>
      <c r="AE213" s="230">
        <f t="shared" si="343"/>
        <v>179.89580000000004</v>
      </c>
      <c r="AF213" s="228"/>
      <c r="AG213" s="228"/>
      <c r="AH213" s="228">
        <f t="shared" si="325"/>
        <v>0</v>
      </c>
      <c r="AI213" s="228"/>
      <c r="AJ213" s="228"/>
      <c r="AK213" s="228">
        <f t="shared" si="337"/>
        <v>0</v>
      </c>
      <c r="AL213" s="229"/>
      <c r="AM213" s="229"/>
      <c r="AN213" s="240"/>
      <c r="AO213" s="240"/>
      <c r="AP213" s="228"/>
      <c r="AQ213" s="228"/>
      <c r="AR213" s="240"/>
      <c r="AS213" s="240"/>
      <c r="AT213" s="228"/>
      <c r="AU213" s="228"/>
      <c r="AV213" s="228"/>
      <c r="AW213" s="228"/>
      <c r="AX213" s="229"/>
      <c r="AY213" s="229"/>
      <c r="AZ213" s="229"/>
      <c r="BA213" s="230"/>
    </row>
    <row r="214" spans="1:53" s="279" customFormat="1" ht="15.75" hidden="1">
      <c r="A214" s="245" t="s">
        <v>447</v>
      </c>
      <c r="B214" s="245" t="s">
        <v>398</v>
      </c>
      <c r="C214" s="228">
        <f>5.42/2</f>
        <v>2.71</v>
      </c>
      <c r="D214" s="228"/>
      <c r="E214" s="228"/>
      <c r="F214" s="228">
        <f t="shared" si="317"/>
        <v>2.71</v>
      </c>
      <c r="G214" s="228">
        <v>146.63999999999999</v>
      </c>
      <c r="H214" s="228">
        <f t="shared" si="258"/>
        <v>146.63999999999999</v>
      </c>
      <c r="I214" s="228">
        <f t="shared" si="344"/>
        <v>2.71</v>
      </c>
      <c r="J214" s="228">
        <v>162.88999999999999</v>
      </c>
      <c r="K214" s="228">
        <f t="shared" si="259"/>
        <v>162.88999999999999</v>
      </c>
      <c r="L214" s="229"/>
      <c r="M214" s="229">
        <f t="shared" si="319"/>
        <v>1.1108156028368794</v>
      </c>
      <c r="N214" s="229"/>
      <c r="O214" s="252"/>
      <c r="P214" s="252"/>
      <c r="Q214" s="228"/>
      <c r="R214" s="228"/>
      <c r="S214" s="228">
        <f>5.03/2</f>
        <v>2.5150000000000001</v>
      </c>
      <c r="T214" s="252">
        <v>85.36</v>
      </c>
      <c r="U214" s="228">
        <f t="shared" si="339"/>
        <v>85.36</v>
      </c>
      <c r="V214" s="228">
        <f t="shared" si="334"/>
        <v>2.5150000000000001</v>
      </c>
      <c r="W214" s="228">
        <v>88.77</v>
      </c>
      <c r="X214" s="228">
        <f t="shared" si="340"/>
        <v>88.77</v>
      </c>
      <c r="Y214" s="229"/>
      <c r="Z214" s="229">
        <f t="shared" si="341"/>
        <v>1.0399484536082473</v>
      </c>
      <c r="AA214" s="228"/>
      <c r="AB214" s="228"/>
      <c r="AC214" s="228">
        <f t="shared" si="342"/>
        <v>0</v>
      </c>
      <c r="AD214" s="228"/>
      <c r="AE214" s="230">
        <f t="shared" si="343"/>
        <v>186.41179999999997</v>
      </c>
      <c r="AF214" s="228"/>
      <c r="AG214" s="228"/>
      <c r="AH214" s="228">
        <f t="shared" si="325"/>
        <v>0</v>
      </c>
      <c r="AI214" s="228"/>
      <c r="AJ214" s="228"/>
      <c r="AK214" s="228">
        <f t="shared" si="337"/>
        <v>0</v>
      </c>
      <c r="AL214" s="229"/>
      <c r="AM214" s="229"/>
      <c r="AN214" s="240"/>
      <c r="AO214" s="240"/>
      <c r="AP214" s="228"/>
      <c r="AQ214" s="228"/>
      <c r="AR214" s="240"/>
      <c r="AS214" s="240"/>
      <c r="AT214" s="228"/>
      <c r="AU214" s="228"/>
      <c r="AV214" s="228"/>
      <c r="AW214" s="228"/>
      <c r="AX214" s="229"/>
      <c r="AY214" s="229"/>
      <c r="AZ214" s="229"/>
      <c r="BA214" s="230"/>
    </row>
    <row r="215" spans="1:53" s="216" customFormat="1" ht="27" customHeight="1">
      <c r="A215" s="185" t="s">
        <v>163</v>
      </c>
      <c r="B215" s="185"/>
      <c r="C215" s="42">
        <f>SUM(C216:C225)</f>
        <v>280.02300000000002</v>
      </c>
      <c r="D215" s="42">
        <f>SUMPRODUCT(C216:C225,D216:D225)/C215</f>
        <v>41.090746063716189</v>
      </c>
      <c r="E215" s="42">
        <f>SUMPRODUCT(C216:C225,E216:E225)/C215</f>
        <v>45.127123432718015</v>
      </c>
      <c r="F215" s="42">
        <f>SUM(F216:F225)</f>
        <v>267.15550000000002</v>
      </c>
      <c r="G215" s="42">
        <f>SUMPRODUCT(F216:F225,G216:G225)/F215</f>
        <v>42.958788720426853</v>
      </c>
      <c r="H215" s="42">
        <f>SUMPRODUCT(F216:F225,H216:H225)/F215</f>
        <v>48.194724614690678</v>
      </c>
      <c r="I215" s="42">
        <f>SUM(I216:I225)</f>
        <v>267.15550000000002</v>
      </c>
      <c r="J215" s="42">
        <f>SUMPRODUCT(I216:I225,J216:J225)/I215</f>
        <v>47.39162396057727</v>
      </c>
      <c r="K215" s="42">
        <f>SUMPRODUCT(I216:I225,K216:K225)/I215</f>
        <v>53.228057374076144</v>
      </c>
      <c r="L215" s="84">
        <f>G215/D215</f>
        <v>1.0454613954639334</v>
      </c>
      <c r="M215" s="84">
        <f>J215/G215</f>
        <v>1.1031880872852127</v>
      </c>
      <c r="N215" s="84"/>
      <c r="O215" s="42">
        <f>SUM(O216:O225)</f>
        <v>209.482</v>
      </c>
      <c r="P215" s="42">
        <f>SUMPRODUCT(O216:O225,P216:P225)/O215</f>
        <v>25.084680187319197</v>
      </c>
      <c r="Q215" s="42">
        <f>SUMPRODUCT(O216:O225,Q216:Q225)/O215</f>
        <v>28.450153115780836</v>
      </c>
      <c r="R215" s="84">
        <f>K215/H215</f>
        <v>1.104437421307543</v>
      </c>
      <c r="S215" s="42">
        <f>SUM(S216:S225)</f>
        <v>201.77050000000003</v>
      </c>
      <c r="T215" s="42">
        <f>SUMPRODUCT(S216:S225,T216:T225)/S215</f>
        <v>26.574521126725653</v>
      </c>
      <c r="U215" s="42">
        <f>SUMPRODUCT(S216:S225,U216:U225)/S215</f>
        <v>30.092633908326533</v>
      </c>
      <c r="V215" s="42">
        <f>SUM(V216:V225)</f>
        <v>201.77050000000003</v>
      </c>
      <c r="W215" s="42">
        <f>SUMPRODUCT(V216:V225,W216:W225)/V215</f>
        <v>27.741574962643199</v>
      </c>
      <c r="X215" s="42">
        <f>SUMPRODUCT(V216:V225,X216:X225)/V215</f>
        <v>31.412973603376106</v>
      </c>
      <c r="Y215" s="84">
        <f t="shared" ref="Y215:Y226" si="346">T215/P215</f>
        <v>1.0593924629806364</v>
      </c>
      <c r="Z215" s="84">
        <f>W215/T215</f>
        <v>1.0439162696611626</v>
      </c>
      <c r="AA215" s="42">
        <f>SUM(AA216:AA225)</f>
        <v>211.11500000000001</v>
      </c>
      <c r="AB215" s="42">
        <f>SUMPRODUCT(AA216:AA225,AB216:AB225)/AA215</f>
        <v>47.396857281576395</v>
      </c>
      <c r="AC215" s="42">
        <f>SUMPRODUCT(AA216:AA225,AC216:AC225)/AA215</f>
        <v>53.765822885631053</v>
      </c>
      <c r="AD215" s="84">
        <f>X215/U215</f>
        <v>1.0438758434729185</v>
      </c>
      <c r="AE215" s="222">
        <f>SUM(AE216:AE225)</f>
        <v>7317.9168389999995</v>
      </c>
      <c r="AF215" s="42">
        <f>SUM(AF216:AF225)</f>
        <v>203.01750000000001</v>
      </c>
      <c r="AG215" s="42">
        <f>SUMPRODUCT(AF216:AF225,AG216:AG225)/AF215</f>
        <v>50.015843461770537</v>
      </c>
      <c r="AH215" s="42">
        <f>SUMPRODUCT(AF216:AF225,AH216:AH225)/AF215</f>
        <v>58.423912308052259</v>
      </c>
      <c r="AI215" s="42">
        <f>SUM(AI216:AI225)</f>
        <v>203.01750000000001</v>
      </c>
      <c r="AJ215" s="42">
        <f>SUMPRODUCT(AI216:AI225,AJ216:AJ225)/AI215</f>
        <v>56.932017313778367</v>
      </c>
      <c r="AK215" s="42">
        <f>SUMPRODUCT(AI216:AI225,AK216:AK225)/AI215</f>
        <v>66.513668915241297</v>
      </c>
      <c r="AL215" s="84">
        <f>AG215/AB215</f>
        <v>1.0552565366229918</v>
      </c>
      <c r="AM215" s="84">
        <f>AJ215/AG215</f>
        <v>1.1382796604698706</v>
      </c>
      <c r="AN215" s="42">
        <f>SUM(AN216:AN225)</f>
        <v>164.078</v>
      </c>
      <c r="AO215" s="42">
        <f>SUMPRODUCT(AN216:AN225,AO216:AO225)/AN215</f>
        <v>25.132462548300197</v>
      </c>
      <c r="AP215" s="42">
        <f>SUMPRODUCT(AN216:AN225,AP216:AP225)/AN215</f>
        <v>29.376328454759317</v>
      </c>
      <c r="AQ215" s="84">
        <f>AK215/AH215</f>
        <v>1.1384665334381256</v>
      </c>
      <c r="AR215" s="42">
        <f>SUM(AR216:AR225)</f>
        <v>197.92500000000001</v>
      </c>
      <c r="AS215" s="42">
        <f>SUMPRODUCT(AR216:AR225,AS216:AS225)/AR215</f>
        <v>26.743159782745984</v>
      </c>
      <c r="AT215" s="42">
        <f>SUMPRODUCT(AR216:AR225,AT216:AT225)/AR215</f>
        <v>31.313462139699382</v>
      </c>
      <c r="AU215" s="42">
        <f>SUM(AU216:AU225)</f>
        <v>197.92500000000001</v>
      </c>
      <c r="AV215" s="42">
        <f>SUMPRODUCT(AU216:AU225,AV216:AV225)/AU215</f>
        <v>27.841450367563471</v>
      </c>
      <c r="AW215" s="42">
        <f>SUMPRODUCT(AU216:AU225,AW216:AW225)/AU215</f>
        <v>32.599706373626375</v>
      </c>
      <c r="AX215" s="84">
        <f>AS215/AO215</f>
        <v>1.064088317304773</v>
      </c>
      <c r="AY215" s="84">
        <f>AV215/AS215</f>
        <v>1.0410680934392083</v>
      </c>
      <c r="AZ215" s="84">
        <f>AW215/AT215</f>
        <v>1.04107639801018</v>
      </c>
      <c r="BA215" s="225">
        <f>SUM(BA216:BA225)</f>
        <v>10018.985786000001</v>
      </c>
    </row>
    <row r="216" spans="1:53" s="279" customFormat="1" ht="15.75" hidden="1">
      <c r="A216" s="245" t="s">
        <v>164</v>
      </c>
      <c r="B216" s="245" t="s">
        <v>398</v>
      </c>
      <c r="C216" s="228">
        <f>16.111/2</f>
        <v>8.0555000000000003</v>
      </c>
      <c r="D216" s="228">
        <v>55.15</v>
      </c>
      <c r="E216" s="228">
        <f t="shared" si="273"/>
        <v>55.15</v>
      </c>
      <c r="F216" s="228">
        <f>15.91/2</f>
        <v>7.9550000000000001</v>
      </c>
      <c r="G216" s="228">
        <v>59.56</v>
      </c>
      <c r="H216" s="228">
        <f t="shared" si="258"/>
        <v>59.56</v>
      </c>
      <c r="I216" s="228">
        <f t="shared" ref="I216:I221" si="347">F216</f>
        <v>7.9550000000000001</v>
      </c>
      <c r="J216" s="228">
        <v>62.15</v>
      </c>
      <c r="K216" s="228">
        <f t="shared" si="259"/>
        <v>62.15</v>
      </c>
      <c r="L216" s="229">
        <f>(G216*F216)/(D216*C216)</f>
        <v>1.0664901637455879</v>
      </c>
      <c r="M216" s="229">
        <f t="shared" ref="M216:M225" si="348">(K216*I216)/(H216*F216)</f>
        <v>1.0434855607790463</v>
      </c>
      <c r="N216" s="229" t="s">
        <v>299</v>
      </c>
      <c r="O216" s="252">
        <f>13.222/2</f>
        <v>6.6109999999999998</v>
      </c>
      <c r="P216" s="252">
        <v>25.05</v>
      </c>
      <c r="Q216" s="228">
        <f t="shared" ref="Q216:Q225" si="349">IF(B216="ОСНО",P216*1.18,P216)</f>
        <v>25.05</v>
      </c>
      <c r="R216" s="228"/>
      <c r="S216" s="252">
        <f>12.989/2</f>
        <v>6.4945000000000004</v>
      </c>
      <c r="T216" s="252">
        <v>27.18</v>
      </c>
      <c r="U216" s="228">
        <f t="shared" ref="U216:U225" si="350">IF(B216="ОСНО",T216*1.18,T216)</f>
        <v>27.18</v>
      </c>
      <c r="V216" s="228">
        <f>S216</f>
        <v>6.4945000000000004</v>
      </c>
      <c r="W216" s="228">
        <v>28.81</v>
      </c>
      <c r="X216" s="228">
        <f t="shared" ref="X216:X225" si="351">IF(B216="ОСНО",W216*1.18,W216)</f>
        <v>28.81</v>
      </c>
      <c r="Y216" s="229">
        <f t="shared" si="346"/>
        <v>1.0850299401197605</v>
      </c>
      <c r="Z216" s="229">
        <f t="shared" ref="Z216:Z225" si="352">(X216*V216)/(U216*S216)</f>
        <v>1.0599705665930832</v>
      </c>
      <c r="AA216" s="228"/>
      <c r="AB216" s="228"/>
      <c r="AC216" s="228">
        <f>IF(B216="ОСНО",AB216*1.18,AB216)</f>
        <v>0</v>
      </c>
      <c r="AD216" s="228"/>
      <c r="AE216" s="230">
        <f t="shared" ref="AE216:AE225" si="353">(J216-W216)*V216+(G216-T216)*O216</f>
        <v>430.59081000000003</v>
      </c>
      <c r="AF216" s="228"/>
      <c r="AG216" s="228"/>
      <c r="AH216" s="228">
        <f t="shared" ref="AH216:AH225" si="354">IF(B216="ОСНО",AG216*1.18,AG216)</f>
        <v>0</v>
      </c>
      <c r="AI216" s="228"/>
      <c r="AJ216" s="228"/>
      <c r="AK216" s="228">
        <f t="shared" ref="AK216:AK225" si="355">IF(B216="ОСНО",AJ216*1.18,AJ216)</f>
        <v>0</v>
      </c>
      <c r="AL216" s="229"/>
      <c r="AM216" s="229"/>
      <c r="AN216" s="239"/>
      <c r="AO216" s="239"/>
      <c r="AP216" s="228">
        <f t="shared" ref="AP216:AP225" si="356">IF(B216="ОСНО",AO216*1.18,AO216)</f>
        <v>0</v>
      </c>
      <c r="AQ216" s="228"/>
      <c r="AR216" s="239"/>
      <c r="AS216" s="239"/>
      <c r="AT216" s="228"/>
      <c r="AU216" s="228"/>
      <c r="AV216" s="228"/>
      <c r="AW216" s="228"/>
      <c r="AX216" s="249"/>
      <c r="AY216" s="229"/>
      <c r="AZ216" s="229"/>
      <c r="BA216" s="230"/>
    </row>
    <row r="217" spans="1:53" s="279" customFormat="1" ht="15.75" hidden="1">
      <c r="A217" s="245" t="s">
        <v>165</v>
      </c>
      <c r="B217" s="245" t="s">
        <v>398</v>
      </c>
      <c r="C217" s="228">
        <f>9.752/2</f>
        <v>4.8760000000000003</v>
      </c>
      <c r="D217" s="228">
        <v>56.42</v>
      </c>
      <c r="E217" s="228">
        <f t="shared" si="273"/>
        <v>56.42</v>
      </c>
      <c r="F217" s="228">
        <f t="shared" ref="F217:F224" si="357">C217</f>
        <v>4.8760000000000003</v>
      </c>
      <c r="G217" s="228">
        <v>59.68</v>
      </c>
      <c r="H217" s="228">
        <f t="shared" si="258"/>
        <v>59.68</v>
      </c>
      <c r="I217" s="228">
        <f t="shared" si="347"/>
        <v>4.8760000000000003</v>
      </c>
      <c r="J217" s="228">
        <v>62.41</v>
      </c>
      <c r="K217" s="228">
        <f t="shared" si="259"/>
        <v>62.41</v>
      </c>
      <c r="L217" s="229">
        <f t="shared" ref="L217:L225" si="358">(G217*F217)/(D217*C217)</f>
        <v>1.0577809287486706</v>
      </c>
      <c r="M217" s="229">
        <f t="shared" si="348"/>
        <v>1.0457439678284184</v>
      </c>
      <c r="N217" s="229" t="s">
        <v>300</v>
      </c>
      <c r="O217" s="252">
        <f>6.022/2</f>
        <v>3.0110000000000001</v>
      </c>
      <c r="P217" s="252">
        <v>25.05</v>
      </c>
      <c r="Q217" s="228">
        <f t="shared" si="349"/>
        <v>25.05</v>
      </c>
      <c r="R217" s="228"/>
      <c r="S217" s="252">
        <f t="shared" ref="S217:S224" si="359">O217</f>
        <v>3.0110000000000001</v>
      </c>
      <c r="T217" s="252">
        <v>27.18</v>
      </c>
      <c r="U217" s="228">
        <f t="shared" si="350"/>
        <v>27.18</v>
      </c>
      <c r="V217" s="228">
        <f t="shared" ref="V217:V225" si="360">S217</f>
        <v>3.0110000000000001</v>
      </c>
      <c r="W217" s="228">
        <v>28.27</v>
      </c>
      <c r="X217" s="228">
        <f t="shared" si="351"/>
        <v>28.27</v>
      </c>
      <c r="Y217" s="229">
        <f t="shared" si="346"/>
        <v>1.0850299401197605</v>
      </c>
      <c r="Z217" s="229">
        <f t="shared" si="352"/>
        <v>1.0401030169242089</v>
      </c>
      <c r="AA217" s="228"/>
      <c r="AB217" s="228"/>
      <c r="AC217" s="228">
        <f>IF(B217="ОСНО",AB217*1.18,AB217)</f>
        <v>0</v>
      </c>
      <c r="AD217" s="228"/>
      <c r="AE217" s="230">
        <f t="shared" si="353"/>
        <v>200.65304</v>
      </c>
      <c r="AF217" s="228"/>
      <c r="AG217" s="228"/>
      <c r="AH217" s="228">
        <f t="shared" si="354"/>
        <v>0</v>
      </c>
      <c r="AI217" s="228"/>
      <c r="AJ217" s="228"/>
      <c r="AK217" s="228">
        <f t="shared" si="355"/>
        <v>0</v>
      </c>
      <c r="AL217" s="229"/>
      <c r="AM217" s="229"/>
      <c r="AN217" s="228"/>
      <c r="AO217" s="228"/>
      <c r="AP217" s="228">
        <f t="shared" si="356"/>
        <v>0</v>
      </c>
      <c r="AQ217" s="228"/>
      <c r="AR217" s="228"/>
      <c r="AS217" s="228"/>
      <c r="AT217" s="228"/>
      <c r="AU217" s="228"/>
      <c r="AV217" s="228"/>
      <c r="AW217" s="228"/>
      <c r="AX217" s="249"/>
      <c r="AY217" s="229"/>
      <c r="AZ217" s="229"/>
      <c r="BA217" s="230"/>
    </row>
    <row r="218" spans="1:53" s="279" customFormat="1" ht="15.75" hidden="1">
      <c r="A218" s="245" t="s">
        <v>166</v>
      </c>
      <c r="B218" s="245" t="s">
        <v>398</v>
      </c>
      <c r="C218" s="228">
        <f>14.85/2</f>
        <v>7.4249999999999998</v>
      </c>
      <c r="D218" s="228">
        <v>41.44</v>
      </c>
      <c r="E218" s="228">
        <f t="shared" si="273"/>
        <v>41.44</v>
      </c>
      <c r="F218" s="228">
        <f t="shared" si="357"/>
        <v>7.4249999999999998</v>
      </c>
      <c r="G218" s="228">
        <v>44.23</v>
      </c>
      <c r="H218" s="228">
        <f t="shared" si="258"/>
        <v>44.23</v>
      </c>
      <c r="I218" s="228">
        <f t="shared" si="347"/>
        <v>7.4249999999999998</v>
      </c>
      <c r="J218" s="228">
        <v>47.04</v>
      </c>
      <c r="K218" s="228">
        <f t="shared" si="259"/>
        <v>47.04</v>
      </c>
      <c r="L218" s="229">
        <f t="shared" si="358"/>
        <v>1.067326254826255</v>
      </c>
      <c r="M218" s="229">
        <f t="shared" si="348"/>
        <v>1.0635315396789511</v>
      </c>
      <c r="N218" s="229" t="s">
        <v>301</v>
      </c>
      <c r="O218" s="252">
        <f>12.82/2</f>
        <v>6.41</v>
      </c>
      <c r="P218" s="252">
        <v>25.05</v>
      </c>
      <c r="Q218" s="228">
        <f t="shared" si="349"/>
        <v>25.05</v>
      </c>
      <c r="R218" s="228"/>
      <c r="S218" s="252">
        <f t="shared" si="359"/>
        <v>6.41</v>
      </c>
      <c r="T218" s="252">
        <v>26.83</v>
      </c>
      <c r="U218" s="228">
        <f t="shared" si="350"/>
        <v>26.83</v>
      </c>
      <c r="V218" s="228">
        <f t="shared" si="360"/>
        <v>6.41</v>
      </c>
      <c r="W218" s="228">
        <f t="shared" ref="W218:W219" si="361">T218*1.06</f>
        <v>28.439799999999998</v>
      </c>
      <c r="X218" s="228">
        <f t="shared" si="351"/>
        <v>28.439799999999998</v>
      </c>
      <c r="Y218" s="229">
        <f t="shared" si="346"/>
        <v>1.0710578842315368</v>
      </c>
      <c r="Z218" s="229">
        <f t="shared" si="352"/>
        <v>1.06</v>
      </c>
      <c r="AA218" s="228"/>
      <c r="AB218" s="228"/>
      <c r="AC218" s="228">
        <f>IF(B218="ОСНО",AB218*1.18,AB218)</f>
        <v>0</v>
      </c>
      <c r="AD218" s="228"/>
      <c r="AE218" s="230">
        <f t="shared" si="353"/>
        <v>230.76128199999999</v>
      </c>
      <c r="AF218" s="228"/>
      <c r="AG218" s="228"/>
      <c r="AH218" s="228">
        <f t="shared" si="354"/>
        <v>0</v>
      </c>
      <c r="AI218" s="228"/>
      <c r="AJ218" s="228"/>
      <c r="AK218" s="228">
        <f t="shared" si="355"/>
        <v>0</v>
      </c>
      <c r="AL218" s="229"/>
      <c r="AM218" s="229"/>
      <c r="AN218" s="228"/>
      <c r="AO218" s="228"/>
      <c r="AP218" s="228">
        <f t="shared" si="356"/>
        <v>0</v>
      </c>
      <c r="AQ218" s="228"/>
      <c r="AR218" s="228"/>
      <c r="AS218" s="228"/>
      <c r="AT218" s="228"/>
      <c r="AU218" s="228"/>
      <c r="AV218" s="228"/>
      <c r="AW218" s="228"/>
      <c r="AX218" s="249"/>
      <c r="AY218" s="229"/>
      <c r="AZ218" s="229"/>
      <c r="BA218" s="230"/>
    </row>
    <row r="219" spans="1:53" s="279" customFormat="1" ht="15.75" hidden="1">
      <c r="A219" s="245" t="s">
        <v>463</v>
      </c>
      <c r="B219" s="245" t="s">
        <v>397</v>
      </c>
      <c r="C219" s="228">
        <f>74.3/2</f>
        <v>37.15</v>
      </c>
      <c r="D219" s="228">
        <v>43.06</v>
      </c>
      <c r="E219" s="228">
        <f>D219</f>
        <v>43.06</v>
      </c>
      <c r="F219" s="228">
        <f>72.49/2</f>
        <v>36.244999999999997</v>
      </c>
      <c r="G219" s="228">
        <v>39.6</v>
      </c>
      <c r="H219" s="228">
        <f t="shared" ref="H219:H232" si="362">IF(B219="ОСНО",G219*1.18,G219)</f>
        <v>46.728000000000002</v>
      </c>
      <c r="I219" s="228">
        <f t="shared" si="347"/>
        <v>36.244999999999997</v>
      </c>
      <c r="J219" s="228">
        <v>43.78</v>
      </c>
      <c r="K219" s="228">
        <f t="shared" ref="K219:K232" si="363">IF(B219="ОСНО",J219*1.18,J219)</f>
        <v>51.660399999999996</v>
      </c>
      <c r="L219" s="229">
        <f t="shared" si="358"/>
        <v>0.8972437595292555</v>
      </c>
      <c r="M219" s="229">
        <f t="shared" si="348"/>
        <v>1.1055555555555554</v>
      </c>
      <c r="N219" s="229" t="s">
        <v>302</v>
      </c>
      <c r="O219" s="252">
        <f>63.28/2</f>
        <v>31.64</v>
      </c>
      <c r="P219" s="252">
        <v>25.05</v>
      </c>
      <c r="Q219" s="228">
        <f t="shared" si="349"/>
        <v>29.559000000000001</v>
      </c>
      <c r="R219" s="228"/>
      <c r="S219" s="252">
        <f>61.92/2</f>
        <v>30.96</v>
      </c>
      <c r="T219" s="252">
        <v>22.74</v>
      </c>
      <c r="U219" s="228">
        <f t="shared" si="350"/>
        <v>26.833199999999998</v>
      </c>
      <c r="V219" s="228">
        <f t="shared" si="360"/>
        <v>30.96</v>
      </c>
      <c r="W219" s="228">
        <f t="shared" si="361"/>
        <v>24.104399999999998</v>
      </c>
      <c r="X219" s="228">
        <f t="shared" si="351"/>
        <v>28.443191999999996</v>
      </c>
      <c r="Y219" s="229">
        <f t="shared" si="346"/>
        <v>0.90778443113772445</v>
      </c>
      <c r="Z219" s="229">
        <f t="shared" si="352"/>
        <v>1.06</v>
      </c>
      <c r="AA219" s="228">
        <f>33.34/2</f>
        <v>16.670000000000002</v>
      </c>
      <c r="AB219" s="228">
        <v>111.8</v>
      </c>
      <c r="AC219" s="228">
        <f>AB219</f>
        <v>111.8</v>
      </c>
      <c r="AD219" s="228"/>
      <c r="AE219" s="230">
        <f t="shared" si="353"/>
        <v>1142.606976</v>
      </c>
      <c r="AF219" s="228">
        <f>31.53/2</f>
        <v>15.765000000000001</v>
      </c>
      <c r="AG219" s="228">
        <v>117.65</v>
      </c>
      <c r="AH219" s="228">
        <f t="shared" si="354"/>
        <v>138.827</v>
      </c>
      <c r="AI219" s="228">
        <f>AF219</f>
        <v>15.765000000000001</v>
      </c>
      <c r="AJ219" s="228">
        <v>140.68</v>
      </c>
      <c r="AK219" s="228">
        <f t="shared" si="355"/>
        <v>166.00239999999999</v>
      </c>
      <c r="AL219" s="229">
        <f t="shared" ref="AL219:AL225" si="364">(AG219*AF219)/(AB219*AA219)</f>
        <v>0.99519572829620129</v>
      </c>
      <c r="AM219" s="209">
        <f t="shared" ref="AM219:AM225" si="365">(AK219*AI219)/(AH219*AF219)</f>
        <v>1.1957501062473437</v>
      </c>
      <c r="AN219" s="228">
        <f>29.19/2</f>
        <v>14.595000000000001</v>
      </c>
      <c r="AO219" s="228">
        <v>25.05</v>
      </c>
      <c r="AP219" s="228">
        <f t="shared" si="356"/>
        <v>29.559000000000001</v>
      </c>
      <c r="AQ219" s="228"/>
      <c r="AR219" s="228">
        <f>27.6/2</f>
        <v>13.8</v>
      </c>
      <c r="AS219" s="228">
        <v>22.74</v>
      </c>
      <c r="AT219" s="228">
        <f>IF(B219="ОСНО",AS219*1.18,AS219)</f>
        <v>26.833199999999998</v>
      </c>
      <c r="AU219" s="228">
        <f>AR219</f>
        <v>13.8</v>
      </c>
      <c r="AV219" s="228">
        <v>24.1</v>
      </c>
      <c r="AW219" s="228">
        <f>IF(B219="ОСНО",AV219*1.18,AV219)</f>
        <v>28.437999999999999</v>
      </c>
      <c r="AX219" s="229">
        <f t="shared" ref="AX219:AX225" si="366">(AS219*AR219)/(AO219*AN219)</f>
        <v>0.85833676942107562</v>
      </c>
      <c r="AY219" s="229">
        <f t="shared" ref="AY219:AY225" si="367">(AW219*AU219)/(AT219*AR219)</f>
        <v>1.0598065083553212</v>
      </c>
      <c r="AZ219" s="229"/>
      <c r="BA219" s="230">
        <f t="shared" si="338"/>
        <v>2918.5620000000008</v>
      </c>
    </row>
    <row r="220" spans="1:53" s="279" customFormat="1" ht="15.75" hidden="1">
      <c r="A220" s="245" t="s">
        <v>168</v>
      </c>
      <c r="B220" s="245" t="s">
        <v>398</v>
      </c>
      <c r="C220" s="228">
        <f>6.91/2</f>
        <v>3.4550000000000001</v>
      </c>
      <c r="D220" s="228">
        <v>47.16</v>
      </c>
      <c r="E220" s="228">
        <f t="shared" si="273"/>
        <v>47.16</v>
      </c>
      <c r="F220" s="228">
        <f>6.5/2</f>
        <v>3.25</v>
      </c>
      <c r="G220" s="228">
        <v>49.78</v>
      </c>
      <c r="H220" s="228">
        <f t="shared" si="362"/>
        <v>49.78</v>
      </c>
      <c r="I220" s="228">
        <f t="shared" si="347"/>
        <v>3.25</v>
      </c>
      <c r="J220" s="228">
        <v>56.72</v>
      </c>
      <c r="K220" s="228">
        <f t="shared" si="363"/>
        <v>56.72</v>
      </c>
      <c r="L220" s="229">
        <f t="shared" si="358"/>
        <v>0.9929249075414055</v>
      </c>
      <c r="M220" s="229">
        <f t="shared" si="348"/>
        <v>1.1394134190437928</v>
      </c>
      <c r="N220" s="229" t="s">
        <v>303</v>
      </c>
      <c r="O220" s="252">
        <f>2.19/2</f>
        <v>1.095</v>
      </c>
      <c r="P220" s="252">
        <v>25.05</v>
      </c>
      <c r="Q220" s="228">
        <f t="shared" si="349"/>
        <v>25.05</v>
      </c>
      <c r="R220" s="228"/>
      <c r="S220" s="252">
        <f>2.06/2</f>
        <v>1.03</v>
      </c>
      <c r="T220" s="252">
        <v>26.83</v>
      </c>
      <c r="U220" s="228">
        <f t="shared" si="350"/>
        <v>26.83</v>
      </c>
      <c r="V220" s="228">
        <f t="shared" si="360"/>
        <v>1.03</v>
      </c>
      <c r="W220" s="228">
        <v>27.9</v>
      </c>
      <c r="X220" s="228">
        <f t="shared" si="351"/>
        <v>27.9</v>
      </c>
      <c r="Y220" s="229">
        <f t="shared" si="346"/>
        <v>1.0710578842315368</v>
      </c>
      <c r="Z220" s="229">
        <f t="shared" si="352"/>
        <v>1.0398807305255311</v>
      </c>
      <c r="AA220" s="228"/>
      <c r="AB220" s="228"/>
      <c r="AC220" s="228">
        <f t="shared" ref="AC220:AC225" si="368">IF(B220="ОСНО",AB220*1.18,AB220)</f>
        <v>0</v>
      </c>
      <c r="AD220" s="228"/>
      <c r="AE220" s="230">
        <f t="shared" si="353"/>
        <v>54.814850000000007</v>
      </c>
      <c r="AF220" s="228"/>
      <c r="AG220" s="228"/>
      <c r="AH220" s="228">
        <f t="shared" si="354"/>
        <v>0</v>
      </c>
      <c r="AI220" s="228"/>
      <c r="AJ220" s="228"/>
      <c r="AK220" s="228">
        <f t="shared" si="355"/>
        <v>0</v>
      </c>
      <c r="AL220" s="229"/>
      <c r="AM220" s="229"/>
      <c r="AN220" s="228"/>
      <c r="AO220" s="228"/>
      <c r="AP220" s="228">
        <f t="shared" si="356"/>
        <v>0</v>
      </c>
      <c r="AQ220" s="228"/>
      <c r="AR220" s="228"/>
      <c r="AS220" s="228"/>
      <c r="AT220" s="228"/>
      <c r="AU220" s="228"/>
      <c r="AV220" s="228"/>
      <c r="AW220" s="228"/>
      <c r="AX220" s="229"/>
      <c r="AY220" s="229"/>
      <c r="AZ220" s="229"/>
      <c r="BA220" s="230"/>
    </row>
    <row r="221" spans="1:53" s="279" customFormat="1" ht="15.75" hidden="1">
      <c r="A221" s="245" t="s">
        <v>169</v>
      </c>
      <c r="B221" s="245" t="s">
        <v>398</v>
      </c>
      <c r="C221" s="228">
        <f>12.995/2</f>
        <v>6.4974999999999996</v>
      </c>
      <c r="D221" s="228">
        <v>48.36</v>
      </c>
      <c r="E221" s="228">
        <f t="shared" si="273"/>
        <v>48.36</v>
      </c>
      <c r="F221" s="228">
        <f t="shared" si="357"/>
        <v>6.4974999999999996</v>
      </c>
      <c r="G221" s="228">
        <v>48.36</v>
      </c>
      <c r="H221" s="228">
        <f t="shared" si="362"/>
        <v>48.36</v>
      </c>
      <c r="I221" s="228">
        <f t="shared" si="347"/>
        <v>6.4974999999999996</v>
      </c>
      <c r="J221" s="228">
        <v>53.15</v>
      </c>
      <c r="K221" s="228">
        <f t="shared" si="363"/>
        <v>53.15</v>
      </c>
      <c r="L221" s="229">
        <f t="shared" si="358"/>
        <v>1</v>
      </c>
      <c r="M221" s="229">
        <f t="shared" si="348"/>
        <v>1.0990488006617039</v>
      </c>
      <c r="N221" s="229" t="s">
        <v>304</v>
      </c>
      <c r="O221" s="252">
        <f>6.385/2</f>
        <v>3.1924999999999999</v>
      </c>
      <c r="P221" s="252">
        <v>25.05</v>
      </c>
      <c r="Q221" s="228">
        <f t="shared" si="349"/>
        <v>25.05</v>
      </c>
      <c r="R221" s="228"/>
      <c r="S221" s="252">
        <f t="shared" si="359"/>
        <v>3.1924999999999999</v>
      </c>
      <c r="T221" s="252">
        <v>26.83</v>
      </c>
      <c r="U221" s="228">
        <f t="shared" si="350"/>
        <v>26.83</v>
      </c>
      <c r="V221" s="228">
        <f t="shared" si="360"/>
        <v>3.1924999999999999</v>
      </c>
      <c r="W221" s="228">
        <v>27.9</v>
      </c>
      <c r="X221" s="228">
        <f t="shared" si="351"/>
        <v>27.9</v>
      </c>
      <c r="Y221" s="229">
        <f t="shared" si="346"/>
        <v>1.0710578842315368</v>
      </c>
      <c r="Z221" s="229">
        <f t="shared" si="352"/>
        <v>1.0398807305255311</v>
      </c>
      <c r="AA221" s="228"/>
      <c r="AB221" s="228"/>
      <c r="AC221" s="228">
        <f t="shared" si="368"/>
        <v>0</v>
      </c>
      <c r="AD221" s="228"/>
      <c r="AE221" s="230">
        <f t="shared" si="353"/>
        <v>149.34514999999999</v>
      </c>
      <c r="AF221" s="228"/>
      <c r="AG221" s="228"/>
      <c r="AH221" s="228">
        <f t="shared" si="354"/>
        <v>0</v>
      </c>
      <c r="AI221" s="228"/>
      <c r="AJ221" s="228"/>
      <c r="AK221" s="228">
        <f t="shared" si="355"/>
        <v>0</v>
      </c>
      <c r="AL221" s="229"/>
      <c r="AM221" s="229"/>
      <c r="AN221" s="228"/>
      <c r="AO221" s="228"/>
      <c r="AP221" s="228">
        <f t="shared" si="356"/>
        <v>0</v>
      </c>
      <c r="AQ221" s="228"/>
      <c r="AR221" s="228"/>
      <c r="AS221" s="228"/>
      <c r="AT221" s="228"/>
      <c r="AU221" s="228"/>
      <c r="AV221" s="228"/>
      <c r="AW221" s="228"/>
      <c r="AX221" s="229"/>
      <c r="AY221" s="229"/>
      <c r="AZ221" s="229"/>
      <c r="BA221" s="230"/>
    </row>
    <row r="222" spans="1:53" s="279" customFormat="1" ht="15.75" hidden="1">
      <c r="A222" s="245" t="s">
        <v>170</v>
      </c>
      <c r="B222" s="245" t="s">
        <v>397</v>
      </c>
      <c r="C222" s="228">
        <f>347.5/2</f>
        <v>173.75</v>
      </c>
      <c r="D222" s="228">
        <v>36.14</v>
      </c>
      <c r="E222" s="228">
        <f t="shared" si="273"/>
        <v>42.645199999999996</v>
      </c>
      <c r="F222" s="228">
        <f>325.166/2</f>
        <v>162.583</v>
      </c>
      <c r="G222" s="228">
        <v>38.97</v>
      </c>
      <c r="H222" s="228">
        <f t="shared" si="362"/>
        <v>45.984599999999993</v>
      </c>
      <c r="I222" s="228">
        <f>F222</f>
        <v>162.583</v>
      </c>
      <c r="J222" s="228">
        <v>43.52</v>
      </c>
      <c r="K222" s="228">
        <f t="shared" si="363"/>
        <v>51.3536</v>
      </c>
      <c r="L222" s="229">
        <f t="shared" si="358"/>
        <v>1.0090032782185983</v>
      </c>
      <c r="M222" s="229">
        <f t="shared" si="348"/>
        <v>1.1167564793430846</v>
      </c>
      <c r="N222" s="229" t="s">
        <v>305</v>
      </c>
      <c r="O222" s="252">
        <f>254.2/2</f>
        <v>127.1</v>
      </c>
      <c r="P222" s="252">
        <v>24.58</v>
      </c>
      <c r="Q222" s="228">
        <f t="shared" si="349"/>
        <v>29.004399999999997</v>
      </c>
      <c r="R222" s="228"/>
      <c r="S222" s="252">
        <f>241.49/2</f>
        <v>120.745</v>
      </c>
      <c r="T222" s="252">
        <v>26.83</v>
      </c>
      <c r="U222" s="228">
        <f t="shared" si="350"/>
        <v>31.659399999999998</v>
      </c>
      <c r="V222" s="228">
        <f t="shared" si="360"/>
        <v>120.745</v>
      </c>
      <c r="W222" s="228">
        <f>T222*1.04</f>
        <v>27.903199999999998</v>
      </c>
      <c r="X222" s="228">
        <f t="shared" si="351"/>
        <v>32.925775999999999</v>
      </c>
      <c r="Y222" s="229">
        <f t="shared" si="346"/>
        <v>1.0915378356387306</v>
      </c>
      <c r="Z222" s="229">
        <f t="shared" si="352"/>
        <v>1.04</v>
      </c>
      <c r="AA222" s="228">
        <f>365.545/2</f>
        <v>182.77250000000001</v>
      </c>
      <c r="AB222" s="228">
        <v>40.869999999999997</v>
      </c>
      <c r="AC222" s="228">
        <f t="shared" si="368"/>
        <v>48.226599999999998</v>
      </c>
      <c r="AD222" s="228"/>
      <c r="AE222" s="230">
        <f t="shared" si="353"/>
        <v>3428.6445160000003</v>
      </c>
      <c r="AF222" s="228">
        <f>351.22/2</f>
        <v>175.61</v>
      </c>
      <c r="AG222" s="228">
        <v>43.44</v>
      </c>
      <c r="AH222" s="228">
        <f t="shared" si="354"/>
        <v>51.259199999999993</v>
      </c>
      <c r="AI222" s="228">
        <f>AF222</f>
        <v>175.61</v>
      </c>
      <c r="AJ222" s="228">
        <v>48.91</v>
      </c>
      <c r="AK222" s="228">
        <f t="shared" si="355"/>
        <v>57.713799999999992</v>
      </c>
      <c r="AL222" s="229">
        <f t="shared" si="364"/>
        <v>1.0212300122689195</v>
      </c>
      <c r="AM222" s="229">
        <f t="shared" si="365"/>
        <v>1.1259208103130753</v>
      </c>
      <c r="AN222" s="228">
        <f>281.581/2</f>
        <v>140.79050000000001</v>
      </c>
      <c r="AO222" s="228">
        <v>24.88</v>
      </c>
      <c r="AP222" s="228">
        <f t="shared" si="356"/>
        <v>29.358399999999996</v>
      </c>
      <c r="AQ222" s="228"/>
      <c r="AR222" s="228">
        <f>351.22/2</f>
        <v>175.61</v>
      </c>
      <c r="AS222" s="228">
        <v>26.83</v>
      </c>
      <c r="AT222" s="228">
        <f>IF(B222="ОСНО",AS222*1.18,AS222)</f>
        <v>31.659399999999998</v>
      </c>
      <c r="AU222" s="228">
        <f>AR222</f>
        <v>175.61</v>
      </c>
      <c r="AV222" s="228">
        <v>27.9</v>
      </c>
      <c r="AW222" s="228">
        <f>IF(B222="ОСНО",AV222*1.18,AV222)</f>
        <v>32.921999999999997</v>
      </c>
      <c r="AX222" s="229">
        <f t="shared" si="366"/>
        <v>1.3450740319722727</v>
      </c>
      <c r="AY222" s="229">
        <f t="shared" si="367"/>
        <v>1.0398807305255311</v>
      </c>
      <c r="AZ222" s="229"/>
      <c r="BA222" s="230">
        <f t="shared" si="338"/>
        <v>6606.4482000000007</v>
      </c>
    </row>
    <row r="223" spans="1:53" s="279" customFormat="1" ht="15.75" hidden="1">
      <c r="A223" s="245" t="s">
        <v>172</v>
      </c>
      <c r="B223" s="245" t="s">
        <v>398</v>
      </c>
      <c r="C223" s="228">
        <f>24.16/2</f>
        <v>12.08</v>
      </c>
      <c r="D223" s="228">
        <v>50</v>
      </c>
      <c r="E223" s="228">
        <f t="shared" si="273"/>
        <v>50</v>
      </c>
      <c r="F223" s="228">
        <f>23.18/2</f>
        <v>11.59</v>
      </c>
      <c r="G223" s="228">
        <v>53.25</v>
      </c>
      <c r="H223" s="228">
        <f t="shared" si="362"/>
        <v>53.25</v>
      </c>
      <c r="I223" s="228">
        <f>F223</f>
        <v>11.59</v>
      </c>
      <c r="J223" s="228">
        <v>54.99</v>
      </c>
      <c r="K223" s="228">
        <f t="shared" si="363"/>
        <v>54.99</v>
      </c>
      <c r="L223" s="229">
        <f t="shared" si="358"/>
        <v>1.0218004966887417</v>
      </c>
      <c r="M223" s="229">
        <f t="shared" si="348"/>
        <v>1.0326760563380282</v>
      </c>
      <c r="N223" s="229" t="s">
        <v>306</v>
      </c>
      <c r="O223" s="252">
        <f>22.38/2</f>
        <v>11.19</v>
      </c>
      <c r="P223" s="252">
        <v>25.05</v>
      </c>
      <c r="Q223" s="228">
        <f t="shared" si="349"/>
        <v>25.05</v>
      </c>
      <c r="R223" s="228"/>
      <c r="S223" s="252">
        <f>21.39/2</f>
        <v>10.695</v>
      </c>
      <c r="T223" s="252">
        <v>26.83</v>
      </c>
      <c r="U223" s="228">
        <f t="shared" si="350"/>
        <v>26.83</v>
      </c>
      <c r="V223" s="228">
        <f t="shared" si="360"/>
        <v>10.695</v>
      </c>
      <c r="W223" s="228">
        <v>27.9</v>
      </c>
      <c r="X223" s="228">
        <f t="shared" si="351"/>
        <v>27.9</v>
      </c>
      <c r="Y223" s="229">
        <f t="shared" si="346"/>
        <v>1.0710578842315368</v>
      </c>
      <c r="Z223" s="229">
        <f t="shared" si="352"/>
        <v>1.0398807305255311</v>
      </c>
      <c r="AA223" s="228"/>
      <c r="AB223" s="228"/>
      <c r="AC223" s="228">
        <f t="shared" si="368"/>
        <v>0</v>
      </c>
      <c r="AD223" s="228"/>
      <c r="AE223" s="230">
        <f t="shared" si="353"/>
        <v>585.36734999999999</v>
      </c>
      <c r="AF223" s="228"/>
      <c r="AG223" s="228"/>
      <c r="AH223" s="228">
        <f t="shared" si="354"/>
        <v>0</v>
      </c>
      <c r="AI223" s="228"/>
      <c r="AJ223" s="228"/>
      <c r="AK223" s="228">
        <f t="shared" si="355"/>
        <v>0</v>
      </c>
      <c r="AL223" s="229"/>
      <c r="AM223" s="229"/>
      <c r="AN223" s="228"/>
      <c r="AO223" s="228"/>
      <c r="AP223" s="228">
        <f t="shared" si="356"/>
        <v>0</v>
      </c>
      <c r="AQ223" s="228"/>
      <c r="AR223" s="228"/>
      <c r="AS223" s="228"/>
      <c r="AT223" s="228"/>
      <c r="AU223" s="228"/>
      <c r="AV223" s="228"/>
      <c r="AW223" s="228"/>
      <c r="AX223" s="229"/>
      <c r="AY223" s="229"/>
      <c r="AZ223" s="229"/>
      <c r="BA223" s="230"/>
    </row>
    <row r="224" spans="1:53" s="279" customFormat="1" ht="15.75" hidden="1">
      <c r="A224" s="245" t="s">
        <v>173</v>
      </c>
      <c r="B224" s="245" t="s">
        <v>398</v>
      </c>
      <c r="C224" s="228">
        <f>5.322/2</f>
        <v>2.661</v>
      </c>
      <c r="D224" s="228">
        <v>44.92</v>
      </c>
      <c r="E224" s="228">
        <f t="shared" si="273"/>
        <v>44.92</v>
      </c>
      <c r="F224" s="228">
        <f t="shared" si="357"/>
        <v>2.661</v>
      </c>
      <c r="G224" s="228">
        <v>44.92</v>
      </c>
      <c r="H224" s="228">
        <f t="shared" si="362"/>
        <v>44.92</v>
      </c>
      <c r="I224" s="228">
        <f>F224</f>
        <v>2.661</v>
      </c>
      <c r="J224" s="228">
        <v>49.97</v>
      </c>
      <c r="K224" s="228">
        <f t="shared" si="363"/>
        <v>49.97</v>
      </c>
      <c r="L224" s="229">
        <f t="shared" si="358"/>
        <v>1</v>
      </c>
      <c r="M224" s="229">
        <f t="shared" si="348"/>
        <v>1.1124220837043632</v>
      </c>
      <c r="N224" s="229" t="s">
        <v>307</v>
      </c>
      <c r="O224" s="252">
        <f>4.54/2</f>
        <v>2.27</v>
      </c>
      <c r="P224" s="252">
        <v>25.05</v>
      </c>
      <c r="Q224" s="228">
        <f t="shared" si="349"/>
        <v>25.05</v>
      </c>
      <c r="R224" s="228"/>
      <c r="S224" s="252">
        <f t="shared" si="359"/>
        <v>2.27</v>
      </c>
      <c r="T224" s="252">
        <v>26.83</v>
      </c>
      <c r="U224" s="228">
        <f t="shared" si="350"/>
        <v>26.83</v>
      </c>
      <c r="V224" s="228">
        <f t="shared" si="360"/>
        <v>2.27</v>
      </c>
      <c r="W224" s="228">
        <v>27.9</v>
      </c>
      <c r="X224" s="228">
        <f t="shared" si="351"/>
        <v>27.9</v>
      </c>
      <c r="Y224" s="229">
        <f t="shared" si="346"/>
        <v>1.0710578842315368</v>
      </c>
      <c r="Z224" s="229">
        <f t="shared" si="352"/>
        <v>1.0398807305255311</v>
      </c>
      <c r="AA224" s="228"/>
      <c r="AB224" s="228"/>
      <c r="AC224" s="228">
        <f t="shared" si="368"/>
        <v>0</v>
      </c>
      <c r="AD224" s="228"/>
      <c r="AE224" s="230">
        <f t="shared" si="353"/>
        <v>91.163200000000018</v>
      </c>
      <c r="AF224" s="228"/>
      <c r="AG224" s="228"/>
      <c r="AH224" s="228">
        <f t="shared" si="354"/>
        <v>0</v>
      </c>
      <c r="AI224" s="228"/>
      <c r="AJ224" s="228"/>
      <c r="AK224" s="228">
        <f t="shared" si="355"/>
        <v>0</v>
      </c>
      <c r="AL224" s="229"/>
      <c r="AM224" s="229"/>
      <c r="AN224" s="228"/>
      <c r="AO224" s="228"/>
      <c r="AP224" s="228">
        <f t="shared" si="356"/>
        <v>0</v>
      </c>
      <c r="AQ224" s="228"/>
      <c r="AR224" s="228"/>
      <c r="AS224" s="228"/>
      <c r="AT224" s="228"/>
      <c r="AU224" s="228"/>
      <c r="AV224" s="228"/>
      <c r="AW224" s="228"/>
      <c r="AX224" s="229"/>
      <c r="AY224" s="229"/>
      <c r="AZ224" s="229"/>
      <c r="BA224" s="230"/>
    </row>
    <row r="225" spans="1:53" s="279" customFormat="1" ht="31.5" hidden="1">
      <c r="A225" s="245" t="s">
        <v>419</v>
      </c>
      <c r="B225" s="245" t="s">
        <v>398</v>
      </c>
      <c r="C225" s="228">
        <f>48.146/2</f>
        <v>24.073</v>
      </c>
      <c r="D225" s="228">
        <v>58.14</v>
      </c>
      <c r="E225" s="228">
        <f t="shared" si="273"/>
        <v>58.14</v>
      </c>
      <c r="F225" s="228">
        <f>48.146/2</f>
        <v>24.073</v>
      </c>
      <c r="G225" s="228">
        <v>58.14</v>
      </c>
      <c r="H225" s="228">
        <f t="shared" si="362"/>
        <v>58.14</v>
      </c>
      <c r="I225" s="228">
        <f>F225</f>
        <v>24.073</v>
      </c>
      <c r="J225" s="228">
        <v>64.41</v>
      </c>
      <c r="K225" s="228">
        <f t="shared" si="363"/>
        <v>64.41</v>
      </c>
      <c r="L225" s="229">
        <f t="shared" si="358"/>
        <v>1</v>
      </c>
      <c r="M225" s="229">
        <f t="shared" si="348"/>
        <v>1.107843137254902</v>
      </c>
      <c r="N225" s="229" t="s">
        <v>308</v>
      </c>
      <c r="O225" s="252">
        <f>33.925/2</f>
        <v>16.962499999999999</v>
      </c>
      <c r="P225" s="252">
        <v>29</v>
      </c>
      <c r="Q225" s="228">
        <f t="shared" si="349"/>
        <v>29</v>
      </c>
      <c r="R225" s="228"/>
      <c r="S225" s="252">
        <f>33.925/2</f>
        <v>16.962499999999999</v>
      </c>
      <c r="T225" s="252">
        <v>31.06</v>
      </c>
      <c r="U225" s="228">
        <f t="shared" si="350"/>
        <v>31.06</v>
      </c>
      <c r="V225" s="228">
        <f t="shared" si="360"/>
        <v>16.962499999999999</v>
      </c>
      <c r="W225" s="228">
        <f>T225*1.04</f>
        <v>32.302399999999999</v>
      </c>
      <c r="X225" s="228">
        <f t="shared" si="351"/>
        <v>32.302399999999999</v>
      </c>
      <c r="Y225" s="229">
        <f t="shared" si="346"/>
        <v>1.0710344827586207</v>
      </c>
      <c r="Z225" s="229">
        <f t="shared" si="352"/>
        <v>1.04</v>
      </c>
      <c r="AA225" s="228">
        <f>23.345/2</f>
        <v>11.672499999999999</v>
      </c>
      <c r="AB225" s="228">
        <v>57.62</v>
      </c>
      <c r="AC225" s="228">
        <f t="shared" si="368"/>
        <v>57.62</v>
      </c>
      <c r="AD225" s="228"/>
      <c r="AE225" s="230">
        <f t="shared" si="353"/>
        <v>1003.9696649999998</v>
      </c>
      <c r="AF225" s="228">
        <f>23.285/2</f>
        <v>11.6425</v>
      </c>
      <c r="AG225" s="228">
        <v>57.62</v>
      </c>
      <c r="AH225" s="228">
        <f t="shared" si="354"/>
        <v>57.62</v>
      </c>
      <c r="AI225" s="228">
        <f>AF225</f>
        <v>11.6425</v>
      </c>
      <c r="AJ225" s="228">
        <v>64.53</v>
      </c>
      <c r="AK225" s="228">
        <f t="shared" si="355"/>
        <v>64.53</v>
      </c>
      <c r="AL225" s="229">
        <f t="shared" si="364"/>
        <v>0.99742985650032123</v>
      </c>
      <c r="AM225" s="229">
        <f t="shared" si="365"/>
        <v>1.1199236376258246</v>
      </c>
      <c r="AN225" s="228">
        <f>17.385/2</f>
        <v>8.6925000000000008</v>
      </c>
      <c r="AO225" s="228">
        <v>29.36</v>
      </c>
      <c r="AP225" s="228">
        <f t="shared" si="356"/>
        <v>29.36</v>
      </c>
      <c r="AQ225" s="228"/>
      <c r="AR225" s="228">
        <f>17.03/2</f>
        <v>8.5150000000000006</v>
      </c>
      <c r="AS225" s="228">
        <v>31.44</v>
      </c>
      <c r="AT225" s="228">
        <f>IF(B225="ОСНО",AS225*1.18,AS225)</f>
        <v>31.44</v>
      </c>
      <c r="AU225" s="228">
        <f>AR225</f>
        <v>8.5150000000000006</v>
      </c>
      <c r="AV225" s="228">
        <f>AS225*1.04</f>
        <v>32.697600000000001</v>
      </c>
      <c r="AW225" s="228">
        <f>IF(B225="ОСНО",AV225*1.18,AV225)</f>
        <v>32.697600000000001</v>
      </c>
      <c r="AX225" s="229">
        <f t="shared" si="366"/>
        <v>1.0489781428601657</v>
      </c>
      <c r="AY225" s="229">
        <f t="shared" si="367"/>
        <v>1.04</v>
      </c>
      <c r="AZ225" s="229"/>
      <c r="BA225" s="230">
        <f t="shared" si="338"/>
        <v>493.97558600000002</v>
      </c>
    </row>
    <row r="226" spans="1:53" s="226" customFormat="1" ht="15.75">
      <c r="A226" s="193" t="s">
        <v>175</v>
      </c>
      <c r="B226" s="193"/>
      <c r="C226" s="42">
        <f>SUM(C227:C232)</f>
        <v>47.71</v>
      </c>
      <c r="D226" s="42">
        <f>SUMPRODUCT(C227:C232,D227:D232)/C226</f>
        <v>70.411006392789773</v>
      </c>
      <c r="E226" s="42">
        <f>SUMPRODUCT(C227:C232,E227:E232)/C226</f>
        <v>70.411006392789773</v>
      </c>
      <c r="F226" s="42">
        <f>SUM(F227:F232)</f>
        <v>47.71</v>
      </c>
      <c r="G226" s="42">
        <f>SUMPRODUCT(F227:F232,G227:G232)/F226</f>
        <v>71.299059211905259</v>
      </c>
      <c r="H226" s="42">
        <f>SUMPRODUCT(F227:F232,H227:H232)/F226</f>
        <v>71.299059211905259</v>
      </c>
      <c r="I226" s="42">
        <f>SUM(I227:I232)</f>
        <v>47.71</v>
      </c>
      <c r="J226" s="42">
        <f>SUMPRODUCT(I227:I232,J227:J232)/I226</f>
        <v>78.299061622301409</v>
      </c>
      <c r="K226" s="42">
        <f>SUMPRODUCT(I227:I232,K227:K232)/I226</f>
        <v>78.299061622301409</v>
      </c>
      <c r="L226" s="190">
        <f>G226/D226</f>
        <v>1.0126124148000593</v>
      </c>
      <c r="M226" s="84">
        <f>J226/G226</f>
        <v>1.0981780473370863</v>
      </c>
      <c r="N226" s="190"/>
      <c r="O226" s="42">
        <f>SUM(O227:O232)</f>
        <v>22.060000000000002</v>
      </c>
      <c r="P226" s="42">
        <f>SUMPRODUCT(O227:O232,P227:P232)/O226</f>
        <v>64.398388032638252</v>
      </c>
      <c r="Q226" s="42">
        <f>SUMPRODUCT(O227:O232,Q227:Q232)/O226</f>
        <v>64.398388032638252</v>
      </c>
      <c r="R226" s="84">
        <f>K226/H226</f>
        <v>1.0981780473370863</v>
      </c>
      <c r="S226" s="42">
        <f>SUM(S227:S232)</f>
        <v>22.060000000000002</v>
      </c>
      <c r="T226" s="42">
        <f>SUMPRODUCT(S227:S232,T227:T232)/S226</f>
        <v>66.525653218495009</v>
      </c>
      <c r="U226" s="42">
        <f>SUMPRODUCT(S227:S232,U227:U232)/S226</f>
        <v>66.525653218495009</v>
      </c>
      <c r="V226" s="42">
        <f>SUM(V227:V232)</f>
        <v>22.060000000000002</v>
      </c>
      <c r="W226" s="42">
        <f>SUMPRODUCT(V227:V232,W227:W232)/V226</f>
        <v>70.250737987307332</v>
      </c>
      <c r="X226" s="42">
        <f>SUMPRODUCT(V227:V232,X227:X232)/V226</f>
        <v>70.250737987307332</v>
      </c>
      <c r="Y226" s="190">
        <f t="shared" si="346"/>
        <v>1.0330328949348642</v>
      </c>
      <c r="Z226" s="84">
        <f>W226/T226</f>
        <v>1.0559947116427066</v>
      </c>
      <c r="AA226" s="42">
        <f>SUM(AA227:AA232)</f>
        <v>20.195</v>
      </c>
      <c r="AB226" s="42">
        <f>SUMPRODUCT(AA227:AA232,AB227:AB232)/AA226</f>
        <v>87.248472394156963</v>
      </c>
      <c r="AC226" s="42">
        <f>SUMPRODUCT(AA227:AA232,AC227:AC232)/AA226</f>
        <v>87.248472394156963</v>
      </c>
      <c r="AD226" s="84">
        <f>X226/U226</f>
        <v>1.0559947116427066</v>
      </c>
      <c r="AE226" s="224">
        <f>SUM(AE227:AE232)</f>
        <v>1995.3160400000002</v>
      </c>
      <c r="AF226" s="42">
        <f>SUM(AF227:AF232)</f>
        <v>20.195</v>
      </c>
      <c r="AG226" s="42">
        <f>SUMPRODUCT(AF227:AF232,AG227:AG232)/AF226</f>
        <v>87.714951720722965</v>
      </c>
      <c r="AH226" s="42">
        <f>SUMPRODUCT(AF227:AF232,AH227:AH232)/AF226</f>
        <v>87.714951720722965</v>
      </c>
      <c r="AI226" s="42">
        <f>SUM(AI227:AI232)</f>
        <v>20.195</v>
      </c>
      <c r="AJ226" s="42">
        <f>SUMPRODUCT(AI227:AI232,AJ227:AJ232)/AI226</f>
        <v>88.840487744491213</v>
      </c>
      <c r="AK226" s="42">
        <f>SUMPRODUCT(AI227:AI232,AK227:AK232)/AI226</f>
        <v>88.840487744491213</v>
      </c>
      <c r="AL226" s="190">
        <f>AG226/AB226</f>
        <v>1.0053465615358699</v>
      </c>
      <c r="AM226" s="84">
        <f>AJ226/AG226</f>
        <v>1.0128317464889209</v>
      </c>
      <c r="AN226" s="42">
        <f>SUM(AN227:AN232)</f>
        <v>16.024999999999999</v>
      </c>
      <c r="AO226" s="42">
        <f>SUMPRODUCT(AN227:AN232,AO227:AO232)/AN226</f>
        <v>30.000000000000004</v>
      </c>
      <c r="AP226" s="42">
        <f>SUMPRODUCT(AN227:AN232,AP227:AP232)/AN226</f>
        <v>30.000000000000004</v>
      </c>
      <c r="AQ226" s="84">
        <f>AK226/AH226</f>
        <v>1.0128317464889209</v>
      </c>
      <c r="AR226" s="42">
        <f>SUM(AR227:AR232)</f>
        <v>16.024999999999999</v>
      </c>
      <c r="AS226" s="42">
        <f>SUMPRODUCT(AR227:AR232,AS227:AS232)/AR226</f>
        <v>32.13000000000001</v>
      </c>
      <c r="AT226" s="42">
        <f>SUMPRODUCT(AR227:AR232,AT227:AT232)/AR226</f>
        <v>32.13000000000001</v>
      </c>
      <c r="AU226" s="42">
        <f>SUM(AU227:AU232)</f>
        <v>16.024999999999999</v>
      </c>
      <c r="AV226" s="42">
        <f>SUMPRODUCT(AU227:AU232,AV227:AV232)/AU226</f>
        <v>33.55930109204369</v>
      </c>
      <c r="AW226" s="42">
        <f>SUMPRODUCT(AU227:AU232,AW227:AW232)/AU226</f>
        <v>33.55930109204369</v>
      </c>
      <c r="AX226" s="190">
        <f>AS226/AO226</f>
        <v>1.0710000000000002</v>
      </c>
      <c r="AY226" s="84">
        <f>AV226/AS226</f>
        <v>1.0444849390614279</v>
      </c>
      <c r="AZ226" s="84">
        <f>AW226/AT226</f>
        <v>1.0444849390614279</v>
      </c>
      <c r="BA226" s="224">
        <f>SUM(BA227:BA232)</f>
        <v>1864.9404500000001</v>
      </c>
    </row>
    <row r="227" spans="1:53" s="231" customFormat="1" ht="15.75" hidden="1">
      <c r="A227" s="255" t="s">
        <v>363</v>
      </c>
      <c r="B227" s="255" t="s">
        <v>398</v>
      </c>
      <c r="C227" s="228">
        <f>19.48/2</f>
        <v>9.74</v>
      </c>
      <c r="D227" s="228">
        <v>62.83</v>
      </c>
      <c r="E227" s="228">
        <f t="shared" si="273"/>
        <v>62.83</v>
      </c>
      <c r="F227" s="228">
        <f t="shared" ref="F227:F232" si="369">C227</f>
        <v>9.74</v>
      </c>
      <c r="G227" s="228">
        <v>67.180000000000007</v>
      </c>
      <c r="H227" s="228">
        <f t="shared" si="362"/>
        <v>67.180000000000007</v>
      </c>
      <c r="I227" s="228">
        <f>F227</f>
        <v>9.74</v>
      </c>
      <c r="J227" s="228">
        <v>70.260000000000005</v>
      </c>
      <c r="K227" s="228">
        <f t="shared" si="363"/>
        <v>70.260000000000005</v>
      </c>
      <c r="L227" s="229">
        <f>(G227*F227)/(D227*C227)</f>
        <v>1.069234442145472</v>
      </c>
      <c r="M227" s="229">
        <f>(K227*I227)/(H227*F227)</f>
        <v>1.0458469782673416</v>
      </c>
      <c r="N227" s="229" t="s">
        <v>365</v>
      </c>
      <c r="O227" s="228"/>
      <c r="P227" s="228"/>
      <c r="Q227" s="228">
        <f t="shared" ref="Q227:Q232" si="370">IF(B227="ОСНО",P227*1.18,P227)</f>
        <v>0</v>
      </c>
      <c r="R227" s="228"/>
      <c r="S227" s="228"/>
      <c r="T227" s="228"/>
      <c r="U227" s="228"/>
      <c r="V227" s="228"/>
      <c r="W227" s="228"/>
      <c r="X227" s="228"/>
      <c r="Y227" s="249"/>
      <c r="Z227" s="229"/>
      <c r="AA227" s="228">
        <f>7/2</f>
        <v>3.5</v>
      </c>
      <c r="AB227" s="228">
        <v>109.19</v>
      </c>
      <c r="AC227" s="228">
        <f t="shared" ref="AC227:AC232" si="371">IF(B227="ОСНО",AB227*1.18,AB227)</f>
        <v>109.19</v>
      </c>
      <c r="AD227" s="228"/>
      <c r="AE227" s="230">
        <f>(G227-T227)*S227+(J227-W227)*V227</f>
        <v>0</v>
      </c>
      <c r="AF227" s="228">
        <f>AA227</f>
        <v>3.5</v>
      </c>
      <c r="AG227" s="228">
        <v>117.04</v>
      </c>
      <c r="AH227" s="228">
        <f t="shared" ref="AH227:AH232" si="372">IF(B227="ОСНО",AG227*1.18,AG227)</f>
        <v>117.04</v>
      </c>
      <c r="AI227" s="228">
        <f>AF227</f>
        <v>3.5</v>
      </c>
      <c r="AJ227" s="228">
        <v>121.59</v>
      </c>
      <c r="AK227" s="228">
        <f t="shared" ref="AK227:AK232" si="373">IF(B227="ОСНО",AJ227*1.18,AJ227)</f>
        <v>121.59</v>
      </c>
      <c r="AL227" s="229">
        <f>(AG227*AF227)/(AB227*AA227)</f>
        <v>1.0718930304972984</v>
      </c>
      <c r="AM227" s="229">
        <f>(AK227*AI227)/(AH227*AF227)</f>
        <v>1.0388755980861244</v>
      </c>
      <c r="AN227" s="228">
        <f>7/2</f>
        <v>3.5</v>
      </c>
      <c r="AO227" s="228">
        <v>30</v>
      </c>
      <c r="AP227" s="228">
        <f t="shared" ref="AP227:AP232" si="374">IF(B227="ОСНО",AO227*1.18,AO227)</f>
        <v>30</v>
      </c>
      <c r="AQ227" s="228"/>
      <c r="AR227" s="228">
        <f>AN227</f>
        <v>3.5</v>
      </c>
      <c r="AS227" s="228">
        <v>32.130000000000003</v>
      </c>
      <c r="AT227" s="228">
        <f t="shared" ref="AT227:AT232" si="375">IF(B227="ОСНО",AS227*1.18,AS227)</f>
        <v>32.130000000000003</v>
      </c>
      <c r="AU227" s="228">
        <f>AR227</f>
        <v>3.5</v>
      </c>
      <c r="AV227" s="228">
        <f>AS227*1.06</f>
        <v>34.057800000000007</v>
      </c>
      <c r="AW227" s="228">
        <f t="shared" ref="AW227:AW232" si="376">IF(B227="ОСНО",AV227*1.18,AV227)</f>
        <v>34.057800000000007</v>
      </c>
      <c r="AX227" s="229">
        <f>(AS227*AR227)/(AO227*AN227)</f>
        <v>1.0710000000000002</v>
      </c>
      <c r="AY227" s="229">
        <f>(AW227*AU227)/(AT227*AR227)</f>
        <v>1.06</v>
      </c>
      <c r="AZ227" s="229"/>
      <c r="BA227" s="230">
        <f t="shared" si="338"/>
        <v>603.54769999999996</v>
      </c>
    </row>
    <row r="228" spans="1:53" s="231" customFormat="1" ht="15.75" hidden="1">
      <c r="A228" s="255" t="s">
        <v>364</v>
      </c>
      <c r="B228" s="255" t="s">
        <v>398</v>
      </c>
      <c r="C228" s="228">
        <v>0</v>
      </c>
      <c r="D228" s="228"/>
      <c r="E228" s="228">
        <f t="shared" si="273"/>
        <v>0</v>
      </c>
      <c r="F228" s="228">
        <f t="shared" si="369"/>
        <v>0</v>
      </c>
      <c r="G228" s="228"/>
      <c r="H228" s="228">
        <f t="shared" si="362"/>
        <v>0</v>
      </c>
      <c r="I228" s="228"/>
      <c r="J228" s="228"/>
      <c r="K228" s="228">
        <f t="shared" si="363"/>
        <v>0</v>
      </c>
      <c r="L228" s="229"/>
      <c r="M228" s="229"/>
      <c r="N228" s="229"/>
      <c r="O228" s="228">
        <f>3.378/2</f>
        <v>1.6890000000000001</v>
      </c>
      <c r="P228" s="228">
        <v>474.41</v>
      </c>
      <c r="Q228" s="228">
        <f t="shared" si="370"/>
        <v>474.41</v>
      </c>
      <c r="R228" s="228"/>
      <c r="S228" s="228">
        <f>O228</f>
        <v>1.6890000000000001</v>
      </c>
      <c r="T228" s="228">
        <v>476.39</v>
      </c>
      <c r="U228" s="228">
        <f>IF(B228="ОСНО",T228*1.18,T228)</f>
        <v>476.39</v>
      </c>
      <c r="V228" s="228">
        <f>S228</f>
        <v>1.6890000000000001</v>
      </c>
      <c r="W228" s="228">
        <v>504.92</v>
      </c>
      <c r="X228" s="228">
        <f>IF(B228="ОСНО",W228*1.18,W228)</f>
        <v>504.92</v>
      </c>
      <c r="Y228" s="229">
        <f>(T228*S228)/(P228*O228)</f>
        <v>1.0041736051095045</v>
      </c>
      <c r="Z228" s="229">
        <f>(X228*V228)/(U228*S228)</f>
        <v>1.0598879069669809</v>
      </c>
      <c r="AA228" s="228">
        <f>3.18/2</f>
        <v>1.59</v>
      </c>
      <c r="AB228" s="228">
        <v>62.78</v>
      </c>
      <c r="AC228" s="228">
        <f t="shared" si="371"/>
        <v>62.78</v>
      </c>
      <c r="AD228" s="228"/>
      <c r="AE228" s="230"/>
      <c r="AF228" s="228">
        <f>AA228</f>
        <v>1.59</v>
      </c>
      <c r="AG228" s="228">
        <v>66.72</v>
      </c>
      <c r="AH228" s="228">
        <f t="shared" si="372"/>
        <v>66.72</v>
      </c>
      <c r="AI228" s="228">
        <f>AF228</f>
        <v>1.59</v>
      </c>
      <c r="AJ228" s="228">
        <v>71</v>
      </c>
      <c r="AK228" s="228">
        <f t="shared" si="373"/>
        <v>71</v>
      </c>
      <c r="AL228" s="229">
        <f>(AG228*AF228)/(AB228*AA228)</f>
        <v>1.0627588403950303</v>
      </c>
      <c r="AM228" s="229">
        <f t="shared" ref="AM228:AM232" si="377">(AK228*AI228)/(AH228*AF228)</f>
        <v>1.0641486810551559</v>
      </c>
      <c r="AN228" s="228"/>
      <c r="AO228" s="228"/>
      <c r="AP228" s="228">
        <f t="shared" si="374"/>
        <v>0</v>
      </c>
      <c r="AQ228" s="228"/>
      <c r="AR228" s="228"/>
      <c r="AS228" s="228"/>
      <c r="AT228" s="228">
        <f t="shared" si="375"/>
        <v>0</v>
      </c>
      <c r="AU228" s="228"/>
      <c r="AV228" s="228"/>
      <c r="AW228" s="228">
        <f t="shared" si="376"/>
        <v>0</v>
      </c>
      <c r="AX228" s="229"/>
      <c r="AY228" s="229"/>
      <c r="AZ228" s="229"/>
      <c r="BA228" s="230">
        <f t="shared" si="338"/>
        <v>0</v>
      </c>
    </row>
    <row r="229" spans="1:53" s="231" customFormat="1" ht="31.5" hidden="1">
      <c r="A229" s="255" t="s">
        <v>421</v>
      </c>
      <c r="B229" s="255" t="s">
        <v>398</v>
      </c>
      <c r="C229" s="228">
        <f>3.737/2</f>
        <v>1.8685</v>
      </c>
      <c r="D229" s="228">
        <v>146.69</v>
      </c>
      <c r="E229" s="228">
        <f t="shared" si="273"/>
        <v>146.69</v>
      </c>
      <c r="F229" s="228">
        <f t="shared" si="369"/>
        <v>1.8685</v>
      </c>
      <c r="G229" s="228">
        <v>146.69</v>
      </c>
      <c r="H229" s="228">
        <f t="shared" si="362"/>
        <v>146.69</v>
      </c>
      <c r="I229" s="228">
        <f>F229</f>
        <v>1.8685</v>
      </c>
      <c r="J229" s="228">
        <v>173.9</v>
      </c>
      <c r="K229" s="228">
        <f t="shared" si="363"/>
        <v>173.9</v>
      </c>
      <c r="L229" s="229">
        <f t="shared" ref="L229:L230" si="378">(G229*F229)/(D229*C229)</f>
        <v>1</v>
      </c>
      <c r="M229" s="229">
        <f>(K229*I229)/(H229*F229)</f>
        <v>1.1854932169882066</v>
      </c>
      <c r="N229" s="229"/>
      <c r="O229" s="228">
        <f>3.242/2</f>
        <v>1.621</v>
      </c>
      <c r="P229" s="228">
        <v>51.7</v>
      </c>
      <c r="Q229" s="228">
        <f t="shared" si="370"/>
        <v>51.7</v>
      </c>
      <c r="R229" s="228"/>
      <c r="S229" s="228">
        <f>O229</f>
        <v>1.621</v>
      </c>
      <c r="T229" s="228">
        <v>51.7</v>
      </c>
      <c r="U229" s="228">
        <f>IF(B229="ОСНО",T229*1.18,T229)</f>
        <v>51.7</v>
      </c>
      <c r="V229" s="228">
        <f>S229</f>
        <v>1.621</v>
      </c>
      <c r="W229" s="228">
        <v>54.8</v>
      </c>
      <c r="X229" s="228">
        <f>IF(B229="ОСНО",W229*1.18,W229)</f>
        <v>54.8</v>
      </c>
      <c r="Y229" s="229">
        <f>(T229*S229)/(P229*O229)</f>
        <v>1</v>
      </c>
      <c r="Z229" s="229">
        <f>(X229*V229)/(U229*S229)</f>
        <v>1.0599613152804641</v>
      </c>
      <c r="AA229" s="228"/>
      <c r="AB229" s="228"/>
      <c r="AC229" s="228">
        <f t="shared" si="371"/>
        <v>0</v>
      </c>
      <c r="AD229" s="228"/>
      <c r="AE229" s="230">
        <f>(G229-T229)*S229+(J229-W229)*V229</f>
        <v>347.03989000000001</v>
      </c>
      <c r="AF229" s="228"/>
      <c r="AG229" s="228"/>
      <c r="AH229" s="228">
        <f t="shared" si="372"/>
        <v>0</v>
      </c>
      <c r="AI229" s="228"/>
      <c r="AJ229" s="228"/>
      <c r="AK229" s="228">
        <f t="shared" si="373"/>
        <v>0</v>
      </c>
      <c r="AL229" s="229"/>
      <c r="AM229" s="229"/>
      <c r="AN229" s="228"/>
      <c r="AO229" s="228"/>
      <c r="AP229" s="228">
        <f t="shared" si="374"/>
        <v>0</v>
      </c>
      <c r="AQ229" s="228"/>
      <c r="AR229" s="228"/>
      <c r="AS229" s="228"/>
      <c r="AT229" s="228">
        <f t="shared" si="375"/>
        <v>0</v>
      </c>
      <c r="AU229" s="228"/>
      <c r="AV229" s="228"/>
      <c r="AW229" s="228">
        <f t="shared" si="376"/>
        <v>0</v>
      </c>
      <c r="AX229" s="229"/>
      <c r="AY229" s="229"/>
      <c r="AZ229" s="229"/>
      <c r="BA229" s="230">
        <f t="shared" si="338"/>
        <v>0</v>
      </c>
    </row>
    <row r="230" spans="1:53" s="231" customFormat="1" ht="31.5" hidden="1">
      <c r="A230" s="255" t="s">
        <v>422</v>
      </c>
      <c r="B230" s="255" t="s">
        <v>398</v>
      </c>
      <c r="C230" s="228">
        <f>2.023/2</f>
        <v>1.0115000000000001</v>
      </c>
      <c r="D230" s="228">
        <v>155</v>
      </c>
      <c r="E230" s="228">
        <f t="shared" si="273"/>
        <v>155</v>
      </c>
      <c r="F230" s="228">
        <f t="shared" si="369"/>
        <v>1.0115000000000001</v>
      </c>
      <c r="G230" s="228">
        <v>155</v>
      </c>
      <c r="H230" s="228">
        <f t="shared" si="362"/>
        <v>155</v>
      </c>
      <c r="I230" s="228">
        <f>F230</f>
        <v>1.0115000000000001</v>
      </c>
      <c r="J230" s="228">
        <v>178.72</v>
      </c>
      <c r="K230" s="228">
        <f t="shared" si="363"/>
        <v>178.72</v>
      </c>
      <c r="L230" s="229">
        <f t="shared" si="378"/>
        <v>1</v>
      </c>
      <c r="M230" s="229">
        <f>(K230*I230)/(H230*F230)</f>
        <v>1.1530322580645163</v>
      </c>
      <c r="N230" s="229"/>
      <c r="O230" s="228">
        <f>1.7/2</f>
        <v>0.85</v>
      </c>
      <c r="P230" s="228">
        <v>23.1</v>
      </c>
      <c r="Q230" s="228">
        <f t="shared" si="370"/>
        <v>23.1</v>
      </c>
      <c r="R230" s="228"/>
      <c r="S230" s="228">
        <f>O230</f>
        <v>0.85</v>
      </c>
      <c r="T230" s="228">
        <v>23.1</v>
      </c>
      <c r="U230" s="228">
        <f>IF(B230="ОСНО",T230*1.18,T230)</f>
        <v>23.1</v>
      </c>
      <c r="V230" s="228">
        <f>S230</f>
        <v>0.85</v>
      </c>
      <c r="W230" s="228">
        <f>T230*1.06</f>
        <v>24.486000000000004</v>
      </c>
      <c r="X230" s="228">
        <f>IF(B230="ОСНО",W230*1.18,W230)</f>
        <v>24.486000000000004</v>
      </c>
      <c r="Y230" s="229">
        <f>(T230*S230)/(P230*O230)</f>
        <v>1</v>
      </c>
      <c r="Z230" s="229">
        <f>(X230*V230)/(U230*S230)</f>
        <v>1.06</v>
      </c>
      <c r="AA230" s="228"/>
      <c r="AB230" s="228"/>
      <c r="AC230" s="228">
        <f t="shared" si="371"/>
        <v>0</v>
      </c>
      <c r="AD230" s="228"/>
      <c r="AE230" s="230">
        <f>(G230-T230)*S230+(J230-W230)*V230</f>
        <v>243.21389999999997</v>
      </c>
      <c r="AF230" s="228"/>
      <c r="AG230" s="228"/>
      <c r="AH230" s="228">
        <f t="shared" si="372"/>
        <v>0</v>
      </c>
      <c r="AI230" s="228"/>
      <c r="AJ230" s="228"/>
      <c r="AK230" s="228">
        <f t="shared" si="373"/>
        <v>0</v>
      </c>
      <c r="AL230" s="229"/>
      <c r="AM230" s="229"/>
      <c r="AN230" s="228"/>
      <c r="AO230" s="228"/>
      <c r="AP230" s="228">
        <f t="shared" si="374"/>
        <v>0</v>
      </c>
      <c r="AQ230" s="228"/>
      <c r="AR230" s="228"/>
      <c r="AS230" s="228"/>
      <c r="AT230" s="228">
        <f t="shared" si="375"/>
        <v>0</v>
      </c>
      <c r="AU230" s="228"/>
      <c r="AV230" s="228"/>
      <c r="AW230" s="228">
        <f t="shared" si="376"/>
        <v>0</v>
      </c>
      <c r="AX230" s="229"/>
      <c r="AY230" s="229"/>
      <c r="AZ230" s="229"/>
      <c r="BA230" s="230">
        <f t="shared" si="338"/>
        <v>0</v>
      </c>
    </row>
    <row r="231" spans="1:53" s="231" customFormat="1" ht="30.75" hidden="1" customHeight="1">
      <c r="A231" s="255" t="s">
        <v>423</v>
      </c>
      <c r="B231" s="255" t="s">
        <v>398</v>
      </c>
      <c r="C231" s="228">
        <f>14.21/2</f>
        <v>7.1050000000000004</v>
      </c>
      <c r="D231" s="228">
        <v>87.62</v>
      </c>
      <c r="E231" s="228">
        <f t="shared" si="273"/>
        <v>87.62</v>
      </c>
      <c r="F231" s="228">
        <f t="shared" si="369"/>
        <v>7.1050000000000004</v>
      </c>
      <c r="G231" s="228">
        <v>87.62</v>
      </c>
      <c r="H231" s="228">
        <f t="shared" si="362"/>
        <v>87.62</v>
      </c>
      <c r="I231" s="228">
        <f>F231</f>
        <v>7.1050000000000004</v>
      </c>
      <c r="J231" s="228">
        <v>100.57</v>
      </c>
      <c r="K231" s="228">
        <f t="shared" si="363"/>
        <v>100.57</v>
      </c>
      <c r="L231" s="229">
        <f>(G231*F231)/(D231*C231)</f>
        <v>1</v>
      </c>
      <c r="M231" s="229">
        <f>(K231*I231)/(H231*F231)</f>
        <v>1.1477973065510156</v>
      </c>
      <c r="N231" s="229"/>
      <c r="O231" s="228">
        <f>9.55/2</f>
        <v>4.7750000000000004</v>
      </c>
      <c r="P231" s="228">
        <v>53.07</v>
      </c>
      <c r="Q231" s="228">
        <f t="shared" si="370"/>
        <v>53.07</v>
      </c>
      <c r="R231" s="228"/>
      <c r="S231" s="228">
        <f>O231</f>
        <v>4.7750000000000004</v>
      </c>
      <c r="T231" s="228">
        <v>56.7</v>
      </c>
      <c r="U231" s="228">
        <f>IF(B231="ОСНО",T231*1.18,T231)</f>
        <v>56.7</v>
      </c>
      <c r="V231" s="228">
        <f>S231</f>
        <v>4.7750000000000004</v>
      </c>
      <c r="W231" s="228">
        <v>60.1</v>
      </c>
      <c r="X231" s="228">
        <f>IF(B231="ОСНО",W231*1.18,W231)</f>
        <v>60.1</v>
      </c>
      <c r="Y231" s="229">
        <f>(T231*S231)/(P231*O231)</f>
        <v>1.06840022611645</v>
      </c>
      <c r="Z231" s="229">
        <f>(X231*V231)/(U231*S231)</f>
        <v>1.0599647266313934</v>
      </c>
      <c r="AA231" s="228"/>
      <c r="AB231" s="228"/>
      <c r="AC231" s="228">
        <f t="shared" si="371"/>
        <v>0</v>
      </c>
      <c r="AD231" s="228"/>
      <c r="AE231" s="230">
        <f>(G231-T231)*S231+(J231-W231)*V231</f>
        <v>340.88724999999999</v>
      </c>
      <c r="AF231" s="228"/>
      <c r="AG231" s="228"/>
      <c r="AH231" s="228">
        <f t="shared" si="372"/>
        <v>0</v>
      </c>
      <c r="AI231" s="228"/>
      <c r="AJ231" s="228"/>
      <c r="AK231" s="228">
        <f t="shared" si="373"/>
        <v>0</v>
      </c>
      <c r="AL231" s="229"/>
      <c r="AM231" s="229"/>
      <c r="AN231" s="228"/>
      <c r="AO231" s="228"/>
      <c r="AP231" s="228">
        <f t="shared" si="374"/>
        <v>0</v>
      </c>
      <c r="AQ231" s="228"/>
      <c r="AR231" s="228"/>
      <c r="AS231" s="228"/>
      <c r="AT231" s="228">
        <f t="shared" si="375"/>
        <v>0</v>
      </c>
      <c r="AU231" s="228"/>
      <c r="AV231" s="228"/>
      <c r="AW231" s="228">
        <f t="shared" si="376"/>
        <v>0</v>
      </c>
      <c r="AX231" s="229"/>
      <c r="AY231" s="229"/>
      <c r="AZ231" s="229"/>
      <c r="BA231" s="230">
        <f t="shared" si="338"/>
        <v>0</v>
      </c>
    </row>
    <row r="232" spans="1:53" s="231" customFormat="1" ht="23.25" hidden="1" customHeight="1">
      <c r="A232" s="257" t="s">
        <v>420</v>
      </c>
      <c r="B232" s="255" t="s">
        <v>398</v>
      </c>
      <c r="C232" s="228">
        <f>55.97/2</f>
        <v>27.984999999999999</v>
      </c>
      <c r="D232" s="228">
        <v>60.53</v>
      </c>
      <c r="E232" s="228">
        <f t="shared" si="273"/>
        <v>60.53</v>
      </c>
      <c r="F232" s="228">
        <f t="shared" si="369"/>
        <v>27.984999999999999</v>
      </c>
      <c r="G232" s="228">
        <v>60.53</v>
      </c>
      <c r="H232" s="228">
        <f t="shared" si="362"/>
        <v>60.53</v>
      </c>
      <c r="I232" s="228">
        <f>F232</f>
        <v>27.984999999999999</v>
      </c>
      <c r="J232" s="228">
        <v>65.430000000000007</v>
      </c>
      <c r="K232" s="228">
        <f t="shared" si="363"/>
        <v>65.430000000000007</v>
      </c>
      <c r="L232" s="229">
        <f>(G232*F232)/(D232*C232)</f>
        <v>1</v>
      </c>
      <c r="M232" s="229">
        <f>(K232*I232)/(H232*F232)</f>
        <v>1.080951594250785</v>
      </c>
      <c r="N232" s="229" t="s">
        <v>366</v>
      </c>
      <c r="O232" s="228">
        <f>26.25/2</f>
        <v>13.125</v>
      </c>
      <c r="P232" s="228">
        <v>20</v>
      </c>
      <c r="Q232" s="228">
        <f t="shared" si="370"/>
        <v>20</v>
      </c>
      <c r="R232" s="228"/>
      <c r="S232" s="228">
        <f>O232</f>
        <v>13.125</v>
      </c>
      <c r="T232" s="228">
        <v>22</v>
      </c>
      <c r="U232" s="228">
        <f>IF(B232="ОСНО",T232*1.18,T232)</f>
        <v>22</v>
      </c>
      <c r="V232" s="228">
        <f>S232</f>
        <v>13.125</v>
      </c>
      <c r="W232" s="228">
        <v>22.88</v>
      </c>
      <c r="X232" s="228">
        <f>IF(B232="ОСНО",W232*1.18,W232)</f>
        <v>22.88</v>
      </c>
      <c r="Y232" s="229">
        <f>(T232*S232)/(P232*O232)</f>
        <v>1.1000000000000001</v>
      </c>
      <c r="Z232" s="229">
        <f>(X232*V232)/(U232*S232)</f>
        <v>1.04</v>
      </c>
      <c r="AA232" s="228">
        <f>30.21/2</f>
        <v>15.105</v>
      </c>
      <c r="AB232" s="228">
        <v>84.74</v>
      </c>
      <c r="AC232" s="228">
        <f t="shared" si="371"/>
        <v>84.74</v>
      </c>
      <c r="AD232" s="228"/>
      <c r="AE232" s="230">
        <f>(G232-T232)*S232+(J232-W232)*V232</f>
        <v>1064.1750000000002</v>
      </c>
      <c r="AF232" s="228">
        <f>AA232</f>
        <v>15.105</v>
      </c>
      <c r="AG232" s="228">
        <v>83.13</v>
      </c>
      <c r="AH232" s="228">
        <f t="shared" si="372"/>
        <v>83.13</v>
      </c>
      <c r="AI232" s="228">
        <f>AF232</f>
        <v>15.105</v>
      </c>
      <c r="AJ232" s="228">
        <v>83.13</v>
      </c>
      <c r="AK232" s="228">
        <f t="shared" si="373"/>
        <v>83.13</v>
      </c>
      <c r="AL232" s="229">
        <f>(AG232*AF232)/(AB232*AA232)</f>
        <v>0.98100070804814743</v>
      </c>
      <c r="AM232" s="229">
        <f t="shared" si="377"/>
        <v>1</v>
      </c>
      <c r="AN232" s="239">
        <f>25.05/2</f>
        <v>12.525</v>
      </c>
      <c r="AO232" s="239">
        <v>30</v>
      </c>
      <c r="AP232" s="228">
        <f t="shared" si="374"/>
        <v>30</v>
      </c>
      <c r="AQ232" s="228"/>
      <c r="AR232" s="239">
        <f>AN232</f>
        <v>12.525</v>
      </c>
      <c r="AS232" s="239">
        <v>32.130000000000003</v>
      </c>
      <c r="AT232" s="228">
        <f t="shared" si="375"/>
        <v>32.130000000000003</v>
      </c>
      <c r="AU232" s="228">
        <f>AR232</f>
        <v>12.525</v>
      </c>
      <c r="AV232" s="228">
        <v>33.42</v>
      </c>
      <c r="AW232" s="228">
        <f t="shared" si="376"/>
        <v>33.42</v>
      </c>
      <c r="AX232" s="229">
        <f t="shared" ref="AX232" si="379">(AS232*AR232)/(AO232*AN232)</f>
        <v>1.0710000000000002</v>
      </c>
      <c r="AY232" s="229">
        <f t="shared" ref="AY232" si="380">(AW232*AU232)/(AT232*AR232)</f>
        <v>1.0401493930905694</v>
      </c>
      <c r="AZ232" s="229"/>
      <c r="BA232" s="230">
        <f t="shared" si="338"/>
        <v>1261.39275</v>
      </c>
    </row>
    <row r="233" spans="1:53">
      <c r="W233" s="5" t="s">
        <v>462</v>
      </c>
    </row>
  </sheetData>
  <mergeCells count="32">
    <mergeCell ref="R9:R10"/>
    <mergeCell ref="AY9:AY10"/>
    <mergeCell ref="AN8:AY8"/>
    <mergeCell ref="S9:U9"/>
    <mergeCell ref="V9:X9"/>
    <mergeCell ref="AA9:AC9"/>
    <mergeCell ref="AF9:AH9"/>
    <mergeCell ref="AI9:AK9"/>
    <mergeCell ref="AL9:AL10"/>
    <mergeCell ref="AX9:AX10"/>
    <mergeCell ref="AN9:AP9"/>
    <mergeCell ref="AE7:AE10"/>
    <mergeCell ref="AR9:AT9"/>
    <mergeCell ref="AU9:AW9"/>
    <mergeCell ref="AM9:AM10"/>
    <mergeCell ref="AF7:AY7"/>
    <mergeCell ref="BA7:BA10"/>
    <mergeCell ref="AF8:AM8"/>
    <mergeCell ref="A2:AY2"/>
    <mergeCell ref="A7:A10"/>
    <mergeCell ref="L9:L10"/>
    <mergeCell ref="Y9:Y10"/>
    <mergeCell ref="C8:M8"/>
    <mergeCell ref="O8:Z8"/>
    <mergeCell ref="C7:Z7"/>
    <mergeCell ref="F9:H9"/>
    <mergeCell ref="C9:E9"/>
    <mergeCell ref="I9:K9"/>
    <mergeCell ref="Z9:Z10"/>
    <mergeCell ref="M9:M10"/>
    <mergeCell ref="B7:B10"/>
    <mergeCell ref="O9:Q9"/>
  </mergeCells>
  <pageMargins left="0.23622047244094491" right="0.19685039370078741" top="0.74803149606299213" bottom="0.74803149606299213" header="0.31496062992125984" footer="0.31496062992125984"/>
  <pageSetup paperSize="9" scale="35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5:U184"/>
  <sheetViews>
    <sheetView workbookViewId="0">
      <selection activeCell="E9" sqref="E9"/>
    </sheetView>
  </sheetViews>
  <sheetFormatPr defaultRowHeight="15"/>
  <cols>
    <col min="1" max="1" width="50.42578125" style="5" customWidth="1"/>
    <col min="2" max="2" width="16.140625" style="5" customWidth="1"/>
    <col min="3" max="3" width="15.28515625" style="5" customWidth="1"/>
    <col min="4" max="4" width="18.140625" style="5" customWidth="1"/>
    <col min="5" max="5" width="12.42578125" style="5" customWidth="1"/>
    <col min="6" max="6" width="13.7109375" style="5" customWidth="1"/>
    <col min="7" max="8" width="12.42578125" style="5" customWidth="1"/>
    <col min="9" max="9" width="13.140625" style="5" customWidth="1"/>
    <col min="10" max="10" width="12.28515625" style="5" customWidth="1"/>
    <col min="11" max="11" width="14" style="5" customWidth="1"/>
    <col min="12" max="12" width="11.85546875" style="5" customWidth="1"/>
    <col min="13" max="13" width="13.42578125" style="5" customWidth="1"/>
    <col min="14" max="14" width="13.140625" style="5" customWidth="1"/>
    <col min="15" max="15" width="13.85546875" style="5" customWidth="1"/>
    <col min="16" max="16" width="13.42578125" style="5" customWidth="1"/>
    <col min="17" max="17" width="14.140625" style="5" customWidth="1"/>
    <col min="18" max="18" width="12.5703125" style="5" customWidth="1"/>
    <col min="19" max="19" width="11.28515625" style="5" customWidth="1"/>
    <col min="20" max="20" width="10.85546875" style="5" customWidth="1"/>
    <col min="21" max="21" width="16.28515625" style="5" customWidth="1"/>
  </cols>
  <sheetData>
    <row r="5" spans="1:21">
      <c r="A5" s="361"/>
      <c r="B5" s="362" t="s">
        <v>4</v>
      </c>
      <c r="C5" s="362"/>
      <c r="D5" s="362"/>
      <c r="E5" s="362"/>
      <c r="F5" s="362"/>
      <c r="G5" s="362"/>
      <c r="H5" s="362"/>
      <c r="I5" s="362"/>
      <c r="J5" s="362"/>
      <c r="K5" s="362"/>
      <c r="L5" s="362" t="s">
        <v>5</v>
      </c>
      <c r="M5" s="362"/>
      <c r="N5" s="362"/>
      <c r="O5" s="362"/>
      <c r="P5" s="362"/>
      <c r="Q5" s="362"/>
      <c r="R5" s="362"/>
      <c r="S5" s="362"/>
      <c r="T5" s="362"/>
      <c r="U5" s="362"/>
    </row>
    <row r="6" spans="1:21">
      <c r="A6" s="361"/>
      <c r="B6" s="362" t="s">
        <v>2</v>
      </c>
      <c r="C6" s="362"/>
      <c r="D6" s="362"/>
      <c r="E6" s="362"/>
      <c r="F6" s="362"/>
      <c r="G6" s="362" t="s">
        <v>3</v>
      </c>
      <c r="H6" s="362"/>
      <c r="I6" s="362"/>
      <c r="J6" s="362"/>
      <c r="K6" s="362"/>
      <c r="L6" s="362" t="s">
        <v>2</v>
      </c>
      <c r="M6" s="362"/>
      <c r="N6" s="362"/>
      <c r="O6" s="362"/>
      <c r="P6" s="362"/>
      <c r="Q6" s="362" t="s">
        <v>3</v>
      </c>
      <c r="R6" s="362"/>
      <c r="S6" s="362"/>
      <c r="T6" s="362"/>
      <c r="U6" s="362"/>
    </row>
    <row r="7" spans="1:21" ht="29.25" customHeight="1">
      <c r="A7" s="361"/>
      <c r="B7" s="363" t="s">
        <v>0</v>
      </c>
      <c r="C7" s="364"/>
      <c r="D7" s="363" t="s">
        <v>1</v>
      </c>
      <c r="E7" s="364"/>
      <c r="F7" s="365" t="s">
        <v>9</v>
      </c>
      <c r="G7" s="363" t="s">
        <v>0</v>
      </c>
      <c r="H7" s="364"/>
      <c r="I7" s="362" t="s">
        <v>1</v>
      </c>
      <c r="J7" s="362"/>
      <c r="K7" s="365" t="s">
        <v>9</v>
      </c>
      <c r="L7" s="363" t="s">
        <v>0</v>
      </c>
      <c r="M7" s="364"/>
      <c r="N7" s="363" t="s">
        <v>1</v>
      </c>
      <c r="O7" s="364"/>
      <c r="P7" s="365" t="s">
        <v>9</v>
      </c>
      <c r="Q7" s="363" t="s">
        <v>0</v>
      </c>
      <c r="R7" s="364"/>
      <c r="S7" s="362" t="s">
        <v>1</v>
      </c>
      <c r="T7" s="362"/>
      <c r="U7" s="365" t="s">
        <v>9</v>
      </c>
    </row>
    <row r="8" spans="1:21" ht="25.5">
      <c r="A8" s="361"/>
      <c r="B8" s="38" t="s">
        <v>6</v>
      </c>
      <c r="C8" s="38" t="s">
        <v>7</v>
      </c>
      <c r="D8" s="38" t="s">
        <v>6</v>
      </c>
      <c r="E8" s="38" t="s">
        <v>7</v>
      </c>
      <c r="F8" s="366"/>
      <c r="G8" s="38" t="s">
        <v>8</v>
      </c>
      <c r="H8" s="38" t="s">
        <v>7</v>
      </c>
      <c r="I8" s="38" t="s">
        <v>8</v>
      </c>
      <c r="J8" s="38" t="s">
        <v>7</v>
      </c>
      <c r="K8" s="366"/>
      <c r="L8" s="38" t="s">
        <v>6</v>
      </c>
      <c r="M8" s="38" t="s">
        <v>7</v>
      </c>
      <c r="N8" s="38" t="s">
        <v>6</v>
      </c>
      <c r="O8" s="38" t="s">
        <v>7</v>
      </c>
      <c r="P8" s="366"/>
      <c r="Q8" s="38" t="s">
        <v>8</v>
      </c>
      <c r="R8" s="38" t="s">
        <v>7</v>
      </c>
      <c r="S8" s="38" t="s">
        <v>8</v>
      </c>
      <c r="T8" s="38" t="s">
        <v>7</v>
      </c>
      <c r="U8" s="366"/>
    </row>
    <row r="9" spans="1:21" s="1" customFormat="1">
      <c r="A9" s="9" t="s">
        <v>192</v>
      </c>
      <c r="B9" s="18">
        <f>SUM(B10:B182)</f>
        <v>38368.08391279498</v>
      </c>
      <c r="C9" s="18">
        <f>SUMPRODUCT(B10:B182,C10:C182)/B9</f>
        <v>29.077353026170222</v>
      </c>
      <c r="D9" s="18">
        <f>SUM(D10:D182)</f>
        <v>38368.08391279498</v>
      </c>
      <c r="E9" s="18">
        <f>SUMPRODUCT(D10:D182,E10:E182)/D9</f>
        <v>30.996323775489024</v>
      </c>
      <c r="F9" s="19">
        <f>E9/C9</f>
        <v>1.0659953726734235</v>
      </c>
      <c r="G9" s="18">
        <f>SUM(G10:G182)</f>
        <v>18797.298500000004</v>
      </c>
      <c r="H9" s="18">
        <f>SUMPRODUCT(G10:G182,H10:H182)/G9</f>
        <v>24.061293786156366</v>
      </c>
      <c r="I9" s="18">
        <f>SUM(I10:I182)</f>
        <v>18891.796500000004</v>
      </c>
      <c r="J9" s="18">
        <f>SUMPRODUCT(I10:I182,J10:J182)/I9</f>
        <v>25.508239889072598</v>
      </c>
      <c r="K9" s="19">
        <f>J9/H9</f>
        <v>1.0601358395677265</v>
      </c>
      <c r="L9" s="18">
        <f>SUM(L10:L182)</f>
        <v>33615.305000000022</v>
      </c>
      <c r="M9" s="18">
        <f>SUMPRODUCT(L10:L182,M10:M182)/L9</f>
        <v>25.27158472442833</v>
      </c>
      <c r="N9" s="18">
        <f>SUM(N10:N182)</f>
        <v>33615.305000000022</v>
      </c>
      <c r="O9" s="18">
        <f>SUMPRODUCT(N10:N182,O10:O182)/N9</f>
        <v>27.770326093129288</v>
      </c>
      <c r="P9" s="19">
        <f>O9/M9</f>
        <v>1.0988755313902256</v>
      </c>
      <c r="Q9" s="18">
        <f>SUM(Q10:Q182)</f>
        <v>20588.703500000011</v>
      </c>
      <c r="R9" s="18">
        <f>SUMPRODUCT(Q10:Q182,R10:R182)/Q9</f>
        <v>21.429364576747172</v>
      </c>
      <c r="S9" s="18">
        <f>SUM(S10:S182)</f>
        <v>20588.703500000011</v>
      </c>
      <c r="T9" s="18">
        <f>SUMPRODUCT(S10:S182,T10:T182)/S9</f>
        <v>22.812928404260635</v>
      </c>
      <c r="U9" s="19">
        <f>T9/R9</f>
        <v>1.0645639222086294</v>
      </c>
    </row>
    <row r="10" spans="1:21" s="1" customFormat="1">
      <c r="A10" s="7" t="s">
        <v>29</v>
      </c>
      <c r="B10" s="13">
        <f>18691.5/2</f>
        <v>9345.75</v>
      </c>
      <c r="C10" s="13">
        <v>23.89</v>
      </c>
      <c r="D10" s="13">
        <f t="shared" ref="D10:D18" si="0">B10</f>
        <v>9345.75</v>
      </c>
      <c r="E10" s="13">
        <v>25.3</v>
      </c>
      <c r="F10" s="14">
        <f t="shared" ref="F10:F18" si="1">(E10*D10)/(C10*B10)</f>
        <v>1.0590205106739221</v>
      </c>
      <c r="G10" s="15">
        <f>14951/2</f>
        <v>7475.5</v>
      </c>
      <c r="H10" s="15">
        <v>21.57</v>
      </c>
      <c r="I10" s="15">
        <f>G10</f>
        <v>7475.5</v>
      </c>
      <c r="J10" s="15">
        <v>22.58</v>
      </c>
      <c r="K10" s="14">
        <f>(J10*I10)/(H10*G10)</f>
        <v>1.0468242929995362</v>
      </c>
      <c r="L10" s="13">
        <f>21018.87/2</f>
        <v>10509.434999999999</v>
      </c>
      <c r="M10" s="13">
        <v>19.760000000000002</v>
      </c>
      <c r="N10" s="13">
        <f>L10</f>
        <v>10509.434999999999</v>
      </c>
      <c r="O10" s="13">
        <v>22.88</v>
      </c>
      <c r="P10" s="14">
        <f>(O10*N10)/(M10*L10)</f>
        <v>1.1578947368421051</v>
      </c>
      <c r="Q10" s="13">
        <f>14381.5/2</f>
        <v>7190.75</v>
      </c>
      <c r="R10" s="13">
        <v>19.760000000000002</v>
      </c>
      <c r="S10" s="13">
        <f>Q10</f>
        <v>7190.75</v>
      </c>
      <c r="T10" s="13">
        <v>20.69</v>
      </c>
      <c r="U10" s="14">
        <f>(T10*S10)/(R10*Q10)</f>
        <v>1.0470647773279353</v>
      </c>
    </row>
    <row r="11" spans="1:21" s="1" customFormat="1">
      <c r="A11" s="7" t="s">
        <v>30</v>
      </c>
      <c r="B11" s="13">
        <f>7.79/2</f>
        <v>3.895</v>
      </c>
      <c r="C11" s="13">
        <v>9.7200000000000006</v>
      </c>
      <c r="D11" s="13">
        <f t="shared" si="0"/>
        <v>3.895</v>
      </c>
      <c r="E11" s="13">
        <v>10.199999999999999</v>
      </c>
      <c r="F11" s="14">
        <f t="shared" si="1"/>
        <v>1.0493827160493827</v>
      </c>
      <c r="G11" s="15"/>
      <c r="H11" s="15"/>
      <c r="I11" s="15"/>
      <c r="J11" s="15"/>
      <c r="K11" s="14"/>
      <c r="L11" s="13"/>
      <c r="M11" s="13"/>
      <c r="N11" s="13"/>
      <c r="O11" s="13"/>
      <c r="P11" s="14"/>
      <c r="Q11" s="13"/>
      <c r="R11" s="13"/>
      <c r="S11" s="13"/>
      <c r="T11" s="13"/>
      <c r="U11" s="14"/>
    </row>
    <row r="12" spans="1:21" s="1" customFormat="1">
      <c r="A12" s="7" t="s">
        <v>27</v>
      </c>
      <c r="B12" s="13">
        <f>1117.41/2</f>
        <v>558.70500000000004</v>
      </c>
      <c r="C12" s="13">
        <v>135.32</v>
      </c>
      <c r="D12" s="13">
        <f t="shared" si="0"/>
        <v>558.70500000000004</v>
      </c>
      <c r="E12" s="13">
        <v>148.69</v>
      </c>
      <c r="F12" s="14">
        <f t="shared" si="1"/>
        <v>1.0988028377180019</v>
      </c>
      <c r="G12" s="15">
        <f>847.45/2</f>
        <v>423.72500000000002</v>
      </c>
      <c r="H12" s="15">
        <v>21.57</v>
      </c>
      <c r="I12" s="15">
        <f>G12</f>
        <v>423.72500000000002</v>
      </c>
      <c r="J12" s="15">
        <v>22.58</v>
      </c>
      <c r="K12" s="14">
        <f t="shared" ref="K12:K14" si="2">(J12*I12)/(H12*G12)</f>
        <v>1.0468242929995362</v>
      </c>
      <c r="L12" s="13">
        <f>906/2</f>
        <v>453</v>
      </c>
      <c r="M12" s="13">
        <v>111.34</v>
      </c>
      <c r="N12" s="13">
        <f>L12</f>
        <v>453</v>
      </c>
      <c r="O12" s="13">
        <v>148.13</v>
      </c>
      <c r="P12" s="14">
        <f t="shared" ref="P12" si="3">(O12*N12)/(M12*L12)</f>
        <v>1.3304293156098437</v>
      </c>
      <c r="Q12" s="13">
        <f>718.1/2</f>
        <v>359.05</v>
      </c>
      <c r="R12" s="13">
        <v>19.760000000000002</v>
      </c>
      <c r="S12" s="13">
        <f>Q12</f>
        <v>359.05</v>
      </c>
      <c r="T12" s="13">
        <v>20.69</v>
      </c>
      <c r="U12" s="14">
        <f t="shared" ref="U12:U14" si="4">(T12*S12)/(R12*Q12)</f>
        <v>1.0470647773279353</v>
      </c>
    </row>
    <row r="13" spans="1:21" s="1" customFormat="1">
      <c r="A13" s="7" t="s">
        <v>28</v>
      </c>
      <c r="B13" s="13">
        <f>5.8/2</f>
        <v>2.9</v>
      </c>
      <c r="C13" s="13">
        <v>57.32</v>
      </c>
      <c r="D13" s="13">
        <f t="shared" si="0"/>
        <v>2.9</v>
      </c>
      <c r="E13" s="13">
        <v>60</v>
      </c>
      <c r="F13" s="14">
        <f t="shared" si="1"/>
        <v>1.0467550593161199</v>
      </c>
      <c r="G13" s="15"/>
      <c r="H13" s="15"/>
      <c r="I13" s="15"/>
      <c r="J13" s="15"/>
      <c r="K13" s="14"/>
      <c r="L13" s="13"/>
      <c r="M13" s="13"/>
      <c r="N13" s="13"/>
      <c r="O13" s="13"/>
      <c r="P13" s="14"/>
      <c r="Q13" s="13"/>
      <c r="R13" s="13"/>
      <c r="S13" s="13"/>
      <c r="T13" s="13"/>
      <c r="U13" s="14"/>
    </row>
    <row r="14" spans="1:21" s="1" customFormat="1">
      <c r="A14" s="8" t="s">
        <v>11</v>
      </c>
      <c r="B14" s="13">
        <f>1387.91/2</f>
        <v>693.95500000000004</v>
      </c>
      <c r="C14" s="13">
        <v>38.76</v>
      </c>
      <c r="D14" s="13">
        <f t="shared" si="0"/>
        <v>693.95500000000004</v>
      </c>
      <c r="E14" s="13">
        <v>40.57</v>
      </c>
      <c r="F14" s="14">
        <f t="shared" si="1"/>
        <v>1.0466976264189887</v>
      </c>
      <c r="G14" s="16">
        <f>1194.27/2</f>
        <v>597.13499999999999</v>
      </c>
      <c r="H14" s="16">
        <v>21.57</v>
      </c>
      <c r="I14" s="15">
        <f>G14</f>
        <v>597.13499999999999</v>
      </c>
      <c r="J14" s="16">
        <v>22.58</v>
      </c>
      <c r="K14" s="14">
        <f t="shared" si="2"/>
        <v>1.0468242929995362</v>
      </c>
      <c r="L14" s="13">
        <f>1827.73/2</f>
        <v>913.86500000000001</v>
      </c>
      <c r="M14" s="13">
        <v>26.12</v>
      </c>
      <c r="N14" s="13">
        <f t="shared" ref="N14:N21" si="5">L14</f>
        <v>913.86500000000001</v>
      </c>
      <c r="O14" s="13">
        <v>27.36</v>
      </c>
      <c r="P14" s="14">
        <f>(O14*N14)/(M14*L14)</f>
        <v>1.0474732006125573</v>
      </c>
      <c r="Q14" s="13">
        <f>1194.27/2</f>
        <v>597.13499999999999</v>
      </c>
      <c r="R14" s="13">
        <v>19.760000000000002</v>
      </c>
      <c r="S14" s="13">
        <f>Q14</f>
        <v>597.13499999999999</v>
      </c>
      <c r="T14" s="13">
        <v>20.69</v>
      </c>
      <c r="U14" s="14">
        <f t="shared" si="4"/>
        <v>1.0470647773279351</v>
      </c>
    </row>
    <row r="15" spans="1:21">
      <c r="A15" s="8" t="s">
        <v>12</v>
      </c>
      <c r="B15" s="13">
        <f>62.1/2</f>
        <v>31.05</v>
      </c>
      <c r="C15" s="13">
        <v>18.079999999999998</v>
      </c>
      <c r="D15" s="13">
        <f t="shared" si="0"/>
        <v>31.05</v>
      </c>
      <c r="E15" s="13">
        <v>35.36</v>
      </c>
      <c r="F15" s="14">
        <f t="shared" si="1"/>
        <v>1.9557522123893807</v>
      </c>
      <c r="G15" s="15"/>
      <c r="H15" s="15"/>
      <c r="I15" s="15"/>
      <c r="J15" s="15"/>
      <c r="K15" s="14"/>
      <c r="L15" s="13"/>
      <c r="M15" s="13"/>
      <c r="N15" s="13">
        <f t="shared" si="5"/>
        <v>0</v>
      </c>
      <c r="O15" s="13"/>
      <c r="P15" s="14"/>
      <c r="Q15" s="28"/>
      <c r="R15" s="28"/>
      <c r="S15" s="28"/>
      <c r="T15" s="28"/>
      <c r="U15" s="14"/>
    </row>
    <row r="16" spans="1:21">
      <c r="A16" s="8" t="s">
        <v>15</v>
      </c>
      <c r="B16" s="13">
        <f>(255.069+3.687)/2</f>
        <v>129.37799999999999</v>
      </c>
      <c r="C16" s="13">
        <v>32.71</v>
      </c>
      <c r="D16" s="13">
        <f t="shared" si="0"/>
        <v>129.37799999999999</v>
      </c>
      <c r="E16" s="13">
        <v>34.159999999999997</v>
      </c>
      <c r="F16" s="14">
        <f t="shared" si="1"/>
        <v>1.0443289513910119</v>
      </c>
      <c r="G16" s="15">
        <f>3.687/2</f>
        <v>1.8434999999999999</v>
      </c>
      <c r="H16" s="15">
        <v>21.57</v>
      </c>
      <c r="I16" s="15">
        <f>G16</f>
        <v>1.8434999999999999</v>
      </c>
      <c r="J16" s="15">
        <v>22.58</v>
      </c>
      <c r="K16" s="14">
        <f>(J16*I16)/(H16*G16)</f>
        <v>1.0468242929995364</v>
      </c>
      <c r="L16" s="13">
        <f>(184.8)/2</f>
        <v>92.4</v>
      </c>
      <c r="M16" s="13">
        <v>52.27</v>
      </c>
      <c r="N16" s="13">
        <f t="shared" si="5"/>
        <v>92.4</v>
      </c>
      <c r="O16" s="13">
        <v>55.52</v>
      </c>
      <c r="P16" s="14">
        <f>(O16*N16)/(M16*L16)</f>
        <v>1.0621771570690646</v>
      </c>
      <c r="Q16" s="28">
        <v>0</v>
      </c>
      <c r="R16" s="28"/>
      <c r="S16" s="28">
        <f>Q16</f>
        <v>0</v>
      </c>
      <c r="T16" s="28"/>
      <c r="U16" s="14"/>
    </row>
    <row r="17" spans="1:21">
      <c r="A17" s="8" t="s">
        <v>53</v>
      </c>
      <c r="B17" s="13">
        <f>125.6/2</f>
        <v>62.8</v>
      </c>
      <c r="C17" s="13">
        <v>46.66</v>
      </c>
      <c r="D17" s="13">
        <f>B17</f>
        <v>62.8</v>
      </c>
      <c r="E17" s="13">
        <v>49.52</v>
      </c>
      <c r="F17" s="14">
        <f t="shared" si="1"/>
        <v>1.0612944706386629</v>
      </c>
      <c r="G17" s="13">
        <f>6.88/2</f>
        <v>3.44</v>
      </c>
      <c r="H17" s="13">
        <v>21.57</v>
      </c>
      <c r="I17" s="13">
        <f>G17</f>
        <v>3.44</v>
      </c>
      <c r="J17" s="13">
        <v>22.58</v>
      </c>
      <c r="K17" s="14">
        <f t="shared" ref="K17" si="6">(J17*I17)/(H17*G17)</f>
        <v>1.0468242929995362</v>
      </c>
      <c r="L17" s="13">
        <f>127.02/2</f>
        <v>63.51</v>
      </c>
      <c r="M17" s="13">
        <v>44.74</v>
      </c>
      <c r="N17" s="13">
        <f t="shared" si="5"/>
        <v>63.51</v>
      </c>
      <c r="O17" s="13">
        <v>47.51</v>
      </c>
      <c r="P17" s="14">
        <f t="shared" ref="P17" si="7">(O17*N17)/(M17*L17)</f>
        <v>1.0619132767098791</v>
      </c>
      <c r="Q17" s="28">
        <f>6.88/2</f>
        <v>3.44</v>
      </c>
      <c r="R17" s="28">
        <v>19.760000000000002</v>
      </c>
      <c r="S17" s="28">
        <f>Q17</f>
        <v>3.44</v>
      </c>
      <c r="T17" s="28">
        <v>20.69</v>
      </c>
      <c r="U17" s="36">
        <f t="shared" ref="U17" si="8">T17/R17</f>
        <v>1.0470647773279351</v>
      </c>
    </row>
    <row r="18" spans="1:21">
      <c r="A18" s="8" t="s">
        <v>13</v>
      </c>
      <c r="B18" s="13">
        <f>37.58/2</f>
        <v>18.79</v>
      </c>
      <c r="C18" s="13">
        <v>52.5</v>
      </c>
      <c r="D18" s="13">
        <f t="shared" si="0"/>
        <v>18.79</v>
      </c>
      <c r="E18" s="13">
        <v>52.5</v>
      </c>
      <c r="F18" s="14">
        <f t="shared" si="1"/>
        <v>1</v>
      </c>
      <c r="G18" s="15"/>
      <c r="H18" s="15"/>
      <c r="I18" s="15"/>
      <c r="J18" s="15"/>
      <c r="K18" s="14"/>
      <c r="L18" s="13">
        <f>75.78/2</f>
        <v>37.89</v>
      </c>
      <c r="M18" s="13">
        <v>38.619999999999997</v>
      </c>
      <c r="N18" s="13">
        <f t="shared" si="5"/>
        <v>37.89</v>
      </c>
      <c r="O18" s="13">
        <v>39.020000000000003</v>
      </c>
      <c r="P18" s="14">
        <f>(O18*N18)/(M18*L18)</f>
        <v>1.0103573278094253</v>
      </c>
      <c r="Q18" s="28"/>
      <c r="R18" s="28"/>
      <c r="S18" s="28"/>
      <c r="T18" s="28"/>
      <c r="U18" s="14"/>
    </row>
    <row r="19" spans="1:21">
      <c r="A19" s="8" t="s">
        <v>32</v>
      </c>
      <c r="B19" s="13">
        <f>1.5/2</f>
        <v>0.75</v>
      </c>
      <c r="C19" s="13">
        <v>17.579999999999998</v>
      </c>
      <c r="D19" s="13">
        <f t="shared" ref="D19:D27" si="9">B19</f>
        <v>0.75</v>
      </c>
      <c r="E19" s="13">
        <v>18.09</v>
      </c>
      <c r="F19" s="14">
        <f t="shared" ref="F19:F32" si="10">(E19*D19)/(C19*B19)</f>
        <v>1.0290102389078499</v>
      </c>
      <c r="G19" s="13"/>
      <c r="H19" s="13"/>
      <c r="I19" s="13"/>
      <c r="J19" s="13"/>
      <c r="K19" s="14"/>
      <c r="L19" s="13">
        <f>5285.17/2-3028.63/2-2147.25/2</f>
        <v>54.644999999999982</v>
      </c>
      <c r="M19" s="13">
        <v>7.52</v>
      </c>
      <c r="N19" s="13">
        <f t="shared" si="5"/>
        <v>54.644999999999982</v>
      </c>
      <c r="O19" s="13">
        <v>7.77</v>
      </c>
      <c r="P19" s="14">
        <f>(O19*N19)/(M19*L19)</f>
        <v>1.0332446808510638</v>
      </c>
      <c r="Q19" s="13"/>
      <c r="R19" s="13"/>
      <c r="S19" s="13"/>
      <c r="T19" s="13"/>
      <c r="U19" s="26"/>
    </row>
    <row r="20" spans="1:21">
      <c r="A20" s="8" t="s">
        <v>33</v>
      </c>
      <c r="B20" s="13">
        <f>2194.46/2-31.2/2-2113.85/2</f>
        <v>24.705000000000155</v>
      </c>
      <c r="C20" s="13">
        <v>8.32</v>
      </c>
      <c r="D20" s="13">
        <f t="shared" si="9"/>
        <v>24.705000000000155</v>
      </c>
      <c r="E20" s="13">
        <v>9.77</v>
      </c>
      <c r="F20" s="14">
        <f t="shared" si="10"/>
        <v>1.1742788461538463</v>
      </c>
      <c r="G20" s="13"/>
      <c r="H20" s="13"/>
      <c r="I20" s="13"/>
      <c r="J20" s="13"/>
      <c r="K20" s="14"/>
      <c r="L20" s="13">
        <f>183.61/2</f>
        <v>91.805000000000007</v>
      </c>
      <c r="M20" s="13">
        <v>1.26</v>
      </c>
      <c r="N20" s="13">
        <f t="shared" si="5"/>
        <v>91.805000000000007</v>
      </c>
      <c r="O20" s="13">
        <v>1.33</v>
      </c>
      <c r="P20" s="14">
        <f>(O20*N20)/(M20*L20)</f>
        <v>1.0555555555555556</v>
      </c>
      <c r="Q20" s="13"/>
      <c r="R20" s="13"/>
      <c r="S20" s="13"/>
      <c r="T20" s="13"/>
      <c r="U20" s="26"/>
    </row>
    <row r="21" spans="1:21">
      <c r="A21" s="8" t="s">
        <v>34</v>
      </c>
      <c r="B21" s="13">
        <f>38081.57/2-37759/2</f>
        <v>161.28499999999985</v>
      </c>
      <c r="C21" s="13">
        <v>1.44</v>
      </c>
      <c r="D21" s="13">
        <f t="shared" si="9"/>
        <v>161.28499999999985</v>
      </c>
      <c r="E21" s="13">
        <v>1.66</v>
      </c>
      <c r="F21" s="14">
        <f t="shared" si="10"/>
        <v>1.1527777777777777</v>
      </c>
      <c r="G21" s="13"/>
      <c r="H21" s="13"/>
      <c r="I21" s="13"/>
      <c r="J21" s="13"/>
      <c r="K21" s="14"/>
      <c r="L21" s="13">
        <f>188.11/2</f>
        <v>94.055000000000007</v>
      </c>
      <c r="M21" s="13">
        <v>5.64</v>
      </c>
      <c r="N21" s="13">
        <f t="shared" si="5"/>
        <v>94.055000000000007</v>
      </c>
      <c r="O21" s="13">
        <v>6.21</v>
      </c>
      <c r="P21" s="14">
        <f>(O21*N21)/(M21*L21)</f>
        <v>1.1010638297872342</v>
      </c>
      <c r="Q21" s="13"/>
      <c r="R21" s="13"/>
      <c r="S21" s="13"/>
      <c r="T21" s="13"/>
      <c r="U21" s="26"/>
    </row>
    <row r="22" spans="1:21">
      <c r="A22" s="8" t="s">
        <v>35</v>
      </c>
      <c r="B22" s="13">
        <f>31590.53/2-31570.23/2</f>
        <v>10.149999999999636</v>
      </c>
      <c r="C22" s="13">
        <v>2.73</v>
      </c>
      <c r="D22" s="13">
        <f t="shared" si="9"/>
        <v>10.149999999999636</v>
      </c>
      <c r="E22" s="13">
        <v>3.06</v>
      </c>
      <c r="F22" s="14">
        <f t="shared" si="10"/>
        <v>1.1208791208791209</v>
      </c>
      <c r="G22" s="13"/>
      <c r="H22" s="13"/>
      <c r="I22" s="13"/>
      <c r="J22" s="13"/>
      <c r="K22" s="14"/>
      <c r="L22" s="13"/>
      <c r="M22" s="13"/>
      <c r="N22" s="13"/>
      <c r="O22" s="13"/>
      <c r="P22" s="14"/>
      <c r="Q22" s="13"/>
      <c r="R22" s="13"/>
      <c r="S22" s="13"/>
      <c r="T22" s="13"/>
      <c r="U22" s="26"/>
    </row>
    <row r="23" spans="1:21" ht="18.75" customHeight="1">
      <c r="A23" s="8" t="s">
        <v>36</v>
      </c>
      <c r="B23" s="13">
        <f>1841.99/2-112.35/2</f>
        <v>864.82</v>
      </c>
      <c r="C23" s="13">
        <v>31.77</v>
      </c>
      <c r="D23" s="13">
        <f t="shared" si="9"/>
        <v>864.82</v>
      </c>
      <c r="E23" s="13">
        <v>35.03</v>
      </c>
      <c r="F23" s="14">
        <f t="shared" si="10"/>
        <v>1.102612527541706</v>
      </c>
      <c r="G23" s="13">
        <f>1465.96/2</f>
        <v>732.98</v>
      </c>
      <c r="H23" s="13">
        <v>31.77</v>
      </c>
      <c r="I23" s="13">
        <f>G23</f>
        <v>732.98</v>
      </c>
      <c r="J23" s="13">
        <v>35.03</v>
      </c>
      <c r="K23" s="14">
        <f>(J23*I23)/(H23*G23)</f>
        <v>1.102612527541706</v>
      </c>
      <c r="L23" s="13">
        <f>3028.63/2-140.24/2</f>
        <v>1444.1950000000002</v>
      </c>
      <c r="M23" s="13">
        <v>15.02</v>
      </c>
      <c r="N23" s="13">
        <f>L23</f>
        <v>1444.1950000000002</v>
      </c>
      <c r="O23" s="13">
        <v>17.010000000000002</v>
      </c>
      <c r="P23" s="14">
        <f>(O23*N23)/(M23*L23)</f>
        <v>1.1324900133155793</v>
      </c>
      <c r="Q23" s="13">
        <f>2213.33/2</f>
        <v>1106.665</v>
      </c>
      <c r="R23" s="13">
        <v>15.02</v>
      </c>
      <c r="S23" s="13">
        <f>Q23</f>
        <v>1106.665</v>
      </c>
      <c r="T23" s="13">
        <v>17.010000000000002</v>
      </c>
      <c r="U23" s="14">
        <f>(T23*S23)/(R23*Q23)</f>
        <v>1.1324900133155793</v>
      </c>
    </row>
    <row r="24" spans="1:21">
      <c r="A24" s="2" t="s">
        <v>56</v>
      </c>
      <c r="B24" s="13">
        <f>2180.07/2</f>
        <v>1090.0350000000001</v>
      </c>
      <c r="C24" s="13">
        <v>20.93</v>
      </c>
      <c r="D24" s="13">
        <f t="shared" si="9"/>
        <v>1090.0350000000001</v>
      </c>
      <c r="E24" s="13">
        <v>21.92</v>
      </c>
      <c r="F24" s="14">
        <f t="shared" si="10"/>
        <v>1.0473005255613952</v>
      </c>
      <c r="G24" s="22">
        <f>1790.33/2</f>
        <v>895.16499999999996</v>
      </c>
      <c r="H24" s="22">
        <v>20.93</v>
      </c>
      <c r="I24" s="22">
        <f>G24</f>
        <v>895.16499999999996</v>
      </c>
      <c r="J24" s="22">
        <v>21.92</v>
      </c>
      <c r="K24" s="14">
        <f t="shared" ref="K24:K25" si="11">(J24*I24)/(H24*G24)</f>
        <v>1.0473005255613952</v>
      </c>
      <c r="L24" s="13">
        <f>2024.78/2</f>
        <v>1012.39</v>
      </c>
      <c r="M24" s="13">
        <v>18.59</v>
      </c>
      <c r="N24" s="13">
        <f>L24</f>
        <v>1012.39</v>
      </c>
      <c r="O24" s="13">
        <v>20.66</v>
      </c>
      <c r="P24" s="14">
        <f>(O24*N24)/(M24*L24)</f>
        <v>1.1113501882732653</v>
      </c>
      <c r="Q24" s="28">
        <f>1804.38/2</f>
        <v>902.19</v>
      </c>
      <c r="R24" s="28">
        <v>18.59</v>
      </c>
      <c r="S24" s="28">
        <f>Q24</f>
        <v>902.19</v>
      </c>
      <c r="T24" s="28">
        <v>20.66</v>
      </c>
      <c r="U24" s="36">
        <f t="shared" ref="U24:U25" si="12">T24/R24</f>
        <v>1.1113501882732653</v>
      </c>
    </row>
    <row r="25" spans="1:21">
      <c r="A25" s="2" t="s">
        <v>57</v>
      </c>
      <c r="B25" s="13">
        <f>396.74/2</f>
        <v>198.37</v>
      </c>
      <c r="C25" s="13">
        <v>40.299999999999997</v>
      </c>
      <c r="D25" s="13">
        <f t="shared" si="9"/>
        <v>198.37</v>
      </c>
      <c r="E25" s="13">
        <v>43.11</v>
      </c>
      <c r="F25" s="14">
        <f t="shared" si="10"/>
        <v>1.069727047146402</v>
      </c>
      <c r="G25" s="22">
        <f>111.56/2</f>
        <v>55.78</v>
      </c>
      <c r="H25" s="22">
        <v>20.93</v>
      </c>
      <c r="I25" s="22">
        <f t="shared" ref="I25" si="13">G25</f>
        <v>55.78</v>
      </c>
      <c r="J25" s="22">
        <v>22.42</v>
      </c>
      <c r="K25" s="14">
        <f t="shared" si="11"/>
        <v>1.071189679885332</v>
      </c>
      <c r="L25" s="13">
        <f>580.81/2</f>
        <v>290.40499999999997</v>
      </c>
      <c r="M25" s="13">
        <v>28.01</v>
      </c>
      <c r="N25" s="13">
        <f t="shared" ref="N25:N26" si="14">L25</f>
        <v>290.40499999999997</v>
      </c>
      <c r="O25" s="13">
        <v>29.71</v>
      </c>
      <c r="P25" s="14">
        <f t="shared" ref="P25:P26" si="15">(O25*N25)/(M25*L25)</f>
        <v>1.0606926097822207</v>
      </c>
      <c r="Q25" s="28">
        <f>157.89/2</f>
        <v>78.944999999999993</v>
      </c>
      <c r="R25" s="28">
        <v>18.59</v>
      </c>
      <c r="S25" s="28">
        <f t="shared" ref="S25" si="16">Q25</f>
        <v>78.944999999999993</v>
      </c>
      <c r="T25" s="28">
        <v>19.91</v>
      </c>
      <c r="U25" s="36">
        <f t="shared" si="12"/>
        <v>1.0710059171597632</v>
      </c>
    </row>
    <row r="26" spans="1:21">
      <c r="A26" s="2" t="s">
        <v>57</v>
      </c>
      <c r="B26" s="13">
        <v>775</v>
      </c>
      <c r="C26" s="13">
        <v>52.21</v>
      </c>
      <c r="D26" s="13">
        <f t="shared" si="9"/>
        <v>775</v>
      </c>
      <c r="E26" s="13">
        <v>55.71</v>
      </c>
      <c r="F26" s="14">
        <f t="shared" si="10"/>
        <v>1.0670369660984487</v>
      </c>
      <c r="G26" s="22"/>
      <c r="H26" s="22"/>
      <c r="I26" s="22"/>
      <c r="J26" s="22"/>
      <c r="K26" s="14"/>
      <c r="L26" s="13">
        <f>1285/2</f>
        <v>642.5</v>
      </c>
      <c r="M26" s="13">
        <v>41.89</v>
      </c>
      <c r="N26" s="13">
        <f t="shared" si="14"/>
        <v>642.5</v>
      </c>
      <c r="O26" s="13">
        <v>44.59</v>
      </c>
      <c r="P26" s="14">
        <f t="shared" si="15"/>
        <v>1.0644545237526857</v>
      </c>
      <c r="Q26" s="28"/>
      <c r="R26" s="28"/>
      <c r="S26" s="28"/>
      <c r="T26" s="28"/>
      <c r="U26" s="36"/>
    </row>
    <row r="27" spans="1:21">
      <c r="A27" s="2" t="s">
        <v>16</v>
      </c>
      <c r="B27" s="13">
        <v>709.11199999999997</v>
      </c>
      <c r="C27" s="13">
        <v>5.45</v>
      </c>
      <c r="D27" s="13">
        <f t="shared" si="9"/>
        <v>709.11199999999997</v>
      </c>
      <c r="E27" s="13">
        <v>5.45</v>
      </c>
      <c r="F27" s="14">
        <f t="shared" si="10"/>
        <v>1</v>
      </c>
      <c r="G27" s="16"/>
      <c r="H27" s="16"/>
      <c r="I27" s="16"/>
      <c r="J27" s="16"/>
      <c r="K27" s="14"/>
      <c r="L27" s="13">
        <v>726.18700000000001</v>
      </c>
      <c r="M27" s="13">
        <v>8.84</v>
      </c>
      <c r="N27" s="13">
        <f>L27</f>
        <v>726.18700000000001</v>
      </c>
      <c r="O27" s="13">
        <v>8.84</v>
      </c>
      <c r="P27" s="14">
        <f>(O27*N27)/(M27*L27)</f>
        <v>1</v>
      </c>
      <c r="Q27" s="28"/>
      <c r="R27" s="28"/>
      <c r="S27" s="28"/>
      <c r="T27" s="28"/>
      <c r="U27" s="26"/>
    </row>
    <row r="28" spans="1:21">
      <c r="A28" s="2" t="s">
        <v>16</v>
      </c>
      <c r="B28" s="13">
        <v>325</v>
      </c>
      <c r="C28" s="13">
        <v>1.76</v>
      </c>
      <c r="D28" s="13">
        <v>325</v>
      </c>
      <c r="E28" s="13">
        <v>1.85</v>
      </c>
      <c r="F28" s="14">
        <f t="shared" si="10"/>
        <v>1.0511363636363635</v>
      </c>
      <c r="G28" s="16"/>
      <c r="H28" s="16"/>
      <c r="I28" s="16"/>
      <c r="J28" s="16"/>
      <c r="K28" s="14"/>
      <c r="L28" s="13"/>
      <c r="M28" s="13"/>
      <c r="N28" s="13"/>
      <c r="O28" s="13"/>
      <c r="P28" s="14"/>
      <c r="Q28" s="28"/>
      <c r="R28" s="28"/>
      <c r="S28" s="28"/>
      <c r="T28" s="28"/>
      <c r="U28" s="26"/>
    </row>
    <row r="29" spans="1:21">
      <c r="A29" s="2" t="s">
        <v>17</v>
      </c>
      <c r="B29" s="13">
        <v>886.08</v>
      </c>
      <c r="C29" s="13">
        <v>17.2</v>
      </c>
      <c r="D29" s="13">
        <f>B29</f>
        <v>886.08</v>
      </c>
      <c r="E29" s="13">
        <v>17.3</v>
      </c>
      <c r="F29" s="14">
        <f t="shared" si="10"/>
        <v>1.0058139534883721</v>
      </c>
      <c r="G29" s="16">
        <v>726.42499999999995</v>
      </c>
      <c r="H29" s="16">
        <v>17.2</v>
      </c>
      <c r="I29" s="16">
        <f>G29</f>
        <v>726.42499999999995</v>
      </c>
      <c r="J29" s="16">
        <v>17.3</v>
      </c>
      <c r="K29" s="14">
        <f t="shared" ref="K29" si="17">(J29*I29)/(H29*G29)</f>
        <v>1.0058139534883723</v>
      </c>
      <c r="L29" s="13">
        <f>2501.713/2</f>
        <v>1250.8565000000001</v>
      </c>
      <c r="M29" s="13">
        <v>17.18</v>
      </c>
      <c r="N29" s="13">
        <f>L29</f>
        <v>1250.8565000000001</v>
      </c>
      <c r="O29" s="13">
        <v>18.7</v>
      </c>
      <c r="P29" s="14">
        <f>(O29*N29)/(M29*L29)</f>
        <v>1.088474970896391</v>
      </c>
      <c r="Q29" s="13">
        <f>2501.713/2</f>
        <v>1250.8565000000001</v>
      </c>
      <c r="R29" s="13">
        <v>17.18</v>
      </c>
      <c r="S29" s="13">
        <f>Q29</f>
        <v>1250.8565000000001</v>
      </c>
      <c r="T29" s="13">
        <v>18.7</v>
      </c>
      <c r="U29" s="14">
        <f>(T29*S29)/(R29*Q29)</f>
        <v>1.088474970896391</v>
      </c>
    </row>
    <row r="30" spans="1:21">
      <c r="A30" s="6" t="s">
        <v>181</v>
      </c>
      <c r="B30" s="57">
        <f>25724.898/2-3100/2</f>
        <v>11312.449000000001</v>
      </c>
      <c r="C30" s="57">
        <v>22.27</v>
      </c>
      <c r="D30" s="57">
        <f>B30</f>
        <v>11312.449000000001</v>
      </c>
      <c r="E30" s="57">
        <v>23.47</v>
      </c>
      <c r="F30" s="58">
        <f t="shared" si="10"/>
        <v>1.053884149079479</v>
      </c>
      <c r="G30" s="54">
        <f>5323.98/2</f>
        <v>2661.99</v>
      </c>
      <c r="H30" s="54">
        <v>22.27</v>
      </c>
      <c r="I30" s="54">
        <f>G30</f>
        <v>2661.99</v>
      </c>
      <c r="J30" s="54">
        <v>23.47</v>
      </c>
      <c r="K30" s="52">
        <f>(J30*I30)/(H30*G30)</f>
        <v>1.053884149079479</v>
      </c>
      <c r="L30" s="54">
        <f>17258/2</f>
        <v>8629</v>
      </c>
      <c r="M30" s="54">
        <v>22.13</v>
      </c>
      <c r="N30" s="54">
        <f>L30</f>
        <v>8629</v>
      </c>
      <c r="O30" s="54">
        <v>23.24</v>
      </c>
      <c r="P30" s="52">
        <f>(O30*N30)/(M30*L30)</f>
        <v>1.0501581563488478</v>
      </c>
      <c r="Q30" s="55">
        <f>8520/2</f>
        <v>4260</v>
      </c>
      <c r="R30" s="55">
        <v>22.13</v>
      </c>
      <c r="S30" s="55">
        <f>Q30</f>
        <v>4260</v>
      </c>
      <c r="T30" s="55">
        <v>23.24</v>
      </c>
      <c r="U30" s="52">
        <f t="shared" ref="U30:U40" si="18">(T30*S30)/(R30*Q30)</f>
        <v>1.0501581563488476</v>
      </c>
    </row>
    <row r="31" spans="1:21">
      <c r="A31" s="6" t="s">
        <v>182</v>
      </c>
      <c r="B31" s="57">
        <f>2510/2</f>
        <v>1255</v>
      </c>
      <c r="C31" s="57">
        <v>2.1</v>
      </c>
      <c r="D31" s="57">
        <f>B31</f>
        <v>1255</v>
      </c>
      <c r="E31" s="57">
        <v>2.96</v>
      </c>
      <c r="F31" s="58">
        <f t="shared" si="10"/>
        <v>1.4095238095238096</v>
      </c>
      <c r="G31" s="54"/>
      <c r="H31" s="54"/>
      <c r="I31" s="54"/>
      <c r="J31" s="54"/>
      <c r="K31" s="51"/>
      <c r="L31" s="54"/>
      <c r="M31" s="54"/>
      <c r="N31" s="54"/>
      <c r="O31" s="54"/>
      <c r="P31" s="51"/>
      <c r="Q31" s="54"/>
      <c r="R31" s="54"/>
      <c r="S31" s="54"/>
      <c r="T31" s="54"/>
      <c r="U31" s="51"/>
    </row>
    <row r="32" spans="1:21">
      <c r="A32" s="2" t="s">
        <v>188</v>
      </c>
      <c r="B32" s="11">
        <f>2.09/2</f>
        <v>1.0449999999999999</v>
      </c>
      <c r="C32" s="11">
        <v>5.62</v>
      </c>
      <c r="D32" s="11">
        <f>B32</f>
        <v>1.0449999999999999</v>
      </c>
      <c r="E32" s="11">
        <v>5.77</v>
      </c>
      <c r="F32" s="12">
        <f t="shared" si="10"/>
        <v>1.0266903914590746</v>
      </c>
      <c r="G32" s="13"/>
      <c r="H32" s="13"/>
      <c r="I32" s="13"/>
      <c r="J32" s="13"/>
      <c r="K32" s="14"/>
      <c r="L32" s="13"/>
      <c r="M32" s="13"/>
      <c r="N32" s="13"/>
      <c r="O32" s="13"/>
      <c r="P32" s="14"/>
      <c r="Q32" s="47"/>
      <c r="R32" s="47"/>
      <c r="S32" s="47"/>
      <c r="T32" s="47"/>
      <c r="U32" s="56"/>
    </row>
    <row r="33" spans="1:21">
      <c r="A33" s="2" t="s">
        <v>53</v>
      </c>
      <c r="B33" s="11">
        <f>136.84/2</f>
        <v>68.42</v>
      </c>
      <c r="C33" s="11">
        <v>75.14</v>
      </c>
      <c r="D33" s="11">
        <f>B33</f>
        <v>68.42</v>
      </c>
      <c r="E33" s="11">
        <v>76.77</v>
      </c>
      <c r="F33" s="12">
        <f t="shared" ref="F33:F35" si="19">(E33*D33)/(C33*B33)</f>
        <v>1.0216928400319403</v>
      </c>
      <c r="G33" s="13"/>
      <c r="H33" s="13"/>
      <c r="I33" s="13"/>
      <c r="J33" s="13"/>
      <c r="K33" s="14"/>
      <c r="L33" s="13">
        <f>136.84/2</f>
        <v>68.42</v>
      </c>
      <c r="M33" s="13">
        <v>72.7</v>
      </c>
      <c r="N33" s="13">
        <f>L33</f>
        <v>68.42</v>
      </c>
      <c r="O33" s="13">
        <v>76.040000000000006</v>
      </c>
      <c r="P33" s="14">
        <f t="shared" ref="P33:P35" si="20">(O33*N33)/(M33*L33)</f>
        <v>1.0459422283356259</v>
      </c>
      <c r="Q33" s="47"/>
      <c r="R33" s="47"/>
      <c r="S33" s="46"/>
      <c r="T33" s="47"/>
      <c r="U33" s="12"/>
    </row>
    <row r="34" spans="1:21">
      <c r="A34" s="2" t="s">
        <v>189</v>
      </c>
      <c r="B34" s="11">
        <f>98.19/2</f>
        <v>49.094999999999999</v>
      </c>
      <c r="C34" s="11">
        <v>87.02</v>
      </c>
      <c r="D34" s="11">
        <f t="shared" ref="D34:D35" si="21">B34</f>
        <v>49.094999999999999</v>
      </c>
      <c r="E34" s="11">
        <v>96.16</v>
      </c>
      <c r="F34" s="12">
        <f t="shared" si="19"/>
        <v>1.1050333256722591</v>
      </c>
      <c r="G34" s="13">
        <f>29.56/2</f>
        <v>14.78</v>
      </c>
      <c r="H34" s="13">
        <v>22.42</v>
      </c>
      <c r="I34" s="13">
        <f t="shared" ref="I34:I35" si="22">G34</f>
        <v>14.78</v>
      </c>
      <c r="J34" s="13">
        <v>23.47</v>
      </c>
      <c r="K34" s="14">
        <f t="shared" ref="K34:K36" si="23">(J34*I34)/(H34*G34)</f>
        <v>1.0468331846565564</v>
      </c>
      <c r="L34" s="13">
        <f>69.6/2</f>
        <v>34.799999999999997</v>
      </c>
      <c r="M34" s="13">
        <v>54.98</v>
      </c>
      <c r="N34" s="13">
        <f t="shared" ref="N34:N35" si="24">L34</f>
        <v>34.799999999999997</v>
      </c>
      <c r="O34" s="13">
        <v>59.27</v>
      </c>
      <c r="P34" s="14">
        <f t="shared" si="20"/>
        <v>1.0780283739541654</v>
      </c>
      <c r="Q34" s="47">
        <f>44.1/2</f>
        <v>22.05</v>
      </c>
      <c r="R34" s="47">
        <v>15.77</v>
      </c>
      <c r="S34" s="46">
        <f t="shared" ref="S34:S35" si="25">Q34</f>
        <v>22.05</v>
      </c>
      <c r="T34" s="47">
        <v>16.510000000000002</v>
      </c>
      <c r="U34" s="12">
        <f t="shared" ref="U34:U35" si="26">T34/R34</f>
        <v>1.0469245402663285</v>
      </c>
    </row>
    <row r="35" spans="1:21">
      <c r="A35" s="2" t="s">
        <v>190</v>
      </c>
      <c r="B35" s="11">
        <f>56.1/2</f>
        <v>28.05</v>
      </c>
      <c r="C35" s="11">
        <v>40.299999999999997</v>
      </c>
      <c r="D35" s="11">
        <f t="shared" si="21"/>
        <v>28.05</v>
      </c>
      <c r="E35" s="11">
        <v>43.11</v>
      </c>
      <c r="F35" s="12">
        <f t="shared" si="19"/>
        <v>1.069727047146402</v>
      </c>
      <c r="G35" s="13">
        <f>36.11/2</f>
        <v>18.055</v>
      </c>
      <c r="H35" s="13">
        <v>22.42</v>
      </c>
      <c r="I35" s="13">
        <f t="shared" si="22"/>
        <v>18.055</v>
      </c>
      <c r="J35" s="13">
        <v>23.47</v>
      </c>
      <c r="K35" s="14">
        <f t="shared" si="23"/>
        <v>1.0468331846565564</v>
      </c>
      <c r="L35" s="13">
        <f>73.9/2</f>
        <v>36.950000000000003</v>
      </c>
      <c r="M35" s="13">
        <v>28.01</v>
      </c>
      <c r="N35" s="13">
        <f t="shared" si="24"/>
        <v>36.950000000000003</v>
      </c>
      <c r="O35" s="13">
        <v>29.71</v>
      </c>
      <c r="P35" s="14">
        <f t="shared" si="20"/>
        <v>1.0606926097822207</v>
      </c>
      <c r="Q35" s="46">
        <f>40.33/2</f>
        <v>20.164999999999999</v>
      </c>
      <c r="R35" s="47">
        <v>19.829999999999998</v>
      </c>
      <c r="S35" s="46">
        <f t="shared" si="25"/>
        <v>20.164999999999999</v>
      </c>
      <c r="T35" s="47">
        <v>20.76</v>
      </c>
      <c r="U35" s="12">
        <f t="shared" si="26"/>
        <v>1.0468986384266266</v>
      </c>
    </row>
    <row r="36" spans="1:21">
      <c r="A36" s="6" t="s">
        <v>183</v>
      </c>
      <c r="B36" s="57">
        <f>2687.6/2</f>
        <v>1343.8</v>
      </c>
      <c r="C36" s="57">
        <v>35.51</v>
      </c>
      <c r="D36" s="57">
        <f t="shared" ref="D36:D45" si="27">B36</f>
        <v>1343.8</v>
      </c>
      <c r="E36" s="57">
        <v>36.090000000000003</v>
      </c>
      <c r="F36" s="58">
        <f>(E36*D36)/(C36*B36)</f>
        <v>1.0163334272036049</v>
      </c>
      <c r="G36" s="54">
        <f>1120/2</f>
        <v>560</v>
      </c>
      <c r="H36" s="54">
        <v>22.42</v>
      </c>
      <c r="I36" s="54">
        <f>G36</f>
        <v>560</v>
      </c>
      <c r="J36" s="54">
        <v>23.47</v>
      </c>
      <c r="K36" s="52">
        <f t="shared" si="23"/>
        <v>1.0468331846565564</v>
      </c>
      <c r="L36" s="54">
        <f>2628.733/2</f>
        <v>1314.3665000000001</v>
      </c>
      <c r="M36" s="54">
        <v>22.48</v>
      </c>
      <c r="N36" s="54">
        <f>L36</f>
        <v>1314.3665000000001</v>
      </c>
      <c r="O36" s="54">
        <v>23.29</v>
      </c>
      <c r="P36" s="52">
        <f>(O36*N36)/(M36*L36)</f>
        <v>1.0360320284697508</v>
      </c>
      <c r="Q36" s="54">
        <f>1850/2</f>
        <v>925</v>
      </c>
      <c r="R36" s="54">
        <v>19.829999999999998</v>
      </c>
      <c r="S36" s="54">
        <f>Q36</f>
        <v>925</v>
      </c>
      <c r="T36" s="54">
        <v>21.5</v>
      </c>
      <c r="U36" s="52">
        <f t="shared" si="18"/>
        <v>1.0842158345940494</v>
      </c>
    </row>
    <row r="37" spans="1:21">
      <c r="A37" s="6" t="s">
        <v>185</v>
      </c>
      <c r="B37" s="54">
        <f>3989.217/2</f>
        <v>1994.6085</v>
      </c>
      <c r="C37" s="54">
        <v>31.52</v>
      </c>
      <c r="D37" s="54">
        <f t="shared" si="27"/>
        <v>1994.6085</v>
      </c>
      <c r="E37" s="54">
        <v>33.72</v>
      </c>
      <c r="F37" s="52">
        <f>(E37*D37)/(C37*B37)</f>
        <v>1.0697969543147208</v>
      </c>
      <c r="G37" s="54">
        <f>2428.56/2</f>
        <v>1214.28</v>
      </c>
      <c r="H37" s="54">
        <v>25.95</v>
      </c>
      <c r="I37" s="54">
        <f>G37</f>
        <v>1214.28</v>
      </c>
      <c r="J37" s="54">
        <v>27.8</v>
      </c>
      <c r="K37" s="52">
        <f>(J37*I37)/(H37*G37)</f>
        <v>1.071290944123314</v>
      </c>
      <c r="L37" s="54">
        <f>3445/2</f>
        <v>1722.5</v>
      </c>
      <c r="M37" s="54">
        <v>24.29</v>
      </c>
      <c r="N37" s="54">
        <f>L37</f>
        <v>1722.5</v>
      </c>
      <c r="O37" s="54">
        <v>25.13</v>
      </c>
      <c r="P37" s="52">
        <f>(O37*N37)/(M37*L37)</f>
        <v>1.0345821325648414</v>
      </c>
      <c r="Q37" s="55">
        <f>2448/2</f>
        <v>1224</v>
      </c>
      <c r="R37" s="55">
        <v>21.01</v>
      </c>
      <c r="S37" s="55">
        <f>2448/2</f>
        <v>1224</v>
      </c>
      <c r="T37" s="55">
        <v>22.5</v>
      </c>
      <c r="U37" s="52">
        <f t="shared" si="18"/>
        <v>1.0709186101856258</v>
      </c>
    </row>
    <row r="38" spans="1:21">
      <c r="A38" s="6" t="s">
        <v>186</v>
      </c>
      <c r="B38" s="54">
        <f>21.42/2</f>
        <v>10.71</v>
      </c>
      <c r="C38" s="54">
        <v>16.059999999999999</v>
      </c>
      <c r="D38" s="54">
        <f t="shared" si="27"/>
        <v>10.71</v>
      </c>
      <c r="E38" s="54">
        <v>16.059999999999999</v>
      </c>
      <c r="F38" s="52">
        <f>(E38*D38)/(C38*B38)</f>
        <v>1</v>
      </c>
      <c r="G38" s="54"/>
      <c r="H38" s="54"/>
      <c r="I38" s="54"/>
      <c r="J38" s="54"/>
      <c r="K38" s="51"/>
      <c r="L38" s="54"/>
      <c r="M38" s="54"/>
      <c r="N38" s="54"/>
      <c r="O38" s="54"/>
      <c r="P38" s="51"/>
      <c r="Q38" s="55">
        <f>18.93/2</f>
        <v>9.4649999999999999</v>
      </c>
      <c r="R38" s="55">
        <v>13.79</v>
      </c>
      <c r="S38" s="55">
        <f>Q38</f>
        <v>9.4649999999999999</v>
      </c>
      <c r="T38" s="55">
        <v>14.28</v>
      </c>
      <c r="U38" s="52">
        <f t="shared" si="18"/>
        <v>1.0355329949238581</v>
      </c>
    </row>
    <row r="39" spans="1:21">
      <c r="A39" s="2" t="s">
        <v>191</v>
      </c>
      <c r="B39" s="11">
        <f>27/2</f>
        <v>13.5</v>
      </c>
      <c r="C39" s="11">
        <v>40.299999999999997</v>
      </c>
      <c r="D39" s="11">
        <f t="shared" si="27"/>
        <v>13.5</v>
      </c>
      <c r="E39" s="11">
        <v>43.11</v>
      </c>
      <c r="F39" s="14">
        <f t="shared" ref="F39" si="28">(E39*D39)/(C39*B39)</f>
        <v>1.0697270471464022</v>
      </c>
      <c r="G39" s="13">
        <f>18.62/2</f>
        <v>9.31</v>
      </c>
      <c r="H39" s="13">
        <v>25.95</v>
      </c>
      <c r="I39" s="13">
        <f>G39</f>
        <v>9.31</v>
      </c>
      <c r="J39" s="13">
        <v>27.79</v>
      </c>
      <c r="K39" s="14">
        <f t="shared" ref="K39:K40" si="29">(J39*I39)/(H39*G39)</f>
        <v>1.0709055876685933</v>
      </c>
      <c r="L39" s="13">
        <f>18.62/2</f>
        <v>9.31</v>
      </c>
      <c r="M39" s="13">
        <v>28.01</v>
      </c>
      <c r="N39" s="13">
        <f>L39</f>
        <v>9.31</v>
      </c>
      <c r="O39" s="13">
        <v>29.71</v>
      </c>
      <c r="P39" s="14">
        <f t="shared" ref="P39:P40" si="30">(O39*N39)/(M39*L39)</f>
        <v>1.0606926097822205</v>
      </c>
      <c r="Q39" s="59">
        <f>18.62/2</f>
        <v>9.31</v>
      </c>
      <c r="R39" s="59">
        <v>28.01</v>
      </c>
      <c r="S39" s="59">
        <f>Q39</f>
        <v>9.31</v>
      </c>
      <c r="T39" s="59">
        <v>29.71</v>
      </c>
      <c r="U39" s="12">
        <f t="shared" ref="U39" si="31">T39/R39</f>
        <v>1.0606926097822207</v>
      </c>
    </row>
    <row r="40" spans="1:21">
      <c r="A40" s="6" t="s">
        <v>187</v>
      </c>
      <c r="B40" s="54">
        <f>1217.817</f>
        <v>1217.817</v>
      </c>
      <c r="C40" s="54">
        <v>41.75</v>
      </c>
      <c r="D40" s="54">
        <f t="shared" si="27"/>
        <v>1217.817</v>
      </c>
      <c r="E40" s="54">
        <f>41.75</f>
        <v>41.75</v>
      </c>
      <c r="F40" s="52">
        <f t="shared" ref="F40:F45" si="32">(E40*D40)/(C40*B40)</f>
        <v>1</v>
      </c>
      <c r="G40" s="54">
        <f>344.538/2</f>
        <v>172.26900000000001</v>
      </c>
      <c r="H40" s="54">
        <v>25.42</v>
      </c>
      <c r="I40" s="54">
        <f t="shared" ref="I40" si="33">G40</f>
        <v>172.26900000000001</v>
      </c>
      <c r="J40" s="54">
        <v>27.22</v>
      </c>
      <c r="K40" s="52">
        <f t="shared" si="29"/>
        <v>1.0708103855232101</v>
      </c>
      <c r="L40" s="54">
        <f>1164.06/2</f>
        <v>582.03</v>
      </c>
      <c r="M40" s="54">
        <v>39</v>
      </c>
      <c r="N40" s="54">
        <f>L40</f>
        <v>582.03</v>
      </c>
      <c r="O40" s="54">
        <v>40.840000000000003</v>
      </c>
      <c r="P40" s="52">
        <f t="shared" si="30"/>
        <v>1.0471794871794873</v>
      </c>
      <c r="Q40" s="55">
        <f>528.16/2</f>
        <v>264.08</v>
      </c>
      <c r="R40" s="55">
        <v>33.31</v>
      </c>
      <c r="S40" s="55">
        <f>Q40</f>
        <v>264.08</v>
      </c>
      <c r="T40" s="55">
        <v>35.68</v>
      </c>
      <c r="U40" s="52">
        <f t="shared" si="18"/>
        <v>1.0711498048634043</v>
      </c>
    </row>
    <row r="41" spans="1:21" s="1" customFormat="1" ht="14.25" customHeight="1">
      <c r="A41" s="6" t="s">
        <v>19</v>
      </c>
      <c r="B41" s="13">
        <f>168.83/2</f>
        <v>84.415000000000006</v>
      </c>
      <c r="C41" s="13">
        <v>53.5</v>
      </c>
      <c r="D41" s="13">
        <f t="shared" si="27"/>
        <v>84.415000000000006</v>
      </c>
      <c r="E41" s="13">
        <v>53.5</v>
      </c>
      <c r="F41" s="14">
        <f t="shared" si="32"/>
        <v>1</v>
      </c>
      <c r="G41" s="15">
        <f>110.36/2</f>
        <v>55.18</v>
      </c>
      <c r="H41" s="15">
        <v>43</v>
      </c>
      <c r="I41" s="15">
        <f>G41</f>
        <v>55.18</v>
      </c>
      <c r="J41" s="15">
        <v>46.05</v>
      </c>
      <c r="K41" s="14">
        <f>(J41*I41)/(H41*G41)</f>
        <v>1.0709302325581396</v>
      </c>
      <c r="L41" s="13">
        <f>87.61/2</f>
        <v>43.805</v>
      </c>
      <c r="M41" s="13">
        <v>52.4</v>
      </c>
      <c r="N41" s="13">
        <f>L41</f>
        <v>43.805</v>
      </c>
      <c r="O41" s="13">
        <v>59.69</v>
      </c>
      <c r="P41" s="14">
        <f>(O41*N41)/(M41*L41)</f>
        <v>1.1391221374045801</v>
      </c>
      <c r="Q41" s="13">
        <f>48.05/2</f>
        <v>24.024999999999999</v>
      </c>
      <c r="R41" s="13">
        <v>41</v>
      </c>
      <c r="S41" s="13">
        <f>Q41</f>
        <v>24.024999999999999</v>
      </c>
      <c r="T41" s="13">
        <v>43.91</v>
      </c>
      <c r="U41" s="14">
        <f>(T41*S41)/(R41*Q41)</f>
        <v>1.0709756097560974</v>
      </c>
    </row>
    <row r="42" spans="1:21" s="1" customFormat="1" ht="15" customHeight="1">
      <c r="A42" s="6" t="s">
        <v>20</v>
      </c>
      <c r="B42" s="13">
        <f>13.06/2</f>
        <v>6.53</v>
      </c>
      <c r="C42" s="13">
        <v>91.26</v>
      </c>
      <c r="D42" s="13">
        <f t="shared" si="27"/>
        <v>6.53</v>
      </c>
      <c r="E42" s="13">
        <v>94.88</v>
      </c>
      <c r="F42" s="14">
        <f t="shared" si="32"/>
        <v>1.0396668858207319</v>
      </c>
      <c r="G42" s="15">
        <f>8.27/2</f>
        <v>4.1349999999999998</v>
      </c>
      <c r="H42" s="15">
        <v>91.26</v>
      </c>
      <c r="I42" s="15">
        <f t="shared" ref="I42:I48" si="34">G42</f>
        <v>4.1349999999999998</v>
      </c>
      <c r="J42" s="15">
        <v>94.88</v>
      </c>
      <c r="K42" s="14">
        <f>(J42*I42)/(H42*G42)</f>
        <v>1.0396668858207319</v>
      </c>
      <c r="L42" s="13"/>
      <c r="M42" s="13"/>
      <c r="N42" s="13"/>
      <c r="O42" s="13"/>
      <c r="P42" s="14"/>
      <c r="Q42" s="13"/>
      <c r="R42" s="13"/>
      <c r="S42" s="13"/>
      <c r="T42" s="13"/>
      <c r="U42" s="14"/>
    </row>
    <row r="43" spans="1:21" s="1" customFormat="1" ht="14.25" customHeight="1">
      <c r="A43" s="6" t="s">
        <v>21</v>
      </c>
      <c r="B43" s="13">
        <f>13/2</f>
        <v>6.5</v>
      </c>
      <c r="C43" s="13">
        <v>81.069999999999993</v>
      </c>
      <c r="D43" s="13">
        <f t="shared" si="27"/>
        <v>6.5</v>
      </c>
      <c r="E43" s="13">
        <v>84.59</v>
      </c>
      <c r="F43" s="14">
        <f t="shared" si="32"/>
        <v>1.0434192672998646</v>
      </c>
      <c r="G43" s="15">
        <f>8.61/2</f>
        <v>4.3049999999999997</v>
      </c>
      <c r="H43" s="15">
        <v>81.069999999999993</v>
      </c>
      <c r="I43" s="15">
        <f t="shared" si="34"/>
        <v>4.3049999999999997</v>
      </c>
      <c r="J43" s="15">
        <v>84.59</v>
      </c>
      <c r="K43" s="14">
        <f>(J43*I43)/(H43*G43)</f>
        <v>1.0434192672998643</v>
      </c>
      <c r="L43" s="13"/>
      <c r="M43" s="13"/>
      <c r="N43" s="13"/>
      <c r="O43" s="13"/>
      <c r="P43" s="14"/>
      <c r="Q43" s="13"/>
      <c r="R43" s="13"/>
      <c r="S43" s="13"/>
      <c r="T43" s="13"/>
      <c r="U43" s="14"/>
    </row>
    <row r="44" spans="1:21">
      <c r="A44" s="3" t="s">
        <v>22</v>
      </c>
      <c r="B44" s="13">
        <f>7.97/2</f>
        <v>3.9849999999999999</v>
      </c>
      <c r="C44" s="13">
        <v>87.3</v>
      </c>
      <c r="D44" s="13">
        <f t="shared" si="27"/>
        <v>3.9849999999999999</v>
      </c>
      <c r="E44" s="13">
        <v>92.57</v>
      </c>
      <c r="F44" s="14">
        <f t="shared" si="32"/>
        <v>1.0603665521191294</v>
      </c>
      <c r="G44" s="16">
        <f>3.23/2</f>
        <v>1.615</v>
      </c>
      <c r="H44" s="16">
        <v>87.3</v>
      </c>
      <c r="I44" s="15">
        <f t="shared" si="34"/>
        <v>1.615</v>
      </c>
      <c r="J44" s="16">
        <v>92.57</v>
      </c>
      <c r="K44" s="14">
        <f t="shared" ref="K44:K48" si="35">(J44*I44)/(H44*G44)</f>
        <v>1.0603665521191292</v>
      </c>
      <c r="L44" s="13"/>
      <c r="M44" s="13"/>
      <c r="N44" s="13"/>
      <c r="O44" s="13"/>
      <c r="P44" s="14"/>
      <c r="Q44" s="28"/>
      <c r="R44" s="28"/>
      <c r="S44" s="28"/>
      <c r="T44" s="28"/>
      <c r="U44" s="26"/>
    </row>
    <row r="45" spans="1:21">
      <c r="A45" s="3" t="s">
        <v>23</v>
      </c>
      <c r="B45" s="13">
        <f>2.103/2</f>
        <v>1.0515000000000001</v>
      </c>
      <c r="C45" s="13">
        <v>99.44</v>
      </c>
      <c r="D45" s="13">
        <f t="shared" si="27"/>
        <v>1.0515000000000001</v>
      </c>
      <c r="E45" s="13">
        <v>107.89</v>
      </c>
      <c r="F45" s="14">
        <f t="shared" si="32"/>
        <v>1.0849758648431216</v>
      </c>
      <c r="G45" s="16">
        <f>0.55/2</f>
        <v>0.27500000000000002</v>
      </c>
      <c r="H45" s="16">
        <v>99.44</v>
      </c>
      <c r="I45" s="15">
        <f t="shared" si="34"/>
        <v>0.27500000000000002</v>
      </c>
      <c r="J45" s="16">
        <v>107.89</v>
      </c>
      <c r="K45" s="14">
        <f t="shared" si="35"/>
        <v>1.0849758648431216</v>
      </c>
      <c r="L45" s="13"/>
      <c r="M45" s="13"/>
      <c r="N45" s="13"/>
      <c r="O45" s="13"/>
      <c r="P45" s="14"/>
      <c r="Q45" s="28"/>
      <c r="R45" s="28"/>
      <c r="S45" s="28"/>
      <c r="T45" s="28"/>
      <c r="U45" s="26"/>
    </row>
    <row r="46" spans="1:21">
      <c r="A46" s="3" t="s">
        <v>24</v>
      </c>
      <c r="B46" s="28">
        <f>7.4/2</f>
        <v>3.7</v>
      </c>
      <c r="C46" s="28">
        <v>73.23</v>
      </c>
      <c r="D46" s="13">
        <f t="shared" ref="D46:D48" si="36">B46</f>
        <v>3.7</v>
      </c>
      <c r="E46" s="28">
        <v>79.430000000000007</v>
      </c>
      <c r="F46" s="14">
        <f t="shared" ref="F46:F48" si="37">(E46*D46)/(C46*B46)</f>
        <v>1.0846647548818791</v>
      </c>
      <c r="G46" s="15">
        <f>5.27/2</f>
        <v>2.6349999999999998</v>
      </c>
      <c r="H46" s="15">
        <v>73.23</v>
      </c>
      <c r="I46" s="15">
        <f t="shared" si="34"/>
        <v>2.6349999999999998</v>
      </c>
      <c r="J46" s="15">
        <v>79.430000000000007</v>
      </c>
      <c r="K46" s="14">
        <f t="shared" si="35"/>
        <v>1.0846647548818789</v>
      </c>
      <c r="L46" s="28"/>
      <c r="M46" s="28"/>
      <c r="N46" s="28"/>
      <c r="O46" s="28"/>
      <c r="P46" s="26"/>
      <c r="Q46" s="28"/>
      <c r="R46" s="28"/>
      <c r="S46" s="28"/>
      <c r="T46" s="28"/>
      <c r="U46" s="26"/>
    </row>
    <row r="47" spans="1:21">
      <c r="A47" s="3" t="s">
        <v>25</v>
      </c>
      <c r="B47" s="28">
        <f>2.6/2</f>
        <v>1.3</v>
      </c>
      <c r="C47" s="28">
        <v>94.21</v>
      </c>
      <c r="D47" s="13">
        <f t="shared" si="36"/>
        <v>1.3</v>
      </c>
      <c r="E47" s="28">
        <v>102.22</v>
      </c>
      <c r="F47" s="14">
        <f t="shared" si="37"/>
        <v>1.0850228213565438</v>
      </c>
      <c r="G47" s="15">
        <f>2.26/2</f>
        <v>1.1299999999999999</v>
      </c>
      <c r="H47" s="15">
        <v>94.21</v>
      </c>
      <c r="I47" s="15">
        <f t="shared" si="34"/>
        <v>1.1299999999999999</v>
      </c>
      <c r="J47" s="15">
        <v>102.22</v>
      </c>
      <c r="K47" s="14">
        <f t="shared" si="35"/>
        <v>1.0850228213565438</v>
      </c>
      <c r="L47" s="28"/>
      <c r="M47" s="28"/>
      <c r="N47" s="28"/>
      <c r="O47" s="28"/>
      <c r="P47" s="26"/>
      <c r="Q47" s="28"/>
      <c r="R47" s="28"/>
      <c r="S47" s="28"/>
      <c r="T47" s="28"/>
      <c r="U47" s="26"/>
    </row>
    <row r="48" spans="1:21" ht="18" customHeight="1">
      <c r="A48" s="27" t="s">
        <v>26</v>
      </c>
      <c r="B48" s="28">
        <f>18.6/2</f>
        <v>9.3000000000000007</v>
      </c>
      <c r="C48" s="28">
        <v>23.95</v>
      </c>
      <c r="D48" s="13">
        <f t="shared" si="36"/>
        <v>9.3000000000000007</v>
      </c>
      <c r="E48" s="28">
        <v>25.48</v>
      </c>
      <c r="F48" s="14">
        <f t="shared" si="37"/>
        <v>1.0638830897703551</v>
      </c>
      <c r="G48" s="15">
        <f>4.06/2</f>
        <v>2.0299999999999998</v>
      </c>
      <c r="H48" s="15">
        <v>23.95</v>
      </c>
      <c r="I48" s="15">
        <f t="shared" si="34"/>
        <v>2.0299999999999998</v>
      </c>
      <c r="J48" s="15">
        <v>25.48</v>
      </c>
      <c r="K48" s="14">
        <f t="shared" si="35"/>
        <v>1.0638830897703548</v>
      </c>
      <c r="L48" s="28"/>
      <c r="M48" s="28"/>
      <c r="N48" s="28"/>
      <c r="O48" s="28"/>
      <c r="P48" s="26"/>
      <c r="Q48" s="28"/>
      <c r="R48" s="28"/>
      <c r="S48" s="28"/>
      <c r="T48" s="28"/>
      <c r="U48" s="26"/>
    </row>
    <row r="49" spans="1:21" ht="18" customHeight="1">
      <c r="A49" s="2" t="s">
        <v>38</v>
      </c>
      <c r="B49" s="13">
        <f>161.89/2</f>
        <v>80.944999999999993</v>
      </c>
      <c r="C49" s="13">
        <v>36.25</v>
      </c>
      <c r="D49" s="13">
        <f>B49</f>
        <v>80.944999999999993</v>
      </c>
      <c r="E49" s="13">
        <v>48.5</v>
      </c>
      <c r="F49" s="14">
        <f>(E49*D49)/(C49*B49)</f>
        <v>1.3379310344827584</v>
      </c>
      <c r="G49" s="30">
        <f>86.85/2</f>
        <v>43.424999999999997</v>
      </c>
      <c r="H49" s="30">
        <v>16.61</v>
      </c>
      <c r="I49" s="30">
        <f>G49</f>
        <v>43.424999999999997</v>
      </c>
      <c r="J49" s="30">
        <v>17.79</v>
      </c>
      <c r="K49" s="14">
        <f>(J49*I49)/(H49*G49)</f>
        <v>1.0710415412402168</v>
      </c>
      <c r="L49" s="13">
        <f>164.14/2-8.12/2</f>
        <v>78.009999999999991</v>
      </c>
      <c r="M49" s="13">
        <v>61.79</v>
      </c>
      <c r="N49" s="13">
        <f>L49</f>
        <v>78.009999999999991</v>
      </c>
      <c r="O49" s="13">
        <v>71.33</v>
      </c>
      <c r="P49" s="14">
        <f>(O49*N49)/(M49*L49)</f>
        <v>1.1543939148729567</v>
      </c>
      <c r="Q49" s="37">
        <f>78.89/2*0.06</f>
        <v>2.3666999999999998</v>
      </c>
      <c r="R49" s="13">
        <v>35.03</v>
      </c>
      <c r="S49" s="13">
        <f>Q49</f>
        <v>2.3666999999999998</v>
      </c>
      <c r="T49" s="13">
        <v>37.53</v>
      </c>
      <c r="U49" s="14">
        <f>(T49*S49)/(R49*Q49)</f>
        <v>1.0713673993719668</v>
      </c>
    </row>
    <row r="50" spans="1:21" ht="18" customHeight="1">
      <c r="A50" s="2" t="s">
        <v>38</v>
      </c>
      <c r="B50" s="13"/>
      <c r="C50" s="13"/>
      <c r="D50" s="13"/>
      <c r="E50" s="13"/>
      <c r="F50" s="14"/>
      <c r="G50" s="30"/>
      <c r="H50" s="30"/>
      <c r="I50" s="30">
        <f t="shared" ref="I50:I53" si="38">G50</f>
        <v>0</v>
      </c>
      <c r="J50" s="30"/>
      <c r="K50" s="14"/>
      <c r="L50" s="13"/>
      <c r="M50" s="13"/>
      <c r="N50" s="13">
        <f t="shared" ref="N50:N53" si="39">L50</f>
        <v>0</v>
      </c>
      <c r="O50" s="13"/>
      <c r="P50" s="14"/>
      <c r="Q50" s="37">
        <f>78.89/2*0.94</f>
        <v>37.078299999999999</v>
      </c>
      <c r="R50" s="13">
        <v>24.7</v>
      </c>
      <c r="S50" s="13">
        <f>Q50</f>
        <v>37.078299999999999</v>
      </c>
      <c r="T50" s="13">
        <v>26.46</v>
      </c>
      <c r="U50" s="14">
        <f>(T50*S50)/(R50*Q50)</f>
        <v>1.071255060728745</v>
      </c>
    </row>
    <row r="51" spans="1:21" ht="18" customHeight="1">
      <c r="A51" s="2" t="s">
        <v>39</v>
      </c>
      <c r="B51" s="13">
        <f>64.63/2</f>
        <v>32.314999999999998</v>
      </c>
      <c r="C51" s="13">
        <v>57.95</v>
      </c>
      <c r="D51" s="13">
        <f t="shared" ref="D51:D53" si="40">B51</f>
        <v>32.314999999999998</v>
      </c>
      <c r="E51" s="13">
        <v>59.17</v>
      </c>
      <c r="F51" s="14">
        <f t="shared" ref="F51:F53" si="41">(E51*D51)/(C51*B51)</f>
        <v>1.0210526315789472</v>
      </c>
      <c r="G51" s="30">
        <f>35/2</f>
        <v>17.5</v>
      </c>
      <c r="H51" s="30">
        <v>32.200000000000003</v>
      </c>
      <c r="I51" s="30">
        <f t="shared" si="38"/>
        <v>17.5</v>
      </c>
      <c r="J51" s="30">
        <v>34.49</v>
      </c>
      <c r="K51" s="14">
        <f t="shared" ref="K51:K53" si="42">(J51*I51)/(H51*G51)</f>
        <v>1.0711180124223603</v>
      </c>
      <c r="L51" s="13">
        <f>24/2</f>
        <v>12</v>
      </c>
      <c r="M51" s="13">
        <v>67.87</v>
      </c>
      <c r="N51" s="13">
        <f t="shared" si="39"/>
        <v>12</v>
      </c>
      <c r="O51" s="13">
        <v>71.95</v>
      </c>
      <c r="P51" s="14">
        <f t="shared" ref="P51" si="43">(O51*N51)/(M51*L51)</f>
        <v>1.0601149255930455</v>
      </c>
      <c r="Q51" s="37">
        <f>11/2</f>
        <v>5.5</v>
      </c>
      <c r="R51" s="13">
        <v>35.79</v>
      </c>
      <c r="S51" s="13">
        <f t="shared" ref="S51:S53" si="44">Q51</f>
        <v>5.5</v>
      </c>
      <c r="T51" s="13">
        <v>38.33</v>
      </c>
      <c r="U51" s="14">
        <f t="shared" ref="U51" si="45">(T51*S51)/(R51*Q51)</f>
        <v>1.0709695445655212</v>
      </c>
    </row>
    <row r="52" spans="1:21" ht="18" customHeight="1">
      <c r="A52" s="2" t="s">
        <v>40</v>
      </c>
      <c r="B52" s="13">
        <f>32.19/2</f>
        <v>16.094999999999999</v>
      </c>
      <c r="C52" s="13">
        <v>38.909999999999997</v>
      </c>
      <c r="D52" s="13">
        <f t="shared" si="40"/>
        <v>16.094999999999999</v>
      </c>
      <c r="E52" s="13">
        <v>41.03</v>
      </c>
      <c r="F52" s="14">
        <f t="shared" si="41"/>
        <v>1.0544847083012081</v>
      </c>
      <c r="G52" s="30">
        <f>19.19/2</f>
        <v>9.5950000000000006</v>
      </c>
      <c r="H52" s="30">
        <v>38.909999999999997</v>
      </c>
      <c r="I52" s="30">
        <f t="shared" si="38"/>
        <v>9.5950000000000006</v>
      </c>
      <c r="J52" s="30">
        <v>41.03</v>
      </c>
      <c r="K52" s="14">
        <f t="shared" si="42"/>
        <v>1.0544847083012079</v>
      </c>
      <c r="L52" s="13">
        <v>0</v>
      </c>
      <c r="M52" s="13"/>
      <c r="N52" s="13"/>
      <c r="O52" s="13"/>
      <c r="P52" s="14"/>
      <c r="Q52" s="37">
        <v>0</v>
      </c>
      <c r="R52" s="13"/>
      <c r="S52" s="13"/>
      <c r="T52" s="13"/>
      <c r="U52" s="14"/>
    </row>
    <row r="53" spans="1:21" ht="18" customHeight="1">
      <c r="A53" s="2" t="s">
        <v>41</v>
      </c>
      <c r="B53" s="13">
        <f>10.682/2</f>
        <v>5.3410000000000002</v>
      </c>
      <c r="C53" s="13">
        <v>77.88</v>
      </c>
      <c r="D53" s="13">
        <f t="shared" si="40"/>
        <v>5.3410000000000002</v>
      </c>
      <c r="E53" s="13">
        <v>83.07</v>
      </c>
      <c r="F53" s="14">
        <f t="shared" si="41"/>
        <v>1.0666409861325115</v>
      </c>
      <c r="G53" s="30">
        <f>9.422/2</f>
        <v>4.7110000000000003</v>
      </c>
      <c r="H53" s="30">
        <v>38.479999999999997</v>
      </c>
      <c r="I53" s="30">
        <f t="shared" si="38"/>
        <v>4.7110000000000003</v>
      </c>
      <c r="J53" s="30">
        <v>41.21</v>
      </c>
      <c r="K53" s="14">
        <f t="shared" si="42"/>
        <v>1.0709459459459461</v>
      </c>
      <c r="L53" s="13">
        <v>0</v>
      </c>
      <c r="M53" s="13"/>
      <c r="N53" s="13">
        <f t="shared" si="39"/>
        <v>0</v>
      </c>
      <c r="O53" s="13"/>
      <c r="P53" s="14"/>
      <c r="Q53" s="37">
        <v>0</v>
      </c>
      <c r="R53" s="13"/>
      <c r="S53" s="13">
        <f t="shared" si="44"/>
        <v>0</v>
      </c>
      <c r="T53" s="13"/>
      <c r="U53" s="14"/>
    </row>
    <row r="54" spans="1:21" ht="18" customHeight="1">
      <c r="A54" s="8" t="s">
        <v>58</v>
      </c>
      <c r="B54" s="13">
        <f>118.1/2</f>
        <v>59.05</v>
      </c>
      <c r="C54" s="13">
        <v>64.599999999999994</v>
      </c>
      <c r="D54" s="13">
        <f>B54</f>
        <v>59.05</v>
      </c>
      <c r="E54" s="13">
        <v>97.08</v>
      </c>
      <c r="F54" s="14">
        <f>(E54*D54)/(C54*B54)</f>
        <v>1.5027863777089783</v>
      </c>
      <c r="G54" s="22">
        <f>82/2</f>
        <v>41</v>
      </c>
      <c r="H54" s="22">
        <v>45.15</v>
      </c>
      <c r="I54" s="22">
        <f>G54</f>
        <v>41</v>
      </c>
      <c r="J54" s="22">
        <v>48.36</v>
      </c>
      <c r="K54" s="14">
        <f t="shared" ref="K54" si="46">(J54*I54)/(H54*G54)</f>
        <v>1.0710963455149503</v>
      </c>
      <c r="L54" s="13"/>
      <c r="M54" s="13"/>
      <c r="N54" s="13"/>
      <c r="O54" s="13"/>
      <c r="P54" s="14"/>
      <c r="Q54" s="28"/>
      <c r="R54" s="28"/>
      <c r="S54" s="28"/>
      <c r="T54" s="28"/>
      <c r="U54" s="26"/>
    </row>
    <row r="55" spans="1:21" ht="18" customHeight="1">
      <c r="A55" s="3" t="s">
        <v>58</v>
      </c>
      <c r="B55" s="11">
        <f>92.57/2</f>
        <v>46.284999999999997</v>
      </c>
      <c r="C55" s="11">
        <v>64.569999999999993</v>
      </c>
      <c r="D55" s="11">
        <f>B55</f>
        <v>46.284999999999997</v>
      </c>
      <c r="E55" s="11">
        <v>116.1</v>
      </c>
      <c r="F55" s="12">
        <f>(E55*D55)/(C55*B55)</f>
        <v>1.7980486293944558</v>
      </c>
      <c r="G55" s="21">
        <f>58.56/2</f>
        <v>29.28</v>
      </c>
      <c r="H55" s="21">
        <v>48.22</v>
      </c>
      <c r="I55" s="21">
        <f>G55</f>
        <v>29.28</v>
      </c>
      <c r="J55" s="21">
        <v>51.64</v>
      </c>
      <c r="K55" s="12">
        <f t="shared" ref="K55:K56" si="47">(J55*I55)/(H55*G55)</f>
        <v>1.0709249274160102</v>
      </c>
      <c r="L55" s="13"/>
      <c r="M55" s="13"/>
      <c r="N55" s="13"/>
      <c r="O55" s="13"/>
      <c r="P55" s="14"/>
      <c r="Q55" s="28"/>
      <c r="R55" s="28"/>
      <c r="S55" s="28"/>
      <c r="T55" s="28"/>
      <c r="U55" s="26"/>
    </row>
    <row r="56" spans="1:21" ht="18" customHeight="1">
      <c r="A56" s="3" t="s">
        <v>59</v>
      </c>
      <c r="B56" s="11">
        <f>1.18/2</f>
        <v>0.59</v>
      </c>
      <c r="C56" s="11">
        <v>340.36</v>
      </c>
      <c r="D56" s="11">
        <f>B56</f>
        <v>0.59</v>
      </c>
      <c r="E56" s="11">
        <v>361.9</v>
      </c>
      <c r="F56" s="12">
        <f>(E56*D56)/(C56*B56)</f>
        <v>1.0632859325420143</v>
      </c>
      <c r="G56" s="21">
        <f>0.29/2</f>
        <v>0.14499999999999999</v>
      </c>
      <c r="H56" s="21">
        <v>48.22</v>
      </c>
      <c r="I56" s="21">
        <f>G56</f>
        <v>0.14499999999999999</v>
      </c>
      <c r="J56" s="21">
        <v>51.64</v>
      </c>
      <c r="K56" s="12">
        <f t="shared" si="47"/>
        <v>1.07092492741601</v>
      </c>
      <c r="L56" s="13"/>
      <c r="M56" s="13"/>
      <c r="N56" s="13"/>
      <c r="O56" s="13"/>
      <c r="P56" s="14"/>
      <c r="Q56" s="28"/>
      <c r="R56" s="28"/>
      <c r="S56" s="28"/>
      <c r="T56" s="28"/>
      <c r="U56" s="26"/>
    </row>
    <row r="57" spans="1:21" ht="18" customHeight="1">
      <c r="A57" s="2" t="s">
        <v>60</v>
      </c>
      <c r="B57" s="13">
        <f>8.41/2</f>
        <v>4.2050000000000001</v>
      </c>
      <c r="C57" s="13">
        <v>172.04</v>
      </c>
      <c r="D57" s="13">
        <f>B57</f>
        <v>4.2050000000000001</v>
      </c>
      <c r="E57" s="13">
        <v>185.25</v>
      </c>
      <c r="F57" s="14">
        <f>(E57*D57)/(C57*B57)</f>
        <v>1.0767844687282029</v>
      </c>
      <c r="G57" s="13">
        <f>3.578/2</f>
        <v>1.7889999999999999</v>
      </c>
      <c r="H57" s="13">
        <v>66.81</v>
      </c>
      <c r="I57" s="13">
        <f>3.578/2</f>
        <v>1.7889999999999999</v>
      </c>
      <c r="J57" s="13">
        <v>71.55</v>
      </c>
      <c r="K57" s="14">
        <f>(J57*I57)/(H57*G57)</f>
        <v>1.0709474629546476</v>
      </c>
      <c r="L57" s="13"/>
      <c r="M57" s="13"/>
      <c r="N57" s="13"/>
      <c r="O57" s="13"/>
      <c r="P57" s="14"/>
      <c r="Q57" s="28"/>
      <c r="R57" s="28"/>
      <c r="S57" s="28"/>
      <c r="T57" s="28"/>
      <c r="U57" s="32"/>
    </row>
    <row r="58" spans="1:21" ht="18" customHeight="1">
      <c r="A58" s="2" t="s">
        <v>61</v>
      </c>
      <c r="B58" s="13">
        <f>122.838/2</f>
        <v>61.418999999999997</v>
      </c>
      <c r="C58" s="13">
        <v>50.68</v>
      </c>
      <c r="D58" s="13">
        <f>B58</f>
        <v>61.418999999999997</v>
      </c>
      <c r="E58" s="13">
        <v>54.29</v>
      </c>
      <c r="F58" s="14">
        <f t="shared" ref="F58:F63" si="48">(E58*D58)/(C58*B58)</f>
        <v>1.0712312549329124</v>
      </c>
      <c r="G58" s="13">
        <f>63.27/2</f>
        <v>31.635000000000002</v>
      </c>
      <c r="H58" s="13">
        <v>50.68</v>
      </c>
      <c r="I58" s="13">
        <f>G58</f>
        <v>31.635000000000002</v>
      </c>
      <c r="J58" s="13">
        <v>54.29</v>
      </c>
      <c r="K58" s="14">
        <f t="shared" ref="K58:K63" si="49">(J58*I58)/(H58*G58)</f>
        <v>1.0712312549329124</v>
      </c>
      <c r="L58" s="13">
        <f>22.89/2</f>
        <v>11.445</v>
      </c>
      <c r="M58" s="13">
        <v>100.72</v>
      </c>
      <c r="N58" s="13">
        <f>L58</f>
        <v>11.445</v>
      </c>
      <c r="O58" s="13">
        <v>107.98</v>
      </c>
      <c r="P58" s="14">
        <f t="shared" ref="P58:P61" si="50">(O58*N58)/(M58*L58)</f>
        <v>1.0720810166799049</v>
      </c>
      <c r="Q58" s="28">
        <f>7.636/2</f>
        <v>3.8180000000000001</v>
      </c>
      <c r="R58" s="28">
        <v>75.5</v>
      </c>
      <c r="S58" s="28">
        <f>7.636/2</f>
        <v>3.8180000000000001</v>
      </c>
      <c r="T58" s="28">
        <v>80.86</v>
      </c>
      <c r="U58" s="36">
        <f t="shared" ref="U58:U61" si="51">T58/R58</f>
        <v>1.0709933774834437</v>
      </c>
    </row>
    <row r="59" spans="1:21" ht="18" customHeight="1">
      <c r="A59" s="2" t="s">
        <v>62</v>
      </c>
      <c r="B59" s="13">
        <f>103.382/2</f>
        <v>51.691000000000003</v>
      </c>
      <c r="C59" s="13">
        <v>43.56</v>
      </c>
      <c r="D59" s="13">
        <f>103.382/2</f>
        <v>51.691000000000003</v>
      </c>
      <c r="E59" s="13">
        <v>46.65</v>
      </c>
      <c r="F59" s="14">
        <f t="shared" si="48"/>
        <v>1.0709366391184572</v>
      </c>
      <c r="G59" s="13">
        <f>37.679/2</f>
        <v>18.839500000000001</v>
      </c>
      <c r="H59" s="13">
        <v>43.56</v>
      </c>
      <c r="I59" s="13">
        <f>37.679/2</f>
        <v>18.839500000000001</v>
      </c>
      <c r="J59" s="13">
        <v>46.65</v>
      </c>
      <c r="K59" s="14">
        <f t="shared" si="49"/>
        <v>1.0709366391184572</v>
      </c>
      <c r="L59" s="13">
        <f>74.838/2</f>
        <v>37.418999999999997</v>
      </c>
      <c r="M59" s="13">
        <v>60.3</v>
      </c>
      <c r="N59" s="13">
        <f>74.838/2</f>
        <v>37.418999999999997</v>
      </c>
      <c r="O59" s="13">
        <v>64.58</v>
      </c>
      <c r="P59" s="14">
        <f t="shared" si="50"/>
        <v>1.0709784411276948</v>
      </c>
      <c r="Q59" s="28">
        <f>36.72/2</f>
        <v>18.36</v>
      </c>
      <c r="R59" s="28">
        <v>60.3</v>
      </c>
      <c r="S59" s="28">
        <f>36.72/2</f>
        <v>18.36</v>
      </c>
      <c r="T59" s="28">
        <v>64.58</v>
      </c>
      <c r="U59" s="36">
        <f t="shared" si="51"/>
        <v>1.0709784411276948</v>
      </c>
    </row>
    <row r="60" spans="1:21" ht="18" customHeight="1">
      <c r="A60" s="2" t="s">
        <v>63</v>
      </c>
      <c r="B60" s="13">
        <f>44.819/2</f>
        <v>22.409500000000001</v>
      </c>
      <c r="C60" s="13">
        <v>57.5</v>
      </c>
      <c r="D60" s="13">
        <f>44.819/2</f>
        <v>22.409500000000001</v>
      </c>
      <c r="E60" s="13">
        <v>60.11</v>
      </c>
      <c r="F60" s="14">
        <f t="shared" si="48"/>
        <v>1.045391304347826</v>
      </c>
      <c r="G60" s="13">
        <f>35.664/2</f>
        <v>17.832000000000001</v>
      </c>
      <c r="H60" s="13">
        <v>57.5</v>
      </c>
      <c r="I60" s="13">
        <f>35.664/2</f>
        <v>17.832000000000001</v>
      </c>
      <c r="J60" s="13">
        <v>60.11</v>
      </c>
      <c r="K60" s="14">
        <f t="shared" si="49"/>
        <v>1.045391304347826</v>
      </c>
      <c r="L60" s="13">
        <f>35.152/2</f>
        <v>17.576000000000001</v>
      </c>
      <c r="M60" s="13">
        <v>103.44</v>
      </c>
      <c r="N60" s="13">
        <f>35.152/2</f>
        <v>17.576000000000001</v>
      </c>
      <c r="O60" s="13">
        <v>109</v>
      </c>
      <c r="P60" s="14">
        <f t="shared" si="50"/>
        <v>1.0537509667440064</v>
      </c>
      <c r="Q60" s="28">
        <f>32.076/2</f>
        <v>16.038</v>
      </c>
      <c r="R60" s="28">
        <v>64.94</v>
      </c>
      <c r="S60" s="28">
        <f>32.076/2</f>
        <v>16.038</v>
      </c>
      <c r="T60" s="28">
        <v>69.55</v>
      </c>
      <c r="U60" s="36">
        <f t="shared" si="51"/>
        <v>1.0709886048660302</v>
      </c>
    </row>
    <row r="61" spans="1:21" ht="18" customHeight="1">
      <c r="A61" s="2" t="s">
        <v>64</v>
      </c>
      <c r="B61" s="13">
        <f>117.29/2</f>
        <v>58.645000000000003</v>
      </c>
      <c r="C61" s="13">
        <v>52.32</v>
      </c>
      <c r="D61" s="13">
        <f>117.29/2</f>
        <v>58.645000000000003</v>
      </c>
      <c r="E61" s="13">
        <v>53.03</v>
      </c>
      <c r="F61" s="14">
        <f t="shared" si="48"/>
        <v>1.0135703363914372</v>
      </c>
      <c r="G61" s="13">
        <f>36.68/2</f>
        <v>18.34</v>
      </c>
      <c r="H61" s="13">
        <v>52.32</v>
      </c>
      <c r="I61" s="13">
        <f>36.68/2</f>
        <v>18.34</v>
      </c>
      <c r="J61" s="13">
        <v>53.03</v>
      </c>
      <c r="K61" s="14">
        <f t="shared" si="49"/>
        <v>1.0135703363914372</v>
      </c>
      <c r="L61" s="13">
        <f>70.07/2</f>
        <v>35.034999999999997</v>
      </c>
      <c r="M61" s="13">
        <v>57.87</v>
      </c>
      <c r="N61" s="13">
        <f>70.07/2</f>
        <v>35.034999999999997</v>
      </c>
      <c r="O61" s="13">
        <v>61.88</v>
      </c>
      <c r="P61" s="14">
        <f t="shared" si="50"/>
        <v>1.0692932434767584</v>
      </c>
      <c r="Q61" s="28">
        <f>41.51/2</f>
        <v>20.754999999999999</v>
      </c>
      <c r="R61" s="28">
        <v>57.87</v>
      </c>
      <c r="S61" s="28">
        <f>Q61</f>
        <v>20.754999999999999</v>
      </c>
      <c r="T61" s="28">
        <v>61.88</v>
      </c>
      <c r="U61" s="36">
        <f t="shared" si="51"/>
        <v>1.0692932434767584</v>
      </c>
    </row>
    <row r="62" spans="1:21" ht="18" customHeight="1">
      <c r="A62" s="4" t="s">
        <v>64</v>
      </c>
      <c r="B62" s="13">
        <f>1.8/2</f>
        <v>0.9</v>
      </c>
      <c r="C62" s="13">
        <v>224.8</v>
      </c>
      <c r="D62" s="13">
        <f>1.8/2</f>
        <v>0.9</v>
      </c>
      <c r="E62" s="13">
        <v>237.12</v>
      </c>
      <c r="F62" s="14">
        <f t="shared" si="48"/>
        <v>1.0548042704626335</v>
      </c>
      <c r="G62" s="13">
        <f>1.68/2</f>
        <v>0.84</v>
      </c>
      <c r="H62" s="13">
        <v>224.8</v>
      </c>
      <c r="I62" s="13">
        <f>1.68/2</f>
        <v>0.84</v>
      </c>
      <c r="J62" s="13">
        <v>237.12</v>
      </c>
      <c r="K62" s="14">
        <f t="shared" si="49"/>
        <v>1.0548042704626335</v>
      </c>
      <c r="L62" s="13"/>
      <c r="M62" s="13"/>
      <c r="N62" s="13"/>
      <c r="O62" s="13"/>
      <c r="P62" s="14"/>
      <c r="Q62" s="28"/>
      <c r="R62" s="28"/>
      <c r="S62" s="28"/>
      <c r="T62" s="28"/>
      <c r="U62" s="32"/>
    </row>
    <row r="63" spans="1:21" ht="18" customHeight="1">
      <c r="A63" s="2" t="s">
        <v>65</v>
      </c>
      <c r="B63" s="13">
        <f>49.9/2</f>
        <v>24.95</v>
      </c>
      <c r="C63" s="13">
        <v>83.54</v>
      </c>
      <c r="D63" s="13">
        <f>B63</f>
        <v>24.95</v>
      </c>
      <c r="E63" s="13">
        <v>97.42</v>
      </c>
      <c r="F63" s="14">
        <f t="shared" si="48"/>
        <v>1.1661479530763703</v>
      </c>
      <c r="G63" s="22">
        <f>41.2/2</f>
        <v>20.6</v>
      </c>
      <c r="H63" s="22">
        <v>83.54</v>
      </c>
      <c r="I63" s="13">
        <f>G63</f>
        <v>20.6</v>
      </c>
      <c r="J63" s="22">
        <v>90.64</v>
      </c>
      <c r="K63" s="14">
        <f t="shared" si="49"/>
        <v>1.0849892267177399</v>
      </c>
      <c r="L63" s="13"/>
      <c r="M63" s="13"/>
      <c r="N63" s="13"/>
      <c r="O63" s="13"/>
      <c r="P63" s="14"/>
      <c r="Q63" s="28"/>
      <c r="R63" s="28"/>
      <c r="S63" s="28"/>
      <c r="T63" s="28"/>
      <c r="U63" s="32"/>
    </row>
    <row r="64" spans="1:21" ht="18" customHeight="1">
      <c r="A64" s="3" t="s">
        <v>43</v>
      </c>
      <c r="B64" s="13">
        <f>237.35/2</f>
        <v>118.675</v>
      </c>
      <c r="C64" s="13">
        <v>70.02</v>
      </c>
      <c r="D64" s="13">
        <f>B64</f>
        <v>118.675</v>
      </c>
      <c r="E64" s="13">
        <v>74.16</v>
      </c>
      <c r="F64" s="14">
        <f>(E64*D64)/(C64*B64)</f>
        <v>1.0591259640102828</v>
      </c>
      <c r="G64" s="30">
        <f>112.506/2</f>
        <v>56.253</v>
      </c>
      <c r="H64" s="30">
        <v>60.65</v>
      </c>
      <c r="I64" s="30">
        <f>G64</f>
        <v>56.253</v>
      </c>
      <c r="J64" s="30">
        <v>64.959999999999994</v>
      </c>
      <c r="K64" s="14">
        <f>(J64*I64)/(H64*G64)</f>
        <v>1.0710634789777409</v>
      </c>
      <c r="L64" s="13">
        <f>106.37/2</f>
        <v>53.185000000000002</v>
      </c>
      <c r="M64" s="13">
        <v>75.33</v>
      </c>
      <c r="N64" s="13">
        <f>L64</f>
        <v>53.185000000000002</v>
      </c>
      <c r="O64" s="13">
        <v>78.62</v>
      </c>
      <c r="P64" s="14">
        <f>(O64*N64)/(M64*L64)</f>
        <v>1.0436744988716316</v>
      </c>
      <c r="Q64" s="13">
        <f>89.58/2</f>
        <v>44.79</v>
      </c>
      <c r="R64" s="13">
        <v>62.8</v>
      </c>
      <c r="S64" s="13">
        <f>Q64</f>
        <v>44.79</v>
      </c>
      <c r="T64" s="13">
        <v>67.260000000000005</v>
      </c>
      <c r="U64" s="14">
        <f>(T64*S64)/(R64*Q64)</f>
        <v>1.0710191082802549</v>
      </c>
    </row>
    <row r="65" spans="1:21" ht="18" customHeight="1">
      <c r="A65" s="3" t="s">
        <v>43</v>
      </c>
      <c r="B65" s="13"/>
      <c r="C65" s="13"/>
      <c r="D65" s="13"/>
      <c r="E65" s="13"/>
      <c r="F65" s="14"/>
      <c r="G65" s="30">
        <f>40.74/2</f>
        <v>20.37</v>
      </c>
      <c r="H65" s="30">
        <v>57.84</v>
      </c>
      <c r="I65" s="30">
        <f>G65</f>
        <v>20.37</v>
      </c>
      <c r="J65" s="30">
        <v>61.95</v>
      </c>
      <c r="K65" s="14">
        <f>(J65*I65)/(H65*G65)</f>
        <v>1.071058091286307</v>
      </c>
      <c r="L65" s="13">
        <f>50.79/2</f>
        <v>25.395</v>
      </c>
      <c r="M65" s="13">
        <v>110.65</v>
      </c>
      <c r="N65" s="13">
        <f>L65</f>
        <v>25.395</v>
      </c>
      <c r="O65" s="13">
        <v>112.01</v>
      </c>
      <c r="P65" s="14">
        <f>(O65*N65)/(M65*L65)</f>
        <v>1.0122910076818796</v>
      </c>
      <c r="Q65" s="13">
        <f>32.37/2</f>
        <v>16.184999999999999</v>
      </c>
      <c r="R65" s="13">
        <v>98.79</v>
      </c>
      <c r="S65" s="13">
        <f>Q65</f>
        <v>16.184999999999999</v>
      </c>
      <c r="T65" s="13">
        <v>105.8</v>
      </c>
      <c r="U65" s="14">
        <f>(T65*S65)/(R65*Q65)</f>
        <v>1.0709585990484867</v>
      </c>
    </row>
    <row r="66" spans="1:21" ht="18" customHeight="1">
      <c r="A66" s="3" t="s">
        <v>44</v>
      </c>
      <c r="B66" s="13"/>
      <c r="C66" s="13"/>
      <c r="D66" s="13">
        <f t="shared" ref="D66:D76" si="52">B66</f>
        <v>0</v>
      </c>
      <c r="E66" s="13"/>
      <c r="F66" s="14"/>
      <c r="G66" s="30">
        <v>0</v>
      </c>
      <c r="H66" s="30"/>
      <c r="I66" s="30">
        <f t="shared" ref="I66:I76" si="53">G66</f>
        <v>0</v>
      </c>
      <c r="J66" s="30"/>
      <c r="K66" s="14"/>
      <c r="L66" s="13">
        <v>0</v>
      </c>
      <c r="M66" s="13"/>
      <c r="N66" s="13">
        <f t="shared" ref="N66:N76" si="54">L66</f>
        <v>0</v>
      </c>
      <c r="O66" s="13"/>
      <c r="P66" s="14"/>
      <c r="Q66" s="13">
        <v>0</v>
      </c>
      <c r="R66" s="13"/>
      <c r="S66" s="13">
        <f t="shared" ref="S66:S76" si="55">Q66</f>
        <v>0</v>
      </c>
      <c r="T66" s="13"/>
      <c r="U66" s="14"/>
    </row>
    <row r="67" spans="1:21" ht="18" customHeight="1">
      <c r="A67" s="3" t="s">
        <v>45</v>
      </c>
      <c r="B67" s="13">
        <f>24.403/2</f>
        <v>12.201499999999999</v>
      </c>
      <c r="C67" s="13">
        <v>62.34</v>
      </c>
      <c r="D67" s="13">
        <f t="shared" si="52"/>
        <v>12.201499999999999</v>
      </c>
      <c r="E67" s="13">
        <v>62.34</v>
      </c>
      <c r="F67" s="14">
        <f t="shared" ref="F67:F76" si="56">(E67*D67)/(C67*B67)</f>
        <v>1</v>
      </c>
      <c r="G67" s="30">
        <f>19.611/2</f>
        <v>9.8055000000000003</v>
      </c>
      <c r="H67" s="30">
        <v>60.3</v>
      </c>
      <c r="I67" s="30">
        <f t="shared" si="53"/>
        <v>9.8055000000000003</v>
      </c>
      <c r="J67" s="30">
        <v>62.34</v>
      </c>
      <c r="K67" s="14">
        <f t="shared" ref="K67:K76" si="57">(J67*I67)/(H67*G67)</f>
        <v>1.0338308457711445</v>
      </c>
      <c r="L67" s="13">
        <f>24.849/2</f>
        <v>12.4245</v>
      </c>
      <c r="M67" s="13">
        <f>148.33</f>
        <v>148.33000000000001</v>
      </c>
      <c r="N67" s="13">
        <f t="shared" si="54"/>
        <v>12.4245</v>
      </c>
      <c r="O67" s="13">
        <v>157.13999999999999</v>
      </c>
      <c r="P67" s="14">
        <f t="shared" ref="P67:P76" si="58">(O67*N67)/(M67*L67)</f>
        <v>1.0593945931369244</v>
      </c>
      <c r="Q67" s="13">
        <f>22.32/2</f>
        <v>11.16</v>
      </c>
      <c r="R67" s="13">
        <v>141.80000000000001</v>
      </c>
      <c r="S67" s="13">
        <f t="shared" si="55"/>
        <v>11.16</v>
      </c>
      <c r="T67" s="13">
        <v>141.80000000000001</v>
      </c>
      <c r="U67" s="14">
        <f t="shared" ref="U67:U76" si="59">(T67*S67)/(R67*Q67)</f>
        <v>1</v>
      </c>
    </row>
    <row r="68" spans="1:21" ht="18" customHeight="1">
      <c r="A68" s="3" t="s">
        <v>46</v>
      </c>
      <c r="B68" s="13">
        <f>118.14/2</f>
        <v>59.07</v>
      </c>
      <c r="C68" s="13">
        <v>31.49</v>
      </c>
      <c r="D68" s="13">
        <f t="shared" si="52"/>
        <v>59.07</v>
      </c>
      <c r="E68" s="13">
        <v>33.369999999999997</v>
      </c>
      <c r="F68" s="14">
        <f t="shared" si="56"/>
        <v>1.0597014925373134</v>
      </c>
      <c r="G68" s="30">
        <f>97.69/2</f>
        <v>48.844999999999999</v>
      </c>
      <c r="H68" s="30">
        <v>31.49</v>
      </c>
      <c r="I68" s="30">
        <f t="shared" si="53"/>
        <v>48.844999999999999</v>
      </c>
      <c r="J68" s="30">
        <v>33.369999999999997</v>
      </c>
      <c r="K68" s="14">
        <f t="shared" si="57"/>
        <v>1.0597014925373134</v>
      </c>
      <c r="L68" s="13">
        <f>116.32/2</f>
        <v>58.16</v>
      </c>
      <c r="M68" s="13">
        <v>44.47</v>
      </c>
      <c r="N68" s="13">
        <f t="shared" si="54"/>
        <v>58.16</v>
      </c>
      <c r="O68" s="13">
        <v>46.96</v>
      </c>
      <c r="P68" s="14">
        <f t="shared" si="58"/>
        <v>1.055992804137621</v>
      </c>
      <c r="Q68" s="13">
        <f>109.08/2</f>
        <v>54.54</v>
      </c>
      <c r="R68" s="13">
        <v>44.47</v>
      </c>
      <c r="S68" s="13">
        <f t="shared" si="55"/>
        <v>54.54</v>
      </c>
      <c r="T68" s="13">
        <v>46.96</v>
      </c>
      <c r="U68" s="14">
        <f t="shared" si="59"/>
        <v>1.055992804137621</v>
      </c>
    </row>
    <row r="69" spans="1:21" ht="18" customHeight="1">
      <c r="A69" s="3" t="s">
        <v>47</v>
      </c>
      <c r="B69" s="13">
        <f>21.27/2</f>
        <v>10.635</v>
      </c>
      <c r="C69" s="13">
        <v>107.52</v>
      </c>
      <c r="D69" s="13">
        <f t="shared" si="52"/>
        <v>10.635</v>
      </c>
      <c r="E69" s="13">
        <v>110.2</v>
      </c>
      <c r="F69" s="14">
        <f t="shared" si="56"/>
        <v>1.0249255952380953</v>
      </c>
      <c r="G69" s="30">
        <f>15.9/2</f>
        <v>7.95</v>
      </c>
      <c r="H69" s="30">
        <v>80</v>
      </c>
      <c r="I69" s="30">
        <f t="shared" si="53"/>
        <v>7.95</v>
      </c>
      <c r="J69" s="30">
        <v>83.6</v>
      </c>
      <c r="K69" s="14">
        <f t="shared" si="57"/>
        <v>1.0449999999999999</v>
      </c>
      <c r="L69" s="13">
        <f>15.76/2</f>
        <v>7.88</v>
      </c>
      <c r="M69" s="13">
        <v>121.67</v>
      </c>
      <c r="N69" s="13">
        <f t="shared" si="54"/>
        <v>7.88</v>
      </c>
      <c r="O69" s="13">
        <v>121.67</v>
      </c>
      <c r="P69" s="14">
        <f t="shared" si="58"/>
        <v>1</v>
      </c>
      <c r="Q69" s="13">
        <f>13.57/2</f>
        <v>6.7850000000000001</v>
      </c>
      <c r="R69" s="13">
        <v>80</v>
      </c>
      <c r="S69" s="13">
        <f t="shared" si="55"/>
        <v>6.7850000000000001</v>
      </c>
      <c r="T69" s="13">
        <v>83.6</v>
      </c>
      <c r="U69" s="14">
        <f t="shared" si="59"/>
        <v>1.0450000000000002</v>
      </c>
    </row>
    <row r="70" spans="1:21" ht="18" customHeight="1">
      <c r="A70" s="3" t="s">
        <v>48</v>
      </c>
      <c r="B70" s="13">
        <f>16.63/2</f>
        <v>8.3149999999999995</v>
      </c>
      <c r="C70" s="13">
        <v>70</v>
      </c>
      <c r="D70" s="13">
        <f t="shared" si="52"/>
        <v>8.3149999999999995</v>
      </c>
      <c r="E70" s="13">
        <v>72.55</v>
      </c>
      <c r="F70" s="14">
        <f t="shared" si="56"/>
        <v>1.0364285714285715</v>
      </c>
      <c r="G70" s="30">
        <f>13.7/2</f>
        <v>6.85</v>
      </c>
      <c r="H70" s="30">
        <v>70</v>
      </c>
      <c r="I70" s="30">
        <f t="shared" si="53"/>
        <v>6.85</v>
      </c>
      <c r="J70" s="30">
        <v>72.55</v>
      </c>
      <c r="K70" s="14">
        <f t="shared" si="57"/>
        <v>1.0364285714285715</v>
      </c>
      <c r="L70" s="13"/>
      <c r="M70" s="13"/>
      <c r="N70" s="13">
        <f t="shared" si="54"/>
        <v>0</v>
      </c>
      <c r="O70" s="13"/>
      <c r="P70" s="14"/>
      <c r="Q70" s="13"/>
      <c r="R70" s="13"/>
      <c r="S70" s="13">
        <f t="shared" si="55"/>
        <v>0</v>
      </c>
      <c r="T70" s="13"/>
      <c r="U70" s="14"/>
    </row>
    <row r="71" spans="1:21" ht="18" customHeight="1">
      <c r="A71" s="3" t="s">
        <v>49</v>
      </c>
      <c r="B71" s="13">
        <f>60.25/2</f>
        <v>30.125</v>
      </c>
      <c r="C71" s="13">
        <v>58.66</v>
      </c>
      <c r="D71" s="13">
        <f t="shared" si="52"/>
        <v>30.125</v>
      </c>
      <c r="E71" s="13">
        <v>60.16</v>
      </c>
      <c r="F71" s="14">
        <f t="shared" si="56"/>
        <v>1.0255710876235935</v>
      </c>
      <c r="G71" s="30">
        <f>46.08/2</f>
        <v>23.04</v>
      </c>
      <c r="H71" s="30">
        <v>56.31</v>
      </c>
      <c r="I71" s="30">
        <f t="shared" si="53"/>
        <v>23.04</v>
      </c>
      <c r="J71" s="30">
        <v>60.16</v>
      </c>
      <c r="K71" s="14">
        <f t="shared" si="57"/>
        <v>1.0683715148286272</v>
      </c>
      <c r="L71" s="13">
        <f>19.014/2</f>
        <v>9.5069999999999997</v>
      </c>
      <c r="M71" s="13">
        <v>166.77</v>
      </c>
      <c r="N71" s="13">
        <f t="shared" si="54"/>
        <v>9.5069999999999997</v>
      </c>
      <c r="O71" s="13">
        <v>181.18</v>
      </c>
      <c r="P71" s="14">
        <f t="shared" si="58"/>
        <v>1.0864064280146308</v>
      </c>
      <c r="Q71" s="13">
        <f>11.219/2</f>
        <v>5.6094999999999997</v>
      </c>
      <c r="R71" s="13">
        <v>162.15</v>
      </c>
      <c r="S71" s="13">
        <f t="shared" si="55"/>
        <v>5.6094999999999997</v>
      </c>
      <c r="T71" s="13">
        <v>162.15</v>
      </c>
      <c r="U71" s="14">
        <f t="shared" si="59"/>
        <v>1</v>
      </c>
    </row>
    <row r="72" spans="1:21" ht="18" customHeight="1">
      <c r="A72" s="3" t="s">
        <v>49</v>
      </c>
      <c r="B72" s="13"/>
      <c r="C72" s="13"/>
      <c r="D72" s="13">
        <f t="shared" si="52"/>
        <v>0</v>
      </c>
      <c r="E72" s="13"/>
      <c r="F72" s="14"/>
      <c r="G72" s="30"/>
      <c r="H72" s="30"/>
      <c r="I72" s="30">
        <f t="shared" si="53"/>
        <v>0</v>
      </c>
      <c r="J72" s="30"/>
      <c r="K72" s="14"/>
      <c r="L72" s="13">
        <f>4.61/2</f>
        <v>2.3050000000000002</v>
      </c>
      <c r="M72" s="13">
        <v>120.12</v>
      </c>
      <c r="N72" s="13">
        <f t="shared" si="54"/>
        <v>2.3050000000000002</v>
      </c>
      <c r="O72" s="13">
        <v>126.37</v>
      </c>
      <c r="P72" s="14">
        <f t="shared" si="58"/>
        <v>1.0520313020313021</v>
      </c>
      <c r="Q72" s="13">
        <f>4.61/2</f>
        <v>2.3050000000000002</v>
      </c>
      <c r="R72" s="13">
        <v>120.12</v>
      </c>
      <c r="S72" s="13">
        <f t="shared" si="55"/>
        <v>2.3050000000000002</v>
      </c>
      <c r="T72" s="13">
        <v>126.37</v>
      </c>
      <c r="U72" s="14">
        <f t="shared" si="59"/>
        <v>1.0520313020313021</v>
      </c>
    </row>
    <row r="73" spans="1:21" ht="18" customHeight="1">
      <c r="A73" s="3" t="s">
        <v>50</v>
      </c>
      <c r="B73" s="13">
        <f>13.9/2</f>
        <v>6.95</v>
      </c>
      <c r="C73" s="13">
        <v>114.2</v>
      </c>
      <c r="D73" s="13">
        <f t="shared" si="52"/>
        <v>6.95</v>
      </c>
      <c r="E73" s="13">
        <v>116.94</v>
      </c>
      <c r="F73" s="14">
        <f t="shared" si="56"/>
        <v>1.0239929947460595</v>
      </c>
      <c r="G73" s="30">
        <f>12.15/2</f>
        <v>6.0750000000000002</v>
      </c>
      <c r="H73" s="30">
        <v>104</v>
      </c>
      <c r="I73" s="30">
        <f t="shared" si="53"/>
        <v>6.0750000000000002</v>
      </c>
      <c r="J73" s="30">
        <v>111.38</v>
      </c>
      <c r="K73" s="14">
        <f t="shared" si="57"/>
        <v>1.0709615384615383</v>
      </c>
      <c r="L73" s="13">
        <f>2.9/2</f>
        <v>1.45</v>
      </c>
      <c r="M73" s="13">
        <v>30.83</v>
      </c>
      <c r="N73" s="13">
        <f t="shared" si="54"/>
        <v>1.45</v>
      </c>
      <c r="O73" s="13">
        <v>32.770000000000003</v>
      </c>
      <c r="P73" s="14">
        <f t="shared" si="58"/>
        <v>1.0629257216996433</v>
      </c>
      <c r="Q73" s="13">
        <f>2.1/2</f>
        <v>1.05</v>
      </c>
      <c r="R73" s="13">
        <v>30.83</v>
      </c>
      <c r="S73" s="13">
        <f t="shared" si="55"/>
        <v>1.05</v>
      </c>
      <c r="T73" s="13">
        <v>32.770000000000003</v>
      </c>
      <c r="U73" s="14">
        <f t="shared" si="59"/>
        <v>1.0629257216996435</v>
      </c>
    </row>
    <row r="74" spans="1:21" ht="18" customHeight="1">
      <c r="A74" s="3" t="s">
        <v>51</v>
      </c>
      <c r="B74" s="13">
        <f>1.2/2</f>
        <v>0.6</v>
      </c>
      <c r="C74" s="13">
        <v>15</v>
      </c>
      <c r="D74" s="13">
        <f t="shared" si="52"/>
        <v>0.6</v>
      </c>
      <c r="E74" s="13">
        <v>15.93</v>
      </c>
      <c r="F74" s="14">
        <f t="shared" si="56"/>
        <v>1.0620000000000001</v>
      </c>
      <c r="G74" s="30">
        <f>1.2/2</f>
        <v>0.6</v>
      </c>
      <c r="H74" s="30">
        <v>15</v>
      </c>
      <c r="I74" s="30">
        <f t="shared" si="53"/>
        <v>0.6</v>
      </c>
      <c r="J74" s="30">
        <v>15.93</v>
      </c>
      <c r="K74" s="14">
        <f t="shared" si="57"/>
        <v>1.0620000000000001</v>
      </c>
      <c r="L74" s="13"/>
      <c r="M74" s="13"/>
      <c r="N74" s="13"/>
      <c r="O74" s="13"/>
      <c r="P74" s="14"/>
      <c r="Q74" s="13"/>
      <c r="R74" s="13"/>
      <c r="S74" s="13">
        <f t="shared" si="55"/>
        <v>0</v>
      </c>
      <c r="T74" s="13"/>
      <c r="U74" s="14"/>
    </row>
    <row r="75" spans="1:21" ht="18" customHeight="1">
      <c r="A75" s="2" t="s">
        <v>54</v>
      </c>
      <c r="B75" s="13">
        <f>69.25/2</f>
        <v>34.625</v>
      </c>
      <c r="C75" s="13">
        <v>48.05</v>
      </c>
      <c r="D75" s="13">
        <f>B75</f>
        <v>34.625</v>
      </c>
      <c r="E75" s="13">
        <v>51.18</v>
      </c>
      <c r="F75" s="14">
        <f t="shared" si="56"/>
        <v>1.0651404786680543</v>
      </c>
      <c r="G75" s="13">
        <f>20.76/2</f>
        <v>10.38</v>
      </c>
      <c r="H75" s="13">
        <v>48.05</v>
      </c>
      <c r="I75" s="13">
        <f>G75</f>
        <v>10.38</v>
      </c>
      <c r="J75" s="13">
        <v>51.18</v>
      </c>
      <c r="K75" s="14">
        <f t="shared" si="57"/>
        <v>1.0651404786680543</v>
      </c>
      <c r="L75" s="13">
        <f>48.9/2</f>
        <v>24.45</v>
      </c>
      <c r="M75" s="13">
        <v>34.53</v>
      </c>
      <c r="N75" s="13">
        <f>L75</f>
        <v>24.45</v>
      </c>
      <c r="O75" s="13">
        <v>37</v>
      </c>
      <c r="P75" s="14">
        <f t="shared" ref="P75" si="60">(O75*N75)/(M75*L75)</f>
        <v>1.0715320011584129</v>
      </c>
      <c r="Q75" s="28">
        <f>20.76/2</f>
        <v>10.38</v>
      </c>
      <c r="R75" s="28">
        <v>34.53</v>
      </c>
      <c r="S75" s="28">
        <f>Q75</f>
        <v>10.38</v>
      </c>
      <c r="T75" s="37">
        <v>37</v>
      </c>
      <c r="U75" s="36">
        <f t="shared" ref="U75" si="61">T75/R75</f>
        <v>1.0715320011584129</v>
      </c>
    </row>
    <row r="76" spans="1:21" ht="18" customHeight="1">
      <c r="A76" s="3" t="s">
        <v>52</v>
      </c>
      <c r="B76" s="28">
        <f>82.15/2</f>
        <v>41.075000000000003</v>
      </c>
      <c r="C76" s="28">
        <v>49.78</v>
      </c>
      <c r="D76" s="13">
        <f t="shared" si="52"/>
        <v>41.075000000000003</v>
      </c>
      <c r="E76" s="28">
        <v>52.37</v>
      </c>
      <c r="F76" s="14">
        <f t="shared" si="56"/>
        <v>1.0520289272800318</v>
      </c>
      <c r="G76" s="13">
        <f>65.17/2</f>
        <v>32.585000000000001</v>
      </c>
      <c r="H76" s="13">
        <v>49.78</v>
      </c>
      <c r="I76" s="30">
        <f t="shared" si="53"/>
        <v>32.585000000000001</v>
      </c>
      <c r="J76" s="13">
        <v>52.37</v>
      </c>
      <c r="K76" s="14">
        <f t="shared" si="57"/>
        <v>1.0520289272800321</v>
      </c>
      <c r="L76" s="28">
        <f>79.32/2</f>
        <v>39.659999999999997</v>
      </c>
      <c r="M76" s="28">
        <v>88.71</v>
      </c>
      <c r="N76" s="13">
        <f t="shared" si="54"/>
        <v>39.659999999999997</v>
      </c>
      <c r="O76" s="28">
        <v>88.71</v>
      </c>
      <c r="P76" s="14">
        <f t="shared" si="58"/>
        <v>1</v>
      </c>
      <c r="Q76" s="13">
        <f>63.26/2</f>
        <v>31.63</v>
      </c>
      <c r="R76" s="13">
        <v>78.2</v>
      </c>
      <c r="S76" s="13">
        <f t="shared" si="55"/>
        <v>31.63</v>
      </c>
      <c r="T76" s="13">
        <v>81.72</v>
      </c>
      <c r="U76" s="14">
        <f t="shared" si="59"/>
        <v>1.0450127877237851</v>
      </c>
    </row>
    <row r="77" spans="1:21" ht="18" customHeight="1">
      <c r="A77" s="8" t="s">
        <v>70</v>
      </c>
      <c r="B77" s="13">
        <f>1079.32/2</f>
        <v>539.66</v>
      </c>
      <c r="C77" s="13">
        <v>27.7</v>
      </c>
      <c r="D77" s="13">
        <f>B77</f>
        <v>539.66</v>
      </c>
      <c r="E77" s="13">
        <v>28.94</v>
      </c>
      <c r="F77" s="14">
        <f>(E77*D77)/(C77*B77)</f>
        <v>1.0447653429602888</v>
      </c>
      <c r="G77" s="13">
        <f>680/2</f>
        <v>340</v>
      </c>
      <c r="H77" s="13">
        <f>26.5/1.18</f>
        <v>22.457627118644069</v>
      </c>
      <c r="I77" s="13">
        <f>G77</f>
        <v>340</v>
      </c>
      <c r="J77" s="13">
        <f>28.38/1.18</f>
        <v>24.050847457627118</v>
      </c>
      <c r="K77" s="14">
        <f>(J77*I77)/(H77*G77)</f>
        <v>1.070943396226415</v>
      </c>
      <c r="L77" s="13">
        <f>997.16/2</f>
        <v>498.58</v>
      </c>
      <c r="M77" s="13">
        <v>28.28</v>
      </c>
      <c r="N77" s="13">
        <f>L77</f>
        <v>498.58</v>
      </c>
      <c r="O77" s="13">
        <v>30.39</v>
      </c>
      <c r="P77" s="14">
        <f>(O77*N77)/(M77*L77)</f>
        <v>1.0746110325318246</v>
      </c>
      <c r="Q77" s="28">
        <f>613.77/2</f>
        <v>306.88499999999999</v>
      </c>
      <c r="R77" s="37">
        <f>26/1.18</f>
        <v>22.033898305084747</v>
      </c>
      <c r="S77" s="37">
        <f>Q77</f>
        <v>306.88499999999999</v>
      </c>
      <c r="T77" s="37">
        <f>27.85/1.18</f>
        <v>23.601694915254239</v>
      </c>
      <c r="U77" s="36">
        <f t="shared" ref="U77:U85" si="62">T77/R77</f>
        <v>1.0711538461538461</v>
      </c>
    </row>
    <row r="78" spans="1:21" ht="18" customHeight="1">
      <c r="A78" s="8" t="s">
        <v>71</v>
      </c>
      <c r="B78" s="13"/>
      <c r="C78" s="13"/>
      <c r="D78" s="13"/>
      <c r="E78" s="13"/>
      <c r="F78" s="14"/>
      <c r="G78" s="13"/>
      <c r="H78" s="13"/>
      <c r="I78" s="13">
        <f t="shared" ref="I78:I86" si="63">G78</f>
        <v>0</v>
      </c>
      <c r="J78" s="13"/>
      <c r="K78" s="14"/>
      <c r="L78" s="13"/>
      <c r="M78" s="13"/>
      <c r="N78" s="13"/>
      <c r="O78" s="13"/>
      <c r="P78" s="14"/>
      <c r="Q78" s="28"/>
      <c r="R78" s="37"/>
      <c r="S78" s="37"/>
      <c r="T78" s="37"/>
      <c r="U78" s="36"/>
    </row>
    <row r="79" spans="1:21" ht="18" customHeight="1">
      <c r="A79" s="39" t="s">
        <v>72</v>
      </c>
      <c r="B79" s="13">
        <f>13.994/2</f>
        <v>6.9969999999999999</v>
      </c>
      <c r="C79" s="13">
        <v>39.14</v>
      </c>
      <c r="D79" s="13">
        <f>B79</f>
        <v>6.9969999999999999</v>
      </c>
      <c r="E79" s="13">
        <v>40.5</v>
      </c>
      <c r="F79" s="14">
        <f t="shared" ref="F79:F85" si="64">(E79*D79)/(C79*B79)</f>
        <v>1.0347470618293306</v>
      </c>
      <c r="G79" s="13">
        <f>10.73/2</f>
        <v>5.3650000000000002</v>
      </c>
      <c r="H79" s="13">
        <v>14.8</v>
      </c>
      <c r="I79" s="13">
        <f t="shared" si="63"/>
        <v>5.3650000000000002</v>
      </c>
      <c r="J79" s="13">
        <v>17</v>
      </c>
      <c r="K79" s="14">
        <f t="shared" ref="K79:K86" si="65">(J79*I79)/(H79*G79)</f>
        <v>1.1486486486486487</v>
      </c>
      <c r="L79" s="13"/>
      <c r="M79" s="13"/>
      <c r="N79" s="13"/>
      <c r="O79" s="13"/>
      <c r="P79" s="14"/>
      <c r="Q79" s="28"/>
      <c r="R79" s="28"/>
      <c r="S79" s="28"/>
      <c r="T79" s="28"/>
      <c r="U79" s="36"/>
    </row>
    <row r="80" spans="1:21" ht="18" customHeight="1">
      <c r="A80" s="39" t="s">
        <v>73</v>
      </c>
      <c r="B80" s="13">
        <f>349.684/2</f>
        <v>174.84200000000001</v>
      </c>
      <c r="C80" s="13">
        <v>34.19</v>
      </c>
      <c r="D80" s="13">
        <f t="shared" ref="D80:D85" si="66">B80</f>
        <v>174.84200000000001</v>
      </c>
      <c r="E80" s="13">
        <v>35.79</v>
      </c>
      <c r="F80" s="14">
        <f t="shared" si="64"/>
        <v>1.0467973091547236</v>
      </c>
      <c r="G80" s="13">
        <f>169.416/2</f>
        <v>84.707999999999998</v>
      </c>
      <c r="H80" s="13">
        <v>24</v>
      </c>
      <c r="I80" s="13">
        <f t="shared" si="63"/>
        <v>84.707999999999998</v>
      </c>
      <c r="J80" s="13">
        <v>25.7</v>
      </c>
      <c r="K80" s="14">
        <f t="shared" si="65"/>
        <v>1.0708333333333333</v>
      </c>
      <c r="L80" s="13">
        <f>227.962/2</f>
        <v>113.98099999999999</v>
      </c>
      <c r="M80" s="13">
        <v>45.85</v>
      </c>
      <c r="N80" s="13">
        <f t="shared" ref="N80" si="67">L80</f>
        <v>113.98099999999999</v>
      </c>
      <c r="O80" s="13">
        <v>48.83</v>
      </c>
      <c r="P80" s="14">
        <f t="shared" ref="P80:P85" si="68">(O80*N80)/(M80*L80)</f>
        <v>1.0649945474372955</v>
      </c>
      <c r="Q80" s="37">
        <f>119.911/2</f>
        <v>59.955500000000001</v>
      </c>
      <c r="R80" s="28">
        <v>28.63</v>
      </c>
      <c r="S80" s="37">
        <f>Q80</f>
        <v>59.955500000000001</v>
      </c>
      <c r="T80" s="28">
        <v>30.66</v>
      </c>
      <c r="U80" s="36">
        <f t="shared" si="62"/>
        <v>1.0709046454767726</v>
      </c>
    </row>
    <row r="81" spans="1:21" ht="18" customHeight="1">
      <c r="A81" s="8" t="s">
        <v>74</v>
      </c>
      <c r="B81" s="13"/>
      <c r="C81" s="13"/>
      <c r="D81" s="13"/>
      <c r="E81" s="13"/>
      <c r="F81" s="14"/>
      <c r="G81" s="13"/>
      <c r="H81" s="13"/>
      <c r="I81" s="13"/>
      <c r="J81" s="13"/>
      <c r="K81" s="14"/>
      <c r="L81" s="13"/>
      <c r="M81" s="13"/>
      <c r="N81" s="13"/>
      <c r="O81" s="13"/>
      <c r="P81" s="14"/>
      <c r="Q81" s="28"/>
      <c r="R81" s="28"/>
      <c r="S81" s="28"/>
      <c r="T81" s="28"/>
      <c r="U81" s="36"/>
    </row>
    <row r="82" spans="1:21" ht="18" customHeight="1">
      <c r="A82" s="39" t="s">
        <v>75</v>
      </c>
      <c r="B82" s="13">
        <f>12.92/2*1.08321</f>
        <v>6.9975366000000001</v>
      </c>
      <c r="C82" s="13">
        <v>32.33</v>
      </c>
      <c r="D82" s="13">
        <f t="shared" si="66"/>
        <v>6.9975366000000001</v>
      </c>
      <c r="E82" s="13">
        <v>36.61</v>
      </c>
      <c r="F82" s="14">
        <f t="shared" si="64"/>
        <v>1.1323847819362822</v>
      </c>
      <c r="G82" s="13">
        <f>12.92/2</f>
        <v>6.46</v>
      </c>
      <c r="H82" s="13">
        <v>18</v>
      </c>
      <c r="I82" s="13">
        <f t="shared" si="63"/>
        <v>6.46</v>
      </c>
      <c r="J82" s="13">
        <v>19.399999999999999</v>
      </c>
      <c r="K82" s="14">
        <f t="shared" si="65"/>
        <v>1.0777777777777777</v>
      </c>
      <c r="L82" s="13"/>
      <c r="M82" s="13"/>
      <c r="N82" s="13"/>
      <c r="O82" s="13"/>
      <c r="P82" s="14"/>
      <c r="Q82" s="28"/>
      <c r="R82" s="28"/>
      <c r="S82" s="28"/>
      <c r="T82" s="28"/>
      <c r="U82" s="36"/>
    </row>
    <row r="83" spans="1:21" ht="18" customHeight="1">
      <c r="A83" s="39" t="s">
        <v>76</v>
      </c>
      <c r="B83" s="13">
        <f>10.735/2*1.08321</f>
        <v>5.8141296749999993</v>
      </c>
      <c r="C83" s="13">
        <v>32.33</v>
      </c>
      <c r="D83" s="13">
        <f t="shared" si="66"/>
        <v>5.8141296749999993</v>
      </c>
      <c r="E83" s="13">
        <v>36.61</v>
      </c>
      <c r="F83" s="14">
        <f t="shared" si="64"/>
        <v>1.132384781936282</v>
      </c>
      <c r="G83" s="13">
        <f>10.735/2</f>
        <v>5.3674999999999997</v>
      </c>
      <c r="H83" s="13">
        <v>26.6</v>
      </c>
      <c r="I83" s="13">
        <f t="shared" si="63"/>
        <v>5.3674999999999997</v>
      </c>
      <c r="J83" s="13">
        <v>28.55</v>
      </c>
      <c r="K83" s="14">
        <f t="shared" si="65"/>
        <v>1.0733082706766917</v>
      </c>
      <c r="L83" s="13"/>
      <c r="M83" s="13"/>
      <c r="N83" s="13"/>
      <c r="O83" s="13"/>
      <c r="P83" s="14"/>
      <c r="Q83" s="28"/>
      <c r="R83" s="28"/>
      <c r="S83" s="28"/>
      <c r="T83" s="28"/>
      <c r="U83" s="36"/>
    </row>
    <row r="84" spans="1:21" ht="18" customHeight="1">
      <c r="A84" s="39" t="s">
        <v>77</v>
      </c>
      <c r="B84" s="13">
        <f>28.624/2*1.08321</f>
        <v>15.50290152</v>
      </c>
      <c r="C84" s="13">
        <v>32.33</v>
      </c>
      <c r="D84" s="13">
        <f t="shared" si="66"/>
        <v>15.50290152</v>
      </c>
      <c r="E84" s="13">
        <v>36.61</v>
      </c>
      <c r="F84" s="14">
        <f t="shared" si="64"/>
        <v>1.1323847819362822</v>
      </c>
      <c r="G84" s="13">
        <f>28.624/2</f>
        <v>14.311999999999999</v>
      </c>
      <c r="H84" s="13">
        <v>23.8</v>
      </c>
      <c r="I84" s="13">
        <f t="shared" si="63"/>
        <v>14.311999999999999</v>
      </c>
      <c r="J84" s="13">
        <v>25.58</v>
      </c>
      <c r="K84" s="14">
        <f t="shared" si="65"/>
        <v>1.0747899159663865</v>
      </c>
      <c r="L84" s="13"/>
      <c r="M84" s="13"/>
      <c r="N84" s="13"/>
      <c r="O84" s="13"/>
      <c r="P84" s="14"/>
      <c r="Q84" s="28"/>
      <c r="R84" s="28"/>
      <c r="S84" s="28"/>
      <c r="T84" s="28"/>
      <c r="U84" s="36"/>
    </row>
    <row r="85" spans="1:21">
      <c r="A85" s="8" t="s">
        <v>78</v>
      </c>
      <c r="B85" s="13">
        <f>7.641/2</f>
        <v>3.8205</v>
      </c>
      <c r="C85" s="13">
        <v>43.62</v>
      </c>
      <c r="D85" s="13">
        <f t="shared" si="66"/>
        <v>3.8205</v>
      </c>
      <c r="E85" s="13">
        <v>45.26</v>
      </c>
      <c r="F85" s="14">
        <f t="shared" si="64"/>
        <v>1.0375974323704724</v>
      </c>
      <c r="G85" s="13">
        <f>4.841/2</f>
        <v>2.4205000000000001</v>
      </c>
      <c r="H85" s="13">
        <v>27</v>
      </c>
      <c r="I85" s="13">
        <f t="shared" si="63"/>
        <v>2.4205000000000001</v>
      </c>
      <c r="J85" s="13">
        <v>28.92</v>
      </c>
      <c r="K85" s="14">
        <f t="shared" si="65"/>
        <v>1.0711111111111111</v>
      </c>
      <c r="L85" s="13">
        <f>3.354/2</f>
        <v>1.677</v>
      </c>
      <c r="M85" s="13">
        <v>51.98</v>
      </c>
      <c r="N85" s="13">
        <f>L85</f>
        <v>1.677</v>
      </c>
      <c r="O85" s="13">
        <v>51.98</v>
      </c>
      <c r="P85" s="14">
        <f t="shared" si="68"/>
        <v>1</v>
      </c>
      <c r="Q85" s="28">
        <f>1.644/2</f>
        <v>0.82199999999999995</v>
      </c>
      <c r="R85" s="37">
        <v>22</v>
      </c>
      <c r="S85" s="28">
        <f>Q85</f>
        <v>0.82199999999999995</v>
      </c>
      <c r="T85" s="28">
        <v>23.56</v>
      </c>
      <c r="U85" s="36">
        <f t="shared" si="62"/>
        <v>1.0709090909090908</v>
      </c>
    </row>
    <row r="86" spans="1:21">
      <c r="A86" s="8" t="s">
        <v>79</v>
      </c>
      <c r="B86" s="13">
        <f>6.923/2</f>
        <v>3.4615</v>
      </c>
      <c r="C86" s="13">
        <v>41.91</v>
      </c>
      <c r="D86" s="13">
        <f>B86</f>
        <v>3.4615</v>
      </c>
      <c r="E86" s="13">
        <v>44.85</v>
      </c>
      <c r="F86" s="14">
        <f>(E86*D86)/(C86*B86)</f>
        <v>1.0701503221188262</v>
      </c>
      <c r="G86" s="13">
        <f>3.02/2</f>
        <v>1.51</v>
      </c>
      <c r="H86" s="13">
        <v>27</v>
      </c>
      <c r="I86" s="13">
        <f t="shared" si="63"/>
        <v>1.51</v>
      </c>
      <c r="J86" s="13">
        <v>28.92</v>
      </c>
      <c r="K86" s="14">
        <f t="shared" si="65"/>
        <v>1.0711111111111111</v>
      </c>
      <c r="L86" s="13"/>
      <c r="M86" s="13"/>
      <c r="N86" s="13"/>
      <c r="O86" s="13"/>
      <c r="P86" s="14"/>
      <c r="Q86" s="28"/>
      <c r="R86" s="28"/>
      <c r="S86" s="28"/>
      <c r="T86" s="28"/>
      <c r="U86" s="36"/>
    </row>
    <row r="87" spans="1:21">
      <c r="A87" s="2" t="s">
        <v>81</v>
      </c>
      <c r="B87" s="13">
        <f>0.98369/2</f>
        <v>0.49184499999999998</v>
      </c>
      <c r="C87" s="13">
        <v>34.85</v>
      </c>
      <c r="D87" s="13">
        <f>B87</f>
        <v>0.49184499999999998</v>
      </c>
      <c r="E87" s="13">
        <v>37.07</v>
      </c>
      <c r="F87" s="14">
        <f>(E87*D87)/(C87*B87)</f>
        <v>1.0637015781922525</v>
      </c>
      <c r="G87" s="13"/>
      <c r="H87" s="13"/>
      <c r="I87" s="13"/>
      <c r="J87" s="13"/>
      <c r="K87" s="14"/>
      <c r="L87" s="13"/>
      <c r="M87" s="13"/>
      <c r="N87" s="13"/>
      <c r="O87" s="13"/>
      <c r="P87" s="14"/>
      <c r="Q87" s="28"/>
      <c r="R87" s="37"/>
      <c r="S87" s="37"/>
      <c r="T87" s="37"/>
      <c r="U87" s="32"/>
    </row>
    <row r="88" spans="1:21">
      <c r="A88" s="2" t="s">
        <v>92</v>
      </c>
      <c r="B88" s="13">
        <f>14.76/2</f>
        <v>7.38</v>
      </c>
      <c r="C88" s="13">
        <v>93.81</v>
      </c>
      <c r="D88" s="13">
        <f>B88</f>
        <v>7.38</v>
      </c>
      <c r="E88" s="13">
        <v>100.11</v>
      </c>
      <c r="F88" s="14">
        <f t="shared" ref="F88" si="69">(E88*D88)/(C88*B88)</f>
        <v>1.0671570195075151</v>
      </c>
      <c r="G88" s="13">
        <f>7.09/2</f>
        <v>3.5449999999999999</v>
      </c>
      <c r="H88" s="13">
        <v>30.53</v>
      </c>
      <c r="I88" s="13">
        <f>G88</f>
        <v>3.5449999999999999</v>
      </c>
      <c r="J88" s="13">
        <v>32.700000000000003</v>
      </c>
      <c r="K88" s="14">
        <f t="shared" ref="K88:K95" si="70">(J88*I88)/(H88*G88)</f>
        <v>1.07107762856207</v>
      </c>
      <c r="L88" s="13">
        <f>14.76/2</f>
        <v>7.38</v>
      </c>
      <c r="M88" s="13">
        <v>110.48</v>
      </c>
      <c r="N88" s="13">
        <f>L88</f>
        <v>7.38</v>
      </c>
      <c r="O88" s="13">
        <v>118.37</v>
      </c>
      <c r="P88" s="14">
        <f t="shared" ref="P88" si="71">(O88*N88)/(M88*L88)</f>
        <v>1.0714156408399711</v>
      </c>
      <c r="Q88" s="28">
        <f>9.12/2</f>
        <v>4.5599999999999996</v>
      </c>
      <c r="R88" s="28">
        <v>51.35</v>
      </c>
      <c r="S88" s="28">
        <f>Q88</f>
        <v>4.5599999999999996</v>
      </c>
      <c r="T88" s="37">
        <v>55</v>
      </c>
      <c r="U88" s="36">
        <f t="shared" ref="U88:U92" si="72">T88/R88</f>
        <v>1.071080817916261</v>
      </c>
    </row>
    <row r="89" spans="1:21">
      <c r="A89" s="2" t="s">
        <v>82</v>
      </c>
      <c r="B89" s="13">
        <f>4.92/2</f>
        <v>2.46</v>
      </c>
      <c r="C89" s="13">
        <v>57.33</v>
      </c>
      <c r="D89" s="13">
        <f>B89</f>
        <v>2.46</v>
      </c>
      <c r="E89" s="13">
        <v>59.81</v>
      </c>
      <c r="F89" s="14">
        <f>(E89*D89)/(C89*B89)</f>
        <v>1.0432583289726147</v>
      </c>
      <c r="G89" s="13">
        <f>3.04/2</f>
        <v>1.52</v>
      </c>
      <c r="H89" s="13">
        <v>57.33</v>
      </c>
      <c r="I89" s="13">
        <f t="shared" ref="I89:I95" si="73">G89</f>
        <v>1.52</v>
      </c>
      <c r="J89" s="13">
        <v>59.81</v>
      </c>
      <c r="K89" s="14">
        <f t="shared" si="70"/>
        <v>1.0432583289726147</v>
      </c>
      <c r="L89" s="13"/>
      <c r="M89" s="13"/>
      <c r="N89" s="13"/>
      <c r="O89" s="13"/>
      <c r="P89" s="14"/>
      <c r="Q89" s="28"/>
      <c r="R89" s="37"/>
      <c r="S89" s="37"/>
      <c r="T89" s="37"/>
      <c r="U89" s="32"/>
    </row>
    <row r="90" spans="1:21">
      <c r="A90" s="2" t="s">
        <v>83</v>
      </c>
      <c r="B90" s="13">
        <f>5.59/2</f>
        <v>2.7949999999999999</v>
      </c>
      <c r="C90" s="13">
        <v>71.900000000000006</v>
      </c>
      <c r="D90" s="13">
        <f>B90</f>
        <v>2.7949999999999999</v>
      </c>
      <c r="E90" s="13">
        <v>75</v>
      </c>
      <c r="F90" s="14">
        <f t="shared" ref="F90:F98" si="74">(E90*D90)/(C90*B90)</f>
        <v>1.0431154381084839</v>
      </c>
      <c r="G90" s="13">
        <f>3.74/2</f>
        <v>1.87</v>
      </c>
      <c r="H90" s="13">
        <v>39.18</v>
      </c>
      <c r="I90" s="13">
        <f t="shared" si="73"/>
        <v>1.87</v>
      </c>
      <c r="J90" s="13">
        <v>42.51</v>
      </c>
      <c r="K90" s="14">
        <f t="shared" si="70"/>
        <v>1.0849923430321593</v>
      </c>
      <c r="L90" s="13"/>
      <c r="M90" s="13"/>
      <c r="N90" s="13"/>
      <c r="O90" s="13"/>
      <c r="P90" s="14"/>
      <c r="Q90" s="28"/>
      <c r="R90" s="28"/>
      <c r="S90" s="28"/>
      <c r="T90" s="28"/>
      <c r="U90" s="32"/>
    </row>
    <row r="91" spans="1:21">
      <c r="A91" s="2" t="s">
        <v>84</v>
      </c>
      <c r="B91" s="13">
        <f>51.206/2</f>
        <v>25.603000000000002</v>
      </c>
      <c r="C91" s="13">
        <v>63.85</v>
      </c>
      <c r="D91" s="13">
        <f t="shared" ref="D91:D98" si="75">B91</f>
        <v>25.603000000000002</v>
      </c>
      <c r="E91" s="13">
        <v>63.85</v>
      </c>
      <c r="F91" s="14">
        <f t="shared" si="74"/>
        <v>1</v>
      </c>
      <c r="G91" s="13">
        <f>39.507/2</f>
        <v>19.753499999999999</v>
      </c>
      <c r="H91" s="13">
        <v>41</v>
      </c>
      <c r="I91" s="13">
        <f t="shared" si="73"/>
        <v>19.753499999999999</v>
      </c>
      <c r="J91" s="13">
        <v>43.91</v>
      </c>
      <c r="K91" s="14">
        <f t="shared" si="70"/>
        <v>1.0709756097560974</v>
      </c>
      <c r="L91" s="13"/>
      <c r="M91" s="13"/>
      <c r="N91" s="13"/>
      <c r="O91" s="13"/>
      <c r="P91" s="14"/>
      <c r="Q91" s="37"/>
      <c r="R91" s="28"/>
      <c r="S91" s="37"/>
      <c r="T91" s="28"/>
      <c r="U91" s="32"/>
    </row>
    <row r="92" spans="1:21">
      <c r="A92" s="2" t="s">
        <v>85</v>
      </c>
      <c r="B92" s="13">
        <f>340.636/2</f>
        <v>170.31800000000001</v>
      </c>
      <c r="C92" s="13">
        <v>44.4</v>
      </c>
      <c r="D92" s="13">
        <f t="shared" si="75"/>
        <v>170.31800000000001</v>
      </c>
      <c r="E92" s="13">
        <v>44.4</v>
      </c>
      <c r="F92" s="14">
        <f t="shared" si="74"/>
        <v>1</v>
      </c>
      <c r="G92" s="13">
        <f>163.416/2</f>
        <v>81.707999999999998</v>
      </c>
      <c r="H92" s="13">
        <f>42.1/1.18</f>
        <v>35.677966101694921</v>
      </c>
      <c r="I92" s="13">
        <f t="shared" si="73"/>
        <v>81.707999999999998</v>
      </c>
      <c r="J92" s="13">
        <f>45.09/1.18</f>
        <v>38.211864406779668</v>
      </c>
      <c r="K92" s="14">
        <f t="shared" si="70"/>
        <v>1.0710213776722091</v>
      </c>
      <c r="L92" s="13">
        <f>194.732/2</f>
        <v>97.366</v>
      </c>
      <c r="M92" s="13">
        <v>73.709999999999994</v>
      </c>
      <c r="N92" s="13">
        <f t="shared" ref="N92" si="76">L92</f>
        <v>97.366</v>
      </c>
      <c r="O92" s="13">
        <v>75.459999999999994</v>
      </c>
      <c r="P92" s="14">
        <f t="shared" ref="P92" si="77">(O92*N92)/(M92*L92)</f>
        <v>1.0237416904083572</v>
      </c>
      <c r="Q92" s="37">
        <f>144.352/2</f>
        <v>72.176000000000002</v>
      </c>
      <c r="R92" s="37">
        <f>60.59/1.18</f>
        <v>51.347457627118651</v>
      </c>
      <c r="S92" s="37">
        <f>Q92</f>
        <v>72.176000000000002</v>
      </c>
      <c r="T92" s="37">
        <f>64.89/1.18</f>
        <v>54.991525423728817</v>
      </c>
      <c r="U92" s="36">
        <f t="shared" si="72"/>
        <v>1.0709688067337844</v>
      </c>
    </row>
    <row r="93" spans="1:21">
      <c r="A93" s="2" t="s">
        <v>86</v>
      </c>
      <c r="B93" s="13">
        <f>4.612/2</f>
        <v>2.306</v>
      </c>
      <c r="C93" s="13">
        <v>70.38</v>
      </c>
      <c r="D93" s="13">
        <f t="shared" si="75"/>
        <v>2.306</v>
      </c>
      <c r="E93" s="13">
        <v>71.069999999999993</v>
      </c>
      <c r="F93" s="14">
        <f t="shared" si="74"/>
        <v>1.0098039215686274</v>
      </c>
      <c r="G93" s="13">
        <f>3/2</f>
        <v>1.5</v>
      </c>
      <c r="H93" s="13">
        <v>42.1</v>
      </c>
      <c r="I93" s="13">
        <f t="shared" si="73"/>
        <v>1.5</v>
      </c>
      <c r="J93" s="13">
        <v>45.68</v>
      </c>
      <c r="K93" s="14">
        <f t="shared" si="70"/>
        <v>1.0850356294536816</v>
      </c>
      <c r="L93" s="13"/>
      <c r="M93" s="13"/>
      <c r="N93" s="13"/>
      <c r="O93" s="13"/>
      <c r="P93" s="14"/>
      <c r="Q93" s="28"/>
      <c r="R93" s="28"/>
      <c r="S93" s="28"/>
      <c r="T93" s="28"/>
      <c r="U93" s="32"/>
    </row>
    <row r="94" spans="1:21">
      <c r="A94" s="2" t="s">
        <v>87</v>
      </c>
      <c r="B94" s="13">
        <f>16.1/2</f>
        <v>8.0500000000000007</v>
      </c>
      <c r="C94" s="13">
        <v>48.63</v>
      </c>
      <c r="D94" s="13">
        <f t="shared" si="75"/>
        <v>8.0500000000000007</v>
      </c>
      <c r="E94" s="13">
        <v>48.63</v>
      </c>
      <c r="F94" s="14">
        <f t="shared" si="74"/>
        <v>1</v>
      </c>
      <c r="G94" s="13">
        <f>11.83/2</f>
        <v>5.915</v>
      </c>
      <c r="H94" s="13">
        <v>42.1</v>
      </c>
      <c r="I94" s="13">
        <f t="shared" si="73"/>
        <v>5.915</v>
      </c>
      <c r="J94" s="13">
        <v>45.68</v>
      </c>
      <c r="K94" s="14">
        <f t="shared" si="70"/>
        <v>1.0850356294536818</v>
      </c>
      <c r="L94" s="13"/>
      <c r="M94" s="13"/>
      <c r="N94" s="13"/>
      <c r="O94" s="13"/>
      <c r="P94" s="14"/>
      <c r="Q94" s="28"/>
      <c r="R94" s="28"/>
      <c r="S94" s="28"/>
      <c r="T94" s="28"/>
      <c r="U94" s="32"/>
    </row>
    <row r="95" spans="1:21">
      <c r="A95" s="2" t="s">
        <v>88</v>
      </c>
      <c r="B95" s="13">
        <f>84.507/2</f>
        <v>42.253500000000003</v>
      </c>
      <c r="C95" s="13">
        <v>34.61</v>
      </c>
      <c r="D95" s="13">
        <f t="shared" si="75"/>
        <v>42.253500000000003</v>
      </c>
      <c r="E95" s="13">
        <v>34.61</v>
      </c>
      <c r="F95" s="14">
        <f t="shared" si="74"/>
        <v>1</v>
      </c>
      <c r="G95" s="13">
        <v>0.17499999999999999</v>
      </c>
      <c r="H95" s="13">
        <v>34.61</v>
      </c>
      <c r="I95" s="13">
        <f t="shared" si="73"/>
        <v>0.17499999999999999</v>
      </c>
      <c r="J95" s="13">
        <v>34.61</v>
      </c>
      <c r="K95" s="14">
        <f t="shared" si="70"/>
        <v>1</v>
      </c>
      <c r="L95" s="13"/>
      <c r="M95" s="13"/>
      <c r="N95" s="13"/>
      <c r="O95" s="13"/>
      <c r="P95" s="14"/>
      <c r="Q95" s="28"/>
      <c r="R95" s="28"/>
      <c r="S95" s="28"/>
      <c r="T95" s="28"/>
      <c r="U95" s="32"/>
    </row>
    <row r="96" spans="1:21">
      <c r="A96" s="2" t="s">
        <v>89</v>
      </c>
      <c r="B96" s="13">
        <f>(41-8.3)/2</f>
        <v>16.350000000000001</v>
      </c>
      <c r="C96" s="13">
        <v>24.41</v>
      </c>
      <c r="D96" s="13">
        <f t="shared" si="75"/>
        <v>16.350000000000001</v>
      </c>
      <c r="E96" s="13">
        <v>26.38</v>
      </c>
      <c r="F96" s="14">
        <f t="shared" si="74"/>
        <v>1.0807046292503073</v>
      </c>
      <c r="G96" s="13"/>
      <c r="H96" s="13"/>
      <c r="I96" s="13"/>
      <c r="J96" s="13"/>
      <c r="K96" s="14"/>
      <c r="L96" s="13"/>
      <c r="M96" s="13"/>
      <c r="N96" s="13"/>
      <c r="O96" s="13"/>
      <c r="P96" s="14"/>
      <c r="Q96" s="28"/>
      <c r="R96" s="28"/>
      <c r="S96" s="28"/>
      <c r="T96" s="28"/>
      <c r="U96" s="32"/>
    </row>
    <row r="97" spans="1:21">
      <c r="A97" s="2" t="s">
        <v>90</v>
      </c>
      <c r="B97" s="13">
        <f>10.8/2</f>
        <v>5.4</v>
      </c>
      <c r="C97" s="13">
        <v>36</v>
      </c>
      <c r="D97" s="13">
        <f t="shared" si="75"/>
        <v>5.4</v>
      </c>
      <c r="E97" s="13">
        <v>38.65</v>
      </c>
      <c r="F97" s="14">
        <f t="shared" si="74"/>
        <v>1.0736111111111111</v>
      </c>
      <c r="G97" s="13">
        <f>1.4/2</f>
        <v>0.7</v>
      </c>
      <c r="H97" s="13">
        <v>36</v>
      </c>
      <c r="I97" s="13">
        <f t="shared" ref="I97:I98" si="78">G97</f>
        <v>0.7</v>
      </c>
      <c r="J97" s="13">
        <v>38.65</v>
      </c>
      <c r="K97" s="14">
        <f t="shared" ref="K97:K98" si="79">(J97*I97)/(H97*G97)</f>
        <v>1.0736111111111111</v>
      </c>
      <c r="L97" s="13"/>
      <c r="M97" s="13"/>
      <c r="N97" s="13"/>
      <c r="O97" s="13"/>
      <c r="P97" s="14"/>
      <c r="Q97" s="28"/>
      <c r="R97" s="28"/>
      <c r="S97" s="28"/>
      <c r="T97" s="28"/>
      <c r="U97" s="32"/>
    </row>
    <row r="98" spans="1:21">
      <c r="A98" s="2" t="s">
        <v>91</v>
      </c>
      <c r="B98" s="13">
        <f>6.455/2</f>
        <v>3.2275</v>
      </c>
      <c r="C98" s="13">
        <v>58.56</v>
      </c>
      <c r="D98" s="13">
        <f t="shared" si="75"/>
        <v>3.2275</v>
      </c>
      <c r="E98" s="13">
        <v>66.61</v>
      </c>
      <c r="F98" s="14">
        <f t="shared" si="74"/>
        <v>1.1374658469945353</v>
      </c>
      <c r="G98" s="13">
        <f>4.783/2</f>
        <v>2.3915000000000002</v>
      </c>
      <c r="H98" s="13">
        <v>39.18</v>
      </c>
      <c r="I98" s="13">
        <f t="shared" si="78"/>
        <v>2.3915000000000002</v>
      </c>
      <c r="J98" s="13">
        <v>42.51</v>
      </c>
      <c r="K98" s="14">
        <f t="shared" si="79"/>
        <v>1.0849923430321593</v>
      </c>
      <c r="L98" s="13"/>
      <c r="M98" s="13"/>
      <c r="N98" s="13"/>
      <c r="O98" s="13"/>
      <c r="P98" s="14"/>
      <c r="Q98" s="28"/>
      <c r="R98" s="28"/>
      <c r="S98" s="28"/>
      <c r="T98" s="28"/>
      <c r="U98" s="32"/>
    </row>
    <row r="99" spans="1:21">
      <c r="A99" s="2" t="s">
        <v>94</v>
      </c>
      <c r="B99" s="13">
        <f>12.075/2</f>
        <v>6.0374999999999996</v>
      </c>
      <c r="C99" s="13">
        <v>19.920000000000002</v>
      </c>
      <c r="D99" s="13">
        <f>B99</f>
        <v>6.0374999999999996</v>
      </c>
      <c r="E99" s="13">
        <v>21.32</v>
      </c>
      <c r="F99" s="14">
        <f>(E99*D99)/(C99*B99)</f>
        <v>1.0702811244979917</v>
      </c>
      <c r="G99" s="13">
        <f>11.78/2</f>
        <v>5.89</v>
      </c>
      <c r="H99" s="13">
        <v>19.920000000000002</v>
      </c>
      <c r="I99" s="13">
        <f>G99</f>
        <v>5.89</v>
      </c>
      <c r="J99" s="13">
        <v>21.32</v>
      </c>
      <c r="K99" s="36">
        <f>J99/H99</f>
        <v>1.070281124497992</v>
      </c>
      <c r="L99" s="13"/>
      <c r="M99" s="13"/>
      <c r="N99" s="13"/>
      <c r="O99" s="13"/>
      <c r="P99" s="14"/>
      <c r="Q99" s="28"/>
      <c r="R99" s="37"/>
      <c r="S99" s="37"/>
      <c r="T99" s="37"/>
      <c r="U99" s="36"/>
    </row>
    <row r="100" spans="1:21">
      <c r="A100" s="2" t="s">
        <v>95</v>
      </c>
      <c r="B100" s="13">
        <f>50.8/2</f>
        <v>25.4</v>
      </c>
      <c r="C100" s="13">
        <v>30.43</v>
      </c>
      <c r="D100" s="13">
        <f>B100</f>
        <v>25.4</v>
      </c>
      <c r="E100" s="13">
        <v>32.57</v>
      </c>
      <c r="F100" s="14">
        <f>(E100*D100)/(C100*B100)</f>
        <v>1.0703253368386461</v>
      </c>
      <c r="G100" s="13">
        <f>31.2/2</f>
        <v>15.6</v>
      </c>
      <c r="H100" s="13">
        <v>30.43</v>
      </c>
      <c r="I100" s="13">
        <f>G100</f>
        <v>15.6</v>
      </c>
      <c r="J100" s="13">
        <v>32.57</v>
      </c>
      <c r="K100" s="14">
        <f>(J100*I100)/(H100*G100)</f>
        <v>1.0703253368386461</v>
      </c>
      <c r="L100" s="13"/>
      <c r="M100" s="13"/>
      <c r="N100" s="13"/>
      <c r="O100" s="13"/>
      <c r="P100" s="14"/>
      <c r="Q100" s="28"/>
      <c r="R100" s="37"/>
      <c r="S100" s="37"/>
      <c r="T100" s="37"/>
      <c r="U100" s="36"/>
    </row>
    <row r="101" spans="1:21">
      <c r="A101" s="2" t="s">
        <v>96</v>
      </c>
      <c r="B101" s="13"/>
      <c r="C101" s="13"/>
      <c r="D101" s="13"/>
      <c r="E101" s="13"/>
      <c r="F101" s="14"/>
      <c r="G101" s="13"/>
      <c r="H101" s="13"/>
      <c r="I101" s="13"/>
      <c r="J101" s="13"/>
      <c r="K101" s="14"/>
      <c r="L101" s="13"/>
      <c r="M101" s="13"/>
      <c r="N101" s="13"/>
      <c r="O101" s="13"/>
      <c r="P101" s="14"/>
      <c r="Q101" s="28"/>
      <c r="R101" s="28"/>
      <c r="S101" s="28"/>
      <c r="T101" s="28"/>
      <c r="U101" s="36"/>
    </row>
    <row r="102" spans="1:21">
      <c r="A102" s="40" t="s">
        <v>97</v>
      </c>
      <c r="B102" s="13">
        <f>18.602/2</f>
        <v>9.3010000000000002</v>
      </c>
      <c r="C102" s="13">
        <v>84.06</v>
      </c>
      <c r="D102" s="13">
        <f t="shared" ref="D102:D104" si="80">B102</f>
        <v>9.3010000000000002</v>
      </c>
      <c r="E102" s="13">
        <v>84.06</v>
      </c>
      <c r="F102" s="14">
        <f t="shared" ref="F102:F104" si="81">(E102*D102)/(C102*B102)</f>
        <v>1</v>
      </c>
      <c r="G102" s="13">
        <f>16.986/2</f>
        <v>8.4930000000000003</v>
      </c>
      <c r="H102" s="13">
        <v>29</v>
      </c>
      <c r="I102" s="13">
        <f t="shared" ref="I102:I111" si="82">G102</f>
        <v>8.4930000000000003</v>
      </c>
      <c r="J102" s="13">
        <v>31.06</v>
      </c>
      <c r="K102" s="14">
        <f>(J102*I102)/(H102*G102)</f>
        <v>1.0710344827586207</v>
      </c>
      <c r="L102" s="13"/>
      <c r="M102" s="13"/>
      <c r="N102" s="13"/>
      <c r="O102" s="13"/>
      <c r="P102" s="14"/>
      <c r="Q102" s="37"/>
      <c r="R102" s="28"/>
      <c r="S102" s="37"/>
      <c r="T102" s="28"/>
      <c r="U102" s="36"/>
    </row>
    <row r="103" spans="1:21">
      <c r="A103" s="40" t="s">
        <v>98</v>
      </c>
      <c r="B103" s="13">
        <f>14.763/2</f>
        <v>7.3815</v>
      </c>
      <c r="C103" s="13">
        <v>41.1</v>
      </c>
      <c r="D103" s="13">
        <f t="shared" si="80"/>
        <v>7.3815</v>
      </c>
      <c r="E103" s="13">
        <v>43.59</v>
      </c>
      <c r="F103" s="14">
        <f t="shared" si="81"/>
        <v>1.0605839416058394</v>
      </c>
      <c r="G103" s="13">
        <f>16.668/2</f>
        <v>8.3339999999999996</v>
      </c>
      <c r="H103" s="13">
        <v>25.2</v>
      </c>
      <c r="I103" s="13">
        <f t="shared" si="82"/>
        <v>8.3339999999999996</v>
      </c>
      <c r="J103" s="13">
        <v>26.99</v>
      </c>
      <c r="K103" s="14">
        <f>(J103*I103)/(H103*G103)</f>
        <v>1.071031746031746</v>
      </c>
      <c r="L103" s="13"/>
      <c r="M103" s="13"/>
      <c r="N103" s="13"/>
      <c r="O103" s="13"/>
      <c r="P103" s="14"/>
      <c r="Q103" s="28"/>
      <c r="R103" s="37"/>
      <c r="S103" s="37"/>
      <c r="T103" s="37"/>
      <c r="U103" s="36"/>
    </row>
    <row r="104" spans="1:21">
      <c r="A104" s="2" t="s">
        <v>99</v>
      </c>
      <c r="B104" s="13">
        <f>843/2</f>
        <v>421.5</v>
      </c>
      <c r="C104" s="13">
        <v>42.44</v>
      </c>
      <c r="D104" s="13">
        <f t="shared" si="80"/>
        <v>421.5</v>
      </c>
      <c r="E104" s="13">
        <v>42.44</v>
      </c>
      <c r="F104" s="14">
        <f t="shared" si="81"/>
        <v>1</v>
      </c>
      <c r="G104" s="13">
        <f>514/2</f>
        <v>257</v>
      </c>
      <c r="H104" s="13">
        <v>31</v>
      </c>
      <c r="I104" s="13">
        <f t="shared" si="82"/>
        <v>257</v>
      </c>
      <c r="J104" s="13">
        <v>33.200000000000003</v>
      </c>
      <c r="K104" s="14">
        <f>(J104*I104)/(H104*G104)</f>
        <v>1.0709677419354842</v>
      </c>
      <c r="L104" s="13">
        <f>500/2</f>
        <v>250</v>
      </c>
      <c r="M104" s="13">
        <v>51.3</v>
      </c>
      <c r="N104" s="13">
        <f>L104</f>
        <v>250</v>
      </c>
      <c r="O104" s="13">
        <v>51.3</v>
      </c>
      <c r="P104" s="14">
        <f>O104/M104</f>
        <v>1</v>
      </c>
      <c r="Q104" s="28">
        <f>310/2</f>
        <v>155</v>
      </c>
      <c r="R104" s="28">
        <v>39</v>
      </c>
      <c r="S104" s="28">
        <f>Q104</f>
        <v>155</v>
      </c>
      <c r="T104" s="28">
        <v>41.77</v>
      </c>
      <c r="U104" s="14">
        <f>T104/R104</f>
        <v>1.0710256410256411</v>
      </c>
    </row>
    <row r="105" spans="1:21">
      <c r="A105" s="2" t="s">
        <v>100</v>
      </c>
      <c r="B105" s="13">
        <f>145.04/2</f>
        <v>72.52</v>
      </c>
      <c r="C105" s="13">
        <v>43.04</v>
      </c>
      <c r="D105" s="13">
        <f>B105</f>
        <v>72.52</v>
      </c>
      <c r="E105" s="13">
        <v>44.79</v>
      </c>
      <c r="F105" s="14">
        <f>(E105*D105)/(C105*B105)</f>
        <v>1.0406598513011154</v>
      </c>
      <c r="G105" s="13">
        <f>55.6/2</f>
        <v>27.8</v>
      </c>
      <c r="H105" s="13">
        <v>30</v>
      </c>
      <c r="I105" s="13">
        <f t="shared" si="82"/>
        <v>27.8</v>
      </c>
      <c r="J105" s="13">
        <v>32.130000000000003</v>
      </c>
      <c r="K105" s="36">
        <f>J105/H105</f>
        <v>1.0710000000000002</v>
      </c>
      <c r="L105" s="13">
        <f>107.415/2</f>
        <v>53.707500000000003</v>
      </c>
      <c r="M105" s="13">
        <v>49.63</v>
      </c>
      <c r="N105" s="13">
        <f>L105</f>
        <v>53.707500000000003</v>
      </c>
      <c r="O105" s="13">
        <v>50.71</v>
      </c>
      <c r="P105" s="14">
        <f>O105/M105</f>
        <v>1.0217610316340922</v>
      </c>
      <c r="Q105" s="28">
        <f>49.15/2</f>
        <v>24.574999999999999</v>
      </c>
      <c r="R105" s="37">
        <v>35</v>
      </c>
      <c r="S105" s="37">
        <f>Q105</f>
        <v>24.574999999999999</v>
      </c>
      <c r="T105" s="37">
        <v>37.49</v>
      </c>
      <c r="U105" s="14">
        <f>T105/R105</f>
        <v>1.0711428571428572</v>
      </c>
    </row>
    <row r="106" spans="1:21">
      <c r="A106" s="2" t="s">
        <v>101</v>
      </c>
      <c r="B106" s="13">
        <f>66.934/2</f>
        <v>33.466999999999999</v>
      </c>
      <c r="C106" s="13">
        <v>43.1</v>
      </c>
      <c r="D106" s="13">
        <f>B106</f>
        <v>33.466999999999999</v>
      </c>
      <c r="E106" s="13">
        <v>45.06</v>
      </c>
      <c r="F106" s="14">
        <f>(E106*D106)/(C106*B106)</f>
        <v>1.0454756380510442</v>
      </c>
      <c r="G106" s="13">
        <f>45.344/2</f>
        <v>22.672000000000001</v>
      </c>
      <c r="H106" s="13">
        <v>30</v>
      </c>
      <c r="I106" s="13">
        <f t="shared" si="82"/>
        <v>22.672000000000001</v>
      </c>
      <c r="J106" s="13">
        <v>32.130000000000003</v>
      </c>
      <c r="K106" s="14">
        <f>(J106*I106)/(H106*G106)</f>
        <v>1.0710000000000002</v>
      </c>
      <c r="L106" s="13"/>
      <c r="M106" s="13"/>
      <c r="N106" s="13"/>
      <c r="O106" s="13"/>
      <c r="P106" s="14"/>
      <c r="Q106" s="28"/>
      <c r="R106" s="37"/>
      <c r="S106" s="37"/>
      <c r="T106" s="37"/>
      <c r="U106" s="36"/>
    </row>
    <row r="107" spans="1:21">
      <c r="A107" s="2" t="s">
        <v>102</v>
      </c>
      <c r="B107" s="13">
        <f>1.942/2</f>
        <v>0.97099999999999997</v>
      </c>
      <c r="C107" s="13">
        <v>82.19</v>
      </c>
      <c r="D107" s="13">
        <f>B107</f>
        <v>0.97099999999999997</v>
      </c>
      <c r="E107" s="13">
        <v>82.19</v>
      </c>
      <c r="F107" s="14">
        <f>(E107*D107)/(C107*B107)</f>
        <v>1</v>
      </c>
      <c r="G107" s="13">
        <f>1.314/2</f>
        <v>0.65700000000000003</v>
      </c>
      <c r="H107" s="13">
        <v>30</v>
      </c>
      <c r="I107" s="13">
        <f t="shared" si="82"/>
        <v>0.65700000000000003</v>
      </c>
      <c r="J107" s="13">
        <v>32.130000000000003</v>
      </c>
      <c r="K107" s="14">
        <f>(J107*I107)/(H107*G107)</f>
        <v>1.0710000000000002</v>
      </c>
      <c r="L107" s="13"/>
      <c r="M107" s="13"/>
      <c r="N107" s="13"/>
      <c r="O107" s="13"/>
      <c r="P107" s="14"/>
      <c r="Q107" s="28"/>
      <c r="R107" s="28"/>
      <c r="S107" s="28"/>
      <c r="T107" s="28"/>
      <c r="U107" s="36"/>
    </row>
    <row r="108" spans="1:21">
      <c r="A108" s="2" t="s">
        <v>103</v>
      </c>
      <c r="B108" s="13">
        <f>18.5/2</f>
        <v>9.25</v>
      </c>
      <c r="C108" s="13">
        <v>42.76</v>
      </c>
      <c r="D108" s="13">
        <f t="shared" ref="D108" si="83">B108</f>
        <v>9.25</v>
      </c>
      <c r="E108" s="13">
        <v>45.21</v>
      </c>
      <c r="F108" s="14">
        <f t="shared" ref="F108" si="84">(E108*D108)/(C108*B108)</f>
        <v>1.0572965388213285</v>
      </c>
      <c r="G108" s="13">
        <f>13.6/2</f>
        <v>6.8</v>
      </c>
      <c r="H108" s="13">
        <v>30</v>
      </c>
      <c r="I108" s="13">
        <f t="shared" si="82"/>
        <v>6.8</v>
      </c>
      <c r="J108" s="13">
        <v>32.130000000000003</v>
      </c>
      <c r="K108" s="14">
        <f>(J108*I108)/(H108*G108)</f>
        <v>1.071</v>
      </c>
      <c r="L108" s="13"/>
      <c r="M108" s="13"/>
      <c r="N108" s="13"/>
      <c r="O108" s="13"/>
      <c r="P108" s="36"/>
      <c r="Q108" s="28"/>
      <c r="R108" s="28"/>
      <c r="S108" s="28"/>
      <c r="T108" s="28"/>
      <c r="U108" s="36"/>
    </row>
    <row r="109" spans="1:21">
      <c r="A109" s="8" t="s">
        <v>106</v>
      </c>
      <c r="B109" s="13">
        <f>57.051/2</f>
        <v>28.525500000000001</v>
      </c>
      <c r="C109" s="13">
        <v>46.03</v>
      </c>
      <c r="D109" s="13">
        <f>B109</f>
        <v>28.525500000000001</v>
      </c>
      <c r="E109" s="13">
        <v>48.06</v>
      </c>
      <c r="F109" s="14">
        <f>(E109*D109)/(C109*B109)</f>
        <v>1.0441016728220727</v>
      </c>
      <c r="G109" s="13">
        <f>19.115/2</f>
        <v>9.5574999999999992</v>
      </c>
      <c r="H109" s="13">
        <v>28.5</v>
      </c>
      <c r="I109" s="13">
        <f t="shared" si="82"/>
        <v>9.5574999999999992</v>
      </c>
      <c r="J109" s="13">
        <v>30.52</v>
      </c>
      <c r="K109" s="36">
        <f>J109/H109</f>
        <v>1.0708771929824561</v>
      </c>
      <c r="L109" s="13">
        <f>33.017/2</f>
        <v>16.508500000000002</v>
      </c>
      <c r="M109" s="13">
        <v>41.3</v>
      </c>
      <c r="N109" s="13">
        <f>L109</f>
        <v>16.508500000000002</v>
      </c>
      <c r="O109" s="13">
        <v>42.64</v>
      </c>
      <c r="P109" s="36">
        <f>O109/M109</f>
        <v>1.0324455205811138</v>
      </c>
      <c r="Q109" s="28">
        <f>13.434/2</f>
        <v>6.7169999999999996</v>
      </c>
      <c r="R109" s="37">
        <v>32</v>
      </c>
      <c r="S109" s="37">
        <f>Q109</f>
        <v>6.7169999999999996</v>
      </c>
      <c r="T109" s="37">
        <v>34.270000000000003</v>
      </c>
      <c r="U109" s="14">
        <f>T109/R109</f>
        <v>1.0709375000000001</v>
      </c>
    </row>
    <row r="110" spans="1:21">
      <c r="A110" s="2" t="s">
        <v>107</v>
      </c>
      <c r="B110" s="11">
        <f>112.85/2</f>
        <v>56.424999999999997</v>
      </c>
      <c r="C110" s="11">
        <v>64.41</v>
      </c>
      <c r="D110" s="11">
        <f>B110</f>
        <v>56.424999999999997</v>
      </c>
      <c r="E110" s="11">
        <v>68.03</v>
      </c>
      <c r="F110" s="12">
        <f>(E110*D110)/(C110*B110)</f>
        <v>1.0562024530352432</v>
      </c>
      <c r="G110" s="11">
        <f>39.548/2</f>
        <v>19.774000000000001</v>
      </c>
      <c r="H110" s="11">
        <v>25.26</v>
      </c>
      <c r="I110" s="11">
        <f t="shared" si="82"/>
        <v>19.774000000000001</v>
      </c>
      <c r="J110" s="11">
        <v>27.05</v>
      </c>
      <c r="K110" s="12">
        <f>(J110*I110)/(H110*G110)</f>
        <v>1.0708630245447346</v>
      </c>
      <c r="L110" s="11">
        <f>140.24/2</f>
        <v>70.12</v>
      </c>
      <c r="M110" s="11">
        <v>42.43</v>
      </c>
      <c r="N110" s="11">
        <f>L110</f>
        <v>70.12</v>
      </c>
      <c r="O110" s="11">
        <v>44.51</v>
      </c>
      <c r="P110" s="12">
        <f>(O110*N110)/(M110*L110)</f>
        <v>1.049021918453924</v>
      </c>
      <c r="Q110" s="35">
        <f>37.5/2</f>
        <v>18.75</v>
      </c>
      <c r="R110" s="35">
        <v>23.59</v>
      </c>
      <c r="S110" s="35">
        <f>Q110</f>
        <v>18.75</v>
      </c>
      <c r="T110" s="35">
        <v>25.26</v>
      </c>
      <c r="U110" s="12">
        <f>(T110*S110)/(R110*Q110)</f>
        <v>1.0707927087749047</v>
      </c>
    </row>
    <row r="111" spans="1:21">
      <c r="A111" s="3" t="s">
        <v>58</v>
      </c>
      <c r="B111" s="11">
        <f>43.84/2</f>
        <v>21.92</v>
      </c>
      <c r="C111" s="11">
        <v>109.08</v>
      </c>
      <c r="D111" s="11">
        <f>B111</f>
        <v>21.92</v>
      </c>
      <c r="E111" s="11">
        <v>128.27000000000001</v>
      </c>
      <c r="F111" s="12">
        <f>(E111*D111)/(C111*B111)</f>
        <v>1.1759259259259258</v>
      </c>
      <c r="G111" s="21">
        <f>25.181/2</f>
        <v>12.5905</v>
      </c>
      <c r="H111" s="21">
        <v>38.93</v>
      </c>
      <c r="I111" s="21">
        <f t="shared" si="82"/>
        <v>12.5905</v>
      </c>
      <c r="J111" s="21">
        <v>41.69</v>
      </c>
      <c r="K111" s="12">
        <f t="shared" ref="K111:K130" si="85">(J111*I111)/(H111*G111)</f>
        <v>1.0708964808630874</v>
      </c>
      <c r="L111" s="11">
        <f>28.19/2</f>
        <v>14.095000000000001</v>
      </c>
      <c r="M111" s="11">
        <v>43.07</v>
      </c>
      <c r="N111" s="11">
        <f>L111</f>
        <v>14.095000000000001</v>
      </c>
      <c r="O111" s="11">
        <v>46.2</v>
      </c>
      <c r="P111" s="12">
        <f>(O111*N111)/(M111*L111)</f>
        <v>1.0726723937775715</v>
      </c>
      <c r="Q111" s="35">
        <f>20.54/2</f>
        <v>10.27</v>
      </c>
      <c r="R111" s="35">
        <v>33.06</v>
      </c>
      <c r="S111" s="35">
        <f>Q111</f>
        <v>10.27</v>
      </c>
      <c r="T111" s="35">
        <v>35.409999999999997</v>
      </c>
      <c r="U111" s="34">
        <f t="shared" ref="U111" si="86">T111/R111</f>
        <v>1.0710828796128249</v>
      </c>
    </row>
    <row r="112" spans="1:21">
      <c r="A112" s="2" t="s">
        <v>108</v>
      </c>
      <c r="B112" s="11">
        <f>168.1/2</f>
        <v>84.05</v>
      </c>
      <c r="C112" s="11">
        <v>62.63</v>
      </c>
      <c r="D112" s="11">
        <f>B112</f>
        <v>84.05</v>
      </c>
      <c r="E112" s="11">
        <v>62.63</v>
      </c>
      <c r="F112" s="12">
        <f t="shared" ref="F112:F128" si="87">(E112*D112)/(C112*B112)</f>
        <v>1</v>
      </c>
      <c r="G112" s="11">
        <f>132.62/2</f>
        <v>66.31</v>
      </c>
      <c r="H112" s="11">
        <v>30.72</v>
      </c>
      <c r="I112" s="11">
        <f t="shared" ref="I112:I128" si="88">G112</f>
        <v>66.31</v>
      </c>
      <c r="J112" s="11">
        <v>32.9</v>
      </c>
      <c r="K112" s="12">
        <f t="shared" si="85"/>
        <v>1.0709635416666667</v>
      </c>
      <c r="L112" s="11">
        <f>198.7/2</f>
        <v>99.35</v>
      </c>
      <c r="M112" s="11">
        <v>28.36</v>
      </c>
      <c r="N112" s="11">
        <f t="shared" ref="N112:N129" si="89">L112</f>
        <v>99.35</v>
      </c>
      <c r="O112" s="11">
        <v>28.36</v>
      </c>
      <c r="P112" s="12">
        <f t="shared" ref="P112:P129" si="90">(O112*N112)/(M112*L112)</f>
        <v>1</v>
      </c>
      <c r="Q112" s="35">
        <f>132.62/2</f>
        <v>66.31</v>
      </c>
      <c r="R112" s="35">
        <v>27.59</v>
      </c>
      <c r="S112" s="35">
        <f t="shared" ref="S112:S130" si="91">Q112</f>
        <v>66.31</v>
      </c>
      <c r="T112" s="35">
        <v>28.36</v>
      </c>
      <c r="U112" s="12">
        <f t="shared" ref="U112:U130" si="92">(T112*S112)/(R112*Q112)</f>
        <v>1.0279086625588982</v>
      </c>
    </row>
    <row r="113" spans="1:21">
      <c r="A113" s="2" t="s">
        <v>109</v>
      </c>
      <c r="B113" s="11">
        <f>66.883/2</f>
        <v>33.441499999999998</v>
      </c>
      <c r="C113" s="11">
        <v>54.83</v>
      </c>
      <c r="D113" s="11">
        <f t="shared" ref="D113:D128" si="93">B113</f>
        <v>33.441499999999998</v>
      </c>
      <c r="E113" s="11">
        <v>58.63</v>
      </c>
      <c r="F113" s="12">
        <f t="shared" si="87"/>
        <v>1.0693051249316068</v>
      </c>
      <c r="G113" s="11">
        <f>55.925/2</f>
        <v>27.962499999999999</v>
      </c>
      <c r="H113" s="11">
        <v>21</v>
      </c>
      <c r="I113" s="11">
        <f t="shared" si="88"/>
        <v>27.962499999999999</v>
      </c>
      <c r="J113" s="11">
        <v>22.5</v>
      </c>
      <c r="K113" s="12">
        <f t="shared" si="85"/>
        <v>1.0714285714285714</v>
      </c>
      <c r="L113" s="11">
        <f>56.428/2</f>
        <v>28.213999999999999</v>
      </c>
      <c r="M113" s="11">
        <v>37.86</v>
      </c>
      <c r="N113" s="11">
        <f t="shared" si="89"/>
        <v>28.213999999999999</v>
      </c>
      <c r="O113" s="11">
        <v>40.54</v>
      </c>
      <c r="P113" s="12">
        <f t="shared" si="90"/>
        <v>1.0707871104067619</v>
      </c>
      <c r="Q113" s="35">
        <f>54.845/2</f>
        <v>27.422499999999999</v>
      </c>
      <c r="R113" s="35">
        <v>16.3</v>
      </c>
      <c r="S113" s="35">
        <f t="shared" si="91"/>
        <v>27.422499999999999</v>
      </c>
      <c r="T113" s="35">
        <v>17.46</v>
      </c>
      <c r="U113" s="12">
        <f t="shared" si="92"/>
        <v>1.0711656441717792</v>
      </c>
    </row>
    <row r="114" spans="1:21">
      <c r="A114" s="2" t="s">
        <v>109</v>
      </c>
      <c r="B114" s="11">
        <f>53.1/2</f>
        <v>26.55</v>
      </c>
      <c r="C114" s="11">
        <v>39.86</v>
      </c>
      <c r="D114" s="11">
        <f t="shared" si="93"/>
        <v>26.55</v>
      </c>
      <c r="E114" s="11">
        <v>42.67</v>
      </c>
      <c r="F114" s="12">
        <f t="shared" si="87"/>
        <v>1.0704967385850477</v>
      </c>
      <c r="G114" s="11">
        <f>44.496/2</f>
        <v>22.248000000000001</v>
      </c>
      <c r="H114" s="11">
        <v>21</v>
      </c>
      <c r="I114" s="11">
        <f t="shared" si="88"/>
        <v>22.248000000000001</v>
      </c>
      <c r="J114" s="11">
        <v>22.5</v>
      </c>
      <c r="K114" s="12">
        <f t="shared" si="85"/>
        <v>1.0714285714285714</v>
      </c>
      <c r="L114" s="11">
        <f>50.322/2</f>
        <v>25.161000000000001</v>
      </c>
      <c r="M114" s="11">
        <v>46.74</v>
      </c>
      <c r="N114" s="11">
        <f t="shared" si="89"/>
        <v>25.161000000000001</v>
      </c>
      <c r="O114" s="11">
        <v>50.04</v>
      </c>
      <c r="P114" s="12">
        <f t="shared" si="90"/>
        <v>1.0706033376123234</v>
      </c>
      <c r="Q114" s="35">
        <f>43.52/2</f>
        <v>21.76</v>
      </c>
      <c r="R114" s="35">
        <v>20.7</v>
      </c>
      <c r="S114" s="35">
        <f t="shared" si="91"/>
        <v>21.76</v>
      </c>
      <c r="T114" s="35">
        <v>22.17</v>
      </c>
      <c r="U114" s="12">
        <f t="shared" si="92"/>
        <v>1.0710144927536231</v>
      </c>
    </row>
    <row r="115" spans="1:21">
      <c r="A115" s="2" t="s">
        <v>109</v>
      </c>
      <c r="B115" s="11">
        <f>37.65/2</f>
        <v>18.824999999999999</v>
      </c>
      <c r="C115" s="11">
        <v>78.2</v>
      </c>
      <c r="D115" s="11">
        <f t="shared" si="93"/>
        <v>18.824999999999999</v>
      </c>
      <c r="E115" s="11">
        <v>83.74</v>
      </c>
      <c r="F115" s="12">
        <f t="shared" si="87"/>
        <v>1.0708439897698208</v>
      </c>
      <c r="G115" s="11">
        <f>30.238/2</f>
        <v>15.119</v>
      </c>
      <c r="H115" s="11">
        <v>30.72</v>
      </c>
      <c r="I115" s="11">
        <f t="shared" si="88"/>
        <v>15.119</v>
      </c>
      <c r="J115" s="11">
        <v>32.9</v>
      </c>
      <c r="K115" s="12">
        <f t="shared" si="85"/>
        <v>1.0709635416666667</v>
      </c>
      <c r="L115" s="11">
        <f>28.742/2</f>
        <v>14.371</v>
      </c>
      <c r="M115" s="11">
        <v>36.36</v>
      </c>
      <c r="N115" s="11">
        <f t="shared" si="89"/>
        <v>14.371</v>
      </c>
      <c r="O115" s="11">
        <v>38.93</v>
      </c>
      <c r="P115" s="12">
        <f t="shared" si="90"/>
        <v>1.0706820682068205</v>
      </c>
      <c r="Q115" s="35">
        <f>24.884/2</f>
        <v>12.442</v>
      </c>
      <c r="R115" s="35">
        <v>28.64</v>
      </c>
      <c r="S115" s="35">
        <f t="shared" si="91"/>
        <v>12.442</v>
      </c>
      <c r="T115" s="35">
        <v>30.67</v>
      </c>
      <c r="U115" s="12">
        <f t="shared" si="92"/>
        <v>1.0708798882681565</v>
      </c>
    </row>
    <row r="116" spans="1:21">
      <c r="A116" s="2" t="s">
        <v>109</v>
      </c>
      <c r="B116" s="11">
        <f>3.344/2</f>
        <v>1.6719999999999999</v>
      </c>
      <c r="C116" s="11">
        <v>187.17</v>
      </c>
      <c r="D116" s="11">
        <f t="shared" si="93"/>
        <v>1.6719999999999999</v>
      </c>
      <c r="E116" s="11">
        <v>200.41</v>
      </c>
      <c r="F116" s="12">
        <f t="shared" si="87"/>
        <v>1.0707378319175083</v>
      </c>
      <c r="G116" s="11">
        <f>3.144/2</f>
        <v>1.5720000000000001</v>
      </c>
      <c r="H116" s="11">
        <v>30.72</v>
      </c>
      <c r="I116" s="11">
        <f t="shared" si="88"/>
        <v>1.5720000000000001</v>
      </c>
      <c r="J116" s="11">
        <v>32.9</v>
      </c>
      <c r="K116" s="12">
        <f t="shared" si="85"/>
        <v>1.0709635416666667</v>
      </c>
      <c r="L116" s="11">
        <f>3.284/2</f>
        <v>1.6419999999999999</v>
      </c>
      <c r="M116" s="11">
        <v>163.77000000000001</v>
      </c>
      <c r="N116" s="11">
        <f t="shared" si="89"/>
        <v>1.6419999999999999</v>
      </c>
      <c r="O116" s="11">
        <v>175.34</v>
      </c>
      <c r="P116" s="12">
        <f t="shared" si="90"/>
        <v>1.0706478598033826</v>
      </c>
      <c r="Q116" s="35">
        <f>3.144/2</f>
        <v>1.5720000000000001</v>
      </c>
      <c r="R116" s="35">
        <v>28.64</v>
      </c>
      <c r="S116" s="35">
        <f t="shared" si="91"/>
        <v>1.5720000000000001</v>
      </c>
      <c r="T116" s="35">
        <v>30.67</v>
      </c>
      <c r="U116" s="12">
        <f t="shared" si="92"/>
        <v>1.0708798882681565</v>
      </c>
    </row>
    <row r="117" spans="1:21">
      <c r="A117" s="2" t="s">
        <v>110</v>
      </c>
      <c r="B117" s="11">
        <f>19.1/2</f>
        <v>9.5500000000000007</v>
      </c>
      <c r="C117" s="11">
        <v>68.34</v>
      </c>
      <c r="D117" s="11">
        <f t="shared" si="93"/>
        <v>9.5500000000000007</v>
      </c>
      <c r="E117" s="11">
        <v>69.94</v>
      </c>
      <c r="F117" s="12">
        <f t="shared" si="87"/>
        <v>1.0234123500146326</v>
      </c>
      <c r="G117" s="11">
        <f>17.6/2</f>
        <v>8.8000000000000007</v>
      </c>
      <c r="H117" s="11">
        <v>30.04</v>
      </c>
      <c r="I117" s="11">
        <f t="shared" si="88"/>
        <v>8.8000000000000007</v>
      </c>
      <c r="J117" s="11">
        <v>32.18</v>
      </c>
      <c r="K117" s="12">
        <f t="shared" si="85"/>
        <v>1.0712383488681758</v>
      </c>
      <c r="L117" s="11">
        <f>14.369/2</f>
        <v>7.1844999999999999</v>
      </c>
      <c r="M117" s="11">
        <v>92.01</v>
      </c>
      <c r="N117" s="11">
        <f t="shared" si="89"/>
        <v>7.1844999999999999</v>
      </c>
      <c r="O117" s="11">
        <v>94.3</v>
      </c>
      <c r="P117" s="12">
        <f t="shared" si="90"/>
        <v>1.0248885990653189</v>
      </c>
      <c r="Q117" s="35">
        <f>13.645/2</f>
        <v>6.8224999999999998</v>
      </c>
      <c r="R117" s="35">
        <v>28.6</v>
      </c>
      <c r="S117" s="35">
        <f t="shared" si="91"/>
        <v>6.8224999999999998</v>
      </c>
      <c r="T117" s="35">
        <v>30.63</v>
      </c>
      <c r="U117" s="12">
        <f t="shared" si="92"/>
        <v>1.0709790209790209</v>
      </c>
    </row>
    <row r="118" spans="1:21">
      <c r="A118" s="2" t="s">
        <v>111</v>
      </c>
      <c r="B118" s="11">
        <f>108.212/2</f>
        <v>54.106000000000002</v>
      </c>
      <c r="C118" s="11">
        <v>75.290000000000006</v>
      </c>
      <c r="D118" s="11">
        <f t="shared" si="93"/>
        <v>54.106000000000002</v>
      </c>
      <c r="E118" s="11">
        <v>75.290000000000006</v>
      </c>
      <c r="F118" s="12">
        <f t="shared" si="87"/>
        <v>1</v>
      </c>
      <c r="G118" s="11">
        <f>88.68/2</f>
        <v>44.34</v>
      </c>
      <c r="H118" s="11">
        <v>25.46</v>
      </c>
      <c r="I118" s="11">
        <f t="shared" si="88"/>
        <v>44.34</v>
      </c>
      <c r="J118" s="11">
        <v>27.27</v>
      </c>
      <c r="K118" s="12">
        <f t="shared" si="85"/>
        <v>1.0710919088766693</v>
      </c>
      <c r="L118" s="11">
        <f>106.845/2</f>
        <v>53.422499999999999</v>
      </c>
      <c r="M118" s="11">
        <v>65.900000000000006</v>
      </c>
      <c r="N118" s="11">
        <f t="shared" si="89"/>
        <v>53.422499999999999</v>
      </c>
      <c r="O118" s="11">
        <v>65.900000000000006</v>
      </c>
      <c r="P118" s="12">
        <f t="shared" si="90"/>
        <v>1</v>
      </c>
      <c r="Q118" s="35">
        <f>88.671/2</f>
        <v>44.335500000000003</v>
      </c>
      <c r="R118" s="35">
        <v>24.24</v>
      </c>
      <c r="S118" s="35">
        <f t="shared" si="91"/>
        <v>44.335500000000003</v>
      </c>
      <c r="T118" s="35">
        <v>25.96</v>
      </c>
      <c r="U118" s="12">
        <f t="shared" si="92"/>
        <v>1.0709570957095711</v>
      </c>
    </row>
    <row r="119" spans="1:21">
      <c r="A119" s="2" t="s">
        <v>111</v>
      </c>
      <c r="B119" s="11">
        <f>9.587/2</f>
        <v>4.7934999999999999</v>
      </c>
      <c r="C119" s="11">
        <v>59.48</v>
      </c>
      <c r="D119" s="11">
        <f t="shared" si="93"/>
        <v>4.7934999999999999</v>
      </c>
      <c r="E119" s="11">
        <v>63.77</v>
      </c>
      <c r="F119" s="12">
        <f t="shared" si="87"/>
        <v>1.0721250840618697</v>
      </c>
      <c r="G119" s="11">
        <f>9.027/2</f>
        <v>4.5134999999999996</v>
      </c>
      <c r="H119" s="11">
        <v>24</v>
      </c>
      <c r="I119" s="11">
        <f t="shared" si="88"/>
        <v>4.5134999999999996</v>
      </c>
      <c r="J119" s="11">
        <v>26.04</v>
      </c>
      <c r="K119" s="12">
        <f t="shared" si="85"/>
        <v>1.0850000000000002</v>
      </c>
      <c r="L119" s="11">
        <f>14.824/2</f>
        <v>7.4119999999999999</v>
      </c>
      <c r="M119" s="11">
        <v>44.67</v>
      </c>
      <c r="N119" s="11">
        <f t="shared" si="89"/>
        <v>7.4119999999999999</v>
      </c>
      <c r="O119" s="11">
        <v>48.32</v>
      </c>
      <c r="P119" s="12">
        <f t="shared" si="90"/>
        <v>1.0817103201253637</v>
      </c>
      <c r="Q119" s="35">
        <f>14.264/2</f>
        <v>7.1319999999999997</v>
      </c>
      <c r="R119" s="35">
        <v>21.47</v>
      </c>
      <c r="S119" s="35">
        <f t="shared" si="91"/>
        <v>7.1319999999999997</v>
      </c>
      <c r="T119" s="35">
        <v>22.99</v>
      </c>
      <c r="U119" s="12">
        <f t="shared" si="92"/>
        <v>1.0707964601769913</v>
      </c>
    </row>
    <row r="120" spans="1:21">
      <c r="A120" s="2" t="s">
        <v>112</v>
      </c>
      <c r="B120" s="11">
        <f>86.547/2</f>
        <v>43.273499999999999</v>
      </c>
      <c r="C120" s="11">
        <v>27.18</v>
      </c>
      <c r="D120" s="11">
        <f t="shared" si="93"/>
        <v>43.273499999999999</v>
      </c>
      <c r="E120" s="11">
        <v>28.8</v>
      </c>
      <c r="F120" s="12">
        <f t="shared" si="87"/>
        <v>1.0596026490066226</v>
      </c>
      <c r="G120" s="11">
        <f>1.896/2</f>
        <v>0.94799999999999995</v>
      </c>
      <c r="H120" s="11">
        <v>20.34</v>
      </c>
      <c r="I120" s="11">
        <f t="shared" si="88"/>
        <v>0.94799999999999995</v>
      </c>
      <c r="J120" s="11">
        <v>21.78</v>
      </c>
      <c r="K120" s="12">
        <f t="shared" si="85"/>
        <v>1.0707964601769913</v>
      </c>
      <c r="L120" s="11">
        <f>84.508/2</f>
        <v>42.253999999999998</v>
      </c>
      <c r="M120" s="11">
        <v>21.94</v>
      </c>
      <c r="N120" s="11">
        <f t="shared" si="89"/>
        <v>42.253999999999998</v>
      </c>
      <c r="O120" s="11">
        <v>22.3</v>
      </c>
      <c r="P120" s="12">
        <f t="shared" si="90"/>
        <v>1.0164083865086599</v>
      </c>
      <c r="Q120" s="35">
        <f>1.408/2</f>
        <v>0.70399999999999996</v>
      </c>
      <c r="R120" s="35">
        <v>18.190000000000001</v>
      </c>
      <c r="S120" s="35">
        <f t="shared" si="91"/>
        <v>0.70399999999999996</v>
      </c>
      <c r="T120" s="35">
        <v>19.48</v>
      </c>
      <c r="U120" s="12">
        <f t="shared" si="92"/>
        <v>1.0709180868609127</v>
      </c>
    </row>
    <row r="121" spans="1:21">
      <c r="A121" s="2" t="s">
        <v>113</v>
      </c>
      <c r="B121" s="11">
        <f>275.76/2</f>
        <v>137.88</v>
      </c>
      <c r="C121" s="11">
        <v>25.48</v>
      </c>
      <c r="D121" s="11">
        <f t="shared" si="93"/>
        <v>137.88</v>
      </c>
      <c r="E121" s="11">
        <v>27.09</v>
      </c>
      <c r="F121" s="12">
        <f t="shared" si="87"/>
        <v>1.0631868131868132</v>
      </c>
      <c r="G121" s="11">
        <f>196.8/2</f>
        <v>98.4</v>
      </c>
      <c r="H121" s="11">
        <v>24</v>
      </c>
      <c r="I121" s="11">
        <f t="shared" si="88"/>
        <v>98.4</v>
      </c>
      <c r="J121" s="11">
        <v>26.04</v>
      </c>
      <c r="K121" s="12">
        <f t="shared" si="85"/>
        <v>1.085</v>
      </c>
      <c r="L121" s="11">
        <f>224.247/2</f>
        <v>112.12350000000001</v>
      </c>
      <c r="M121" s="11">
        <v>19.39</v>
      </c>
      <c r="N121" s="11">
        <f t="shared" si="89"/>
        <v>112.12350000000001</v>
      </c>
      <c r="O121" s="11">
        <v>20.12</v>
      </c>
      <c r="P121" s="12">
        <f t="shared" si="90"/>
        <v>1.037648272305312</v>
      </c>
      <c r="Q121" s="35">
        <f>217.103/2</f>
        <v>108.5515</v>
      </c>
      <c r="R121" s="35">
        <v>19.39</v>
      </c>
      <c r="S121" s="35">
        <f t="shared" si="91"/>
        <v>108.5515</v>
      </c>
      <c r="T121" s="35">
        <v>20.12</v>
      </c>
      <c r="U121" s="12">
        <f t="shared" si="92"/>
        <v>1.037648272305312</v>
      </c>
    </row>
    <row r="122" spans="1:21">
      <c r="A122" s="2" t="s">
        <v>114</v>
      </c>
      <c r="B122" s="11">
        <f>85.894/2</f>
        <v>42.947000000000003</v>
      </c>
      <c r="C122" s="11">
        <v>57.83</v>
      </c>
      <c r="D122" s="11">
        <f t="shared" si="93"/>
        <v>42.947000000000003</v>
      </c>
      <c r="E122" s="11">
        <v>61.93</v>
      </c>
      <c r="F122" s="12">
        <f t="shared" si="87"/>
        <v>1.0708974580667474</v>
      </c>
      <c r="G122" s="11">
        <f>78.809/2</f>
        <v>39.404499999999999</v>
      </c>
      <c r="H122" s="11">
        <v>35.4</v>
      </c>
      <c r="I122" s="11">
        <f t="shared" si="88"/>
        <v>39.404499999999999</v>
      </c>
      <c r="J122" s="11">
        <v>37.909999999999997</v>
      </c>
      <c r="K122" s="12">
        <f t="shared" si="85"/>
        <v>1.0709039548022599</v>
      </c>
      <c r="L122" s="11"/>
      <c r="M122" s="11"/>
      <c r="N122" s="11"/>
      <c r="O122" s="11"/>
      <c r="P122" s="12"/>
      <c r="Q122" s="35"/>
      <c r="R122" s="35"/>
      <c r="S122" s="35"/>
      <c r="T122" s="35"/>
      <c r="U122" s="12"/>
    </row>
    <row r="123" spans="1:21">
      <c r="A123" s="2" t="s">
        <v>114</v>
      </c>
      <c r="B123" s="11">
        <f>8.612/2</f>
        <v>4.306</v>
      </c>
      <c r="C123" s="11">
        <v>65.73</v>
      </c>
      <c r="D123" s="11">
        <f t="shared" si="93"/>
        <v>4.306</v>
      </c>
      <c r="E123" s="11">
        <v>70.41</v>
      </c>
      <c r="F123" s="12">
        <f t="shared" si="87"/>
        <v>1.0712003651300774</v>
      </c>
      <c r="G123" s="11">
        <f>8.572/2</f>
        <v>4.2859999999999996</v>
      </c>
      <c r="H123" s="11">
        <v>35.4</v>
      </c>
      <c r="I123" s="11">
        <f t="shared" si="88"/>
        <v>4.2859999999999996</v>
      </c>
      <c r="J123" s="11">
        <v>37.909999999999997</v>
      </c>
      <c r="K123" s="12">
        <f t="shared" si="85"/>
        <v>1.0709039548022599</v>
      </c>
      <c r="L123" s="11"/>
      <c r="M123" s="11"/>
      <c r="N123" s="11"/>
      <c r="O123" s="11"/>
      <c r="P123" s="12"/>
      <c r="Q123" s="35"/>
      <c r="R123" s="35"/>
      <c r="S123" s="35"/>
      <c r="T123" s="35"/>
      <c r="U123" s="12"/>
    </row>
    <row r="124" spans="1:21">
      <c r="A124" s="2" t="s">
        <v>118</v>
      </c>
      <c r="B124" s="11">
        <f>1.22/2</f>
        <v>0.61</v>
      </c>
      <c r="C124" s="11">
        <v>40.299999999999997</v>
      </c>
      <c r="D124" s="11">
        <f>B124</f>
        <v>0.61</v>
      </c>
      <c r="E124" s="11">
        <v>43.11</v>
      </c>
      <c r="F124" s="12">
        <f>(E124*D124)/(C124*B124)</f>
        <v>1.069727047146402</v>
      </c>
      <c r="G124" s="11"/>
      <c r="H124" s="11"/>
      <c r="I124" s="11"/>
      <c r="J124" s="11"/>
      <c r="K124" s="12"/>
      <c r="L124" s="11"/>
      <c r="M124" s="11"/>
      <c r="N124" s="11"/>
      <c r="O124" s="11"/>
      <c r="P124" s="12"/>
      <c r="Q124" s="35"/>
      <c r="R124" s="35"/>
      <c r="S124" s="35"/>
      <c r="T124" s="35"/>
      <c r="U124" s="33"/>
    </row>
    <row r="125" spans="1:21">
      <c r="A125" s="2" t="s">
        <v>119</v>
      </c>
      <c r="B125" s="11">
        <f>2.46/2</f>
        <v>1.23</v>
      </c>
      <c r="C125" s="11">
        <v>40.299999999999997</v>
      </c>
      <c r="D125" s="11">
        <f>B125</f>
        <v>1.23</v>
      </c>
      <c r="E125" s="11">
        <v>43.11</v>
      </c>
      <c r="F125" s="12">
        <f t="shared" ref="F125:F126" si="94">(E125*D125)/(C125*B125)</f>
        <v>1.0697270471464022</v>
      </c>
      <c r="G125" s="11">
        <f>1.11/2</f>
        <v>0.55500000000000005</v>
      </c>
      <c r="H125" s="11">
        <v>26.03</v>
      </c>
      <c r="I125" s="11">
        <f t="shared" ref="I125:I126" si="95">G125</f>
        <v>0.55500000000000005</v>
      </c>
      <c r="J125" s="11">
        <v>27.88</v>
      </c>
      <c r="K125" s="12">
        <f t="shared" ref="K125:K126" si="96">(J125*I125)/(H125*G125)</f>
        <v>1.0710718401844026</v>
      </c>
      <c r="L125" s="11"/>
      <c r="M125" s="11"/>
      <c r="N125" s="11"/>
      <c r="O125" s="11"/>
      <c r="P125" s="12"/>
      <c r="Q125" s="35"/>
      <c r="R125" s="35"/>
      <c r="S125" s="35"/>
      <c r="T125" s="35"/>
      <c r="U125" s="34"/>
    </row>
    <row r="126" spans="1:21">
      <c r="A126" s="2" t="s">
        <v>120</v>
      </c>
      <c r="B126" s="11">
        <f>50.39/2</f>
        <v>25.195</v>
      </c>
      <c r="C126" s="11">
        <v>69.78</v>
      </c>
      <c r="D126" s="11">
        <f t="shared" ref="D126" si="97">B126</f>
        <v>25.195</v>
      </c>
      <c r="E126" s="11">
        <v>74.45</v>
      </c>
      <c r="F126" s="12">
        <f t="shared" si="94"/>
        <v>1.0669246202350244</v>
      </c>
      <c r="G126" s="11">
        <f>7.71/2</f>
        <v>3.855</v>
      </c>
      <c r="H126" s="11">
        <v>26.03</v>
      </c>
      <c r="I126" s="11">
        <f t="shared" si="95"/>
        <v>3.855</v>
      </c>
      <c r="J126" s="11">
        <v>27.88</v>
      </c>
      <c r="K126" s="12">
        <f t="shared" si="96"/>
        <v>1.0710718401844024</v>
      </c>
      <c r="L126" s="11">
        <f>26.47/2</f>
        <v>13.234999999999999</v>
      </c>
      <c r="M126" s="11">
        <v>65.22</v>
      </c>
      <c r="N126" s="11">
        <f t="shared" ref="N126" si="98">L126</f>
        <v>13.234999999999999</v>
      </c>
      <c r="O126" s="11">
        <v>70.39</v>
      </c>
      <c r="P126" s="12">
        <f t="shared" ref="P126" si="99">(O126*N126)/(M126*L126)</f>
        <v>1.0792701625268322</v>
      </c>
      <c r="Q126" s="35">
        <f>7.71/2</f>
        <v>3.855</v>
      </c>
      <c r="R126" s="35">
        <v>25.48</v>
      </c>
      <c r="S126" s="35">
        <f t="shared" ref="S126" si="100">Q126</f>
        <v>3.855</v>
      </c>
      <c r="T126" s="35">
        <v>27.29</v>
      </c>
      <c r="U126" s="34">
        <f t="shared" ref="U126" si="101">T126/R126</f>
        <v>1.0710361067503924</v>
      </c>
    </row>
    <row r="127" spans="1:21">
      <c r="A127" s="2" t="s">
        <v>115</v>
      </c>
      <c r="B127" s="11">
        <f>21.081/2</f>
        <v>10.5405</v>
      </c>
      <c r="C127" s="11">
        <v>37.26</v>
      </c>
      <c r="D127" s="11">
        <f t="shared" si="93"/>
        <v>10.5405</v>
      </c>
      <c r="E127" s="11">
        <v>40.299999999999997</v>
      </c>
      <c r="F127" s="12">
        <f t="shared" si="87"/>
        <v>1.0815888352120235</v>
      </c>
      <c r="G127" s="11">
        <f>20.271/2</f>
        <v>10.1355</v>
      </c>
      <c r="H127" s="11">
        <v>23</v>
      </c>
      <c r="I127" s="11">
        <f t="shared" si="88"/>
        <v>10.1355</v>
      </c>
      <c r="J127" s="11">
        <v>24.96</v>
      </c>
      <c r="K127" s="12">
        <f t="shared" si="85"/>
        <v>1.0852173913043479</v>
      </c>
      <c r="L127" s="11">
        <f>22.13/2</f>
        <v>11.065</v>
      </c>
      <c r="M127" s="11">
        <v>61.79</v>
      </c>
      <c r="N127" s="11">
        <f>L127</f>
        <v>11.065</v>
      </c>
      <c r="O127" s="11">
        <v>66.930000000000007</v>
      </c>
      <c r="P127" s="12">
        <f t="shared" si="90"/>
        <v>1.0831849813885743</v>
      </c>
      <c r="Q127" s="35">
        <f>21.32/2</f>
        <v>10.66</v>
      </c>
      <c r="R127" s="35">
        <v>25.69</v>
      </c>
      <c r="S127" s="35">
        <f>Q127</f>
        <v>10.66</v>
      </c>
      <c r="T127" s="35">
        <v>28</v>
      </c>
      <c r="U127" s="12">
        <f t="shared" si="92"/>
        <v>1.0899182561307901</v>
      </c>
    </row>
    <row r="128" spans="1:21">
      <c r="A128" s="2" t="s">
        <v>116</v>
      </c>
      <c r="B128" s="11">
        <f>15.972/2</f>
        <v>7.9859999999999998</v>
      </c>
      <c r="C128" s="11">
        <v>54.14</v>
      </c>
      <c r="D128" s="11">
        <f t="shared" si="93"/>
        <v>7.9859999999999998</v>
      </c>
      <c r="E128" s="11">
        <v>58.29</v>
      </c>
      <c r="F128" s="12">
        <f t="shared" si="87"/>
        <v>1.0766531215367565</v>
      </c>
      <c r="G128" s="11">
        <f>13.797/2</f>
        <v>6.8985000000000003</v>
      </c>
      <c r="H128" s="11">
        <v>23</v>
      </c>
      <c r="I128" s="11">
        <f t="shared" si="88"/>
        <v>6.8985000000000003</v>
      </c>
      <c r="J128" s="11">
        <v>24.96</v>
      </c>
      <c r="K128" s="12">
        <f t="shared" si="85"/>
        <v>1.0852173913043479</v>
      </c>
      <c r="L128" s="11">
        <f>13.438/2</f>
        <v>6.7190000000000003</v>
      </c>
      <c r="M128" s="11">
        <v>63.82</v>
      </c>
      <c r="N128" s="11">
        <f t="shared" si="89"/>
        <v>6.7190000000000003</v>
      </c>
      <c r="O128" s="11">
        <v>68.84</v>
      </c>
      <c r="P128" s="12">
        <f t="shared" si="90"/>
        <v>1.0786587276715764</v>
      </c>
      <c r="Q128" s="35">
        <f>12.436/2</f>
        <v>6.218</v>
      </c>
      <c r="R128" s="35">
        <v>25.69</v>
      </c>
      <c r="S128" s="35">
        <f t="shared" si="91"/>
        <v>6.218</v>
      </c>
      <c r="T128" s="35">
        <v>28</v>
      </c>
      <c r="U128" s="12">
        <f t="shared" si="92"/>
        <v>1.0899182561307901</v>
      </c>
    </row>
    <row r="129" spans="1:21">
      <c r="A129" s="2" t="s">
        <v>116</v>
      </c>
      <c r="B129" s="11">
        <f>23.972/2</f>
        <v>11.986000000000001</v>
      </c>
      <c r="C129" s="11">
        <v>75.59</v>
      </c>
      <c r="D129" s="11">
        <f>B129</f>
        <v>11.986000000000001</v>
      </c>
      <c r="E129" s="11">
        <v>81.150000000000006</v>
      </c>
      <c r="F129" s="12">
        <f>(E129*D129)/(C129*B129)</f>
        <v>1.0735547030030428</v>
      </c>
      <c r="G129" s="11">
        <f>19.86/2</f>
        <v>9.93</v>
      </c>
      <c r="H129" s="11">
        <v>30.72</v>
      </c>
      <c r="I129" s="11">
        <f>G129</f>
        <v>9.93</v>
      </c>
      <c r="J129" s="11">
        <v>33.33</v>
      </c>
      <c r="K129" s="12">
        <f t="shared" si="85"/>
        <v>1.0849609374999998</v>
      </c>
      <c r="L129" s="11">
        <f>21.068/2</f>
        <v>10.534000000000001</v>
      </c>
      <c r="M129" s="11">
        <v>73.180000000000007</v>
      </c>
      <c r="N129" s="11">
        <f t="shared" si="89"/>
        <v>10.534000000000001</v>
      </c>
      <c r="O129" s="11">
        <v>78.63</v>
      </c>
      <c r="P129" s="12">
        <f t="shared" si="90"/>
        <v>1.07447389997267</v>
      </c>
      <c r="Q129" s="35">
        <f>18.354/2</f>
        <v>9.1769999999999996</v>
      </c>
      <c r="R129" s="35">
        <v>29.99</v>
      </c>
      <c r="S129" s="35">
        <f t="shared" si="91"/>
        <v>9.1769999999999996</v>
      </c>
      <c r="T129" s="35">
        <v>32.700000000000003</v>
      </c>
      <c r="U129" s="12">
        <f t="shared" si="92"/>
        <v>1.0903634544848284</v>
      </c>
    </row>
    <row r="130" spans="1:21">
      <c r="A130" s="2" t="s">
        <v>116</v>
      </c>
      <c r="B130" s="11">
        <f>21.407/2</f>
        <v>10.7035</v>
      </c>
      <c r="C130" s="11">
        <v>173.01</v>
      </c>
      <c r="D130" s="11">
        <f>B130</f>
        <v>10.7035</v>
      </c>
      <c r="E130" s="11">
        <v>191.67</v>
      </c>
      <c r="F130" s="12">
        <f>(E130*D130)/(C130*B130)</f>
        <v>1.107855037281082</v>
      </c>
      <c r="G130" s="21">
        <f>19.583/2</f>
        <v>9.7914999999999992</v>
      </c>
      <c r="H130" s="21">
        <v>23</v>
      </c>
      <c r="I130" s="11">
        <f>G130</f>
        <v>9.7914999999999992</v>
      </c>
      <c r="J130" s="41">
        <v>24.96</v>
      </c>
      <c r="K130" s="12">
        <f t="shared" si="85"/>
        <v>1.0852173913043479</v>
      </c>
      <c r="L130" s="11">
        <f>19.482/2</f>
        <v>9.7409999999999997</v>
      </c>
      <c r="M130" s="11">
        <v>144.81</v>
      </c>
      <c r="N130" s="11">
        <f>L130</f>
        <v>9.7409999999999997</v>
      </c>
      <c r="O130" s="11">
        <v>185.22</v>
      </c>
      <c r="P130" s="12">
        <f>(O130*N130)/(M130*L130)</f>
        <v>1.2790553138595402</v>
      </c>
      <c r="Q130" s="35">
        <f>18.937/2</f>
        <v>9.4685000000000006</v>
      </c>
      <c r="R130" s="35">
        <v>22.01</v>
      </c>
      <c r="S130" s="35">
        <f t="shared" si="91"/>
        <v>9.4685000000000006</v>
      </c>
      <c r="T130" s="35">
        <v>23</v>
      </c>
      <c r="U130" s="12">
        <f t="shared" si="92"/>
        <v>1.044979554747842</v>
      </c>
    </row>
    <row r="131" spans="1:21" ht="30">
      <c r="A131" s="23" t="s">
        <v>122</v>
      </c>
      <c r="B131" s="13"/>
      <c r="C131" s="13"/>
      <c r="D131" s="13"/>
      <c r="E131" s="13"/>
      <c r="F131" s="14"/>
      <c r="G131" s="28"/>
      <c r="H131" s="28"/>
      <c r="I131" s="28"/>
      <c r="J131" s="28"/>
      <c r="K131" s="14"/>
      <c r="L131" s="13">
        <f>7.28/2</f>
        <v>3.64</v>
      </c>
      <c r="M131" s="13">
        <v>69.150000000000006</v>
      </c>
      <c r="N131" s="13">
        <f>L131</f>
        <v>3.64</v>
      </c>
      <c r="O131" s="13">
        <v>73.11</v>
      </c>
      <c r="P131" s="14">
        <f>(O131*N131)/(M131*L131)</f>
        <v>1.0572668112798265</v>
      </c>
      <c r="Q131" s="13">
        <f>7.28/2</f>
        <v>3.64</v>
      </c>
      <c r="R131" s="13">
        <v>40</v>
      </c>
      <c r="S131" s="13">
        <f>Q131</f>
        <v>3.64</v>
      </c>
      <c r="T131" s="28">
        <v>42.84</v>
      </c>
      <c r="U131" s="14">
        <f>(T131*S131)/(R131*Q131)</f>
        <v>1.0710000000000002</v>
      </c>
    </row>
    <row r="132" spans="1:21" ht="30">
      <c r="A132" s="23" t="s">
        <v>123</v>
      </c>
      <c r="B132" s="13">
        <f>39.5/2</f>
        <v>19.75</v>
      </c>
      <c r="C132" s="13">
        <v>38.21</v>
      </c>
      <c r="D132" s="13">
        <f>B132</f>
        <v>19.75</v>
      </c>
      <c r="E132" s="13">
        <v>40.229999999999997</v>
      </c>
      <c r="F132" s="14">
        <f t="shared" ref="F132:F134" si="102">(E132*D132)/(C132*B132)</f>
        <v>1.0528657419523684</v>
      </c>
      <c r="G132" s="13">
        <v>12.67</v>
      </c>
      <c r="H132" s="13">
        <v>15</v>
      </c>
      <c r="I132" s="13">
        <f t="shared" ref="I132:I140" si="103">G132</f>
        <v>12.67</v>
      </c>
      <c r="J132" s="22">
        <v>16.07</v>
      </c>
      <c r="K132" s="14">
        <f t="shared" ref="K132:K134" si="104">(J132*I132)/(H132*G132)</f>
        <v>1.0713333333333332</v>
      </c>
      <c r="L132" s="13">
        <f>12.8/2</f>
        <v>6.4</v>
      </c>
      <c r="M132" s="13">
        <v>60.05</v>
      </c>
      <c r="N132" s="13">
        <f>L132</f>
        <v>6.4</v>
      </c>
      <c r="O132" s="13">
        <v>62.45</v>
      </c>
      <c r="P132" s="14">
        <f>(O132*N132)/(M132*L132)</f>
        <v>1.0399666944213157</v>
      </c>
      <c r="Q132" s="13">
        <f>12.8/2</f>
        <v>6.4</v>
      </c>
      <c r="R132" s="13">
        <v>60.05</v>
      </c>
      <c r="S132" s="13">
        <f>Q132</f>
        <v>6.4</v>
      </c>
      <c r="T132" s="28">
        <v>62.45</v>
      </c>
      <c r="U132" s="14">
        <f>(T132*S132)/(R132*Q132)</f>
        <v>1.0399666944213157</v>
      </c>
    </row>
    <row r="133" spans="1:21">
      <c r="A133" s="3" t="s">
        <v>124</v>
      </c>
      <c r="B133" s="13">
        <f>14/2</f>
        <v>7</v>
      </c>
      <c r="C133" s="13">
        <v>32.549999999999997</v>
      </c>
      <c r="D133" s="13">
        <f>B133</f>
        <v>7</v>
      </c>
      <c r="E133" s="13">
        <v>32.99</v>
      </c>
      <c r="F133" s="14">
        <f t="shared" si="102"/>
        <v>1.0135176651305686</v>
      </c>
      <c r="G133" s="13">
        <v>0.25</v>
      </c>
      <c r="H133" s="13">
        <v>20</v>
      </c>
      <c r="I133" s="13">
        <f t="shared" si="103"/>
        <v>0.25</v>
      </c>
      <c r="J133" s="22">
        <v>21.42</v>
      </c>
      <c r="K133" s="14">
        <f t="shared" si="104"/>
        <v>1.0710000000000002</v>
      </c>
      <c r="L133" s="13"/>
      <c r="M133" s="13"/>
      <c r="N133" s="13"/>
      <c r="O133" s="13"/>
      <c r="P133" s="14"/>
      <c r="Q133" s="28"/>
      <c r="R133" s="28"/>
      <c r="S133" s="28"/>
      <c r="T133" s="28"/>
      <c r="U133" s="14"/>
    </row>
    <row r="134" spans="1:21">
      <c r="A134" s="3" t="s">
        <v>125</v>
      </c>
      <c r="B134" s="37">
        <f>19.241/2</f>
        <v>9.6204999999999998</v>
      </c>
      <c r="C134" s="37">
        <v>39.42</v>
      </c>
      <c r="D134" s="37">
        <f>19.241/2</f>
        <v>9.6204999999999998</v>
      </c>
      <c r="E134" s="28">
        <v>43.09</v>
      </c>
      <c r="F134" s="14">
        <f t="shared" si="102"/>
        <v>1.0930999492643327</v>
      </c>
      <c r="G134" s="37">
        <v>5.9390000000000001</v>
      </c>
      <c r="H134" s="37">
        <v>20</v>
      </c>
      <c r="I134" s="13">
        <f t="shared" si="103"/>
        <v>5.9390000000000001</v>
      </c>
      <c r="J134" s="37">
        <v>21.42</v>
      </c>
      <c r="K134" s="14">
        <f t="shared" si="104"/>
        <v>1.0710000000000002</v>
      </c>
      <c r="L134" s="28"/>
      <c r="M134" s="28"/>
      <c r="N134" s="28"/>
      <c r="O134" s="28"/>
      <c r="P134" s="14"/>
      <c r="Q134" s="28"/>
      <c r="R134" s="28"/>
      <c r="S134" s="28"/>
      <c r="T134" s="28"/>
      <c r="U134" s="14"/>
    </row>
    <row r="135" spans="1:21" ht="30">
      <c r="A135" s="7" t="s">
        <v>127</v>
      </c>
      <c r="B135" s="13">
        <f>11.18/2</f>
        <v>5.59</v>
      </c>
      <c r="C135" s="13">
        <v>33.020000000000003</v>
      </c>
      <c r="D135" s="13">
        <f t="shared" ref="D135:D140" si="105">B135</f>
        <v>5.59</v>
      </c>
      <c r="E135" s="13">
        <v>34.04</v>
      </c>
      <c r="F135" s="14">
        <f t="shared" ref="F135:F140" si="106">(E135*D135)/(C135*B135)</f>
        <v>1.0308903694730465</v>
      </c>
      <c r="G135" s="13">
        <v>3.9</v>
      </c>
      <c r="H135" s="13">
        <v>33.020000000000003</v>
      </c>
      <c r="I135" s="13">
        <f t="shared" si="103"/>
        <v>3.9</v>
      </c>
      <c r="J135" s="22">
        <v>34.04</v>
      </c>
      <c r="K135" s="14">
        <f>(J135*I135)/(H135*G135)</f>
        <v>1.0308903694730465</v>
      </c>
      <c r="L135" s="13">
        <f>6.54/2</f>
        <v>3.27</v>
      </c>
      <c r="M135" s="13">
        <v>78.03</v>
      </c>
      <c r="N135" s="13">
        <f>L135</f>
        <v>3.27</v>
      </c>
      <c r="O135" s="13">
        <v>81.98</v>
      </c>
      <c r="P135" s="14">
        <f>(O135*N135)/(M135*L135)</f>
        <v>1.0506215558118672</v>
      </c>
      <c r="Q135" s="13">
        <v>3.1</v>
      </c>
      <c r="R135" s="13">
        <v>57.08</v>
      </c>
      <c r="S135" s="13">
        <f>Q135</f>
        <v>3.1</v>
      </c>
      <c r="T135" s="28">
        <v>61.93</v>
      </c>
      <c r="U135" s="14">
        <f>(T135*S135)/(R135*Q135)</f>
        <v>1.084968465311843</v>
      </c>
    </row>
    <row r="136" spans="1:21">
      <c r="A136" s="7" t="s">
        <v>128</v>
      </c>
      <c r="B136" s="13">
        <f>35.646/2</f>
        <v>17.823</v>
      </c>
      <c r="C136" s="13">
        <v>30.78</v>
      </c>
      <c r="D136" s="13">
        <f t="shared" si="105"/>
        <v>17.823</v>
      </c>
      <c r="E136" s="13">
        <v>32.83</v>
      </c>
      <c r="F136" s="14">
        <f t="shared" si="106"/>
        <v>1.0666016894087069</v>
      </c>
      <c r="G136" s="13">
        <v>7.22</v>
      </c>
      <c r="H136" s="13">
        <v>30.78</v>
      </c>
      <c r="I136" s="13">
        <f t="shared" si="103"/>
        <v>7.22</v>
      </c>
      <c r="J136" s="22">
        <v>32.83</v>
      </c>
      <c r="K136" s="14">
        <f>(J136*I136)/(H136*G136)</f>
        <v>1.0666016894087067</v>
      </c>
      <c r="L136" s="13">
        <f>10.78/2</f>
        <v>5.39</v>
      </c>
      <c r="M136" s="13">
        <v>52.31</v>
      </c>
      <c r="N136" s="13">
        <f>L136</f>
        <v>5.39</v>
      </c>
      <c r="O136" s="13">
        <v>55.77</v>
      </c>
      <c r="P136" s="14">
        <f>(O136*N136)/(M136*L136)</f>
        <v>1.066144140699675</v>
      </c>
      <c r="Q136" s="13">
        <v>4.2300000000000004</v>
      </c>
      <c r="R136" s="13">
        <v>52.31</v>
      </c>
      <c r="S136" s="13">
        <f>Q136</f>
        <v>4.2300000000000004</v>
      </c>
      <c r="T136" s="28">
        <v>55.77</v>
      </c>
      <c r="U136" s="14">
        <f>(T136*S136)/(R136*Q136)</f>
        <v>1.066144140699675</v>
      </c>
    </row>
    <row r="137" spans="1:21" ht="30">
      <c r="A137" s="7" t="s">
        <v>129</v>
      </c>
      <c r="B137" s="13">
        <f>(59.46)/2</f>
        <v>29.73</v>
      </c>
      <c r="C137" s="13">
        <v>42.48</v>
      </c>
      <c r="D137" s="13">
        <f t="shared" si="105"/>
        <v>29.73</v>
      </c>
      <c r="E137" s="13">
        <v>44.87</v>
      </c>
      <c r="F137" s="14">
        <f t="shared" si="106"/>
        <v>1.0562617702448209</v>
      </c>
      <c r="G137" s="13">
        <v>22.53</v>
      </c>
      <c r="H137" s="13">
        <v>42.48</v>
      </c>
      <c r="I137" s="13">
        <f t="shared" si="103"/>
        <v>22.53</v>
      </c>
      <c r="J137" s="22">
        <v>44.87</v>
      </c>
      <c r="K137" s="14">
        <f>(J137*I137)/(H137*G137)</f>
        <v>1.0562617702448212</v>
      </c>
      <c r="L137" s="13">
        <f>122.041/2</f>
        <v>61.020499999999998</v>
      </c>
      <c r="M137" s="13">
        <v>27.85</v>
      </c>
      <c r="N137" s="13">
        <f>L137</f>
        <v>61.020499999999998</v>
      </c>
      <c r="O137" s="13">
        <v>29.86</v>
      </c>
      <c r="P137" s="14">
        <f>(O137*N137)/(M137*L137)</f>
        <v>1.0721723518850987</v>
      </c>
      <c r="Q137" s="28">
        <v>54.57</v>
      </c>
      <c r="R137" s="28">
        <v>27.85</v>
      </c>
      <c r="S137" s="28">
        <f>Q137</f>
        <v>54.57</v>
      </c>
      <c r="T137" s="28">
        <v>29.86</v>
      </c>
      <c r="U137" s="14">
        <f>(T137*S137)/(R137*Q137)</f>
        <v>1.0721723518850987</v>
      </c>
    </row>
    <row r="138" spans="1:21" ht="30">
      <c r="A138" s="7" t="s">
        <v>130</v>
      </c>
      <c r="B138" s="13">
        <f>91.933/2</f>
        <v>45.966500000000003</v>
      </c>
      <c r="C138" s="13">
        <v>44.41</v>
      </c>
      <c r="D138" s="13">
        <f t="shared" si="105"/>
        <v>45.966500000000003</v>
      </c>
      <c r="E138" s="13">
        <v>46.07</v>
      </c>
      <c r="F138" s="14">
        <f t="shared" si="106"/>
        <v>1.0373789687007431</v>
      </c>
      <c r="G138" s="13">
        <v>37.76</v>
      </c>
      <c r="H138" s="13">
        <v>44.41</v>
      </c>
      <c r="I138" s="13">
        <f t="shared" si="103"/>
        <v>37.76</v>
      </c>
      <c r="J138" s="22">
        <v>46.07</v>
      </c>
      <c r="K138" s="14">
        <f>(J138*I138)/(H138*G138)</f>
        <v>1.0373789687007433</v>
      </c>
      <c r="L138" s="13"/>
      <c r="M138" s="13"/>
      <c r="N138" s="13"/>
      <c r="O138" s="13"/>
      <c r="P138" s="14"/>
      <c r="Q138" s="28"/>
      <c r="R138" s="28"/>
      <c r="S138" s="28"/>
      <c r="T138" s="28"/>
      <c r="U138" s="14"/>
    </row>
    <row r="139" spans="1:21">
      <c r="A139" s="8" t="s">
        <v>131</v>
      </c>
      <c r="B139" s="13">
        <f>10/2</f>
        <v>5</v>
      </c>
      <c r="C139" s="13">
        <v>27.22</v>
      </c>
      <c r="D139" s="13">
        <f t="shared" si="105"/>
        <v>5</v>
      </c>
      <c r="E139" s="13">
        <v>29</v>
      </c>
      <c r="F139" s="14">
        <f t="shared" si="106"/>
        <v>1.0653930933137399</v>
      </c>
      <c r="G139" s="22">
        <v>3.5</v>
      </c>
      <c r="H139" s="22">
        <v>27.22</v>
      </c>
      <c r="I139" s="22">
        <f t="shared" si="103"/>
        <v>3.5</v>
      </c>
      <c r="J139" s="22">
        <v>29</v>
      </c>
      <c r="K139" s="14">
        <f>(J139*I139)/(H139*G139)</f>
        <v>1.0653930933137399</v>
      </c>
      <c r="L139" s="13">
        <f>8.5/2</f>
        <v>4.25</v>
      </c>
      <c r="M139" s="13">
        <v>48.98</v>
      </c>
      <c r="N139" s="13">
        <f>L139</f>
        <v>4.25</v>
      </c>
      <c r="O139" s="13">
        <v>48.98</v>
      </c>
      <c r="P139" s="14">
        <f>(O139*N139)/(M139*L139)</f>
        <v>1</v>
      </c>
      <c r="Q139" s="28">
        <v>2.75</v>
      </c>
      <c r="R139" s="28">
        <v>48.98</v>
      </c>
      <c r="S139" s="28">
        <f>Q139</f>
        <v>2.75</v>
      </c>
      <c r="T139" s="28">
        <v>48.98</v>
      </c>
      <c r="U139" s="14">
        <f>(T139*S139)/(R139*Q139)</f>
        <v>1</v>
      </c>
    </row>
    <row r="140" spans="1:21" ht="45">
      <c r="A140" s="7" t="s">
        <v>133</v>
      </c>
      <c r="B140" s="13">
        <f>217.298/2</f>
        <v>108.649</v>
      </c>
      <c r="C140" s="13">
        <v>43.02</v>
      </c>
      <c r="D140" s="13">
        <f t="shared" si="105"/>
        <v>108.649</v>
      </c>
      <c r="E140" s="13">
        <v>43.46</v>
      </c>
      <c r="F140" s="14">
        <f t="shared" si="106"/>
        <v>1.0102278010227801</v>
      </c>
      <c r="G140" s="13">
        <v>30.9</v>
      </c>
      <c r="H140" s="13">
        <v>43.02</v>
      </c>
      <c r="I140" s="13">
        <f t="shared" si="103"/>
        <v>30.9</v>
      </c>
      <c r="J140" s="22">
        <v>43.46</v>
      </c>
      <c r="K140" s="14">
        <f t="shared" ref="K140:K149" si="107">(J140*I140)/(H140*G140)</f>
        <v>1.0102278010227801</v>
      </c>
      <c r="L140" s="13">
        <f>122.645/2</f>
        <v>61.322499999999998</v>
      </c>
      <c r="M140" s="13">
        <v>68.87</v>
      </c>
      <c r="N140" s="13">
        <f>L140</f>
        <v>61.322499999999998</v>
      </c>
      <c r="O140" s="13">
        <v>71.14</v>
      </c>
      <c r="P140" s="14">
        <f>(O140*N140)/(M140*L140)</f>
        <v>1.0329606505009439</v>
      </c>
      <c r="Q140" s="13">
        <v>29.31</v>
      </c>
      <c r="R140" s="13">
        <v>68.87</v>
      </c>
      <c r="S140" s="13">
        <f>Q140</f>
        <v>29.31</v>
      </c>
      <c r="T140" s="28">
        <v>71.14</v>
      </c>
      <c r="U140" s="14">
        <f>(T140*S140)/(R140*Q140)</f>
        <v>1.0329606505009437</v>
      </c>
    </row>
    <row r="141" spans="1:21" ht="45">
      <c r="A141" s="7" t="s">
        <v>134</v>
      </c>
      <c r="B141" s="13">
        <v>0</v>
      </c>
      <c r="C141" s="13">
        <v>0</v>
      </c>
      <c r="D141" s="13">
        <v>0</v>
      </c>
      <c r="E141" s="13">
        <v>0</v>
      </c>
      <c r="F141" s="44">
        <v>0</v>
      </c>
      <c r="G141" s="22">
        <v>0</v>
      </c>
      <c r="H141" s="22">
        <v>0</v>
      </c>
      <c r="I141" s="22">
        <v>0</v>
      </c>
      <c r="J141" s="22">
        <v>0</v>
      </c>
      <c r="K141" s="44">
        <v>0</v>
      </c>
      <c r="L141" s="13">
        <f>10.165/2</f>
        <v>5.0824999999999996</v>
      </c>
      <c r="M141" s="13">
        <v>51.78</v>
      </c>
      <c r="N141" s="13">
        <f>L141</f>
        <v>5.0824999999999996</v>
      </c>
      <c r="O141" s="13">
        <v>51.78</v>
      </c>
      <c r="P141" s="14">
        <f>(O141*N141)/(M141*L141)</f>
        <v>1</v>
      </c>
      <c r="Q141" s="37">
        <v>0</v>
      </c>
      <c r="R141" s="37">
        <v>0</v>
      </c>
      <c r="S141" s="37">
        <v>0</v>
      </c>
      <c r="T141" s="37">
        <v>0</v>
      </c>
      <c r="U141" s="44">
        <v>0</v>
      </c>
    </row>
    <row r="142" spans="1:21" ht="45">
      <c r="A142" s="7" t="s">
        <v>135</v>
      </c>
      <c r="B142" s="13">
        <f>25.234/2</f>
        <v>12.617000000000001</v>
      </c>
      <c r="C142" s="13">
        <v>116.64</v>
      </c>
      <c r="D142" s="13">
        <f>B142</f>
        <v>12.617000000000001</v>
      </c>
      <c r="E142" s="13">
        <v>117.23</v>
      </c>
      <c r="F142" s="14">
        <f>(E142*D142)/(C142*B142)</f>
        <v>1.0050582990397805</v>
      </c>
      <c r="G142" s="13">
        <v>9.8800000000000008</v>
      </c>
      <c r="H142" s="13">
        <v>70.739999999999995</v>
      </c>
      <c r="I142" s="13">
        <f>G142</f>
        <v>9.8800000000000008</v>
      </c>
      <c r="J142" s="22">
        <v>75.760000000000005</v>
      </c>
      <c r="K142" s="14">
        <f t="shared" si="107"/>
        <v>1.0709640938648572</v>
      </c>
      <c r="L142" s="13">
        <f>20.976/2</f>
        <v>10.488</v>
      </c>
      <c r="M142" s="13">
        <v>101</v>
      </c>
      <c r="N142" s="13">
        <f>L142</f>
        <v>10.488</v>
      </c>
      <c r="O142" s="13">
        <v>103.89</v>
      </c>
      <c r="P142" s="14">
        <f>(O142*N142)/(M142*L142)</f>
        <v>1.0286138613861386</v>
      </c>
      <c r="Q142" s="28">
        <v>9.6105</v>
      </c>
      <c r="R142" s="28">
        <v>84.08</v>
      </c>
      <c r="S142" s="28">
        <f>Q142</f>
        <v>9.6105</v>
      </c>
      <c r="T142" s="28">
        <v>90.05</v>
      </c>
      <c r="U142" s="14">
        <f t="shared" ref="U142" si="108">(T142*S142)/(R142*Q142)</f>
        <v>1.0710038058991436</v>
      </c>
    </row>
    <row r="143" spans="1:21">
      <c r="A143" s="2" t="s">
        <v>141</v>
      </c>
      <c r="B143" s="13">
        <f>3.13/2</f>
        <v>1.5649999999999999</v>
      </c>
      <c r="C143" s="13">
        <v>291.20999999999998</v>
      </c>
      <c r="D143" s="13">
        <f>B143</f>
        <v>1.5649999999999999</v>
      </c>
      <c r="E143" s="13">
        <v>301.67</v>
      </c>
      <c r="F143" s="14">
        <f>(E143*D143)/(C143*B143)</f>
        <v>1.0359190961848839</v>
      </c>
      <c r="G143" s="13"/>
      <c r="H143" s="13"/>
      <c r="I143" s="13"/>
      <c r="J143" s="13"/>
      <c r="K143" s="14"/>
      <c r="L143" s="13"/>
      <c r="M143" s="13"/>
      <c r="N143" s="13"/>
      <c r="O143" s="13"/>
      <c r="P143" s="14"/>
      <c r="Q143" s="28"/>
      <c r="R143" s="28"/>
      <c r="S143" s="28"/>
      <c r="T143" s="28"/>
      <c r="U143" s="32"/>
    </row>
    <row r="144" spans="1:21">
      <c r="A144" s="2" t="s">
        <v>142</v>
      </c>
      <c r="B144" s="13">
        <f>136.93/2</f>
        <v>68.465000000000003</v>
      </c>
      <c r="C144" s="13">
        <v>33.83</v>
      </c>
      <c r="D144" s="13">
        <f>B144</f>
        <v>68.465000000000003</v>
      </c>
      <c r="E144" s="13">
        <v>36.35</v>
      </c>
      <c r="F144" s="14">
        <f t="shared" ref="F144:F149" si="109">(E144*D144)/(C144*B144)</f>
        <v>1.0744900975465563</v>
      </c>
      <c r="G144" s="13">
        <f>66.76/2</f>
        <v>33.380000000000003</v>
      </c>
      <c r="H144" s="13">
        <v>19.420000000000002</v>
      </c>
      <c r="I144" s="13">
        <f>G144</f>
        <v>33.380000000000003</v>
      </c>
      <c r="J144" s="13">
        <v>20.8</v>
      </c>
      <c r="K144" s="14">
        <f t="shared" ref="K144" si="110">(J144*I144)/(H144*G144)</f>
        <v>1.0710607621009269</v>
      </c>
      <c r="L144" s="13">
        <f>109.73/2</f>
        <v>54.865000000000002</v>
      </c>
      <c r="M144" s="13">
        <v>30.5</v>
      </c>
      <c r="N144" s="13">
        <f>L144</f>
        <v>54.865000000000002</v>
      </c>
      <c r="O144" s="13">
        <v>32.479999999999997</v>
      </c>
      <c r="P144" s="14">
        <f t="shared" ref="P144" si="111">(O144*N144)/(M144*L144)</f>
        <v>1.064918032786885</v>
      </c>
      <c r="Q144" s="28">
        <f>66.9/2</f>
        <v>33.450000000000003</v>
      </c>
      <c r="R144" s="28">
        <v>21.27</v>
      </c>
      <c r="S144" s="28">
        <f>Q144</f>
        <v>33.450000000000003</v>
      </c>
      <c r="T144" s="28">
        <v>22.78</v>
      </c>
      <c r="U144" s="14">
        <f t="shared" ref="U144" si="112">T144/R144</f>
        <v>1.070992007522332</v>
      </c>
    </row>
    <row r="145" spans="1:21">
      <c r="A145" s="8" t="s">
        <v>136</v>
      </c>
      <c r="B145" s="13">
        <f>7.807/2</f>
        <v>3.9035000000000002</v>
      </c>
      <c r="C145" s="13">
        <v>118.97</v>
      </c>
      <c r="D145" s="13">
        <f t="shared" ref="D145:D149" si="113">B145</f>
        <v>3.9035000000000002</v>
      </c>
      <c r="E145" s="13">
        <v>118.97</v>
      </c>
      <c r="F145" s="14">
        <f t="shared" si="109"/>
        <v>1</v>
      </c>
      <c r="G145" s="22">
        <v>2.06</v>
      </c>
      <c r="H145" s="13">
        <v>74.45</v>
      </c>
      <c r="I145" s="22">
        <f>G145</f>
        <v>2.06</v>
      </c>
      <c r="J145" s="13">
        <v>80.78</v>
      </c>
      <c r="K145" s="14">
        <f t="shared" si="107"/>
        <v>1.0850235057085291</v>
      </c>
      <c r="L145" s="13">
        <v>0</v>
      </c>
      <c r="M145" s="13">
        <v>0</v>
      </c>
      <c r="N145" s="13">
        <v>0</v>
      </c>
      <c r="O145" s="13">
        <v>0</v>
      </c>
      <c r="P145" s="14"/>
      <c r="Q145" s="13">
        <f>L145</f>
        <v>0</v>
      </c>
      <c r="R145" s="28">
        <v>0</v>
      </c>
      <c r="S145" s="13">
        <f>Q145</f>
        <v>0</v>
      </c>
      <c r="T145" s="28">
        <v>0</v>
      </c>
      <c r="U145" s="14"/>
    </row>
    <row r="146" spans="1:21">
      <c r="A146" s="8" t="s">
        <v>137</v>
      </c>
      <c r="B146" s="13">
        <f>79.676/2</f>
        <v>39.838000000000001</v>
      </c>
      <c r="C146" s="13">
        <v>84.6</v>
      </c>
      <c r="D146" s="13">
        <f t="shared" si="113"/>
        <v>39.838000000000001</v>
      </c>
      <c r="E146" s="13">
        <v>87.97</v>
      </c>
      <c r="F146" s="14">
        <f t="shared" si="109"/>
        <v>1.0398345153664303</v>
      </c>
      <c r="G146" s="13">
        <v>21.58</v>
      </c>
      <c r="H146" s="13">
        <v>84.6</v>
      </c>
      <c r="I146" s="13">
        <f t="shared" ref="I146" si="114">G146</f>
        <v>21.58</v>
      </c>
      <c r="J146" s="22">
        <v>87.97</v>
      </c>
      <c r="K146" s="14">
        <f t="shared" si="107"/>
        <v>1.0398345153664303</v>
      </c>
      <c r="L146" s="13">
        <f>52.429/2</f>
        <v>26.214500000000001</v>
      </c>
      <c r="M146" s="13">
        <v>88.27</v>
      </c>
      <c r="N146" s="13">
        <f>L146</f>
        <v>26.214500000000001</v>
      </c>
      <c r="O146" s="13">
        <v>89.16</v>
      </c>
      <c r="P146" s="14">
        <f t="shared" ref="P146" si="115">(O146*N146)/(M146*L146)</f>
        <v>1.0100827008043503</v>
      </c>
      <c r="Q146" s="13">
        <v>0.2</v>
      </c>
      <c r="R146" s="13">
        <v>88.27</v>
      </c>
      <c r="S146" s="13">
        <f>Q146</f>
        <v>0.2</v>
      </c>
      <c r="T146" s="28">
        <v>89.16</v>
      </c>
      <c r="U146" s="14">
        <f t="shared" ref="U146" si="116">(T146*S146)/(R146*Q146)</f>
        <v>1.0100827008043503</v>
      </c>
    </row>
    <row r="147" spans="1:21">
      <c r="A147" s="8" t="s">
        <v>138</v>
      </c>
      <c r="B147" s="13">
        <f>6.025/2</f>
        <v>3.0125000000000002</v>
      </c>
      <c r="C147" s="13">
        <v>145</v>
      </c>
      <c r="D147" s="13">
        <f t="shared" si="113"/>
        <v>3.0125000000000002</v>
      </c>
      <c r="E147" s="13">
        <v>148.31</v>
      </c>
      <c r="F147" s="14">
        <f t="shared" si="109"/>
        <v>1.0228275862068965</v>
      </c>
      <c r="G147" s="22">
        <v>2.34</v>
      </c>
      <c r="H147" s="22">
        <v>93.96</v>
      </c>
      <c r="I147" s="22">
        <f>G147</f>
        <v>2.34</v>
      </c>
      <c r="J147" s="22">
        <v>93.96</v>
      </c>
      <c r="K147" s="14">
        <f t="shared" si="107"/>
        <v>1</v>
      </c>
      <c r="L147" s="13"/>
      <c r="M147" s="13"/>
      <c r="N147" s="13"/>
      <c r="O147" s="13"/>
      <c r="P147" s="14"/>
      <c r="Q147" s="28"/>
      <c r="R147" s="28"/>
      <c r="S147" s="28"/>
      <c r="T147" s="28"/>
      <c r="U147" s="14"/>
    </row>
    <row r="148" spans="1:21" ht="30">
      <c r="A148" s="7" t="s">
        <v>139</v>
      </c>
      <c r="B148" s="13">
        <f>165.666/2</f>
        <v>82.832999999999998</v>
      </c>
      <c r="C148" s="13">
        <v>39.01</v>
      </c>
      <c r="D148" s="13">
        <f t="shared" si="113"/>
        <v>82.832999999999998</v>
      </c>
      <c r="E148" s="13">
        <v>44.13</v>
      </c>
      <c r="F148" s="14">
        <f t="shared" si="109"/>
        <v>1.1312483978467061</v>
      </c>
      <c r="G148" s="13">
        <v>61.75</v>
      </c>
      <c r="H148" s="13">
        <v>33.5</v>
      </c>
      <c r="I148" s="13">
        <f t="shared" ref="I148:I149" si="117">G148</f>
        <v>61.75</v>
      </c>
      <c r="J148" s="22">
        <v>35</v>
      </c>
      <c r="K148" s="14">
        <f t="shared" si="107"/>
        <v>1.044776119402985</v>
      </c>
      <c r="L148" s="13">
        <f>144.314/2</f>
        <v>72.156999999999996</v>
      </c>
      <c r="M148" s="13">
        <v>41.35</v>
      </c>
      <c r="N148" s="13">
        <f>L148</f>
        <v>72.156999999999996</v>
      </c>
      <c r="O148" s="13">
        <v>46.74</v>
      </c>
      <c r="P148" s="14">
        <f>(O148*N148)/(M148*L148)</f>
        <v>1.1303506650544135</v>
      </c>
      <c r="Q148" s="13">
        <v>51.87</v>
      </c>
      <c r="R148" s="13">
        <v>48.79</v>
      </c>
      <c r="S148" s="13">
        <f>Q148</f>
        <v>51.87</v>
      </c>
      <c r="T148" s="28">
        <v>55.16</v>
      </c>
      <c r="U148" s="14">
        <f>(T148*S148)/(R148*Q148)</f>
        <v>1.1305595408895266</v>
      </c>
    </row>
    <row r="149" spans="1:21" ht="30">
      <c r="A149" s="7" t="s">
        <v>140</v>
      </c>
      <c r="B149" s="13">
        <f>43.76/2</f>
        <v>21.88</v>
      </c>
      <c r="C149" s="13">
        <v>153.36000000000001</v>
      </c>
      <c r="D149" s="13">
        <f t="shared" si="113"/>
        <v>21.88</v>
      </c>
      <c r="E149" s="13">
        <v>172.82</v>
      </c>
      <c r="F149" s="14">
        <f t="shared" si="109"/>
        <v>1.1268909754825247</v>
      </c>
      <c r="G149" s="13">
        <v>13.77</v>
      </c>
      <c r="H149" s="13">
        <v>34.85</v>
      </c>
      <c r="I149" s="13">
        <f t="shared" si="117"/>
        <v>13.77</v>
      </c>
      <c r="J149" s="22">
        <v>37.31</v>
      </c>
      <c r="K149" s="14">
        <f t="shared" si="107"/>
        <v>1.0705882352941176</v>
      </c>
      <c r="L149" s="13">
        <f>19.16/2</f>
        <v>9.58</v>
      </c>
      <c r="M149" s="13">
        <v>171.86</v>
      </c>
      <c r="N149" s="13">
        <f>L149</f>
        <v>9.58</v>
      </c>
      <c r="O149" s="13">
        <v>200.67</v>
      </c>
      <c r="P149" s="14">
        <f>(O149*N149)/(M149*L149)</f>
        <v>1.1676364482718491</v>
      </c>
      <c r="Q149" s="13">
        <v>8.48</v>
      </c>
      <c r="R149" s="13">
        <v>41.97</v>
      </c>
      <c r="S149" s="13">
        <f>Q149</f>
        <v>8.48</v>
      </c>
      <c r="T149" s="28">
        <v>44.95</v>
      </c>
      <c r="U149" s="14">
        <f>(T149*S149)/(R149*Q149)</f>
        <v>1.07100309745056</v>
      </c>
    </row>
    <row r="150" spans="1:21">
      <c r="A150" s="8" t="s">
        <v>194</v>
      </c>
      <c r="B150" s="13">
        <f>430.581/2</f>
        <v>215.29050000000001</v>
      </c>
      <c r="C150" s="13">
        <v>55.17</v>
      </c>
      <c r="D150" s="13">
        <f>B150</f>
        <v>215.29050000000001</v>
      </c>
      <c r="E150" s="13">
        <v>95.72</v>
      </c>
      <c r="F150" s="14">
        <f>(E150*D150)/(C150*B150)</f>
        <v>1.7350009062896503</v>
      </c>
      <c r="G150" s="13">
        <v>164.86</v>
      </c>
      <c r="H150" s="13">
        <v>27.42</v>
      </c>
      <c r="I150" s="13">
        <f>G150</f>
        <v>164.86</v>
      </c>
      <c r="J150" s="13">
        <v>35.03</v>
      </c>
      <c r="K150" s="14">
        <f>(J150*I150)/(H150*G150)</f>
        <v>1.2775346462436177</v>
      </c>
      <c r="L150" s="13">
        <f>765.458/2</f>
        <v>382.72899999999998</v>
      </c>
      <c r="M150" s="13">
        <v>33.86</v>
      </c>
      <c r="N150" s="13">
        <f>L150</f>
        <v>382.72899999999998</v>
      </c>
      <c r="O150" s="13">
        <v>39.33</v>
      </c>
      <c r="P150" s="14">
        <f>(O150*N150)/(M150*L150)</f>
        <v>1.1615475487300648</v>
      </c>
      <c r="Q150" s="37">
        <v>225.18700000000001</v>
      </c>
      <c r="R150" s="28">
        <v>25.08</v>
      </c>
      <c r="S150" s="28">
        <f>Q150</f>
        <v>225.18700000000001</v>
      </c>
      <c r="T150" s="28">
        <v>31.69</v>
      </c>
      <c r="U150" s="17">
        <f>(T150*S150)/(R150*Q150)</f>
        <v>1.2635566188197769</v>
      </c>
    </row>
    <row r="151" spans="1:21">
      <c r="A151" s="8" t="s">
        <v>145</v>
      </c>
      <c r="B151" s="13">
        <f>11.3/2</f>
        <v>5.65</v>
      </c>
      <c r="C151" s="13">
        <v>62.62</v>
      </c>
      <c r="D151" s="13">
        <f>B151</f>
        <v>5.65</v>
      </c>
      <c r="E151" s="13">
        <v>62.62</v>
      </c>
      <c r="F151" s="14">
        <f>(E151*D151)/(C151*B151)</f>
        <v>1</v>
      </c>
      <c r="G151" s="13">
        <v>4.71</v>
      </c>
      <c r="H151" s="13">
        <v>32.36</v>
      </c>
      <c r="I151" s="13">
        <f>G151</f>
        <v>4.71</v>
      </c>
      <c r="J151" s="13">
        <v>34.659999999999997</v>
      </c>
      <c r="K151" s="14">
        <f t="shared" ref="K151:K155" si="118">(J151*I151)/(H151*G151)</f>
        <v>1.0710754017305315</v>
      </c>
      <c r="L151" s="13">
        <f>5.8/2</f>
        <v>2.9</v>
      </c>
      <c r="M151" s="13">
        <v>54.9</v>
      </c>
      <c r="N151" s="13">
        <f t="shared" ref="N151:N152" si="119">L151</f>
        <v>2.9</v>
      </c>
      <c r="O151" s="13">
        <v>54.9</v>
      </c>
      <c r="P151" s="14">
        <f t="shared" ref="P151:P152" si="120">(O151*N151)/(M151*L151)</f>
        <v>1</v>
      </c>
      <c r="Q151" s="28">
        <v>2.42</v>
      </c>
      <c r="R151" s="28">
        <v>29.59</v>
      </c>
      <c r="S151" s="28">
        <f>Q151</f>
        <v>2.42</v>
      </c>
      <c r="T151" s="28">
        <v>31.69</v>
      </c>
      <c r="U151" s="17">
        <f>(T151*S151)/(R151*Q151)</f>
        <v>1.0709699222710376</v>
      </c>
    </row>
    <row r="152" spans="1:21">
      <c r="A152" s="8" t="s">
        <v>146</v>
      </c>
      <c r="B152" s="13">
        <f>410.776/2</f>
        <v>205.38800000000001</v>
      </c>
      <c r="C152" s="13">
        <v>34.270000000000003</v>
      </c>
      <c r="D152" s="13">
        <f>410.776/2</f>
        <v>205.38800000000001</v>
      </c>
      <c r="E152" s="13">
        <v>34.78</v>
      </c>
      <c r="F152" s="14">
        <f>(E152*D152)/(C152*B152)</f>
        <v>1.0148818208345491</v>
      </c>
      <c r="G152" s="13">
        <v>110.89</v>
      </c>
      <c r="H152" s="13">
        <v>32.36</v>
      </c>
      <c r="I152" s="13">
        <f>410.776/2</f>
        <v>205.38800000000001</v>
      </c>
      <c r="J152" s="13">
        <v>34.659999999999997</v>
      </c>
      <c r="K152" s="14">
        <f t="shared" si="118"/>
        <v>1.9838221175095174</v>
      </c>
      <c r="L152" s="13">
        <f>13.217/2</f>
        <v>6.6085000000000003</v>
      </c>
      <c r="M152" s="13">
        <v>140.25</v>
      </c>
      <c r="N152" s="13">
        <f t="shared" si="119"/>
        <v>6.6085000000000003</v>
      </c>
      <c r="O152" s="13">
        <v>140.44</v>
      </c>
      <c r="P152" s="14">
        <f t="shared" si="120"/>
        <v>1.001354723707665</v>
      </c>
      <c r="Q152" s="13">
        <v>6.43</v>
      </c>
      <c r="R152" s="28">
        <v>29.59</v>
      </c>
      <c r="S152" s="13">
        <f>Q152</f>
        <v>6.43</v>
      </c>
      <c r="T152" s="28">
        <v>31.69</v>
      </c>
      <c r="U152" s="17">
        <f>(T152*S152)/(R152*Q152)</f>
        <v>1.0709699222710374</v>
      </c>
    </row>
    <row r="153" spans="1:21">
      <c r="A153" s="8" t="s">
        <v>147</v>
      </c>
      <c r="B153" s="13">
        <f>13.882/2</f>
        <v>6.9409999999999998</v>
      </c>
      <c r="C153" s="13">
        <v>164.26</v>
      </c>
      <c r="D153" s="13">
        <f>B153</f>
        <v>6.9409999999999998</v>
      </c>
      <c r="E153" s="13">
        <v>175.2</v>
      </c>
      <c r="F153" s="14">
        <f>(E153*D153)/(C153*B153)</f>
        <v>1.066601728966273</v>
      </c>
      <c r="G153" s="13">
        <f>1.553/2</f>
        <v>0.77649999999999997</v>
      </c>
      <c r="H153" s="13">
        <v>68.25</v>
      </c>
      <c r="I153" s="13">
        <f>G153</f>
        <v>0.77649999999999997</v>
      </c>
      <c r="J153" s="22">
        <v>73.099999999999994</v>
      </c>
      <c r="K153" s="14">
        <f t="shared" si="118"/>
        <v>1.0710622710622708</v>
      </c>
      <c r="L153" s="13"/>
      <c r="M153" s="13"/>
      <c r="N153" s="13"/>
      <c r="O153" s="13"/>
      <c r="P153" s="14"/>
      <c r="Q153" s="28"/>
      <c r="R153" s="28"/>
      <c r="S153" s="28"/>
      <c r="T153" s="28"/>
      <c r="U153" s="17"/>
    </row>
    <row r="154" spans="1:21">
      <c r="A154" s="8" t="s">
        <v>148</v>
      </c>
      <c r="B154" s="13"/>
      <c r="C154" s="13"/>
      <c r="D154" s="13"/>
      <c r="E154" s="13"/>
      <c r="F154" s="14"/>
      <c r="G154" s="13">
        <f>1.005/2</f>
        <v>0.50249999999999995</v>
      </c>
      <c r="H154" s="13">
        <v>57.23</v>
      </c>
      <c r="I154" s="13">
        <f>G154</f>
        <v>0.50249999999999995</v>
      </c>
      <c r="J154" s="22">
        <v>61.29</v>
      </c>
      <c r="K154" s="14">
        <f t="shared" si="118"/>
        <v>1.0709418137340556</v>
      </c>
      <c r="L154" s="13"/>
      <c r="M154" s="13"/>
      <c r="N154" s="13"/>
      <c r="O154" s="13"/>
      <c r="P154" s="14"/>
      <c r="Q154" s="28"/>
      <c r="R154" s="28"/>
      <c r="S154" s="28"/>
      <c r="T154" s="28"/>
      <c r="U154" s="17"/>
    </row>
    <row r="155" spans="1:21">
      <c r="A155" s="8" t="s">
        <v>149</v>
      </c>
      <c r="B155" s="13"/>
      <c r="C155" s="13"/>
      <c r="D155" s="13"/>
      <c r="E155" s="13"/>
      <c r="F155" s="14"/>
      <c r="G155" s="13">
        <v>5.42</v>
      </c>
      <c r="H155" s="13">
        <v>17.18</v>
      </c>
      <c r="I155" s="13">
        <f>G155</f>
        <v>5.42</v>
      </c>
      <c r="J155" s="22">
        <v>18.399999999999999</v>
      </c>
      <c r="K155" s="14">
        <f t="shared" si="118"/>
        <v>1.0710128055878929</v>
      </c>
      <c r="L155" s="13"/>
      <c r="M155" s="13"/>
      <c r="N155" s="13"/>
      <c r="O155" s="13"/>
      <c r="P155" s="14"/>
      <c r="Q155" s="28"/>
      <c r="R155" s="28"/>
      <c r="S155" s="28"/>
      <c r="T155" s="28"/>
      <c r="U155" s="17"/>
    </row>
    <row r="156" spans="1:21" ht="30">
      <c r="A156" s="6" t="s">
        <v>151</v>
      </c>
      <c r="B156" s="13">
        <f>35.93/2</f>
        <v>17.965</v>
      </c>
      <c r="C156" s="13">
        <v>9.75</v>
      </c>
      <c r="D156" s="13">
        <f t="shared" ref="D156:D167" si="121">B156</f>
        <v>17.965</v>
      </c>
      <c r="E156" s="13">
        <v>9.85</v>
      </c>
      <c r="F156" s="14">
        <f t="shared" ref="F156:F167" si="122">(E156*D156)/(C156*B156)</f>
        <v>1.0102564102564102</v>
      </c>
      <c r="G156" s="13">
        <f>1.58/2</f>
        <v>0.79</v>
      </c>
      <c r="H156" s="13">
        <v>9.75</v>
      </c>
      <c r="I156" s="13">
        <f t="shared" ref="I156:I167" si="123">G156</f>
        <v>0.79</v>
      </c>
      <c r="J156" s="13">
        <v>9.85</v>
      </c>
      <c r="K156" s="14">
        <f>(J156*I156)/(H156*G156)</f>
        <v>1.0102564102564102</v>
      </c>
      <c r="L156" s="13"/>
      <c r="M156" s="13"/>
      <c r="N156" s="13"/>
      <c r="O156" s="13"/>
      <c r="P156" s="14"/>
      <c r="Q156" s="37"/>
      <c r="R156" s="37"/>
      <c r="S156" s="37"/>
      <c r="T156" s="37"/>
      <c r="U156" s="26"/>
    </row>
    <row r="157" spans="1:21" ht="30">
      <c r="A157" s="6" t="s">
        <v>152</v>
      </c>
      <c r="B157" s="13">
        <f>21.5/2-5.95/2</f>
        <v>7.7750000000000004</v>
      </c>
      <c r="C157" s="13">
        <v>31.1</v>
      </c>
      <c r="D157" s="13">
        <f t="shared" si="121"/>
        <v>7.7750000000000004</v>
      </c>
      <c r="E157" s="13">
        <v>32.130000000000003</v>
      </c>
      <c r="F157" s="14">
        <f t="shared" si="122"/>
        <v>1.0331189710610933</v>
      </c>
      <c r="G157" s="13"/>
      <c r="H157" s="13"/>
      <c r="I157" s="13"/>
      <c r="J157" s="13"/>
      <c r="K157" s="14"/>
      <c r="L157" s="13"/>
      <c r="M157" s="13"/>
      <c r="N157" s="13"/>
      <c r="O157" s="13"/>
      <c r="P157" s="14"/>
      <c r="Q157" s="37"/>
      <c r="R157" s="37"/>
      <c r="S157" s="37"/>
      <c r="T157" s="37"/>
      <c r="U157" s="26"/>
    </row>
    <row r="158" spans="1:21" ht="30">
      <c r="A158" s="6" t="s">
        <v>153</v>
      </c>
      <c r="B158" s="13">
        <f>57.54/2</f>
        <v>28.77</v>
      </c>
      <c r="C158" s="13">
        <v>37.520000000000003</v>
      </c>
      <c r="D158" s="13">
        <f t="shared" si="121"/>
        <v>28.77</v>
      </c>
      <c r="E158" s="13">
        <v>38</v>
      </c>
      <c r="F158" s="14">
        <f t="shared" si="122"/>
        <v>1.0127931769722813</v>
      </c>
      <c r="G158" s="22">
        <f>4.54/2</f>
        <v>2.27</v>
      </c>
      <c r="H158" s="22">
        <v>24.14</v>
      </c>
      <c r="I158" s="13">
        <f t="shared" si="123"/>
        <v>2.27</v>
      </c>
      <c r="J158" s="22">
        <v>26.7</v>
      </c>
      <c r="K158" s="14">
        <f t="shared" ref="K158:K167" si="124">(J158*I158)/(H158*G158)</f>
        <v>1.1060480530240264</v>
      </c>
      <c r="L158" s="13"/>
      <c r="M158" s="13"/>
      <c r="N158" s="13"/>
      <c r="O158" s="13"/>
      <c r="P158" s="14"/>
      <c r="Q158" s="37"/>
      <c r="R158" s="37"/>
      <c r="S158" s="37"/>
      <c r="T158" s="37"/>
      <c r="U158" s="26"/>
    </row>
    <row r="159" spans="1:21">
      <c r="A159" s="6" t="s">
        <v>154</v>
      </c>
      <c r="B159" s="13">
        <f>229.28/2</f>
        <v>114.64</v>
      </c>
      <c r="C159" s="13">
        <v>19.170000000000002</v>
      </c>
      <c r="D159" s="13">
        <f t="shared" si="121"/>
        <v>114.64</v>
      </c>
      <c r="E159" s="13">
        <v>20.149999999999999</v>
      </c>
      <c r="F159" s="14">
        <f t="shared" si="122"/>
        <v>1.0511215440792903</v>
      </c>
      <c r="G159" s="37">
        <f>191/2</f>
        <v>95.5</v>
      </c>
      <c r="H159" s="37">
        <v>19.170000000000002</v>
      </c>
      <c r="I159" s="13">
        <f t="shared" si="123"/>
        <v>95.5</v>
      </c>
      <c r="J159" s="37">
        <v>20.149999999999999</v>
      </c>
      <c r="K159" s="14">
        <f t="shared" si="124"/>
        <v>1.0511215440792905</v>
      </c>
      <c r="L159" s="13">
        <f>356.276/2</f>
        <v>178.13800000000001</v>
      </c>
      <c r="M159" s="13">
        <v>20.68</v>
      </c>
      <c r="N159" s="13">
        <f>L159</f>
        <v>178.13800000000001</v>
      </c>
      <c r="O159" s="13">
        <v>21.86</v>
      </c>
      <c r="P159" s="14">
        <f t="shared" ref="P159:P165" si="125">(O159*N159)/(M159*L159)</f>
        <v>1.0570599613152805</v>
      </c>
      <c r="Q159" s="37">
        <f>281.7/2</f>
        <v>140.85</v>
      </c>
      <c r="R159" s="37">
        <v>20.68</v>
      </c>
      <c r="S159" s="37">
        <f t="shared" ref="S159:S165" si="126">Q159</f>
        <v>140.85</v>
      </c>
      <c r="T159" s="37">
        <v>21.86</v>
      </c>
      <c r="U159" s="14">
        <f t="shared" ref="U159:U165" si="127">(T159*S159)/(R159*Q159)</f>
        <v>1.0570599613152805</v>
      </c>
    </row>
    <row r="160" spans="1:21">
      <c r="A160" s="6" t="s">
        <v>155</v>
      </c>
      <c r="B160" s="13">
        <f>29.434/2</f>
        <v>14.717000000000001</v>
      </c>
      <c r="C160" s="13">
        <v>79.73</v>
      </c>
      <c r="D160" s="13">
        <f t="shared" si="121"/>
        <v>14.717000000000001</v>
      </c>
      <c r="E160" s="13">
        <v>85.39</v>
      </c>
      <c r="F160" s="14">
        <f t="shared" si="122"/>
        <v>1.0709895898657971</v>
      </c>
      <c r="G160" s="37">
        <f>21.28/2</f>
        <v>10.64</v>
      </c>
      <c r="H160" s="37">
        <v>67.540000000000006</v>
      </c>
      <c r="I160" s="13">
        <f t="shared" si="123"/>
        <v>10.64</v>
      </c>
      <c r="J160" s="37">
        <v>72.34</v>
      </c>
      <c r="K160" s="14">
        <f t="shared" si="124"/>
        <v>1.0710689961504294</v>
      </c>
      <c r="L160" s="13"/>
      <c r="M160" s="13"/>
      <c r="N160" s="13"/>
      <c r="O160" s="13"/>
      <c r="P160" s="14"/>
      <c r="Q160" s="37"/>
      <c r="R160" s="37"/>
      <c r="S160" s="37"/>
      <c r="T160" s="37"/>
      <c r="U160" s="14"/>
    </row>
    <row r="161" spans="1:21">
      <c r="A161" s="6" t="s">
        <v>156</v>
      </c>
      <c r="B161" s="13">
        <f>4.944/2</f>
        <v>2.472</v>
      </c>
      <c r="C161" s="13">
        <v>83.81</v>
      </c>
      <c r="D161" s="13">
        <f t="shared" si="121"/>
        <v>2.472</v>
      </c>
      <c r="E161" s="13">
        <v>88.86</v>
      </c>
      <c r="F161" s="14">
        <f t="shared" si="122"/>
        <v>1.0602553394582985</v>
      </c>
      <c r="G161" s="22">
        <f>3.69/2</f>
        <v>1.845</v>
      </c>
      <c r="H161" s="22">
        <v>56.89</v>
      </c>
      <c r="I161" s="13">
        <f t="shared" si="123"/>
        <v>1.845</v>
      </c>
      <c r="J161" s="22">
        <v>60.93</v>
      </c>
      <c r="K161" s="14">
        <f t="shared" si="124"/>
        <v>1.071014238003164</v>
      </c>
      <c r="L161" s="13"/>
      <c r="M161" s="13"/>
      <c r="N161" s="13"/>
      <c r="O161" s="13"/>
      <c r="P161" s="14"/>
      <c r="Q161" s="37"/>
      <c r="R161" s="37"/>
      <c r="S161" s="37"/>
      <c r="T161" s="37"/>
      <c r="U161" s="14"/>
    </row>
    <row r="162" spans="1:21">
      <c r="A162" s="6" t="s">
        <v>157</v>
      </c>
      <c r="B162" s="13">
        <f>25.57/2</f>
        <v>12.785</v>
      </c>
      <c r="C162" s="13">
        <v>67.62</v>
      </c>
      <c r="D162" s="13">
        <f t="shared" si="121"/>
        <v>12.785</v>
      </c>
      <c r="E162" s="13">
        <v>68.67</v>
      </c>
      <c r="F162" s="14">
        <f t="shared" si="122"/>
        <v>1.015527950310559</v>
      </c>
      <c r="G162" s="37">
        <f>20.87/2</f>
        <v>10.435</v>
      </c>
      <c r="H162" s="37">
        <v>24.5</v>
      </c>
      <c r="I162" s="13">
        <f t="shared" si="123"/>
        <v>10.435</v>
      </c>
      <c r="J162" s="37">
        <v>26.24</v>
      </c>
      <c r="K162" s="14">
        <f t="shared" si="124"/>
        <v>1.0710204081632653</v>
      </c>
      <c r="L162" s="13"/>
      <c r="M162" s="13"/>
      <c r="N162" s="13"/>
      <c r="O162" s="13"/>
      <c r="P162" s="14"/>
      <c r="Q162" s="37"/>
      <c r="R162" s="37"/>
      <c r="S162" s="37"/>
      <c r="T162" s="37"/>
      <c r="U162" s="14"/>
    </row>
    <row r="163" spans="1:21">
      <c r="A163" s="6" t="s">
        <v>158</v>
      </c>
      <c r="B163" s="13">
        <f>95.72/2</f>
        <v>47.86</v>
      </c>
      <c r="C163" s="13">
        <v>55.58</v>
      </c>
      <c r="D163" s="13">
        <f t="shared" si="121"/>
        <v>47.86</v>
      </c>
      <c r="E163" s="13">
        <v>58.59</v>
      </c>
      <c r="F163" s="14">
        <f t="shared" si="122"/>
        <v>1.0541561712846348</v>
      </c>
      <c r="G163" s="37">
        <f>84.19/2</f>
        <v>42.094999999999999</v>
      </c>
      <c r="H163" s="37">
        <v>26.45</v>
      </c>
      <c r="I163" s="13">
        <f t="shared" si="123"/>
        <v>42.094999999999999</v>
      </c>
      <c r="J163" s="37">
        <v>28.33</v>
      </c>
      <c r="K163" s="14">
        <f t="shared" si="124"/>
        <v>1.071077504725898</v>
      </c>
      <c r="L163" s="13">
        <f>33.71/2</f>
        <v>16.855</v>
      </c>
      <c r="M163" s="13">
        <v>33.79</v>
      </c>
      <c r="N163" s="13">
        <f>L163</f>
        <v>16.855</v>
      </c>
      <c r="O163" s="13">
        <v>35.94</v>
      </c>
      <c r="P163" s="14">
        <f t="shared" si="125"/>
        <v>1.0636282923941995</v>
      </c>
      <c r="Q163" s="37">
        <f>31.915/2</f>
        <v>15.9575</v>
      </c>
      <c r="R163" s="37">
        <v>26.24</v>
      </c>
      <c r="S163" s="37">
        <f t="shared" si="126"/>
        <v>15.9575</v>
      </c>
      <c r="T163" s="37">
        <v>28.1</v>
      </c>
      <c r="U163" s="14">
        <f t="shared" si="127"/>
        <v>1.0708841463414636</v>
      </c>
    </row>
    <row r="164" spans="1:21">
      <c r="A164" s="6" t="s">
        <v>159</v>
      </c>
      <c r="B164" s="13">
        <f>410.93/2</f>
        <v>205.465</v>
      </c>
      <c r="C164" s="13">
        <v>58.12</v>
      </c>
      <c r="D164" s="13">
        <f t="shared" si="121"/>
        <v>205.465</v>
      </c>
      <c r="E164" s="13">
        <v>60.11</v>
      </c>
      <c r="F164" s="14">
        <f t="shared" si="122"/>
        <v>1.0342395044735031</v>
      </c>
      <c r="G164" s="22">
        <f>325.43/2</f>
        <v>162.715</v>
      </c>
      <c r="H164" s="22">
        <v>36.729999999999997</v>
      </c>
      <c r="I164" s="13">
        <f t="shared" si="123"/>
        <v>162.715</v>
      </c>
      <c r="J164" s="22">
        <v>39.340000000000003</v>
      </c>
      <c r="K164" s="14">
        <f t="shared" si="124"/>
        <v>1.0710590797713044</v>
      </c>
      <c r="L164" s="13">
        <f>292.94/2</f>
        <v>146.47</v>
      </c>
      <c r="M164" s="13">
        <v>53.58</v>
      </c>
      <c r="N164" s="13">
        <f>L164</f>
        <v>146.47</v>
      </c>
      <c r="O164" s="13">
        <v>53.58</v>
      </c>
      <c r="P164" s="14">
        <f t="shared" si="125"/>
        <v>1</v>
      </c>
      <c r="Q164" s="37">
        <f>241.34/2</f>
        <v>120.67</v>
      </c>
      <c r="R164" s="37">
        <v>26.7</v>
      </c>
      <c r="S164" s="37">
        <f t="shared" si="126"/>
        <v>120.67</v>
      </c>
      <c r="T164" s="37">
        <v>28.6</v>
      </c>
      <c r="U164" s="14">
        <f t="shared" si="127"/>
        <v>1.0711610486891385</v>
      </c>
    </row>
    <row r="165" spans="1:21">
      <c r="A165" s="6" t="s">
        <v>160</v>
      </c>
      <c r="B165" s="13">
        <f>481.61/2</f>
        <v>240.80500000000001</v>
      </c>
      <c r="C165" s="13">
        <v>26.65</v>
      </c>
      <c r="D165" s="13">
        <f t="shared" si="121"/>
        <v>240.80500000000001</v>
      </c>
      <c r="E165" s="13">
        <v>26.65</v>
      </c>
      <c r="F165" s="14">
        <f t="shared" si="122"/>
        <v>1</v>
      </c>
      <c r="G165" s="22">
        <f>327.54/2</f>
        <v>163.77000000000001</v>
      </c>
      <c r="H165" s="22">
        <v>20.46</v>
      </c>
      <c r="I165" s="13">
        <f t="shared" si="123"/>
        <v>163.77000000000001</v>
      </c>
      <c r="J165" s="22">
        <v>21.91</v>
      </c>
      <c r="K165" s="14">
        <f t="shared" si="124"/>
        <v>1.0708699902248289</v>
      </c>
      <c r="L165" s="13">
        <f>400.11/2</f>
        <v>200.05500000000001</v>
      </c>
      <c r="M165" s="13">
        <v>32.74</v>
      </c>
      <c r="N165" s="13">
        <f>L165</f>
        <v>200.05500000000001</v>
      </c>
      <c r="O165" s="13">
        <v>36.83</v>
      </c>
      <c r="P165" s="14">
        <f t="shared" si="125"/>
        <v>1.124923640806353</v>
      </c>
      <c r="Q165" s="37">
        <f>287.24/2</f>
        <v>143.62</v>
      </c>
      <c r="R165" s="37">
        <v>15.16</v>
      </c>
      <c r="S165" s="37">
        <f t="shared" si="126"/>
        <v>143.62</v>
      </c>
      <c r="T165" s="37">
        <v>16.239999999999998</v>
      </c>
      <c r="U165" s="14">
        <f t="shared" si="127"/>
        <v>1.0712401055408971</v>
      </c>
    </row>
    <row r="166" spans="1:21" ht="20.25" customHeight="1">
      <c r="A166" s="6" t="s">
        <v>161</v>
      </c>
      <c r="B166" s="13">
        <f>111.26/2</f>
        <v>55.63</v>
      </c>
      <c r="C166" s="13">
        <v>19.84</v>
      </c>
      <c r="D166" s="13">
        <f t="shared" si="121"/>
        <v>55.63</v>
      </c>
      <c r="E166" s="13">
        <v>21.16</v>
      </c>
      <c r="F166" s="14">
        <f t="shared" si="122"/>
        <v>1.0665322580645162</v>
      </c>
      <c r="G166" s="22">
        <f>82.27/2</f>
        <v>41.134999999999998</v>
      </c>
      <c r="H166" s="22">
        <v>19.84</v>
      </c>
      <c r="I166" s="13">
        <f t="shared" si="123"/>
        <v>41.134999999999998</v>
      </c>
      <c r="J166" s="22">
        <v>21.16</v>
      </c>
      <c r="K166" s="14">
        <f t="shared" si="124"/>
        <v>1.0665322580645162</v>
      </c>
      <c r="L166" s="13"/>
      <c r="M166" s="13"/>
      <c r="N166" s="13"/>
      <c r="O166" s="13"/>
      <c r="P166" s="14"/>
      <c r="Q166" s="37"/>
      <c r="R166" s="37"/>
      <c r="S166" s="37"/>
      <c r="T166" s="37"/>
      <c r="U166" s="14"/>
    </row>
    <row r="167" spans="1:21">
      <c r="A167" s="6" t="s">
        <v>162</v>
      </c>
      <c r="B167" s="13">
        <f>5.22/2</f>
        <v>2.61</v>
      </c>
      <c r="C167" s="13">
        <v>51.53</v>
      </c>
      <c r="D167" s="13">
        <f t="shared" si="121"/>
        <v>2.61</v>
      </c>
      <c r="E167" s="13">
        <v>52.89</v>
      </c>
      <c r="F167" s="14">
        <f t="shared" si="122"/>
        <v>1.0263923927809042</v>
      </c>
      <c r="G167" s="22">
        <f>3.495/2</f>
        <v>1.7475000000000001</v>
      </c>
      <c r="H167" s="22">
        <v>26.44</v>
      </c>
      <c r="I167" s="13">
        <f t="shared" si="123"/>
        <v>1.7475000000000001</v>
      </c>
      <c r="J167" s="22">
        <v>28.32</v>
      </c>
      <c r="K167" s="14">
        <f t="shared" si="124"/>
        <v>1.0711043872919819</v>
      </c>
      <c r="L167" s="13"/>
      <c r="M167" s="13"/>
      <c r="N167" s="13"/>
      <c r="O167" s="13"/>
      <c r="P167" s="14"/>
      <c r="Q167" s="37"/>
      <c r="R167" s="37"/>
      <c r="S167" s="37"/>
      <c r="T167" s="37"/>
      <c r="U167" s="14"/>
    </row>
    <row r="168" spans="1:21">
      <c r="A168" s="6" t="s">
        <v>164</v>
      </c>
      <c r="B168" s="13">
        <f>16.111/2</f>
        <v>8.0555000000000003</v>
      </c>
      <c r="C168" s="13">
        <v>55.15</v>
      </c>
      <c r="D168" s="13">
        <f>B168</f>
        <v>8.0555000000000003</v>
      </c>
      <c r="E168" s="13">
        <v>59.56</v>
      </c>
      <c r="F168" s="14">
        <f>(E168*D168)/(C168*B168)</f>
        <v>1.0799637352674525</v>
      </c>
      <c r="G168" s="22">
        <f>13.222/2</f>
        <v>6.6109999999999998</v>
      </c>
      <c r="H168" s="22">
        <v>25.05</v>
      </c>
      <c r="I168" s="22">
        <f>G168</f>
        <v>6.6109999999999998</v>
      </c>
      <c r="J168" s="22">
        <v>27.18</v>
      </c>
      <c r="K168" s="14">
        <f t="shared" ref="K168:K178" si="128">J168/H168</f>
        <v>1.0850299401197605</v>
      </c>
      <c r="L168" s="13"/>
      <c r="M168" s="13"/>
      <c r="N168" s="13"/>
      <c r="O168" s="13"/>
      <c r="P168" s="14"/>
      <c r="Q168" s="28"/>
      <c r="R168" s="28"/>
      <c r="S168" s="28"/>
      <c r="T168" s="28"/>
      <c r="U168" s="26"/>
    </row>
    <row r="169" spans="1:21">
      <c r="A169" s="6" t="s">
        <v>165</v>
      </c>
      <c r="B169" s="13">
        <f>9.752/2</f>
        <v>4.8760000000000003</v>
      </c>
      <c r="C169" s="13">
        <v>56.42</v>
      </c>
      <c r="D169" s="13">
        <f t="shared" ref="D169:D178" si="129">B169</f>
        <v>4.8760000000000003</v>
      </c>
      <c r="E169" s="13">
        <v>59.68</v>
      </c>
      <c r="F169" s="14">
        <f t="shared" ref="F169:F178" si="130">(E169*D169)/(C169*B169)</f>
        <v>1.0577809287486706</v>
      </c>
      <c r="G169" s="22">
        <f>6.022/2</f>
        <v>3.0110000000000001</v>
      </c>
      <c r="H169" s="22">
        <v>25.05</v>
      </c>
      <c r="I169" s="22">
        <f t="shared" ref="I169:I178" si="131">G169</f>
        <v>3.0110000000000001</v>
      </c>
      <c r="J169" s="22">
        <v>27.18</v>
      </c>
      <c r="K169" s="14">
        <f t="shared" si="128"/>
        <v>1.0850299401197605</v>
      </c>
      <c r="L169" s="13"/>
      <c r="M169" s="13"/>
      <c r="N169" s="13"/>
      <c r="O169" s="13"/>
      <c r="P169" s="14"/>
      <c r="Q169" s="13"/>
      <c r="R169" s="13"/>
      <c r="S169" s="13"/>
      <c r="T169" s="13"/>
      <c r="U169" s="26"/>
    </row>
    <row r="170" spans="1:21">
      <c r="A170" s="6" t="s">
        <v>166</v>
      </c>
      <c r="B170" s="13">
        <f>14.85/2</f>
        <v>7.4249999999999998</v>
      </c>
      <c r="C170" s="13">
        <v>41.44</v>
      </c>
      <c r="D170" s="13">
        <f t="shared" si="129"/>
        <v>7.4249999999999998</v>
      </c>
      <c r="E170" s="13">
        <v>44.23</v>
      </c>
      <c r="F170" s="14">
        <f t="shared" si="130"/>
        <v>1.067326254826255</v>
      </c>
      <c r="G170" s="22">
        <f>12.82/2</f>
        <v>6.41</v>
      </c>
      <c r="H170" s="22">
        <v>25.05</v>
      </c>
      <c r="I170" s="22">
        <f t="shared" si="131"/>
        <v>6.41</v>
      </c>
      <c r="J170" s="22">
        <v>26.83</v>
      </c>
      <c r="K170" s="14">
        <f t="shared" si="128"/>
        <v>1.0710578842315368</v>
      </c>
      <c r="L170" s="13"/>
      <c r="M170" s="13"/>
      <c r="N170" s="13"/>
      <c r="O170" s="13"/>
      <c r="P170" s="14"/>
      <c r="Q170" s="13"/>
      <c r="R170" s="13"/>
      <c r="S170" s="13"/>
      <c r="T170" s="13"/>
      <c r="U170" s="26"/>
    </row>
    <row r="171" spans="1:21">
      <c r="A171" s="6" t="s">
        <v>167</v>
      </c>
      <c r="B171" s="13">
        <f>74.3/2</f>
        <v>37.15</v>
      </c>
      <c r="C171" s="13">
        <v>43.06</v>
      </c>
      <c r="D171" s="13">
        <f t="shared" si="129"/>
        <v>37.15</v>
      </c>
      <c r="E171" s="13">
        <v>43.06</v>
      </c>
      <c r="F171" s="14">
        <f t="shared" si="130"/>
        <v>1</v>
      </c>
      <c r="G171" s="22">
        <f>63.28/2</f>
        <v>31.64</v>
      </c>
      <c r="H171" s="22">
        <v>25.05</v>
      </c>
      <c r="I171" s="22">
        <f t="shared" si="131"/>
        <v>31.64</v>
      </c>
      <c r="J171" s="22">
        <v>26.83</v>
      </c>
      <c r="K171" s="14">
        <f t="shared" si="128"/>
        <v>1.0710578842315368</v>
      </c>
      <c r="L171" s="13">
        <f>33.34/2</f>
        <v>16.670000000000002</v>
      </c>
      <c r="M171" s="13">
        <v>111.8</v>
      </c>
      <c r="N171" s="13">
        <f t="shared" ref="N171:N178" si="132">L171</f>
        <v>16.670000000000002</v>
      </c>
      <c r="O171" s="13">
        <v>119.65</v>
      </c>
      <c r="P171" s="14">
        <f t="shared" ref="P171:P178" si="133">(O171*N171)/(M171*L171)</f>
        <v>1.0702146690518786</v>
      </c>
      <c r="Q171" s="13">
        <f>29.19/2</f>
        <v>14.595000000000001</v>
      </c>
      <c r="R171" s="13">
        <v>25.05</v>
      </c>
      <c r="S171" s="13">
        <f t="shared" ref="S171:S178" si="134">Q171</f>
        <v>14.595000000000001</v>
      </c>
      <c r="T171" s="13">
        <v>26.83</v>
      </c>
      <c r="U171" s="14">
        <f t="shared" ref="U171:U178" si="135">(T171*S171)/(R171*Q171)</f>
        <v>1.0710578842315368</v>
      </c>
    </row>
    <row r="172" spans="1:21">
      <c r="A172" s="6" t="s">
        <v>168</v>
      </c>
      <c r="B172" s="13">
        <f>6.91/2</f>
        <v>3.4550000000000001</v>
      </c>
      <c r="C172" s="13">
        <v>47.16</v>
      </c>
      <c r="D172" s="13">
        <f t="shared" si="129"/>
        <v>3.4550000000000001</v>
      </c>
      <c r="E172" s="13">
        <v>49.78</v>
      </c>
      <c r="F172" s="14">
        <f t="shared" si="130"/>
        <v>1.0555555555555558</v>
      </c>
      <c r="G172" s="22">
        <f>2.19/2</f>
        <v>1.095</v>
      </c>
      <c r="H172" s="22">
        <v>25.05</v>
      </c>
      <c r="I172" s="22">
        <f t="shared" si="131"/>
        <v>1.095</v>
      </c>
      <c r="J172" s="22">
        <v>26.83</v>
      </c>
      <c r="K172" s="14">
        <f t="shared" si="128"/>
        <v>1.0710578842315368</v>
      </c>
      <c r="L172" s="13"/>
      <c r="M172" s="13"/>
      <c r="N172" s="13"/>
      <c r="O172" s="13"/>
      <c r="P172" s="14"/>
      <c r="Q172" s="13"/>
      <c r="R172" s="13"/>
      <c r="S172" s="13"/>
      <c r="T172" s="13"/>
      <c r="U172" s="14"/>
    </row>
    <row r="173" spans="1:21">
      <c r="A173" s="6" t="s">
        <v>169</v>
      </c>
      <c r="B173" s="13">
        <f>12.995/2</f>
        <v>6.4974999999999996</v>
      </c>
      <c r="C173" s="13">
        <v>48.36</v>
      </c>
      <c r="D173" s="13">
        <f t="shared" si="129"/>
        <v>6.4974999999999996</v>
      </c>
      <c r="E173" s="13">
        <v>48.36</v>
      </c>
      <c r="F173" s="14">
        <f t="shared" si="130"/>
        <v>1</v>
      </c>
      <c r="G173" s="22">
        <f>6.385/2</f>
        <v>3.1924999999999999</v>
      </c>
      <c r="H173" s="22">
        <v>25.05</v>
      </c>
      <c r="I173" s="22">
        <f t="shared" si="131"/>
        <v>3.1924999999999999</v>
      </c>
      <c r="J173" s="22">
        <v>26.83</v>
      </c>
      <c r="K173" s="14">
        <f t="shared" si="128"/>
        <v>1.0710578842315368</v>
      </c>
      <c r="L173" s="13"/>
      <c r="M173" s="13"/>
      <c r="N173" s="13"/>
      <c r="O173" s="13"/>
      <c r="P173" s="14"/>
      <c r="Q173" s="13"/>
      <c r="R173" s="13"/>
      <c r="S173" s="13"/>
      <c r="T173" s="13"/>
      <c r="U173" s="14"/>
    </row>
    <row r="174" spans="1:21">
      <c r="A174" s="6" t="s">
        <v>170</v>
      </c>
      <c r="B174" s="13">
        <f>347.5/2</f>
        <v>173.75</v>
      </c>
      <c r="C174" s="13">
        <v>36.14</v>
      </c>
      <c r="D174" s="13">
        <f t="shared" si="129"/>
        <v>173.75</v>
      </c>
      <c r="E174" s="13">
        <v>38.97</v>
      </c>
      <c r="F174" s="14">
        <f t="shared" si="130"/>
        <v>1.07830658550083</v>
      </c>
      <c r="G174" s="22">
        <f>254.2/2</f>
        <v>127.1</v>
      </c>
      <c r="H174" s="22">
        <v>24.58</v>
      </c>
      <c r="I174" s="22">
        <f t="shared" si="131"/>
        <v>127.1</v>
      </c>
      <c r="J174" s="22">
        <v>26.83</v>
      </c>
      <c r="K174" s="14">
        <f t="shared" si="128"/>
        <v>1.0915378356387306</v>
      </c>
      <c r="L174" s="13">
        <f>365.545/2</f>
        <v>182.77250000000001</v>
      </c>
      <c r="M174" s="13">
        <v>40.869999999999997</v>
      </c>
      <c r="N174" s="13">
        <f t="shared" si="132"/>
        <v>182.77250000000001</v>
      </c>
      <c r="O174" s="13">
        <v>43.44</v>
      </c>
      <c r="P174" s="14">
        <f t="shared" si="133"/>
        <v>1.0628823097626621</v>
      </c>
      <c r="Q174" s="13">
        <f>281.581/2</f>
        <v>140.79050000000001</v>
      </c>
      <c r="R174" s="13">
        <v>24.88</v>
      </c>
      <c r="S174" s="13">
        <f t="shared" si="134"/>
        <v>140.79050000000001</v>
      </c>
      <c r="T174" s="13">
        <v>26.83</v>
      </c>
      <c r="U174" s="14">
        <f t="shared" si="135"/>
        <v>1.0783762057877813</v>
      </c>
    </row>
    <row r="175" spans="1:21">
      <c r="A175" s="6" t="s">
        <v>171</v>
      </c>
      <c r="B175" s="13">
        <f>15.444/2</f>
        <v>7.7220000000000004</v>
      </c>
      <c r="C175" s="13">
        <v>31.6</v>
      </c>
      <c r="D175" s="13">
        <f t="shared" si="129"/>
        <v>7.7220000000000004</v>
      </c>
      <c r="E175" s="13">
        <v>32.619999999999997</v>
      </c>
      <c r="F175" s="14">
        <f t="shared" si="130"/>
        <v>1.0322784810126582</v>
      </c>
      <c r="G175" s="22">
        <f>11.343/2</f>
        <v>5.6715</v>
      </c>
      <c r="H175" s="22">
        <v>25.05</v>
      </c>
      <c r="I175" s="22">
        <f t="shared" si="131"/>
        <v>5.6715</v>
      </c>
      <c r="J175" s="22">
        <v>26.83</v>
      </c>
      <c r="K175" s="14">
        <f t="shared" si="128"/>
        <v>1.0710578842315368</v>
      </c>
      <c r="L175" s="13">
        <f>9.599/2</f>
        <v>4.7995000000000001</v>
      </c>
      <c r="M175" s="13">
        <v>54.41</v>
      </c>
      <c r="N175" s="13">
        <f t="shared" si="132"/>
        <v>4.7995000000000001</v>
      </c>
      <c r="O175" s="13">
        <v>55.51</v>
      </c>
      <c r="P175" s="14">
        <f t="shared" si="133"/>
        <v>1.0202168718985483</v>
      </c>
      <c r="Q175" s="13">
        <f>6.425/2</f>
        <v>3.2124999999999999</v>
      </c>
      <c r="R175" s="13">
        <v>24</v>
      </c>
      <c r="S175" s="13">
        <f t="shared" si="134"/>
        <v>3.2124999999999999</v>
      </c>
      <c r="T175" s="13">
        <v>25.7</v>
      </c>
      <c r="U175" s="14">
        <f t="shared" si="135"/>
        <v>1.0708333333333335</v>
      </c>
    </row>
    <row r="176" spans="1:21">
      <c r="A176" s="6" t="s">
        <v>172</v>
      </c>
      <c r="B176" s="13">
        <f>24.16/2</f>
        <v>12.08</v>
      </c>
      <c r="C176" s="13">
        <v>50</v>
      </c>
      <c r="D176" s="13">
        <f t="shared" si="129"/>
        <v>12.08</v>
      </c>
      <c r="E176" s="13">
        <v>53.25</v>
      </c>
      <c r="F176" s="14">
        <f t="shared" si="130"/>
        <v>1.0649999999999999</v>
      </c>
      <c r="G176" s="22">
        <f>22.38/2</f>
        <v>11.19</v>
      </c>
      <c r="H176" s="22">
        <v>25.05</v>
      </c>
      <c r="I176" s="22">
        <f t="shared" si="131"/>
        <v>11.19</v>
      </c>
      <c r="J176" s="22">
        <v>26.83</v>
      </c>
      <c r="K176" s="14">
        <f t="shared" si="128"/>
        <v>1.0710578842315368</v>
      </c>
      <c r="L176" s="13"/>
      <c r="M176" s="13"/>
      <c r="N176" s="13"/>
      <c r="O176" s="13"/>
      <c r="P176" s="14"/>
      <c r="Q176" s="13"/>
      <c r="R176" s="13"/>
      <c r="S176" s="13"/>
      <c r="T176" s="13"/>
      <c r="U176" s="14"/>
    </row>
    <row r="177" spans="1:21">
      <c r="A177" s="6" t="s">
        <v>173</v>
      </c>
      <c r="B177" s="13">
        <f>5.322/2</f>
        <v>2.661</v>
      </c>
      <c r="C177" s="13">
        <v>44.92</v>
      </c>
      <c r="D177" s="13">
        <f t="shared" si="129"/>
        <v>2.661</v>
      </c>
      <c r="E177" s="13">
        <v>44.92</v>
      </c>
      <c r="F177" s="14">
        <f t="shared" si="130"/>
        <v>1</v>
      </c>
      <c r="G177" s="22">
        <f>4.54/2</f>
        <v>2.27</v>
      </c>
      <c r="H177" s="22">
        <v>25.05</v>
      </c>
      <c r="I177" s="22">
        <f t="shared" si="131"/>
        <v>2.27</v>
      </c>
      <c r="J177" s="22">
        <v>26.83</v>
      </c>
      <c r="K177" s="14">
        <f t="shared" si="128"/>
        <v>1.0710578842315368</v>
      </c>
      <c r="L177" s="13"/>
      <c r="M177" s="13"/>
      <c r="N177" s="13"/>
      <c r="O177" s="13"/>
      <c r="P177" s="14"/>
      <c r="Q177" s="13"/>
      <c r="R177" s="13"/>
      <c r="S177" s="13"/>
      <c r="T177" s="13"/>
      <c r="U177" s="14"/>
    </row>
    <row r="178" spans="1:21">
      <c r="A178" s="6" t="s">
        <v>174</v>
      </c>
      <c r="B178" s="13">
        <f>48.146/2</f>
        <v>24.073</v>
      </c>
      <c r="C178" s="13">
        <v>51.55</v>
      </c>
      <c r="D178" s="13">
        <f t="shared" si="129"/>
        <v>24.073</v>
      </c>
      <c r="E178" s="13">
        <v>51.55</v>
      </c>
      <c r="F178" s="14">
        <f t="shared" si="130"/>
        <v>1</v>
      </c>
      <c r="G178" s="22">
        <f>33.925/2</f>
        <v>16.962499999999999</v>
      </c>
      <c r="H178" s="22">
        <v>29</v>
      </c>
      <c r="I178" s="22">
        <f t="shared" si="131"/>
        <v>16.962499999999999</v>
      </c>
      <c r="J178" s="22">
        <v>31.06</v>
      </c>
      <c r="K178" s="14">
        <f t="shared" si="128"/>
        <v>1.0710344827586207</v>
      </c>
      <c r="L178" s="13">
        <f>23.345/2</f>
        <v>11.672499999999999</v>
      </c>
      <c r="M178" s="13">
        <v>55.69</v>
      </c>
      <c r="N178" s="13">
        <f t="shared" si="132"/>
        <v>11.672499999999999</v>
      </c>
      <c r="O178" s="13">
        <v>55.69</v>
      </c>
      <c r="P178" s="14">
        <f t="shared" si="133"/>
        <v>1</v>
      </c>
      <c r="Q178" s="13">
        <f>17.385/2</f>
        <v>8.6925000000000008</v>
      </c>
      <c r="R178" s="13">
        <v>29.36</v>
      </c>
      <c r="S178" s="13">
        <f t="shared" si="134"/>
        <v>8.6925000000000008</v>
      </c>
      <c r="T178" s="13">
        <v>31.44</v>
      </c>
      <c r="U178" s="14">
        <f t="shared" si="135"/>
        <v>1.0708446866485015</v>
      </c>
    </row>
    <row r="179" spans="1:21">
      <c r="A179" s="23" t="s">
        <v>176</v>
      </c>
      <c r="B179" s="13">
        <f>19.48/2</f>
        <v>9.74</v>
      </c>
      <c r="C179" s="13">
        <v>62.83</v>
      </c>
      <c r="D179" s="13">
        <f>B179</f>
        <v>9.74</v>
      </c>
      <c r="E179" s="13">
        <v>67.180000000000007</v>
      </c>
      <c r="F179" s="14">
        <f>(E179*D179)/(C179*B179)</f>
        <v>1.069234442145472</v>
      </c>
      <c r="G179" s="13"/>
      <c r="H179" s="13"/>
      <c r="I179" s="13"/>
      <c r="J179" s="13"/>
      <c r="K179" s="48"/>
      <c r="L179" s="13">
        <f>7/2</f>
        <v>3.5</v>
      </c>
      <c r="M179" s="13">
        <v>109.19</v>
      </c>
      <c r="N179" s="13">
        <f>L179</f>
        <v>3.5</v>
      </c>
      <c r="O179" s="13">
        <v>117.04</v>
      </c>
      <c r="P179" s="14">
        <f>(O179*N179)/(M179*L179)</f>
        <v>1.0718930304972984</v>
      </c>
      <c r="Q179" s="13">
        <f>7/2</f>
        <v>3.5</v>
      </c>
      <c r="R179" s="13">
        <v>30</v>
      </c>
      <c r="S179" s="13">
        <f>Q179</f>
        <v>3.5</v>
      </c>
      <c r="T179" s="13">
        <v>32.130000000000003</v>
      </c>
      <c r="U179" s="14">
        <f>(T179*S179)/(R179*Q179)</f>
        <v>1.0710000000000002</v>
      </c>
    </row>
    <row r="180" spans="1:21">
      <c r="A180" s="23" t="s">
        <v>177</v>
      </c>
      <c r="B180" s="13">
        <v>0</v>
      </c>
      <c r="C180" s="13"/>
      <c r="D180" s="13">
        <f>B180</f>
        <v>0</v>
      </c>
      <c r="E180" s="13"/>
      <c r="F180" s="14"/>
      <c r="G180" s="13">
        <f>3.378/2</f>
        <v>1.6890000000000001</v>
      </c>
      <c r="H180" s="13">
        <v>474.41</v>
      </c>
      <c r="I180" s="13">
        <f>G180</f>
        <v>1.6890000000000001</v>
      </c>
      <c r="J180" s="13">
        <v>476.39</v>
      </c>
      <c r="K180" s="14">
        <f t="shared" ref="K180:K182" si="136">(J180*I180)/(H180*G180)</f>
        <v>1.0041736051095045</v>
      </c>
      <c r="L180" s="13">
        <f>3.18/2</f>
        <v>1.59</v>
      </c>
      <c r="M180" s="13">
        <v>62.78</v>
      </c>
      <c r="N180" s="13">
        <f>L180</f>
        <v>1.59</v>
      </c>
      <c r="O180" s="13">
        <v>66.72</v>
      </c>
      <c r="P180" s="14">
        <f>(O180*N180)/(M180*L180)</f>
        <v>1.0627588403950303</v>
      </c>
      <c r="Q180" s="13"/>
      <c r="R180" s="13"/>
      <c r="S180" s="13"/>
      <c r="T180" s="13"/>
      <c r="U180" s="48"/>
    </row>
    <row r="181" spans="1:21">
      <c r="A181" s="23" t="s">
        <v>178</v>
      </c>
      <c r="B181" s="13">
        <f>13.4/2</f>
        <v>6.7</v>
      </c>
      <c r="C181" s="13">
        <v>53.07</v>
      </c>
      <c r="D181" s="13">
        <f>B181</f>
        <v>6.7</v>
      </c>
      <c r="E181" s="13">
        <v>56.7</v>
      </c>
      <c r="F181" s="14">
        <f>(E181*D181)/(C181*B181)</f>
        <v>1.06840022611645</v>
      </c>
      <c r="G181" s="13">
        <f>10.8/2</f>
        <v>5.4</v>
      </c>
      <c r="H181" s="13">
        <v>53.07</v>
      </c>
      <c r="I181" s="13">
        <f>G181</f>
        <v>5.4</v>
      </c>
      <c r="J181" s="13">
        <v>56.7</v>
      </c>
      <c r="K181" s="14">
        <f t="shared" si="136"/>
        <v>1.06840022611645</v>
      </c>
      <c r="L181" s="13"/>
      <c r="M181" s="13"/>
      <c r="N181" s="13"/>
      <c r="O181" s="13"/>
      <c r="P181" s="48"/>
      <c r="Q181" s="13"/>
      <c r="R181" s="13"/>
      <c r="S181" s="13"/>
      <c r="T181" s="13"/>
      <c r="U181" s="48"/>
    </row>
    <row r="182" spans="1:21">
      <c r="A182" s="23" t="s">
        <v>179</v>
      </c>
      <c r="B182" s="13">
        <f>77.8/2</f>
        <v>38.9</v>
      </c>
      <c r="C182" s="13">
        <v>39.75</v>
      </c>
      <c r="D182" s="13">
        <f>B182</f>
        <v>38.9</v>
      </c>
      <c r="E182" s="13">
        <v>41.95</v>
      </c>
      <c r="F182" s="14">
        <f>(E182*D182)/(C182*B182)</f>
        <v>1.0553459119496857</v>
      </c>
      <c r="G182" s="13">
        <f>47.6/2</f>
        <v>23.8</v>
      </c>
      <c r="H182" s="13">
        <v>20</v>
      </c>
      <c r="I182" s="13">
        <f>G182</f>
        <v>23.8</v>
      </c>
      <c r="J182" s="13">
        <v>22</v>
      </c>
      <c r="K182" s="14">
        <f t="shared" si="136"/>
        <v>1.1000000000000001</v>
      </c>
      <c r="L182" s="13">
        <f>53.6/2</f>
        <v>26.8</v>
      </c>
      <c r="M182" s="13">
        <v>57.41</v>
      </c>
      <c r="N182" s="13">
        <f>L182</f>
        <v>26.8</v>
      </c>
      <c r="O182" s="13">
        <v>59.22</v>
      </c>
      <c r="P182" s="14">
        <f>(O182*N182)/(M182*L182)</f>
        <v>1.0315276084305871</v>
      </c>
      <c r="Q182" s="28">
        <f>47.1/2</f>
        <v>23.55</v>
      </c>
      <c r="R182" s="28">
        <v>30</v>
      </c>
      <c r="S182" s="28">
        <f>Q182</f>
        <v>23.55</v>
      </c>
      <c r="T182" s="28">
        <v>32.130000000000003</v>
      </c>
      <c r="U182" s="14">
        <f t="shared" ref="U182" si="137">(T182*S182)/(R182*Q182)</f>
        <v>1.0710000000000002</v>
      </c>
    </row>
    <row r="184" spans="1:21">
      <c r="B184" s="63">
        <f>'по предприятиям'!C11-Лист2!B9</f>
        <v>242.15800000001036</v>
      </c>
    </row>
  </sheetData>
  <mergeCells count="19">
    <mergeCell ref="L7:M7"/>
    <mergeCell ref="N7:O7"/>
    <mergeCell ref="P7:P8"/>
    <mergeCell ref="A5:A8"/>
    <mergeCell ref="B5:K5"/>
    <mergeCell ref="L5:U5"/>
    <mergeCell ref="B6:F6"/>
    <mergeCell ref="G6:K6"/>
    <mergeCell ref="L6:P6"/>
    <mergeCell ref="Q6:U6"/>
    <mergeCell ref="B7:C7"/>
    <mergeCell ref="D7:E7"/>
    <mergeCell ref="F7:F8"/>
    <mergeCell ref="Q7:R7"/>
    <mergeCell ref="S7:T7"/>
    <mergeCell ref="U7:U8"/>
    <mergeCell ref="G7:H7"/>
    <mergeCell ref="I7:J7"/>
    <mergeCell ref="K7:K8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3:F34"/>
  <sheetViews>
    <sheetView workbookViewId="0">
      <selection activeCell="C14" sqref="C14"/>
    </sheetView>
  </sheetViews>
  <sheetFormatPr defaultRowHeight="15"/>
  <cols>
    <col min="1" max="1" width="40.42578125" style="5" customWidth="1"/>
    <col min="2" max="2" width="11.7109375" style="5" customWidth="1"/>
    <col min="3" max="3" width="13.85546875" style="5" customWidth="1"/>
    <col min="4" max="4" width="16" style="5" customWidth="1"/>
    <col min="5" max="5" width="15.5703125" style="5" customWidth="1"/>
    <col min="6" max="6" width="17.42578125" style="5" customWidth="1"/>
  </cols>
  <sheetData>
    <row r="3" spans="1:6">
      <c r="A3" s="367"/>
      <c r="B3" s="369" t="s">
        <v>195</v>
      </c>
      <c r="C3" s="369"/>
      <c r="D3" s="369"/>
      <c r="E3" s="369"/>
      <c r="F3" s="369"/>
    </row>
    <row r="4" spans="1:6" ht="40.5" customHeight="1">
      <c r="A4" s="368"/>
      <c r="B4" s="64" t="s">
        <v>196</v>
      </c>
      <c r="C4" s="64" t="s">
        <v>2</v>
      </c>
      <c r="D4" s="64" t="s">
        <v>197</v>
      </c>
      <c r="E4" s="64" t="s">
        <v>198</v>
      </c>
      <c r="F4" s="66" t="s">
        <v>199</v>
      </c>
    </row>
    <row r="5" spans="1:6">
      <c r="A5" s="3" t="s">
        <v>212</v>
      </c>
      <c r="B5" s="59">
        <v>7</v>
      </c>
      <c r="C5" s="59">
        <v>19</v>
      </c>
      <c r="D5" s="59">
        <v>7</v>
      </c>
      <c r="E5" s="59"/>
      <c r="F5" s="59"/>
    </row>
    <row r="6" spans="1:6">
      <c r="A6" s="3" t="s">
        <v>212</v>
      </c>
      <c r="B6" s="59">
        <v>1</v>
      </c>
      <c r="C6" s="59"/>
      <c r="D6" s="59"/>
      <c r="E6" s="59">
        <v>6</v>
      </c>
      <c r="F6" s="59"/>
    </row>
    <row r="7" spans="1:6">
      <c r="A7" s="3" t="s">
        <v>221</v>
      </c>
      <c r="B7" s="59">
        <f>1+1+1+1+1+1</f>
        <v>6</v>
      </c>
      <c r="C7" s="59">
        <f>3+2+2+2+1</f>
        <v>10</v>
      </c>
      <c r="D7" s="59">
        <v>2</v>
      </c>
      <c r="E7" s="59">
        <v>2</v>
      </c>
      <c r="F7" s="59"/>
    </row>
    <row r="8" spans="1:6">
      <c r="A8" s="3" t="s">
        <v>213</v>
      </c>
      <c r="B8" s="59">
        <f>1+1+1</f>
        <v>3</v>
      </c>
      <c r="C8" s="59">
        <f>4+2+2</f>
        <v>8</v>
      </c>
      <c r="D8" s="59">
        <f>2+2</f>
        <v>4</v>
      </c>
      <c r="E8" s="59"/>
      <c r="F8" s="59">
        <v>2</v>
      </c>
    </row>
    <row r="9" spans="1:6">
      <c r="A9" s="3" t="s">
        <v>214</v>
      </c>
      <c r="B9" s="59">
        <v>2</v>
      </c>
      <c r="C9" s="59">
        <v>4</v>
      </c>
      <c r="D9" s="59">
        <v>0</v>
      </c>
      <c r="E9" s="59"/>
      <c r="F9" s="59"/>
    </row>
    <row r="10" spans="1:6">
      <c r="A10" s="3" t="s">
        <v>215</v>
      </c>
      <c r="B10" s="59">
        <v>2</v>
      </c>
      <c r="C10" s="59">
        <v>9</v>
      </c>
      <c r="D10" s="59">
        <v>0</v>
      </c>
      <c r="E10" s="59"/>
      <c r="F10" s="59"/>
    </row>
    <row r="11" spans="1:6">
      <c r="A11" s="3" t="s">
        <v>223</v>
      </c>
      <c r="B11" s="59">
        <v>1</v>
      </c>
      <c r="C11" s="59">
        <v>2</v>
      </c>
      <c r="D11" s="59"/>
      <c r="E11" s="59"/>
      <c r="F11" s="59"/>
    </row>
    <row r="12" spans="1:6">
      <c r="A12" s="3" t="s">
        <v>208</v>
      </c>
      <c r="B12" s="59">
        <v>4</v>
      </c>
      <c r="C12" s="59">
        <v>7</v>
      </c>
      <c r="D12" s="59">
        <v>9</v>
      </c>
      <c r="E12" s="59"/>
      <c r="F12" s="59"/>
    </row>
    <row r="13" spans="1:6">
      <c r="A13" s="3" t="s">
        <v>209</v>
      </c>
      <c r="B13" s="59">
        <v>6</v>
      </c>
      <c r="C13" s="59">
        <v>13</v>
      </c>
      <c r="D13" s="59">
        <v>10</v>
      </c>
      <c r="E13" s="59"/>
      <c r="F13" s="59"/>
    </row>
    <row r="14" spans="1:6">
      <c r="A14" s="3" t="s">
        <v>210</v>
      </c>
      <c r="B14" s="59">
        <v>4</v>
      </c>
      <c r="C14" s="59">
        <v>9</v>
      </c>
      <c r="D14" s="59">
        <v>1</v>
      </c>
      <c r="E14" s="59"/>
      <c r="F14" s="59"/>
    </row>
    <row r="15" spans="1:6">
      <c r="A15" s="3" t="s">
        <v>211</v>
      </c>
      <c r="B15" s="59">
        <v>4</v>
      </c>
      <c r="C15" s="59">
        <v>5</v>
      </c>
      <c r="D15" s="59">
        <v>4</v>
      </c>
      <c r="E15" s="59"/>
      <c r="F15" s="59"/>
    </row>
    <row r="16" spans="1:6">
      <c r="A16" s="3" t="s">
        <v>201</v>
      </c>
      <c r="B16" s="59">
        <f>1+1+1+1+1+1</f>
        <v>6</v>
      </c>
      <c r="C16" s="59">
        <v>15</v>
      </c>
      <c r="D16" s="59">
        <v>14</v>
      </c>
      <c r="E16" s="59"/>
      <c r="F16" s="59"/>
    </row>
    <row r="17" spans="1:6">
      <c r="A17" s="3" t="s">
        <v>202</v>
      </c>
      <c r="B17" s="59">
        <v>11</v>
      </c>
      <c r="C17" s="59">
        <v>12</v>
      </c>
      <c r="D17" s="59">
        <v>10</v>
      </c>
      <c r="E17" s="59"/>
      <c r="F17" s="59"/>
    </row>
    <row r="18" spans="1:6">
      <c r="A18" s="3" t="s">
        <v>203</v>
      </c>
      <c r="B18" s="59">
        <v>4</v>
      </c>
      <c r="C18" s="59">
        <v>6</v>
      </c>
      <c r="D18" s="59">
        <v>6</v>
      </c>
      <c r="E18" s="59"/>
      <c r="F18" s="59"/>
    </row>
    <row r="19" spans="1:6">
      <c r="A19" s="3" t="s">
        <v>204</v>
      </c>
      <c r="B19" s="59">
        <v>4</v>
      </c>
      <c r="C19" s="59">
        <v>5</v>
      </c>
      <c r="D19" s="59">
        <v>5</v>
      </c>
      <c r="E19" s="59"/>
      <c r="F19" s="59"/>
    </row>
    <row r="20" spans="1:6">
      <c r="A20" s="3" t="s">
        <v>205</v>
      </c>
      <c r="B20" s="59">
        <v>1</v>
      </c>
      <c r="C20" s="59">
        <v>2</v>
      </c>
      <c r="D20" s="59">
        <v>2</v>
      </c>
      <c r="E20" s="59"/>
      <c r="F20" s="59"/>
    </row>
    <row r="21" spans="1:6">
      <c r="A21" s="3" t="s">
        <v>216</v>
      </c>
      <c r="B21" s="59">
        <v>8</v>
      </c>
      <c r="C21" s="59">
        <v>9</v>
      </c>
      <c r="D21" s="59">
        <v>2</v>
      </c>
      <c r="E21" s="59"/>
      <c r="F21" s="59"/>
    </row>
    <row r="22" spans="1:6">
      <c r="A22" s="3" t="s">
        <v>217</v>
      </c>
      <c r="B22" s="59">
        <v>5</v>
      </c>
      <c r="C22" s="59">
        <v>8</v>
      </c>
      <c r="D22" s="59">
        <v>5</v>
      </c>
      <c r="E22" s="59"/>
      <c r="F22" s="59">
        <v>1</v>
      </c>
    </row>
    <row r="23" spans="1:6" hidden="1">
      <c r="A23" s="3"/>
      <c r="B23" s="59"/>
      <c r="C23" s="59"/>
      <c r="D23" s="59"/>
      <c r="E23" s="59"/>
      <c r="F23" s="59"/>
    </row>
    <row r="24" spans="1:6" hidden="1">
      <c r="A24" s="3"/>
      <c r="B24" s="59"/>
      <c r="C24" s="59"/>
      <c r="D24" s="59"/>
      <c r="E24" s="59"/>
      <c r="F24" s="59"/>
    </row>
    <row r="25" spans="1:6" hidden="1">
      <c r="A25" s="3"/>
      <c r="B25" s="59"/>
      <c r="C25" s="59"/>
      <c r="D25" s="59"/>
      <c r="E25" s="59"/>
      <c r="F25" s="59"/>
    </row>
    <row r="26" spans="1:6">
      <c r="A26" s="3" t="s">
        <v>218</v>
      </c>
      <c r="B26" s="59">
        <v>10</v>
      </c>
      <c r="C26" s="59">
        <v>20</v>
      </c>
      <c r="D26" s="59">
        <v>12</v>
      </c>
      <c r="E26" s="59"/>
      <c r="F26" s="59"/>
    </row>
    <row r="27" spans="1:6" ht="15.75">
      <c r="A27" s="67" t="s">
        <v>206</v>
      </c>
      <c r="B27" s="68">
        <v>17</v>
      </c>
      <c r="C27" s="68">
        <v>47</v>
      </c>
      <c r="D27" s="68">
        <v>41</v>
      </c>
      <c r="E27" s="68"/>
      <c r="F27" s="68"/>
    </row>
    <row r="28" spans="1:6">
      <c r="A28" s="3" t="s">
        <v>219</v>
      </c>
      <c r="B28" s="59">
        <v>9</v>
      </c>
      <c r="C28" s="59">
        <v>16</v>
      </c>
      <c r="D28" s="59">
        <f>9+3</f>
        <v>12</v>
      </c>
      <c r="E28" s="59"/>
      <c r="F28" s="59">
        <v>1</v>
      </c>
    </row>
    <row r="29" spans="1:6">
      <c r="A29" s="3" t="s">
        <v>220</v>
      </c>
      <c r="B29" s="59">
        <v>11</v>
      </c>
      <c r="C29" s="59">
        <v>15</v>
      </c>
      <c r="D29" s="59">
        <f>11+3</f>
        <v>14</v>
      </c>
      <c r="E29" s="59"/>
      <c r="F29" s="59">
        <v>1</v>
      </c>
    </row>
    <row r="30" spans="1:6">
      <c r="A30" s="3" t="s">
        <v>222</v>
      </c>
      <c r="B30" s="59">
        <f>1+1+1</f>
        <v>3</v>
      </c>
      <c r="C30" s="59">
        <f>4+2+1</f>
        <v>7</v>
      </c>
      <c r="D30" s="59">
        <f>1+2</f>
        <v>3</v>
      </c>
      <c r="E30" s="59"/>
      <c r="F30" s="59"/>
    </row>
    <row r="31" spans="1:6">
      <c r="A31" s="3" t="s">
        <v>207</v>
      </c>
      <c r="B31" s="59">
        <f>1+1+1+1+1+1</f>
        <v>6</v>
      </c>
      <c r="C31" s="59">
        <v>11</v>
      </c>
      <c r="D31" s="59">
        <v>6</v>
      </c>
      <c r="E31" s="59"/>
      <c r="F31" s="59"/>
    </row>
    <row r="32" spans="1:6">
      <c r="A32" s="3" t="s">
        <v>58</v>
      </c>
      <c r="B32" s="59">
        <v>1</v>
      </c>
      <c r="C32" s="59">
        <v>4</v>
      </c>
      <c r="D32" s="59">
        <v>4</v>
      </c>
      <c r="E32" s="59"/>
      <c r="F32" s="59"/>
    </row>
    <row r="33" spans="1:6">
      <c r="A33" s="3" t="s">
        <v>59</v>
      </c>
      <c r="B33" s="59">
        <v>1</v>
      </c>
      <c r="C33" s="59">
        <v>23</v>
      </c>
      <c r="D33" s="59">
        <v>16</v>
      </c>
      <c r="E33" s="59"/>
      <c r="F33" s="59"/>
    </row>
    <row r="34" spans="1:6">
      <c r="A34" s="65" t="s">
        <v>200</v>
      </c>
      <c r="B34" s="69">
        <f>SUM(B5:B33)</f>
        <v>137</v>
      </c>
      <c r="C34" s="69">
        <f t="shared" ref="C34:F34" si="0">SUM(C5:C33)</f>
        <v>286</v>
      </c>
      <c r="D34" s="69">
        <f t="shared" si="0"/>
        <v>189</v>
      </c>
      <c r="E34" s="69">
        <f t="shared" si="0"/>
        <v>8</v>
      </c>
      <c r="F34" s="69">
        <f t="shared" si="0"/>
        <v>5</v>
      </c>
    </row>
  </sheetData>
  <mergeCells count="2">
    <mergeCell ref="A3:A4"/>
    <mergeCell ref="B3:F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V359"/>
  <sheetViews>
    <sheetView workbookViewId="0">
      <selection activeCell="E363" sqref="E363"/>
    </sheetView>
  </sheetViews>
  <sheetFormatPr defaultRowHeight="15"/>
  <cols>
    <col min="1" max="1" width="20.85546875" customWidth="1"/>
    <col min="2" max="2" width="10" customWidth="1"/>
    <col min="3" max="3" width="7.85546875" customWidth="1"/>
    <col min="4" max="4" width="9.42578125" customWidth="1"/>
    <col min="5" max="5" width="8" customWidth="1"/>
    <col min="6" max="6" width="7.7109375" customWidth="1"/>
    <col min="11" max="11" width="8.28515625" customWidth="1"/>
    <col min="12" max="12" width="9.42578125" customWidth="1"/>
    <col min="13" max="13" width="8.28515625" customWidth="1"/>
    <col min="14" max="14" width="9.5703125" customWidth="1"/>
    <col min="15" max="15" width="8.28515625" customWidth="1"/>
    <col min="16" max="16" width="8.140625" customWidth="1"/>
    <col min="17" max="17" width="8.85546875" customWidth="1"/>
    <col min="18" max="18" width="8.42578125" customWidth="1"/>
    <col min="20" max="21" width="8.28515625" customWidth="1"/>
    <col min="22" max="22" width="10.7109375" customWidth="1"/>
  </cols>
  <sheetData>
    <row r="1" spans="1:22" ht="15.75">
      <c r="A1" s="375" t="s">
        <v>244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</row>
    <row r="3" spans="1:22">
      <c r="A3" s="376"/>
      <c r="B3" s="374" t="s">
        <v>4</v>
      </c>
      <c r="C3" s="374"/>
      <c r="D3" s="374"/>
      <c r="E3" s="374"/>
      <c r="F3" s="374"/>
      <c r="G3" s="374"/>
      <c r="H3" s="374"/>
      <c r="I3" s="374"/>
      <c r="J3" s="374"/>
      <c r="K3" s="374"/>
      <c r="L3" s="374" t="s">
        <v>5</v>
      </c>
      <c r="M3" s="374"/>
      <c r="N3" s="374"/>
      <c r="O3" s="374"/>
      <c r="P3" s="374"/>
      <c r="Q3" s="374"/>
      <c r="R3" s="374"/>
      <c r="S3" s="374"/>
      <c r="T3" s="374"/>
      <c r="U3" s="374"/>
    </row>
    <row r="4" spans="1:22">
      <c r="A4" s="376"/>
      <c r="B4" s="374" t="s">
        <v>247</v>
      </c>
      <c r="C4" s="374"/>
      <c r="D4" s="374"/>
      <c r="E4" s="374"/>
      <c r="F4" s="374"/>
      <c r="G4" s="374" t="s">
        <v>3</v>
      </c>
      <c r="H4" s="374"/>
      <c r="I4" s="374"/>
      <c r="J4" s="374"/>
      <c r="K4" s="374"/>
      <c r="L4" s="374" t="s">
        <v>247</v>
      </c>
      <c r="M4" s="374"/>
      <c r="N4" s="374"/>
      <c r="O4" s="374"/>
      <c r="P4" s="374"/>
      <c r="Q4" s="374" t="s">
        <v>3</v>
      </c>
      <c r="R4" s="374"/>
      <c r="S4" s="374"/>
      <c r="T4" s="374"/>
      <c r="U4" s="374"/>
    </row>
    <row r="5" spans="1:22" ht="15" customHeight="1">
      <c r="A5" s="376"/>
      <c r="B5" s="372" t="s">
        <v>249</v>
      </c>
      <c r="C5" s="373"/>
      <c r="D5" s="372" t="s">
        <v>248</v>
      </c>
      <c r="E5" s="373"/>
      <c r="F5" s="370" t="s">
        <v>246</v>
      </c>
      <c r="G5" s="372" t="s">
        <v>250</v>
      </c>
      <c r="H5" s="373"/>
      <c r="I5" s="374" t="s">
        <v>248</v>
      </c>
      <c r="J5" s="374"/>
      <c r="K5" s="370" t="s">
        <v>246</v>
      </c>
      <c r="L5" s="372" t="s">
        <v>250</v>
      </c>
      <c r="M5" s="373"/>
      <c r="N5" s="372" t="s">
        <v>248</v>
      </c>
      <c r="O5" s="373"/>
      <c r="P5" s="370" t="s">
        <v>246</v>
      </c>
      <c r="Q5" s="372" t="s">
        <v>250</v>
      </c>
      <c r="R5" s="373"/>
      <c r="S5" s="374" t="s">
        <v>248</v>
      </c>
      <c r="T5" s="374"/>
      <c r="U5" s="370" t="s">
        <v>246</v>
      </c>
    </row>
    <row r="6" spans="1:22" ht="39" customHeight="1">
      <c r="A6" s="376"/>
      <c r="B6" s="72" t="s">
        <v>6</v>
      </c>
      <c r="C6" s="72" t="s">
        <v>7</v>
      </c>
      <c r="D6" s="72" t="s">
        <v>6</v>
      </c>
      <c r="E6" s="72" t="s">
        <v>7</v>
      </c>
      <c r="F6" s="371"/>
      <c r="G6" s="72" t="s">
        <v>8</v>
      </c>
      <c r="H6" s="72" t="s">
        <v>7</v>
      </c>
      <c r="I6" s="72" t="s">
        <v>8</v>
      </c>
      <c r="J6" s="72" t="s">
        <v>7</v>
      </c>
      <c r="K6" s="371"/>
      <c r="L6" s="72" t="s">
        <v>6</v>
      </c>
      <c r="M6" s="72" t="s">
        <v>7</v>
      </c>
      <c r="N6" s="72" t="s">
        <v>6</v>
      </c>
      <c r="O6" s="72" t="s">
        <v>7</v>
      </c>
      <c r="P6" s="371"/>
      <c r="Q6" s="72" t="s">
        <v>8</v>
      </c>
      <c r="R6" s="72" t="s">
        <v>7</v>
      </c>
      <c r="S6" s="72" t="s">
        <v>8</v>
      </c>
      <c r="T6" s="72" t="s">
        <v>7</v>
      </c>
      <c r="U6" s="371"/>
    </row>
    <row r="7" spans="1:22" ht="42.75" customHeight="1">
      <c r="A7" s="89" t="s">
        <v>193</v>
      </c>
      <c r="B7" s="73">
        <f>B8+B18+B24+B28+B32+B40+B83+B126+B132+B134+B219+B227+B241+B252+B265+B272+B277+B279+B301+B306+B312+B323+B330+B343+B355</f>
        <v>38368.083912795002</v>
      </c>
      <c r="C7" s="74">
        <f>(B8*C8+B18*C18+B24*C24+B28*C28+B32*C32+B40*C40+B83+C83+B126*C126+B132*C132+B134*C134+B219*C219+B227*C227+B241*C241+B252*C252+B265*C265+B272*C272+B277*C277+B279*C279+B301*C301+B306*C306+B312*C312+B323*C323+B330*C330+B343*C343+B355*C355)/B7</f>
        <v>28.907068878714384</v>
      </c>
      <c r="D7" s="73">
        <f>D8+D18+D24+D28+D32+D40+D83+D126+D132+D134+D219+D227+D241+D252+D265+D272+D277+D279+D301+D306+D312+D323+D330+D343+D355</f>
        <v>38368.083912795002</v>
      </c>
      <c r="E7" s="74">
        <f>(D8*E8+D18*E18+D24*E24+D28*E28+D32*E32+D40*E40+D83+E83+D126*E126+D132*E132+D134*E134+D219*E219+D227*E227+D241*E241+D252*E252+D265*E265+D272*E272+D277*E277+D279*E279+D301*E301+D306*E306+D312*E312+D323*E323+D330*E330+D343*E343+D355*E355)/D7</f>
        <v>30.82283579260223</v>
      </c>
      <c r="F7" s="75">
        <f>E7/C7</f>
        <v>1.0662733022820765</v>
      </c>
      <c r="G7" s="73">
        <f>G8+G18+G24+G28+G32+G40+G83+G126+G132+G134+G219+G227+G241+G252+G265+G272+G277+G279+G301+G306+G312+G323+G330+G343+G355</f>
        <v>18797.298500000001</v>
      </c>
      <c r="H7" s="74">
        <f>(G8*H8+G18*H18+G24*H24+G28*H28+G32*H32+G40*H40+G83+H83+G126*H126+G132*H132+G134*H134+G219*H219+G227*H227+G241*H241+G252*H252+G265*H265+G272*H272+G277*H277+G279*H279+G301*H301+G306*H306+G312*H312+G323*H323+G330*H330+G343*H343+G355*H355)/G7</f>
        <v>23.875444240906539</v>
      </c>
      <c r="I7" s="73">
        <f>I8+I18+I24+I28+I32+I40+I83+I126+I132+I134+I219+I227+I241+I252+I265+I272+I277+I279+I301+I306+I312+I323+I330+I343+I355</f>
        <v>18891.7965</v>
      </c>
      <c r="J7" s="74">
        <f>(I8*J8+I18*J18+I24*J24+I28*J28+I32*J32+I40*J40+I83+J83+I126*J126+I132*J132+I134*J134+I219*J219+I227*J227+I241*J241+I252*J252+I265*J265+I272*J272+I277*J277+I279*J279+I301*J301+I306*J306+I312*J312+I323*J323+I330*J330+I343*J343+I355*J355)/I7</f>
        <v>25.310911625153469</v>
      </c>
      <c r="K7" s="75">
        <f>J7/H7</f>
        <v>1.0601231696366722</v>
      </c>
      <c r="L7" s="73">
        <f>L8+L18+L24+L28+L32+L40+L83+L126+L132+L134+L219+L227+L241+L252+L265+L272+L277+L279+L301+L306+L312+L323+L330+L343+L355</f>
        <v>33615.304999999993</v>
      </c>
      <c r="M7" s="74">
        <f>(L8*M8+L18*M18+L24*M24+L28*M28+L32*M32+L40*M40+L83+M83+L126*M126+L132*M132+L134*M134+L219*M219+L227*M227+L241*M241+L252*M252+L265*M265+L272*M272+L277*M277+L279*M279+L301*M301+L306*M306+L312*M312+L323*M323+L330*M330+L343*M343+L355*M355)/L7</f>
        <v>25.206162828062997</v>
      </c>
      <c r="N7" s="73">
        <f>N8+N18+N24+N28+N32+N40+N83+N126+N132+N134+N219+N227+N241+N252+N265+N272+N277+N279+N301+N306+N312+N323+N330+N343+N355</f>
        <v>33615.304999999993</v>
      </c>
      <c r="O7" s="74">
        <f>(N8*O8+N18*O18+N24*O24+N28*O28+N32*O32+N40*O40+N83+O83+N126*O126+N132*O132+N134*O134+N219*O219+N227*O227+N241*O241+N252*O252+N265*O265+N272*O272+N277*O277+N279*O279+N301*O301+N306*O306+N312*O312+N323*O323+N330*O330+N343*O343+N355*O355)/N7</f>
        <v>27.695621268942826</v>
      </c>
      <c r="P7" s="75">
        <f>O7/M7</f>
        <v>1.0987638800027197</v>
      </c>
      <c r="Q7" s="73">
        <f>Q8+Q18+Q24+Q28+Q32+Q40+Q83+Q126+Q132+Q134+Q219+Q227+Q241+Q252+Q265+Q272+Q277+Q279+Q301+Q306+Q312+Q323+Q330+Q343+Q355</f>
        <v>20588.703500000003</v>
      </c>
      <c r="R7" s="74">
        <f>(Q8*R8+Q18*R18+Q24*R24+Q28*R28+Q32*R32+Q40*R40+Q83+R83+Q126*R126+Q132*R132+Q134*R134+Q219*R219+Q227*R227+Q241*R241+Q252*R252+Q265*R265+Q272*R272+Q277*R277+Q279*R279+Q301*R301+Q306*R306+Q312*R312+Q323*R323+Q330*R330+Q343*R343+Q355*R355)/Q7</f>
        <v>21.384679878655341</v>
      </c>
      <c r="S7" s="73">
        <f>S8+S18+S24+S28+S32+S40+S83+S126+S132+S134+S219+S227+S241+S252+S265+S272+S277+S279+S301+S306+S312+S323+S330+S343+S355</f>
        <v>20588.703500000003</v>
      </c>
      <c r="T7" s="74">
        <f>(S8*T8+S18*T18+S24*T24+S28*T28+S32*T32+S40*T40+S83+T83+S126*T126+S132*T132+S134*T134+S219*T219+S227*T227+S241*T241+S252*T252+S265*T265+S272*T272+S277*T277+S279*T279+S301*T301+S306*T306+S312*T312+S323*T323+S330*T330+S343*T343+S355*T355)/S7</f>
        <v>22.764989360891551</v>
      </c>
      <c r="U7" s="75">
        <f>T7/R7</f>
        <v>1.0645466516248361</v>
      </c>
    </row>
    <row r="8" spans="1:22">
      <c r="A8" s="90" t="s">
        <v>224</v>
      </c>
      <c r="B8" s="91">
        <f>SUM(B9:B17)</f>
        <v>10847.223</v>
      </c>
      <c r="C8" s="91">
        <f>SUMPRODUCT(B9:B17,C9:C17)/B8</f>
        <v>30.85451204239094</v>
      </c>
      <c r="D8" s="91">
        <f>SUM(D9:D17)</f>
        <v>10847.223</v>
      </c>
      <c r="E8" s="91">
        <f>SUMPRODUCT(D9:D17,E9:E17)/D8</f>
        <v>32.957985309235369</v>
      </c>
      <c r="F8" s="92">
        <f>E8/C8</f>
        <v>1.0681739274941204</v>
      </c>
      <c r="G8" s="91">
        <f>SUM(G9:G17)</f>
        <v>8501.6435000000019</v>
      </c>
      <c r="H8" s="91">
        <f>SUMPRODUCT(G9:G17,H9:H17)/G8</f>
        <v>21.569999999999993</v>
      </c>
      <c r="I8" s="91">
        <f>SUM(I9:I17)</f>
        <v>8501.6435000000019</v>
      </c>
      <c r="J8" s="91">
        <f>SUMPRODUCT(I9:I17,J9:J17)/I8</f>
        <v>22.579999999999991</v>
      </c>
      <c r="K8" s="92">
        <f>J8/H8</f>
        <v>1.0468242929995364</v>
      </c>
      <c r="L8" s="91">
        <f>SUM(L9:L17)</f>
        <v>12070.099999999999</v>
      </c>
      <c r="M8" s="91">
        <f>SUMPRODUCT(L9:L17,M9:M17)/L8</f>
        <v>24.118118872254584</v>
      </c>
      <c r="N8" s="91">
        <f>SUM(N9:N17)</f>
        <v>12070.099999999999</v>
      </c>
      <c r="O8" s="91">
        <f>SUMPRODUCT(N9:N17,O9:O17)/N8</f>
        <v>28.350053860365694</v>
      </c>
      <c r="P8" s="92">
        <f>O8/M8</f>
        <v>1.1754670424557661</v>
      </c>
      <c r="Q8" s="91">
        <f>SUM(Q9:Q17)</f>
        <v>8150.375</v>
      </c>
      <c r="R8" s="91">
        <f>SUMPRODUCT(Q9:Q17,R9:R17)/Q8</f>
        <v>19.760000000000002</v>
      </c>
      <c r="S8" s="91">
        <f>SUM(S9:S17)</f>
        <v>8150.375</v>
      </c>
      <c r="T8" s="91">
        <f>SUMPRODUCT(S9:S17,T9:T17)/S8</f>
        <v>20.690000000000005</v>
      </c>
      <c r="U8" s="92">
        <f>T8/R8</f>
        <v>1.0470647773279353</v>
      </c>
      <c r="V8" s="172">
        <f>(E8+O8)/(C8+M8)</f>
        <v>1.1152465899766077</v>
      </c>
    </row>
    <row r="9" spans="1:22" ht="25.5" hidden="1">
      <c r="A9" s="93" t="s">
        <v>29</v>
      </c>
      <c r="B9" s="91">
        <f>18691.5/2</f>
        <v>9345.75</v>
      </c>
      <c r="C9" s="91">
        <v>23.89</v>
      </c>
      <c r="D9" s="91">
        <f t="shared" ref="D9:D17" si="0">B9</f>
        <v>9345.75</v>
      </c>
      <c r="E9" s="91">
        <v>25.3</v>
      </c>
      <c r="F9" s="92">
        <f t="shared" ref="F9:F17" si="1">(E9*D9)/(C9*B9)</f>
        <v>1.0590205106739221</v>
      </c>
      <c r="G9" s="94">
        <f>14951/2</f>
        <v>7475.5</v>
      </c>
      <c r="H9" s="94">
        <v>21.57</v>
      </c>
      <c r="I9" s="94">
        <f>G9</f>
        <v>7475.5</v>
      </c>
      <c r="J9" s="94">
        <v>22.58</v>
      </c>
      <c r="K9" s="92">
        <f>(J9*I9)/(H9*G9)</f>
        <v>1.0468242929995362</v>
      </c>
      <c r="L9" s="91">
        <f>21018.87/2</f>
        <v>10509.434999999999</v>
      </c>
      <c r="M9" s="91">
        <v>19.760000000000002</v>
      </c>
      <c r="N9" s="91">
        <f>L9</f>
        <v>10509.434999999999</v>
      </c>
      <c r="O9" s="91">
        <v>22.88</v>
      </c>
      <c r="P9" s="92">
        <f>(O9*N9)/(M9*L9)</f>
        <v>1.1578947368421051</v>
      </c>
      <c r="Q9" s="91">
        <f>14381.5/2</f>
        <v>7190.75</v>
      </c>
      <c r="R9" s="91">
        <v>19.760000000000002</v>
      </c>
      <c r="S9" s="91">
        <f>Q9</f>
        <v>7190.75</v>
      </c>
      <c r="T9" s="91">
        <v>20.69</v>
      </c>
      <c r="U9" s="92">
        <f>(T9*S9)/(R9*Q9)</f>
        <v>1.0470647773279353</v>
      </c>
      <c r="V9" s="172">
        <f t="shared" ref="V9:V72" si="2">(E9+O9)/(C9+M9)</f>
        <v>1.1037800687285222</v>
      </c>
    </row>
    <row r="10" spans="1:22" ht="25.5" hidden="1">
      <c r="A10" s="93" t="s">
        <v>30</v>
      </c>
      <c r="B10" s="91">
        <f>7.79/2</f>
        <v>3.895</v>
      </c>
      <c r="C10" s="91">
        <v>9.7200000000000006</v>
      </c>
      <c r="D10" s="91">
        <f t="shared" si="0"/>
        <v>3.895</v>
      </c>
      <c r="E10" s="91">
        <v>10.199999999999999</v>
      </c>
      <c r="F10" s="92">
        <f t="shared" si="1"/>
        <v>1.0493827160493827</v>
      </c>
      <c r="G10" s="94"/>
      <c r="H10" s="94"/>
      <c r="I10" s="94"/>
      <c r="J10" s="94"/>
      <c r="K10" s="92"/>
      <c r="L10" s="91"/>
      <c r="M10" s="91"/>
      <c r="N10" s="91"/>
      <c r="O10" s="91"/>
      <c r="P10" s="92"/>
      <c r="Q10" s="91"/>
      <c r="R10" s="91"/>
      <c r="S10" s="91"/>
      <c r="T10" s="91"/>
      <c r="U10" s="92"/>
      <c r="V10" s="172">
        <f t="shared" si="2"/>
        <v>1.0493827160493825</v>
      </c>
    </row>
    <row r="11" spans="1:22" ht="25.5" hidden="1">
      <c r="A11" s="93" t="s">
        <v>27</v>
      </c>
      <c r="B11" s="91">
        <f>1117.41/2</f>
        <v>558.70500000000004</v>
      </c>
      <c r="C11" s="91">
        <v>135.32</v>
      </c>
      <c r="D11" s="91">
        <f t="shared" si="0"/>
        <v>558.70500000000004</v>
      </c>
      <c r="E11" s="91">
        <v>148.69</v>
      </c>
      <c r="F11" s="92">
        <f t="shared" si="1"/>
        <v>1.0988028377180019</v>
      </c>
      <c r="G11" s="94">
        <f>847.45/2</f>
        <v>423.72500000000002</v>
      </c>
      <c r="H11" s="94">
        <v>21.57</v>
      </c>
      <c r="I11" s="94">
        <f>G11</f>
        <v>423.72500000000002</v>
      </c>
      <c r="J11" s="94">
        <v>22.58</v>
      </c>
      <c r="K11" s="92">
        <f t="shared" ref="K11:K13" si="3">(J11*I11)/(H11*G11)</f>
        <v>1.0468242929995362</v>
      </c>
      <c r="L11" s="91">
        <f>906/2</f>
        <v>453</v>
      </c>
      <c r="M11" s="91">
        <v>111.34</v>
      </c>
      <c r="N11" s="91">
        <f>L11</f>
        <v>453</v>
      </c>
      <c r="O11" s="91">
        <v>148.13</v>
      </c>
      <c r="P11" s="92">
        <f t="shared" ref="P11" si="4">(O11*N11)/(M11*L11)</f>
        <v>1.3304293156098437</v>
      </c>
      <c r="Q11" s="91">
        <f>718.1/2</f>
        <v>359.05</v>
      </c>
      <c r="R11" s="91">
        <v>19.760000000000002</v>
      </c>
      <c r="S11" s="91">
        <f>Q11</f>
        <v>359.05</v>
      </c>
      <c r="T11" s="91">
        <v>20.69</v>
      </c>
      <c r="U11" s="92">
        <f t="shared" ref="U11:U13" si="5">(T11*S11)/(R11*Q11)</f>
        <v>1.0470647773279353</v>
      </c>
      <c r="V11" s="172">
        <f t="shared" si="2"/>
        <v>1.2033568474823644</v>
      </c>
    </row>
    <row r="12" spans="1:22" ht="25.5" hidden="1">
      <c r="A12" s="93" t="s">
        <v>28</v>
      </c>
      <c r="B12" s="91">
        <f>5.8/2</f>
        <v>2.9</v>
      </c>
      <c r="C12" s="91">
        <v>57.32</v>
      </c>
      <c r="D12" s="91">
        <f t="shared" si="0"/>
        <v>2.9</v>
      </c>
      <c r="E12" s="91">
        <v>60</v>
      </c>
      <c r="F12" s="92">
        <f t="shared" si="1"/>
        <v>1.0467550593161199</v>
      </c>
      <c r="G12" s="94"/>
      <c r="H12" s="94"/>
      <c r="I12" s="94"/>
      <c r="J12" s="94"/>
      <c r="K12" s="92"/>
      <c r="L12" s="91"/>
      <c r="M12" s="91"/>
      <c r="N12" s="91"/>
      <c r="O12" s="91"/>
      <c r="P12" s="92"/>
      <c r="Q12" s="91"/>
      <c r="R12" s="91"/>
      <c r="S12" s="91"/>
      <c r="T12" s="91"/>
      <c r="U12" s="92"/>
      <c r="V12" s="172">
        <f t="shared" si="2"/>
        <v>1.0467550593161201</v>
      </c>
    </row>
    <row r="13" spans="1:22" hidden="1">
      <c r="A13" s="90" t="s">
        <v>11</v>
      </c>
      <c r="B13" s="91">
        <f>1387.91/2</f>
        <v>693.95500000000004</v>
      </c>
      <c r="C13" s="91">
        <v>38.76</v>
      </c>
      <c r="D13" s="91">
        <f t="shared" si="0"/>
        <v>693.95500000000004</v>
      </c>
      <c r="E13" s="91">
        <v>40.57</v>
      </c>
      <c r="F13" s="92">
        <f t="shared" si="1"/>
        <v>1.0466976264189887</v>
      </c>
      <c r="G13" s="95">
        <f>1194.27/2</f>
        <v>597.13499999999999</v>
      </c>
      <c r="H13" s="95">
        <v>21.57</v>
      </c>
      <c r="I13" s="94">
        <f>G13</f>
        <v>597.13499999999999</v>
      </c>
      <c r="J13" s="95">
        <v>22.58</v>
      </c>
      <c r="K13" s="92">
        <f t="shared" si="3"/>
        <v>1.0468242929995362</v>
      </c>
      <c r="L13" s="91">
        <f>1827.73/2</f>
        <v>913.86500000000001</v>
      </c>
      <c r="M13" s="91">
        <v>26.12</v>
      </c>
      <c r="N13" s="91">
        <f>L13</f>
        <v>913.86500000000001</v>
      </c>
      <c r="O13" s="91">
        <v>27.36</v>
      </c>
      <c r="P13" s="92">
        <f>(O13*N13)/(M13*L13)</f>
        <v>1.0474732006125573</v>
      </c>
      <c r="Q13" s="91">
        <f>1194.27/2</f>
        <v>597.13499999999999</v>
      </c>
      <c r="R13" s="91">
        <v>19.760000000000002</v>
      </c>
      <c r="S13" s="91">
        <f>Q13</f>
        <v>597.13499999999999</v>
      </c>
      <c r="T13" s="91">
        <v>20.69</v>
      </c>
      <c r="U13" s="92">
        <f t="shared" si="5"/>
        <v>1.0470647773279351</v>
      </c>
      <c r="V13" s="172">
        <f t="shared" si="2"/>
        <v>1.0470098643649817</v>
      </c>
    </row>
    <row r="14" spans="1:22" hidden="1">
      <c r="A14" s="90" t="s">
        <v>12</v>
      </c>
      <c r="B14" s="91">
        <f>62.1/2</f>
        <v>31.05</v>
      </c>
      <c r="C14" s="91">
        <v>18.079999999999998</v>
      </c>
      <c r="D14" s="91">
        <f t="shared" si="0"/>
        <v>31.05</v>
      </c>
      <c r="E14" s="91">
        <v>35.36</v>
      </c>
      <c r="F14" s="92">
        <f t="shared" si="1"/>
        <v>1.9557522123893807</v>
      </c>
      <c r="G14" s="94"/>
      <c r="H14" s="94"/>
      <c r="I14" s="94"/>
      <c r="J14" s="94"/>
      <c r="K14" s="92"/>
      <c r="L14" s="91"/>
      <c r="M14" s="91"/>
      <c r="N14" s="91">
        <f>L14</f>
        <v>0</v>
      </c>
      <c r="O14" s="91"/>
      <c r="P14" s="92"/>
      <c r="Q14" s="96"/>
      <c r="R14" s="96"/>
      <c r="S14" s="96"/>
      <c r="T14" s="96"/>
      <c r="U14" s="92"/>
      <c r="V14" s="172">
        <f t="shared" si="2"/>
        <v>1.9557522123893807</v>
      </c>
    </row>
    <row r="15" spans="1:22" hidden="1">
      <c r="A15" s="90" t="s">
        <v>15</v>
      </c>
      <c r="B15" s="91">
        <f>(255.069+3.687)/2</f>
        <v>129.37799999999999</v>
      </c>
      <c r="C15" s="91">
        <v>32.71</v>
      </c>
      <c r="D15" s="91">
        <f t="shared" si="0"/>
        <v>129.37799999999999</v>
      </c>
      <c r="E15" s="91">
        <v>34.159999999999997</v>
      </c>
      <c r="F15" s="92">
        <f t="shared" si="1"/>
        <v>1.0443289513910119</v>
      </c>
      <c r="G15" s="94">
        <f>3.687/2</f>
        <v>1.8434999999999999</v>
      </c>
      <c r="H15" s="94">
        <v>21.57</v>
      </c>
      <c r="I15" s="94">
        <f>G15</f>
        <v>1.8434999999999999</v>
      </c>
      <c r="J15" s="94">
        <v>22.58</v>
      </c>
      <c r="K15" s="92">
        <f>(J15*I15)/(H15*G15)</f>
        <v>1.0468242929995364</v>
      </c>
      <c r="L15" s="91">
        <f>(184.8)/2</f>
        <v>92.4</v>
      </c>
      <c r="M15" s="91">
        <v>52.27</v>
      </c>
      <c r="N15" s="91">
        <f>L15</f>
        <v>92.4</v>
      </c>
      <c r="O15" s="91">
        <v>55.52</v>
      </c>
      <c r="P15" s="92">
        <f>(O15*N15)/(M15*L15)</f>
        <v>1.0621771570690646</v>
      </c>
      <c r="Q15" s="96">
        <v>0</v>
      </c>
      <c r="R15" s="96"/>
      <c r="S15" s="96">
        <f>Q15</f>
        <v>0</v>
      </c>
      <c r="T15" s="96"/>
      <c r="U15" s="92"/>
      <c r="V15" s="172">
        <f t="shared" si="2"/>
        <v>1.0553071310896682</v>
      </c>
    </row>
    <row r="16" spans="1:22" hidden="1">
      <c r="A16" s="90" t="s">
        <v>53</v>
      </c>
      <c r="B16" s="91">
        <f>125.6/2</f>
        <v>62.8</v>
      </c>
      <c r="C16" s="91">
        <v>46.66</v>
      </c>
      <c r="D16" s="91">
        <f>B16</f>
        <v>62.8</v>
      </c>
      <c r="E16" s="91">
        <v>49.52</v>
      </c>
      <c r="F16" s="92">
        <f t="shared" si="1"/>
        <v>1.0612944706386629</v>
      </c>
      <c r="G16" s="91">
        <f>6.88/2</f>
        <v>3.44</v>
      </c>
      <c r="H16" s="91">
        <v>21.57</v>
      </c>
      <c r="I16" s="91">
        <f>G16</f>
        <v>3.44</v>
      </c>
      <c r="J16" s="91">
        <v>22.58</v>
      </c>
      <c r="K16" s="92">
        <f t="shared" ref="K16" si="6">(J16*I16)/(H16*G16)</f>
        <v>1.0468242929995362</v>
      </c>
      <c r="L16" s="91">
        <f>127.02/2</f>
        <v>63.51</v>
      </c>
      <c r="M16" s="91">
        <v>44.74</v>
      </c>
      <c r="N16" s="91">
        <f>L16</f>
        <v>63.51</v>
      </c>
      <c r="O16" s="91">
        <v>47.51</v>
      </c>
      <c r="P16" s="92">
        <f t="shared" ref="P16" si="7">(O16*N16)/(M16*L16)</f>
        <v>1.0619132767098791</v>
      </c>
      <c r="Q16" s="96">
        <f>6.88/2</f>
        <v>3.44</v>
      </c>
      <c r="R16" s="96">
        <v>19.760000000000002</v>
      </c>
      <c r="S16" s="96">
        <f>Q16</f>
        <v>3.44</v>
      </c>
      <c r="T16" s="96">
        <v>20.69</v>
      </c>
      <c r="U16" s="92">
        <f t="shared" ref="U16" si="8">T16/R16</f>
        <v>1.0470647773279351</v>
      </c>
      <c r="V16" s="172">
        <f t="shared" si="2"/>
        <v>1.0615973741794311</v>
      </c>
    </row>
    <row r="17" spans="1:22" hidden="1">
      <c r="A17" s="90" t="s">
        <v>13</v>
      </c>
      <c r="B17" s="91">
        <f>37.58/2</f>
        <v>18.79</v>
      </c>
      <c r="C17" s="91">
        <v>52.5</v>
      </c>
      <c r="D17" s="91">
        <f t="shared" si="0"/>
        <v>18.79</v>
      </c>
      <c r="E17" s="91">
        <v>52.5</v>
      </c>
      <c r="F17" s="92">
        <f t="shared" si="1"/>
        <v>1</v>
      </c>
      <c r="G17" s="94"/>
      <c r="H17" s="94"/>
      <c r="I17" s="94"/>
      <c r="J17" s="94"/>
      <c r="K17" s="92"/>
      <c r="L17" s="91">
        <f>75.78/2</f>
        <v>37.89</v>
      </c>
      <c r="M17" s="91">
        <v>38.619999999999997</v>
      </c>
      <c r="N17" s="91">
        <f>L17</f>
        <v>37.89</v>
      </c>
      <c r="O17" s="91">
        <v>39.020000000000003</v>
      </c>
      <c r="P17" s="92">
        <f>(O17*N17)/(M17*L17)</f>
        <v>1.0103573278094253</v>
      </c>
      <c r="Q17" s="96"/>
      <c r="R17" s="96"/>
      <c r="S17" s="96"/>
      <c r="T17" s="96"/>
      <c r="U17" s="92"/>
      <c r="V17" s="172">
        <f t="shared" si="2"/>
        <v>1.0043898156277438</v>
      </c>
    </row>
    <row r="18" spans="1:22">
      <c r="A18" s="97" t="s">
        <v>225</v>
      </c>
      <c r="B18" s="91">
        <f>SUM(B19:B23)</f>
        <v>1061.7099999999996</v>
      </c>
      <c r="C18" s="91">
        <f>SUMPRODUCT(B19:B23,C19:C23)/B18</f>
        <v>26.329244238068789</v>
      </c>
      <c r="D18" s="91">
        <f>SUM(D19:D23)</f>
        <v>1061.7099999999996</v>
      </c>
      <c r="E18" s="91">
        <f>SUMPRODUCT(D19:D23,E19:E23)/D18</f>
        <v>29.055365448192081</v>
      </c>
      <c r="F18" s="92">
        <f>E18/C18</f>
        <v>1.1035396681148053</v>
      </c>
      <c r="G18" s="91">
        <f>SUM(G19:G23)</f>
        <v>732.98</v>
      </c>
      <c r="H18" s="91">
        <f>SUMPRODUCT(G19:G23,H19:H23)/G18</f>
        <v>31.77</v>
      </c>
      <c r="I18" s="91">
        <f>SUM(I19:I23)</f>
        <v>732.98</v>
      </c>
      <c r="J18" s="91">
        <f>SUMPRODUCT(I19:I23,J19:J23)/I18</f>
        <v>35.03</v>
      </c>
      <c r="K18" s="92">
        <f>J18/H18</f>
        <v>1.102612527541706</v>
      </c>
      <c r="L18" s="91">
        <f>SUM(L19:L23)</f>
        <v>1684.7000000000003</v>
      </c>
      <c r="M18" s="91">
        <f>SUMPRODUCT(L19:L23,M19:M23)/L18</f>
        <v>13.503225381373538</v>
      </c>
      <c r="N18" s="91">
        <f>SUM(N19:N23)</f>
        <v>1684.7000000000003</v>
      </c>
      <c r="O18" s="91">
        <f>SUMPRODUCT(N19:N23,O19:O23)/N18</f>
        <v>15.252882293583429</v>
      </c>
      <c r="P18" s="92">
        <f>O18/M18</f>
        <v>1.1295732584470806</v>
      </c>
      <c r="Q18" s="91">
        <f>SUM(Q19:Q23)</f>
        <v>1106.665</v>
      </c>
      <c r="R18" s="91">
        <f>SUMPRODUCT(Q19:Q23,R19:R23)/Q18</f>
        <v>15.02</v>
      </c>
      <c r="S18" s="91">
        <f>SUM(S19:S23)</f>
        <v>1106.665</v>
      </c>
      <c r="T18" s="91">
        <f>SUMPRODUCT(S19:S23,T19:T23)/S18</f>
        <v>17.010000000000002</v>
      </c>
      <c r="U18" s="92">
        <f>T18/R18</f>
        <v>1.1324900133155793</v>
      </c>
      <c r="V18" s="172">
        <f t="shared" si="2"/>
        <v>1.1123650671197285</v>
      </c>
    </row>
    <row r="19" spans="1:22" hidden="1">
      <c r="A19" s="90" t="s">
        <v>32</v>
      </c>
      <c r="B19" s="91">
        <f>1.5/2</f>
        <v>0.75</v>
      </c>
      <c r="C19" s="91">
        <v>17.579999999999998</v>
      </c>
      <c r="D19" s="91">
        <f>B19</f>
        <v>0.75</v>
      </c>
      <c r="E19" s="91">
        <v>18.09</v>
      </c>
      <c r="F19" s="92">
        <f>(E19*D19)/(C19*B19)</f>
        <v>1.0290102389078499</v>
      </c>
      <c r="G19" s="91"/>
      <c r="H19" s="91"/>
      <c r="I19" s="91"/>
      <c r="J19" s="91"/>
      <c r="K19" s="92"/>
      <c r="L19" s="91">
        <f>5285.17/2-3028.63/2-2147.25/2</f>
        <v>54.644999999999982</v>
      </c>
      <c r="M19" s="91">
        <v>7.52</v>
      </c>
      <c r="N19" s="91">
        <f>L19</f>
        <v>54.644999999999982</v>
      </c>
      <c r="O19" s="91">
        <v>7.77</v>
      </c>
      <c r="P19" s="92">
        <f>(O19*N19)/(M19*L19)</f>
        <v>1.0332446808510638</v>
      </c>
      <c r="Q19" s="91"/>
      <c r="R19" s="91"/>
      <c r="S19" s="91"/>
      <c r="T19" s="91"/>
      <c r="U19" s="98"/>
      <c r="V19" s="172">
        <f t="shared" si="2"/>
        <v>1.0302788844621515</v>
      </c>
    </row>
    <row r="20" spans="1:22" hidden="1">
      <c r="A20" s="90" t="s">
        <v>33</v>
      </c>
      <c r="B20" s="91">
        <f>2194.46/2-31.2/2-2113.85/2</f>
        <v>24.705000000000155</v>
      </c>
      <c r="C20" s="91">
        <v>8.32</v>
      </c>
      <c r="D20" s="91">
        <f>B20</f>
        <v>24.705000000000155</v>
      </c>
      <c r="E20" s="91">
        <v>9.77</v>
      </c>
      <c r="F20" s="92">
        <f>(E20*D20)/(C20*B20)</f>
        <v>1.1742788461538463</v>
      </c>
      <c r="G20" s="91"/>
      <c r="H20" s="91"/>
      <c r="I20" s="91"/>
      <c r="J20" s="91"/>
      <c r="K20" s="92"/>
      <c r="L20" s="91">
        <f>183.61/2</f>
        <v>91.805000000000007</v>
      </c>
      <c r="M20" s="91">
        <v>1.26</v>
      </c>
      <c r="N20" s="91">
        <f>L20</f>
        <v>91.805000000000007</v>
      </c>
      <c r="O20" s="91">
        <v>1.33</v>
      </c>
      <c r="P20" s="92">
        <f>(O20*N20)/(M20*L20)</f>
        <v>1.0555555555555556</v>
      </c>
      <c r="Q20" s="91"/>
      <c r="R20" s="91"/>
      <c r="S20" s="91"/>
      <c r="T20" s="91"/>
      <c r="U20" s="98"/>
      <c r="V20" s="172">
        <f t="shared" si="2"/>
        <v>1.1586638830897704</v>
      </c>
    </row>
    <row r="21" spans="1:22" hidden="1">
      <c r="A21" s="90" t="s">
        <v>34</v>
      </c>
      <c r="B21" s="91">
        <f>38081.57/2-37759/2</f>
        <v>161.28499999999985</v>
      </c>
      <c r="C21" s="91">
        <v>1.44</v>
      </c>
      <c r="D21" s="91">
        <f>B21</f>
        <v>161.28499999999985</v>
      </c>
      <c r="E21" s="91">
        <v>1.66</v>
      </c>
      <c r="F21" s="92">
        <f>(E21*D21)/(C21*B21)</f>
        <v>1.1527777777777777</v>
      </c>
      <c r="G21" s="91"/>
      <c r="H21" s="91"/>
      <c r="I21" s="91"/>
      <c r="J21" s="91"/>
      <c r="K21" s="92"/>
      <c r="L21" s="91">
        <f>188.11/2</f>
        <v>94.055000000000007</v>
      </c>
      <c r="M21" s="91">
        <v>5.64</v>
      </c>
      <c r="N21" s="91">
        <f>L21</f>
        <v>94.055000000000007</v>
      </c>
      <c r="O21" s="91">
        <v>6.21</v>
      </c>
      <c r="P21" s="92">
        <f>(O21*N21)/(M21*L21)</f>
        <v>1.1010638297872342</v>
      </c>
      <c r="Q21" s="91"/>
      <c r="R21" s="91"/>
      <c r="S21" s="91"/>
      <c r="T21" s="91"/>
      <c r="U21" s="98"/>
      <c r="V21" s="172">
        <f t="shared" si="2"/>
        <v>1.1115819209039548</v>
      </c>
    </row>
    <row r="22" spans="1:22" hidden="1">
      <c r="A22" s="90" t="s">
        <v>35</v>
      </c>
      <c r="B22" s="91">
        <f>31590.53/2-31570.23/2</f>
        <v>10.149999999999636</v>
      </c>
      <c r="C22" s="91">
        <v>2.73</v>
      </c>
      <c r="D22" s="91">
        <f>B22</f>
        <v>10.149999999999636</v>
      </c>
      <c r="E22" s="91">
        <v>3.06</v>
      </c>
      <c r="F22" s="92">
        <f>(E22*D22)/(C22*B22)</f>
        <v>1.1208791208791209</v>
      </c>
      <c r="G22" s="91"/>
      <c r="H22" s="91"/>
      <c r="I22" s="91"/>
      <c r="J22" s="91"/>
      <c r="K22" s="92"/>
      <c r="L22" s="91"/>
      <c r="M22" s="91"/>
      <c r="N22" s="91"/>
      <c r="O22" s="91"/>
      <c r="P22" s="92"/>
      <c r="Q22" s="91"/>
      <c r="R22" s="91"/>
      <c r="S22" s="91"/>
      <c r="T22" s="91"/>
      <c r="U22" s="98"/>
      <c r="V22" s="172">
        <f t="shared" si="2"/>
        <v>1.1208791208791209</v>
      </c>
    </row>
    <row r="23" spans="1:22" hidden="1">
      <c r="A23" s="90" t="s">
        <v>36</v>
      </c>
      <c r="B23" s="91">
        <f>1841.99/2-112.35/2</f>
        <v>864.82</v>
      </c>
      <c r="C23" s="91">
        <v>31.77</v>
      </c>
      <c r="D23" s="91">
        <f>B23</f>
        <v>864.82</v>
      </c>
      <c r="E23" s="91">
        <v>35.03</v>
      </c>
      <c r="F23" s="92">
        <f>(E23*D23)/(C23*B23)</f>
        <v>1.102612527541706</v>
      </c>
      <c r="G23" s="91">
        <f>1465.96/2</f>
        <v>732.98</v>
      </c>
      <c r="H23" s="91">
        <v>31.77</v>
      </c>
      <c r="I23" s="91">
        <f>G23</f>
        <v>732.98</v>
      </c>
      <c r="J23" s="91">
        <v>35.03</v>
      </c>
      <c r="K23" s="92">
        <f>(J23*I23)/(H23*G23)</f>
        <v>1.102612527541706</v>
      </c>
      <c r="L23" s="91">
        <f>3028.63/2-140.24/2</f>
        <v>1444.1950000000002</v>
      </c>
      <c r="M23" s="91">
        <v>15.02</v>
      </c>
      <c r="N23" s="91">
        <f>L23</f>
        <v>1444.1950000000002</v>
      </c>
      <c r="O23" s="91">
        <v>17.010000000000002</v>
      </c>
      <c r="P23" s="92">
        <f>(O23*N23)/(M23*L23)</f>
        <v>1.1324900133155793</v>
      </c>
      <c r="Q23" s="91">
        <f>2213.33/2</f>
        <v>1106.665</v>
      </c>
      <c r="R23" s="91">
        <v>15.02</v>
      </c>
      <c r="S23" s="91">
        <f>Q23</f>
        <v>1106.665</v>
      </c>
      <c r="T23" s="91">
        <v>17.010000000000002</v>
      </c>
      <c r="U23" s="92">
        <f>(T23*S23)/(R23*Q23)</f>
        <v>1.1324900133155793</v>
      </c>
      <c r="V23" s="172">
        <f t="shared" si="2"/>
        <v>1.1122034622782648</v>
      </c>
    </row>
    <row r="24" spans="1:22">
      <c r="A24" s="97" t="s">
        <v>226</v>
      </c>
      <c r="B24" s="91">
        <f>SUM(B25:B27)</f>
        <v>2063.4050000000002</v>
      </c>
      <c r="C24" s="91">
        <f>SUMPRODUCT(B25:B27,C25:C27)/B24</f>
        <v>34.540719611515911</v>
      </c>
      <c r="D24" s="91">
        <f>SUM(D25:D27)</f>
        <v>2063.4050000000002</v>
      </c>
      <c r="E24" s="91">
        <f>SUMPRODUCT(D25:D27,E25:E27)/D24</f>
        <v>36.648427187100928</v>
      </c>
      <c r="F24" s="92">
        <f>E24/C24</f>
        <v>1.061020951482502</v>
      </c>
      <c r="G24" s="91">
        <f>SUM(G25:G27)</f>
        <v>950.94499999999994</v>
      </c>
      <c r="H24" s="91">
        <f>SUMPRODUCT(G25:G27,H25:H27)/G24</f>
        <v>20.93</v>
      </c>
      <c r="I24" s="91">
        <f>SUM(I25:I27)</f>
        <v>950.94499999999994</v>
      </c>
      <c r="J24" s="91">
        <f>SUMPRODUCT(I25:I27,J25:J27)/I24</f>
        <v>21.949328720378151</v>
      </c>
      <c r="K24" s="92">
        <f>J24/H24</f>
        <v>1.0487018022158696</v>
      </c>
      <c r="L24" s="91">
        <f>SUM(L25:L27)</f>
        <v>1945.2950000000001</v>
      </c>
      <c r="M24" s="91">
        <f>SUMPRODUCT(L25:L27,M25:M27)/L24</f>
        <v>27.691892052362235</v>
      </c>
      <c r="N24" s="91">
        <f>SUM(N25:N27)</f>
        <v>1945.2950000000001</v>
      </c>
      <c r="O24" s="91">
        <f>SUMPRODUCT(N25:N27,O25:O27)/N24</f>
        <v>29.914735271514086</v>
      </c>
      <c r="P24" s="92">
        <f>O24/M24</f>
        <v>1.0802705432676361</v>
      </c>
      <c r="Q24" s="91">
        <f>SUM(Q25:Q27)</f>
        <v>981.13499999999999</v>
      </c>
      <c r="R24" s="91">
        <f>SUMPRODUCT(Q25:Q27,R25:R27)/Q24</f>
        <v>18.59</v>
      </c>
      <c r="S24" s="91">
        <f>SUM(S25:S27)</f>
        <v>981.13499999999999</v>
      </c>
      <c r="T24" s="91">
        <f>SUMPRODUCT(S25:S27,T25:T27)/S24</f>
        <v>20.599652800073383</v>
      </c>
      <c r="U24" s="92">
        <f>T24/R24</f>
        <v>1.1081039698802251</v>
      </c>
      <c r="V24" s="172">
        <f t="shared" si="2"/>
        <v>1.0695865186909785</v>
      </c>
    </row>
    <row r="25" spans="1:22" hidden="1">
      <c r="A25" s="97" t="s">
        <v>56</v>
      </c>
      <c r="B25" s="91">
        <f>2180.07/2</f>
        <v>1090.0350000000001</v>
      </c>
      <c r="C25" s="91">
        <v>20.93</v>
      </c>
      <c r="D25" s="91">
        <f>B25</f>
        <v>1090.0350000000001</v>
      </c>
      <c r="E25" s="91">
        <v>21.92</v>
      </c>
      <c r="F25" s="92">
        <f>(E25*D25)/(C25*B25)</f>
        <v>1.0473005255613952</v>
      </c>
      <c r="G25" s="99">
        <f>1790.33/2</f>
        <v>895.16499999999996</v>
      </c>
      <c r="H25" s="99">
        <v>20.93</v>
      </c>
      <c r="I25" s="99">
        <f>G25</f>
        <v>895.16499999999996</v>
      </c>
      <c r="J25" s="99">
        <v>21.92</v>
      </c>
      <c r="K25" s="92">
        <f t="shared" ref="K25:K26" si="9">(J25*I25)/(H25*G25)</f>
        <v>1.0473005255613952</v>
      </c>
      <c r="L25" s="91">
        <f>2024.78/2</f>
        <v>1012.39</v>
      </c>
      <c r="M25" s="91">
        <v>18.59</v>
      </c>
      <c r="N25" s="91">
        <f>L25</f>
        <v>1012.39</v>
      </c>
      <c r="O25" s="91">
        <v>20.66</v>
      </c>
      <c r="P25" s="92">
        <f>(O25*N25)/(M25*L25)</f>
        <v>1.1113501882732653</v>
      </c>
      <c r="Q25" s="96">
        <f>1804.38/2</f>
        <v>902.19</v>
      </c>
      <c r="R25" s="96">
        <v>18.59</v>
      </c>
      <c r="S25" s="96">
        <f>Q25</f>
        <v>902.19</v>
      </c>
      <c r="T25" s="96">
        <v>20.66</v>
      </c>
      <c r="U25" s="92">
        <f t="shared" ref="U25:U26" si="10">T25/R25</f>
        <v>1.1113501882732653</v>
      </c>
      <c r="V25" s="172">
        <f t="shared" si="2"/>
        <v>1.077429149797571</v>
      </c>
    </row>
    <row r="26" spans="1:22" hidden="1">
      <c r="A26" s="97" t="s">
        <v>57</v>
      </c>
      <c r="B26" s="91">
        <f>396.74/2</f>
        <v>198.37</v>
      </c>
      <c r="C26" s="91">
        <v>40.299999999999997</v>
      </c>
      <c r="D26" s="91">
        <f>B26</f>
        <v>198.37</v>
      </c>
      <c r="E26" s="91">
        <v>43.11</v>
      </c>
      <c r="F26" s="92">
        <f>(E26*D26)/(C26*B26)</f>
        <v>1.069727047146402</v>
      </c>
      <c r="G26" s="99">
        <f>111.56/2</f>
        <v>55.78</v>
      </c>
      <c r="H26" s="99">
        <v>20.93</v>
      </c>
      <c r="I26" s="99">
        <f t="shared" ref="I26" si="11">G26</f>
        <v>55.78</v>
      </c>
      <c r="J26" s="99">
        <v>22.42</v>
      </c>
      <c r="K26" s="92">
        <f t="shared" si="9"/>
        <v>1.071189679885332</v>
      </c>
      <c r="L26" s="91">
        <f>580.81/2</f>
        <v>290.40499999999997</v>
      </c>
      <c r="M26" s="91">
        <v>28.01</v>
      </c>
      <c r="N26" s="91">
        <f t="shared" ref="N26:N27" si="12">L26</f>
        <v>290.40499999999997</v>
      </c>
      <c r="O26" s="91">
        <v>29.71</v>
      </c>
      <c r="P26" s="92">
        <f t="shared" ref="P26:P27" si="13">(O26*N26)/(M26*L26)</f>
        <v>1.0606926097822207</v>
      </c>
      <c r="Q26" s="96">
        <f>157.89/2</f>
        <v>78.944999999999993</v>
      </c>
      <c r="R26" s="96">
        <v>18.59</v>
      </c>
      <c r="S26" s="96">
        <f t="shared" ref="S26" si="14">Q26</f>
        <v>78.944999999999993</v>
      </c>
      <c r="T26" s="96">
        <v>19.91</v>
      </c>
      <c r="U26" s="92">
        <f t="shared" si="10"/>
        <v>1.0710059171597632</v>
      </c>
      <c r="V26" s="172">
        <f t="shared" si="2"/>
        <v>1.0660225442834137</v>
      </c>
    </row>
    <row r="27" spans="1:22" hidden="1">
      <c r="A27" s="97" t="s">
        <v>57</v>
      </c>
      <c r="B27" s="91">
        <v>775</v>
      </c>
      <c r="C27" s="91">
        <v>52.21</v>
      </c>
      <c r="D27" s="91">
        <f>B27</f>
        <v>775</v>
      </c>
      <c r="E27" s="91">
        <v>55.71</v>
      </c>
      <c r="F27" s="92">
        <f>(E27*D27)/(C27*B27)</f>
        <v>1.0670369660984487</v>
      </c>
      <c r="G27" s="99"/>
      <c r="H27" s="99"/>
      <c r="I27" s="99"/>
      <c r="J27" s="99"/>
      <c r="K27" s="92"/>
      <c r="L27" s="91">
        <f>1285/2</f>
        <v>642.5</v>
      </c>
      <c r="M27" s="91">
        <v>41.89</v>
      </c>
      <c r="N27" s="91">
        <f t="shared" si="12"/>
        <v>642.5</v>
      </c>
      <c r="O27" s="91">
        <v>44.59</v>
      </c>
      <c r="P27" s="92">
        <f t="shared" si="13"/>
        <v>1.0644545237526857</v>
      </c>
      <c r="Q27" s="96"/>
      <c r="R27" s="96"/>
      <c r="S27" s="96"/>
      <c r="T27" s="96"/>
      <c r="U27" s="92"/>
      <c r="V27" s="172">
        <f t="shared" si="2"/>
        <v>1.0658873538788525</v>
      </c>
    </row>
    <row r="28" spans="1:22">
      <c r="A28" s="97" t="s">
        <v>227</v>
      </c>
      <c r="B28" s="100">
        <f>SUM(B29:B31)</f>
        <v>1920.192</v>
      </c>
      <c r="C28" s="100">
        <f>SUMPRODUCT(B29:B31,C29:C31)/B28</f>
        <v>10.247535871412859</v>
      </c>
      <c r="D28" s="100">
        <f>SUM(D29:D31)</f>
        <v>1920.192</v>
      </c>
      <c r="E28" s="100">
        <f>SUMPRODUCT(D29:D31,E29:E31)/D28</f>
        <v>10.308914108589143</v>
      </c>
      <c r="F28" s="101">
        <f>E28/C28</f>
        <v>1.0059895606072</v>
      </c>
      <c r="G28" s="100">
        <f>SUM(G29:G31)</f>
        <v>726.42499999999995</v>
      </c>
      <c r="H28" s="100">
        <f>SUMPRODUCT(G29:G31,H29:H31)/G28</f>
        <v>17.2</v>
      </c>
      <c r="I28" s="100">
        <f>SUM(I29:I31)</f>
        <v>726.42499999999995</v>
      </c>
      <c r="J28" s="100">
        <f>SUMPRODUCT(I29:I31,J29:J31)/I28</f>
        <v>17.3</v>
      </c>
      <c r="K28" s="101">
        <f>J28/H28</f>
        <v>1.0058139534883721</v>
      </c>
      <c r="L28" s="91">
        <f>SUM(L29:L31)</f>
        <v>1977.0435000000002</v>
      </c>
      <c r="M28" s="91">
        <f>SUMPRODUCT(L29:L31,M29:M31)/L28</f>
        <v>14.11663817715695</v>
      </c>
      <c r="N28" s="91">
        <f>SUM(N29:N31)</f>
        <v>1977.0435000000002</v>
      </c>
      <c r="O28" s="91">
        <f>SUMPRODUCT(N29:N31,O29:O31)/N28</f>
        <v>15.078327629108816</v>
      </c>
      <c r="P28" s="92">
        <f>O28/M28</f>
        <v>1.0681245378597319</v>
      </c>
      <c r="Q28" s="91">
        <f>SUM(Q29:Q31)</f>
        <v>1250.8565000000001</v>
      </c>
      <c r="R28" s="91">
        <f>SUMPRODUCT(Q29:Q31,R29:R31)/Q28</f>
        <v>17.18</v>
      </c>
      <c r="S28" s="91">
        <f>SUM(S29:S31)</f>
        <v>1250.8565000000001</v>
      </c>
      <c r="T28" s="91">
        <f>SUMPRODUCT(S29:S31,T29:T31)/S28</f>
        <v>18.7</v>
      </c>
      <c r="U28" s="92">
        <f>T28/R28</f>
        <v>1.0884749708963912</v>
      </c>
      <c r="V28" s="172">
        <f t="shared" si="2"/>
        <v>1.0419906575568156</v>
      </c>
    </row>
    <row r="29" spans="1:22" hidden="1">
      <c r="A29" s="97" t="s">
        <v>16</v>
      </c>
      <c r="B29" s="91">
        <v>709.11199999999997</v>
      </c>
      <c r="C29" s="91">
        <v>5.45</v>
      </c>
      <c r="D29" s="91">
        <f>B29</f>
        <v>709.11199999999997</v>
      </c>
      <c r="E29" s="91">
        <v>5.45</v>
      </c>
      <c r="F29" s="92">
        <f>(E29*D29)/(C29*B29)</f>
        <v>1</v>
      </c>
      <c r="G29" s="95"/>
      <c r="H29" s="95"/>
      <c r="I29" s="95"/>
      <c r="J29" s="95"/>
      <c r="K29" s="92"/>
      <c r="L29" s="91">
        <v>726.18700000000001</v>
      </c>
      <c r="M29" s="91">
        <v>8.84</v>
      </c>
      <c r="N29" s="91">
        <f>L29</f>
        <v>726.18700000000001</v>
      </c>
      <c r="O29" s="91">
        <v>8.84</v>
      </c>
      <c r="P29" s="92">
        <f>(O29*N29)/(M29*L29)</f>
        <v>1</v>
      </c>
      <c r="Q29" s="96"/>
      <c r="R29" s="96"/>
      <c r="S29" s="96"/>
      <c r="T29" s="96"/>
      <c r="U29" s="98"/>
      <c r="V29" s="172">
        <f t="shared" si="2"/>
        <v>1</v>
      </c>
    </row>
    <row r="30" spans="1:22" hidden="1">
      <c r="A30" s="97" t="s">
        <v>16</v>
      </c>
      <c r="B30" s="91">
        <v>325</v>
      </c>
      <c r="C30" s="91">
        <v>1.76</v>
      </c>
      <c r="D30" s="91">
        <v>325</v>
      </c>
      <c r="E30" s="91">
        <v>1.85</v>
      </c>
      <c r="F30" s="92">
        <f>(E30*D30)/(C30*B30)</f>
        <v>1.0511363636363635</v>
      </c>
      <c r="G30" s="95"/>
      <c r="H30" s="95"/>
      <c r="I30" s="95"/>
      <c r="J30" s="95"/>
      <c r="K30" s="92"/>
      <c r="L30" s="91"/>
      <c r="M30" s="91"/>
      <c r="N30" s="91"/>
      <c r="O30" s="91"/>
      <c r="P30" s="92"/>
      <c r="Q30" s="96"/>
      <c r="R30" s="96"/>
      <c r="S30" s="96"/>
      <c r="T30" s="96"/>
      <c r="U30" s="98"/>
      <c r="V30" s="172">
        <f t="shared" si="2"/>
        <v>1.0511363636363638</v>
      </c>
    </row>
    <row r="31" spans="1:22" hidden="1">
      <c r="A31" s="97" t="s">
        <v>17</v>
      </c>
      <c r="B31" s="91">
        <v>886.08</v>
      </c>
      <c r="C31" s="91">
        <v>17.2</v>
      </c>
      <c r="D31" s="91">
        <f>B31</f>
        <v>886.08</v>
      </c>
      <c r="E31" s="91">
        <v>17.3</v>
      </c>
      <c r="F31" s="92">
        <f>(E31*D31)/(C31*B31)</f>
        <v>1.0058139534883721</v>
      </c>
      <c r="G31" s="95">
        <v>726.42499999999995</v>
      </c>
      <c r="H31" s="95">
        <v>17.2</v>
      </c>
      <c r="I31" s="95">
        <f>G31</f>
        <v>726.42499999999995</v>
      </c>
      <c r="J31" s="95">
        <v>17.3</v>
      </c>
      <c r="K31" s="92">
        <f t="shared" ref="K31" si="15">(J31*I31)/(H31*G31)</f>
        <v>1.0058139534883723</v>
      </c>
      <c r="L31" s="91">
        <f>2501.713/2</f>
        <v>1250.8565000000001</v>
      </c>
      <c r="M31" s="91">
        <v>17.18</v>
      </c>
      <c r="N31" s="91">
        <f>L31</f>
        <v>1250.8565000000001</v>
      </c>
      <c r="O31" s="91">
        <v>18.7</v>
      </c>
      <c r="P31" s="92">
        <f>(O31*N31)/(M31*L31)</f>
        <v>1.088474970896391</v>
      </c>
      <c r="Q31" s="91">
        <f>2501.713/2</f>
        <v>1250.8565000000001</v>
      </c>
      <c r="R31" s="91">
        <v>17.18</v>
      </c>
      <c r="S31" s="91">
        <f>Q31</f>
        <v>1250.8565000000001</v>
      </c>
      <c r="T31" s="91">
        <v>18.7</v>
      </c>
      <c r="U31" s="92">
        <f>(T31*S31)/(R31*Q31)</f>
        <v>1.088474970896391</v>
      </c>
      <c r="V31" s="172">
        <f t="shared" si="2"/>
        <v>1.0471204188481678</v>
      </c>
    </row>
    <row r="32" spans="1:22">
      <c r="A32" s="97" t="s">
        <v>228</v>
      </c>
      <c r="B32" s="102">
        <f>SUM(B33:B39)</f>
        <v>14057.858999999999</v>
      </c>
      <c r="C32" s="102">
        <f>SUMPRODUCT(B33:B39,C33:C39)/B32</f>
        <v>22.253153259682005</v>
      </c>
      <c r="D32" s="102">
        <f>SUM(D33:D39)</f>
        <v>14057.858999999999</v>
      </c>
      <c r="E32" s="102">
        <f>SUMPRODUCT(D33:D39,E33:E39)/D32</f>
        <v>23.396490445664597</v>
      </c>
      <c r="F32" s="103">
        <f>E32/C32</f>
        <v>1.0513786595832275</v>
      </c>
      <c r="G32" s="102">
        <f>SUM(G33:G39)</f>
        <v>3254.8249999999998</v>
      </c>
      <c r="H32" s="102">
        <f>SUMPRODUCT(G33:G39,H33:H39)/G32</f>
        <v>22.297321054127334</v>
      </c>
      <c r="I32" s="102">
        <f>SUM(I33:I39)</f>
        <v>3254.8249999999998</v>
      </c>
      <c r="J32" s="102">
        <f>SUMPRODUCT(I33:I39,J33:J39)/I32</f>
        <v>23.47</v>
      </c>
      <c r="K32" s="103">
        <f>J32/H32</f>
        <v>1.0525928179006776</v>
      </c>
      <c r="L32" s="102">
        <f>SUM(L33:L39)</f>
        <v>10083.5365</v>
      </c>
      <c r="M32" s="102">
        <f>SUMPRODUCT(L33:L39,M33:M39)/L32</f>
        <v>22.653672788311916</v>
      </c>
      <c r="N32" s="102">
        <f>SUM(N33:N39)</f>
        <v>10083.5365</v>
      </c>
      <c r="O32" s="102">
        <f>SUMPRODUCT(N33:N39,O33:O39)/N32</f>
        <v>23.752836426485885</v>
      </c>
      <c r="P32" s="103">
        <f>O32/M32</f>
        <v>1.048520328180121</v>
      </c>
      <c r="Q32" s="102">
        <f>SUM(Q33:Q39)</f>
        <v>5227.2150000000001</v>
      </c>
      <c r="R32" s="102">
        <f>SUMPRODUCT(Q33:Q39,R33:R39)/Q32</f>
        <v>21.687294371859583</v>
      </c>
      <c r="S32" s="102">
        <f>SUM(S33:S39)</f>
        <v>5227.2150000000001</v>
      </c>
      <c r="T32" s="102">
        <f>SUMPRODUCT(S33:S39,T33:T39)/S32</f>
        <v>22.894135959588422</v>
      </c>
      <c r="U32" s="103">
        <f>T32/R32</f>
        <v>1.0556474019781268</v>
      </c>
      <c r="V32" s="172">
        <f t="shared" si="2"/>
        <v>1.049936747294496</v>
      </c>
    </row>
    <row r="33" spans="1:22" ht="26.25" hidden="1">
      <c r="A33" s="104" t="s">
        <v>181</v>
      </c>
      <c r="B33" s="105">
        <f>25724.898/2-3100/2</f>
        <v>11312.449000000001</v>
      </c>
      <c r="C33" s="105">
        <v>22.27</v>
      </c>
      <c r="D33" s="105">
        <f>B33</f>
        <v>11312.449000000001</v>
      </c>
      <c r="E33" s="105">
        <v>23.47</v>
      </c>
      <c r="F33" s="106">
        <f>(E33*D33)/(C33*B33)</f>
        <v>1.053884149079479</v>
      </c>
      <c r="G33" s="102">
        <f>5323.98/2</f>
        <v>2661.99</v>
      </c>
      <c r="H33" s="102">
        <v>22.27</v>
      </c>
      <c r="I33" s="102">
        <f>G33</f>
        <v>2661.99</v>
      </c>
      <c r="J33" s="102">
        <v>23.47</v>
      </c>
      <c r="K33" s="103">
        <f>(J33*I33)/(H33*G33)</f>
        <v>1.053884149079479</v>
      </c>
      <c r="L33" s="102">
        <f>17258/2</f>
        <v>8629</v>
      </c>
      <c r="M33" s="102">
        <v>22.13</v>
      </c>
      <c r="N33" s="102">
        <f>L33</f>
        <v>8629</v>
      </c>
      <c r="O33" s="102">
        <v>23.24</v>
      </c>
      <c r="P33" s="103">
        <f>(O33*N33)/(M33*L33)</f>
        <v>1.0501581563488478</v>
      </c>
      <c r="Q33" s="107">
        <f>8520/2</f>
        <v>4260</v>
      </c>
      <c r="R33" s="107">
        <v>22.13</v>
      </c>
      <c r="S33" s="107">
        <f>Q33</f>
        <v>4260</v>
      </c>
      <c r="T33" s="107">
        <v>23.24</v>
      </c>
      <c r="U33" s="103">
        <f t="shared" ref="U33:U39" si="16">(T33*S33)/(R33*Q33)</f>
        <v>1.0501581563488476</v>
      </c>
      <c r="V33" s="172">
        <f t="shared" si="2"/>
        <v>1.0520270270270269</v>
      </c>
    </row>
    <row r="34" spans="1:22" ht="26.25" hidden="1">
      <c r="A34" s="104" t="s">
        <v>182</v>
      </c>
      <c r="B34" s="105">
        <f>2510/2</f>
        <v>1255</v>
      </c>
      <c r="C34" s="105">
        <v>2.1</v>
      </c>
      <c r="D34" s="105">
        <f>B34</f>
        <v>1255</v>
      </c>
      <c r="E34" s="105">
        <v>2.96</v>
      </c>
      <c r="F34" s="106">
        <f>(E34*D34)/(C34*B34)</f>
        <v>1.4095238095238096</v>
      </c>
      <c r="G34" s="102"/>
      <c r="H34" s="102"/>
      <c r="I34" s="102"/>
      <c r="J34" s="102"/>
      <c r="K34" s="108"/>
      <c r="L34" s="102"/>
      <c r="M34" s="102"/>
      <c r="N34" s="102"/>
      <c r="O34" s="102"/>
      <c r="P34" s="108"/>
      <c r="Q34" s="102"/>
      <c r="R34" s="102"/>
      <c r="S34" s="102"/>
      <c r="T34" s="102"/>
      <c r="U34" s="108"/>
      <c r="V34" s="172">
        <f t="shared" si="2"/>
        <v>1.4095238095238094</v>
      </c>
    </row>
    <row r="35" spans="1:22" hidden="1">
      <c r="A35" s="97" t="s">
        <v>188</v>
      </c>
      <c r="B35" s="100">
        <f>2.09/2</f>
        <v>1.0449999999999999</v>
      </c>
      <c r="C35" s="100">
        <v>5.62</v>
      </c>
      <c r="D35" s="100">
        <f>B35</f>
        <v>1.0449999999999999</v>
      </c>
      <c r="E35" s="100">
        <v>5.77</v>
      </c>
      <c r="F35" s="101">
        <f>(E35*D35)/(C35*B35)</f>
        <v>1.0266903914590746</v>
      </c>
      <c r="G35" s="91"/>
      <c r="H35" s="91"/>
      <c r="I35" s="91"/>
      <c r="J35" s="91"/>
      <c r="K35" s="92"/>
      <c r="L35" s="91"/>
      <c r="M35" s="91"/>
      <c r="N35" s="91"/>
      <c r="O35" s="91"/>
      <c r="P35" s="92"/>
      <c r="Q35" s="109"/>
      <c r="R35" s="109"/>
      <c r="S35" s="109"/>
      <c r="T35" s="109"/>
      <c r="U35" s="101"/>
      <c r="V35" s="172">
        <f t="shared" si="2"/>
        <v>1.0266903914590746</v>
      </c>
    </row>
    <row r="36" spans="1:22" hidden="1">
      <c r="A36" s="97" t="s">
        <v>53</v>
      </c>
      <c r="B36" s="100">
        <f>136.84/2</f>
        <v>68.42</v>
      </c>
      <c r="C36" s="100">
        <v>75.14</v>
      </c>
      <c r="D36" s="100">
        <f>B36</f>
        <v>68.42</v>
      </c>
      <c r="E36" s="100">
        <v>76.77</v>
      </c>
      <c r="F36" s="101">
        <f t="shared" ref="F36:F38" si="17">(E36*D36)/(C36*B36)</f>
        <v>1.0216928400319403</v>
      </c>
      <c r="G36" s="91"/>
      <c r="H36" s="91"/>
      <c r="I36" s="91"/>
      <c r="J36" s="91"/>
      <c r="K36" s="92"/>
      <c r="L36" s="91">
        <f>136.84/2</f>
        <v>68.42</v>
      </c>
      <c r="M36" s="91">
        <v>72.7</v>
      </c>
      <c r="N36" s="91">
        <f>L36</f>
        <v>68.42</v>
      </c>
      <c r="O36" s="91">
        <v>76.040000000000006</v>
      </c>
      <c r="P36" s="92">
        <f t="shared" ref="P36:P38" si="18">(O36*N36)/(M36*L36)</f>
        <v>1.0459422283356259</v>
      </c>
      <c r="Q36" s="109"/>
      <c r="R36" s="109"/>
      <c r="S36" s="110"/>
      <c r="T36" s="109"/>
      <c r="U36" s="101"/>
      <c r="V36" s="172">
        <f t="shared" si="2"/>
        <v>1.0336174242424243</v>
      </c>
    </row>
    <row r="37" spans="1:22" hidden="1">
      <c r="A37" s="97" t="s">
        <v>189</v>
      </c>
      <c r="B37" s="100">
        <f>98.19/2</f>
        <v>49.094999999999999</v>
      </c>
      <c r="C37" s="100">
        <v>87.02</v>
      </c>
      <c r="D37" s="100">
        <f t="shared" ref="D37:D38" si="19">B37</f>
        <v>49.094999999999999</v>
      </c>
      <c r="E37" s="100">
        <v>96.16</v>
      </c>
      <c r="F37" s="101">
        <f t="shared" si="17"/>
        <v>1.1050333256722591</v>
      </c>
      <c r="G37" s="91">
        <f>29.56/2</f>
        <v>14.78</v>
      </c>
      <c r="H37" s="91">
        <v>22.42</v>
      </c>
      <c r="I37" s="91">
        <f t="shared" ref="I37:I38" si="20">G37</f>
        <v>14.78</v>
      </c>
      <c r="J37" s="91">
        <v>23.47</v>
      </c>
      <c r="K37" s="92">
        <f t="shared" ref="K37:K39" si="21">(J37*I37)/(H37*G37)</f>
        <v>1.0468331846565564</v>
      </c>
      <c r="L37" s="91">
        <f>69.6/2</f>
        <v>34.799999999999997</v>
      </c>
      <c r="M37" s="91">
        <v>54.98</v>
      </c>
      <c r="N37" s="91">
        <f t="shared" ref="N37:N38" si="22">L37</f>
        <v>34.799999999999997</v>
      </c>
      <c r="O37" s="91">
        <v>59.27</v>
      </c>
      <c r="P37" s="92">
        <f t="shared" si="18"/>
        <v>1.0780283739541654</v>
      </c>
      <c r="Q37" s="109">
        <f>44.1/2</f>
        <v>22.05</v>
      </c>
      <c r="R37" s="109">
        <v>15.77</v>
      </c>
      <c r="S37" s="110">
        <f t="shared" ref="S37:S38" si="23">Q37</f>
        <v>22.05</v>
      </c>
      <c r="T37" s="109">
        <v>16.510000000000002</v>
      </c>
      <c r="U37" s="101">
        <f t="shared" ref="U37:U38" si="24">T37/R37</f>
        <v>1.0469245402663285</v>
      </c>
      <c r="V37" s="172">
        <f t="shared" si="2"/>
        <v>1.0945774647887325</v>
      </c>
    </row>
    <row r="38" spans="1:22" hidden="1">
      <c r="A38" s="97" t="s">
        <v>190</v>
      </c>
      <c r="B38" s="100">
        <f>56.1/2</f>
        <v>28.05</v>
      </c>
      <c r="C38" s="100">
        <v>40.299999999999997</v>
      </c>
      <c r="D38" s="100">
        <f t="shared" si="19"/>
        <v>28.05</v>
      </c>
      <c r="E38" s="100">
        <v>43.11</v>
      </c>
      <c r="F38" s="101">
        <f t="shared" si="17"/>
        <v>1.069727047146402</v>
      </c>
      <c r="G38" s="91">
        <f>36.11/2</f>
        <v>18.055</v>
      </c>
      <c r="H38" s="91">
        <v>22.42</v>
      </c>
      <c r="I38" s="91">
        <f t="shared" si="20"/>
        <v>18.055</v>
      </c>
      <c r="J38" s="91">
        <v>23.47</v>
      </c>
      <c r="K38" s="92">
        <f t="shared" si="21"/>
        <v>1.0468331846565564</v>
      </c>
      <c r="L38" s="91">
        <f>73.9/2</f>
        <v>36.950000000000003</v>
      </c>
      <c r="M38" s="91">
        <v>28.01</v>
      </c>
      <c r="N38" s="91">
        <f t="shared" si="22"/>
        <v>36.950000000000003</v>
      </c>
      <c r="O38" s="91">
        <v>29.71</v>
      </c>
      <c r="P38" s="92">
        <f t="shared" si="18"/>
        <v>1.0606926097822207</v>
      </c>
      <c r="Q38" s="110">
        <f>40.33/2</f>
        <v>20.164999999999999</v>
      </c>
      <c r="R38" s="109">
        <v>19.829999999999998</v>
      </c>
      <c r="S38" s="110">
        <f t="shared" si="23"/>
        <v>20.164999999999999</v>
      </c>
      <c r="T38" s="109">
        <v>20.76</v>
      </c>
      <c r="U38" s="101">
        <f t="shared" si="24"/>
        <v>1.0468986384266266</v>
      </c>
      <c r="V38" s="172">
        <f t="shared" si="2"/>
        <v>1.0660225442834137</v>
      </c>
    </row>
    <row r="39" spans="1:22" ht="26.25" hidden="1">
      <c r="A39" s="104" t="s">
        <v>183</v>
      </c>
      <c r="B39" s="105">
        <f>2687.6/2</f>
        <v>1343.8</v>
      </c>
      <c r="C39" s="105">
        <v>35.51</v>
      </c>
      <c r="D39" s="105">
        <f>B39</f>
        <v>1343.8</v>
      </c>
      <c r="E39" s="105">
        <v>36.090000000000003</v>
      </c>
      <c r="F39" s="106">
        <f>(E39*D39)/(C39*B39)</f>
        <v>1.0163334272036049</v>
      </c>
      <c r="G39" s="102">
        <f>1120/2</f>
        <v>560</v>
      </c>
      <c r="H39" s="102">
        <v>22.42</v>
      </c>
      <c r="I39" s="102">
        <f>G39</f>
        <v>560</v>
      </c>
      <c r="J39" s="102">
        <v>23.47</v>
      </c>
      <c r="K39" s="103">
        <f t="shared" si="21"/>
        <v>1.0468331846565564</v>
      </c>
      <c r="L39" s="102">
        <f>2628.733/2</f>
        <v>1314.3665000000001</v>
      </c>
      <c r="M39" s="102">
        <v>22.48</v>
      </c>
      <c r="N39" s="102">
        <f>L39</f>
        <v>1314.3665000000001</v>
      </c>
      <c r="O39" s="102">
        <v>23.29</v>
      </c>
      <c r="P39" s="103">
        <f>(O39*N39)/(M39*L39)</f>
        <v>1.0360320284697508</v>
      </c>
      <c r="Q39" s="102">
        <f>1850/2</f>
        <v>925</v>
      </c>
      <c r="R39" s="102">
        <v>19.829999999999998</v>
      </c>
      <c r="S39" s="102">
        <f>Q39</f>
        <v>925</v>
      </c>
      <c r="T39" s="102">
        <v>21.5</v>
      </c>
      <c r="U39" s="103">
        <f t="shared" si="16"/>
        <v>1.0842158345940494</v>
      </c>
      <c r="V39" s="172">
        <f t="shared" si="2"/>
        <v>1.0239696499396449</v>
      </c>
    </row>
    <row r="40" spans="1:22">
      <c r="A40" s="97" t="s">
        <v>229</v>
      </c>
      <c r="B40" s="102">
        <f>SUM(B41:B44)</f>
        <v>3236.6355000000003</v>
      </c>
      <c r="C40" s="102">
        <f>SUMPRODUCT(B41:B44,C41:C44)/B40</f>
        <v>35.354605815205325</v>
      </c>
      <c r="D40" s="102">
        <f>SUM(D41:D44)</f>
        <v>3236.6355000000003</v>
      </c>
      <c r="E40" s="102">
        <f>SUMPRODUCT(D41:D44,E41:E44)/D40</f>
        <v>36.722097984156697</v>
      </c>
      <c r="F40" s="103">
        <f>E40/C40</f>
        <v>1.0386793216165131</v>
      </c>
      <c r="G40" s="102">
        <f>SUM(G41:G44)</f>
        <v>1395.8589999999999</v>
      </c>
      <c r="H40" s="102">
        <f>SUMPRODUCT(G41:G44,H41:H44)/G40</f>
        <v>25.884590406337605</v>
      </c>
      <c r="I40" s="102">
        <f>SUM(I41:I44)</f>
        <v>1395.8589999999999</v>
      </c>
      <c r="J40" s="102">
        <f>SUMPRODUCT(I41:I44,J41:J44)/I40</f>
        <v>27.728352992673329</v>
      </c>
      <c r="K40" s="103">
        <f>J40/H40</f>
        <v>1.0712301240773854</v>
      </c>
      <c r="L40" s="102">
        <f>SUM(L41:L44)</f>
        <v>2313.84</v>
      </c>
      <c r="M40" s="102">
        <f>SUMPRODUCT(L41:L44,M41:M44)/L40</f>
        <v>28.00516375375998</v>
      </c>
      <c r="N40" s="102">
        <f>SUM(N41:N44)</f>
        <v>2313.84</v>
      </c>
      <c r="O40" s="102">
        <f>SUMPRODUCT(N41:N44,O41:O44)/N40</f>
        <v>29.100166951906786</v>
      </c>
      <c r="P40" s="103">
        <f>O40/M40</f>
        <v>1.039100046254855</v>
      </c>
      <c r="Q40" s="102">
        <f>SUM(Q41:Q44)</f>
        <v>1506.8549999999998</v>
      </c>
      <c r="R40" s="102">
        <f>SUMPRODUCT(Q41:Q44,R41:R44)/Q40</f>
        <v>23.163502958147934</v>
      </c>
      <c r="S40" s="102">
        <f>SUM(S41:S44)</f>
        <v>1506.8549999999998</v>
      </c>
      <c r="T40" s="102">
        <f>SUMPRODUCT(S41:S44,T41:T44)/S40</f>
        <v>24.802741272385198</v>
      </c>
      <c r="U40" s="103">
        <f>T40/R40</f>
        <v>1.070768152692581</v>
      </c>
      <c r="V40" s="172">
        <f t="shared" si="2"/>
        <v>1.0388652828735088</v>
      </c>
    </row>
    <row r="41" spans="1:22" ht="26.25" hidden="1">
      <c r="A41" s="104" t="s">
        <v>185</v>
      </c>
      <c r="B41" s="102">
        <f>3989.217/2</f>
        <v>1994.6085</v>
      </c>
      <c r="C41" s="102">
        <v>31.52</v>
      </c>
      <c r="D41" s="102">
        <f>B41</f>
        <v>1994.6085</v>
      </c>
      <c r="E41" s="102">
        <v>33.72</v>
      </c>
      <c r="F41" s="103">
        <f>(E41*D41)/(C41*B41)</f>
        <v>1.0697969543147208</v>
      </c>
      <c r="G41" s="102">
        <f>2428.56/2</f>
        <v>1214.28</v>
      </c>
      <c r="H41" s="102">
        <v>25.95</v>
      </c>
      <c r="I41" s="102">
        <f>G41</f>
        <v>1214.28</v>
      </c>
      <c r="J41" s="102">
        <v>27.8</v>
      </c>
      <c r="K41" s="103">
        <f>(J41*I41)/(H41*G41)</f>
        <v>1.071290944123314</v>
      </c>
      <c r="L41" s="102">
        <f>3445/2</f>
        <v>1722.5</v>
      </c>
      <c r="M41" s="102">
        <v>24.29</v>
      </c>
      <c r="N41" s="102">
        <f>L41</f>
        <v>1722.5</v>
      </c>
      <c r="O41" s="102">
        <v>25.13</v>
      </c>
      <c r="P41" s="103">
        <f>(O41*N41)/(M41*L41)</f>
        <v>1.0345821325648414</v>
      </c>
      <c r="Q41" s="107">
        <f>2448/2</f>
        <v>1224</v>
      </c>
      <c r="R41" s="107">
        <v>21.01</v>
      </c>
      <c r="S41" s="107">
        <f>2448/2</f>
        <v>1224</v>
      </c>
      <c r="T41" s="107">
        <v>22.5</v>
      </c>
      <c r="U41" s="103">
        <f t="shared" ref="U41:U45" si="25">T41/R41</f>
        <v>1.0709186101856258</v>
      </c>
      <c r="V41" s="172">
        <f t="shared" si="2"/>
        <v>1.0544705249955204</v>
      </c>
    </row>
    <row r="42" spans="1:22" ht="39" hidden="1">
      <c r="A42" s="104" t="s">
        <v>186</v>
      </c>
      <c r="B42" s="102">
        <f>21.42/2</f>
        <v>10.71</v>
      </c>
      <c r="C42" s="102">
        <v>16.059999999999999</v>
      </c>
      <c r="D42" s="102">
        <f>B42</f>
        <v>10.71</v>
      </c>
      <c r="E42" s="102">
        <v>16.059999999999999</v>
      </c>
      <c r="F42" s="103">
        <f>(E42*D42)/(C42*B42)</f>
        <v>1</v>
      </c>
      <c r="G42" s="102"/>
      <c r="H42" s="102"/>
      <c r="I42" s="102"/>
      <c r="J42" s="102"/>
      <c r="K42" s="108"/>
      <c r="L42" s="102"/>
      <c r="M42" s="102"/>
      <c r="N42" s="102"/>
      <c r="O42" s="102"/>
      <c r="P42" s="108"/>
      <c r="Q42" s="107">
        <f>18.93/2</f>
        <v>9.4649999999999999</v>
      </c>
      <c r="R42" s="107">
        <v>13.79</v>
      </c>
      <c r="S42" s="107">
        <f>Q42</f>
        <v>9.4649999999999999</v>
      </c>
      <c r="T42" s="107">
        <v>14.28</v>
      </c>
      <c r="U42" s="103">
        <f t="shared" si="25"/>
        <v>1.0355329949238579</v>
      </c>
      <c r="V42" s="172">
        <f t="shared" si="2"/>
        <v>1</v>
      </c>
    </row>
    <row r="43" spans="1:22" hidden="1">
      <c r="A43" s="97" t="s">
        <v>191</v>
      </c>
      <c r="B43" s="100">
        <f>27/2</f>
        <v>13.5</v>
      </c>
      <c r="C43" s="100">
        <v>40.299999999999997</v>
      </c>
      <c r="D43" s="100">
        <f>B43</f>
        <v>13.5</v>
      </c>
      <c r="E43" s="100">
        <v>43.11</v>
      </c>
      <c r="F43" s="92">
        <f t="shared" ref="F43" si="26">(E43*D43)/(C43*B43)</f>
        <v>1.0697270471464022</v>
      </c>
      <c r="G43" s="91">
        <f>18.62/2</f>
        <v>9.31</v>
      </c>
      <c r="H43" s="91">
        <v>25.95</v>
      </c>
      <c r="I43" s="91">
        <f>G43</f>
        <v>9.31</v>
      </c>
      <c r="J43" s="91">
        <v>27.79</v>
      </c>
      <c r="K43" s="92">
        <f t="shared" ref="K43:K44" si="27">(J43*I43)/(H43*G43)</f>
        <v>1.0709055876685933</v>
      </c>
      <c r="L43" s="91">
        <f>18.62/2</f>
        <v>9.31</v>
      </c>
      <c r="M43" s="91">
        <v>28.01</v>
      </c>
      <c r="N43" s="91">
        <f>L43</f>
        <v>9.31</v>
      </c>
      <c r="O43" s="91">
        <v>29.71</v>
      </c>
      <c r="P43" s="92">
        <f t="shared" ref="P43:P44" si="28">(O43*N43)/(M43*L43)</f>
        <v>1.0606926097822205</v>
      </c>
      <c r="Q43" s="111">
        <f>18.62/2</f>
        <v>9.31</v>
      </c>
      <c r="R43" s="111">
        <v>28.01</v>
      </c>
      <c r="S43" s="111">
        <f>Q43</f>
        <v>9.31</v>
      </c>
      <c r="T43" s="111">
        <v>29.71</v>
      </c>
      <c r="U43" s="103">
        <f t="shared" si="25"/>
        <v>1.0606926097822207</v>
      </c>
      <c r="V43" s="172">
        <f t="shared" si="2"/>
        <v>1.0660225442834137</v>
      </c>
    </row>
    <row r="44" spans="1:22" ht="26.25" hidden="1">
      <c r="A44" s="104" t="s">
        <v>187</v>
      </c>
      <c r="B44" s="102">
        <f>1217.817</f>
        <v>1217.817</v>
      </c>
      <c r="C44" s="102">
        <v>41.75</v>
      </c>
      <c r="D44" s="102">
        <f>B44</f>
        <v>1217.817</v>
      </c>
      <c r="E44" s="102">
        <f>41.75</f>
        <v>41.75</v>
      </c>
      <c r="F44" s="103">
        <f>(E44*D44)/(C44*B44)</f>
        <v>1</v>
      </c>
      <c r="G44" s="102">
        <f>344.538/2</f>
        <v>172.26900000000001</v>
      </c>
      <c r="H44" s="102">
        <v>25.42</v>
      </c>
      <c r="I44" s="102">
        <f t="shared" ref="I44" si="29">G44</f>
        <v>172.26900000000001</v>
      </c>
      <c r="J44" s="102">
        <v>27.22</v>
      </c>
      <c r="K44" s="103">
        <f t="shared" si="27"/>
        <v>1.0708103855232101</v>
      </c>
      <c r="L44" s="102">
        <f>1164.06/2</f>
        <v>582.03</v>
      </c>
      <c r="M44" s="102">
        <v>39</v>
      </c>
      <c r="N44" s="102">
        <f>L44</f>
        <v>582.03</v>
      </c>
      <c r="O44" s="102">
        <v>40.840000000000003</v>
      </c>
      <c r="P44" s="103">
        <f t="shared" si="28"/>
        <v>1.0471794871794873</v>
      </c>
      <c r="Q44" s="107">
        <f>528.16/2</f>
        <v>264.08</v>
      </c>
      <c r="R44" s="107">
        <v>33.31</v>
      </c>
      <c r="S44" s="107">
        <f>Q44</f>
        <v>264.08</v>
      </c>
      <c r="T44" s="107">
        <v>35.68</v>
      </c>
      <c r="U44" s="103">
        <f t="shared" si="25"/>
        <v>1.0711498048634043</v>
      </c>
      <c r="V44" s="172">
        <f t="shared" si="2"/>
        <v>1.0227863777089783</v>
      </c>
    </row>
    <row r="45" spans="1:22">
      <c r="A45" s="97" t="s">
        <v>201</v>
      </c>
      <c r="B45" s="91">
        <f>SUM(B46:B55)</f>
        <v>757.09556779499997</v>
      </c>
      <c r="C45" s="91">
        <f>SUMPRODUCT(B46:B55,C46:C55)/B45</f>
        <v>29.62297649837129</v>
      </c>
      <c r="D45" s="91">
        <f>SUM(D46:D55)</f>
        <v>757.09556779499997</v>
      </c>
      <c r="E45" s="91">
        <f>SUMPRODUCT(D46:D55,E46:E55)/D45</f>
        <v>31.070706939265101</v>
      </c>
      <c r="F45" s="92">
        <f>E45/C45</f>
        <v>1.0488718762266651</v>
      </c>
      <c r="G45" s="91">
        <f>SUM(G46:G55)</f>
        <v>460.14299999999997</v>
      </c>
      <c r="H45" s="91">
        <f>SUMPRODUCT(G46:G55,H46:H55)/G45</f>
        <v>22.718571879478738</v>
      </c>
      <c r="I45" s="91">
        <f>SUM(I46:I55)</f>
        <v>460.14299999999997</v>
      </c>
      <c r="J45" s="91">
        <f>SUMPRODUCT(I46:I55,J46:J55)/I45</f>
        <v>24.348573988071582</v>
      </c>
      <c r="K45" s="92">
        <f>J45/H45</f>
        <v>1.0717475604206088</v>
      </c>
      <c r="L45" s="91">
        <f>SUM(L46:L55)</f>
        <v>614.23799999999994</v>
      </c>
      <c r="M45" s="91">
        <f>SUMPRODUCT(L46:L55,M46:M55)/L45</f>
        <v>31.605080945822309</v>
      </c>
      <c r="N45" s="91">
        <f>SUM(N46:N55)</f>
        <v>614.23799999999994</v>
      </c>
      <c r="O45" s="91">
        <f>SUMPRODUCT(N46:N55,O46:O55)/N45</f>
        <v>33.870761642881106</v>
      </c>
      <c r="P45" s="92">
        <f>O45/M45</f>
        <v>1.0716872296876141</v>
      </c>
      <c r="Q45" s="91">
        <f>SUM(Q46:Q55)</f>
        <v>367.66250000000002</v>
      </c>
      <c r="R45" s="91">
        <f>SUMPRODUCT(Q46:Q55,R46:R55)/Q45</f>
        <v>23.109462744652863</v>
      </c>
      <c r="S45" s="91">
        <f>SUM(S46:S55)</f>
        <v>367.66250000000002</v>
      </c>
      <c r="T45" s="91">
        <f>SUMPRODUCT(S46:S55,T46:T55)/S45</f>
        <v>24.752614406059347</v>
      </c>
      <c r="U45" s="103">
        <f t="shared" si="25"/>
        <v>1.0711029797430787</v>
      </c>
      <c r="V45" s="172">
        <f t="shared" si="2"/>
        <v>1.0606488478151899</v>
      </c>
    </row>
    <row r="46" spans="1:22" hidden="1">
      <c r="A46" s="90" t="s">
        <v>70</v>
      </c>
      <c r="B46" s="91">
        <f>1079.32/2</f>
        <v>539.66</v>
      </c>
      <c r="C46" s="91">
        <v>27.7</v>
      </c>
      <c r="D46" s="91">
        <f>B46</f>
        <v>539.66</v>
      </c>
      <c r="E46" s="91">
        <v>28.94</v>
      </c>
      <c r="F46" s="92">
        <f>(E46*D46)/(C46*B46)</f>
        <v>1.0447653429602888</v>
      </c>
      <c r="G46" s="91">
        <f>680/2</f>
        <v>340</v>
      </c>
      <c r="H46" s="91">
        <f>26.5/1.18</f>
        <v>22.457627118644069</v>
      </c>
      <c r="I46" s="91">
        <f>G46</f>
        <v>340</v>
      </c>
      <c r="J46" s="91">
        <f>28.38/1.18</f>
        <v>24.050847457627118</v>
      </c>
      <c r="K46" s="92">
        <f>(J46*I46)/(H46*G46)</f>
        <v>1.070943396226415</v>
      </c>
      <c r="L46" s="91">
        <f>997.16/2</f>
        <v>498.58</v>
      </c>
      <c r="M46" s="91">
        <v>28.28</v>
      </c>
      <c r="N46" s="91">
        <f>L46</f>
        <v>498.58</v>
      </c>
      <c r="O46" s="91">
        <v>30.39</v>
      </c>
      <c r="P46" s="92">
        <f>(O46*N46)/(M46*L46)</f>
        <v>1.0746110325318246</v>
      </c>
      <c r="Q46" s="96">
        <f>613.77/2</f>
        <v>306.88499999999999</v>
      </c>
      <c r="R46" s="112">
        <f>26/1.18</f>
        <v>22.033898305084747</v>
      </c>
      <c r="S46" s="112">
        <f>Q46</f>
        <v>306.88499999999999</v>
      </c>
      <c r="T46" s="112">
        <f>27.85/1.18</f>
        <v>23.601694915254239</v>
      </c>
      <c r="U46" s="103"/>
      <c r="V46" s="172">
        <f t="shared" si="2"/>
        <v>1.0598428010003571</v>
      </c>
    </row>
    <row r="47" spans="1:22" hidden="1">
      <c r="A47" s="90" t="s">
        <v>71</v>
      </c>
      <c r="B47" s="91"/>
      <c r="C47" s="91"/>
      <c r="D47" s="91"/>
      <c r="E47" s="91"/>
      <c r="F47" s="92"/>
      <c r="G47" s="91"/>
      <c r="H47" s="91"/>
      <c r="I47" s="91">
        <f t="shared" ref="I47:I49" si="30">G47</f>
        <v>0</v>
      </c>
      <c r="J47" s="91"/>
      <c r="K47" s="92"/>
      <c r="L47" s="91"/>
      <c r="M47" s="91"/>
      <c r="N47" s="91"/>
      <c r="O47" s="91"/>
      <c r="P47" s="92"/>
      <c r="Q47" s="96"/>
      <c r="R47" s="112"/>
      <c r="S47" s="112"/>
      <c r="T47" s="112"/>
      <c r="U47" s="103"/>
      <c r="V47" s="172" t="e">
        <f t="shared" si="2"/>
        <v>#DIV/0!</v>
      </c>
    </row>
    <row r="48" spans="1:22" hidden="1">
      <c r="A48" s="90" t="s">
        <v>72</v>
      </c>
      <c r="B48" s="91">
        <f>13.994/2</f>
        <v>6.9969999999999999</v>
      </c>
      <c r="C48" s="91">
        <v>39.14</v>
      </c>
      <c r="D48" s="91">
        <f>B48</f>
        <v>6.9969999999999999</v>
      </c>
      <c r="E48" s="91">
        <v>40.5</v>
      </c>
      <c r="F48" s="92">
        <f t="shared" ref="F48:F49" si="31">(E48*D48)/(C48*B48)</f>
        <v>1.0347470618293306</v>
      </c>
      <c r="G48" s="91">
        <f>10.73/2</f>
        <v>5.3650000000000002</v>
      </c>
      <c r="H48" s="91">
        <v>14.8</v>
      </c>
      <c r="I48" s="91">
        <f t="shared" si="30"/>
        <v>5.3650000000000002</v>
      </c>
      <c r="J48" s="91">
        <v>17</v>
      </c>
      <c r="K48" s="92">
        <f t="shared" ref="K48:K49" si="32">(J48*I48)/(H48*G48)</f>
        <v>1.1486486486486487</v>
      </c>
      <c r="L48" s="91"/>
      <c r="M48" s="91"/>
      <c r="N48" s="91"/>
      <c r="O48" s="91"/>
      <c r="P48" s="92"/>
      <c r="Q48" s="96"/>
      <c r="R48" s="96"/>
      <c r="S48" s="96"/>
      <c r="T48" s="96"/>
      <c r="U48" s="103"/>
      <c r="V48" s="172">
        <f t="shared" si="2"/>
        <v>1.0347470618293306</v>
      </c>
    </row>
    <row r="49" spans="1:22" hidden="1">
      <c r="A49" s="90" t="s">
        <v>73</v>
      </c>
      <c r="B49" s="91">
        <f>349.684/2</f>
        <v>174.84200000000001</v>
      </c>
      <c r="C49" s="91">
        <v>34.19</v>
      </c>
      <c r="D49" s="91">
        <f t="shared" ref="D49" si="33">B49</f>
        <v>174.84200000000001</v>
      </c>
      <c r="E49" s="91">
        <v>35.79</v>
      </c>
      <c r="F49" s="92">
        <f t="shared" si="31"/>
        <v>1.0467973091547236</v>
      </c>
      <c r="G49" s="91">
        <f>169.416/2</f>
        <v>84.707999999999998</v>
      </c>
      <c r="H49" s="91">
        <v>24</v>
      </c>
      <c r="I49" s="91">
        <f t="shared" si="30"/>
        <v>84.707999999999998</v>
      </c>
      <c r="J49" s="91">
        <v>25.7</v>
      </c>
      <c r="K49" s="92">
        <f t="shared" si="32"/>
        <v>1.0708333333333333</v>
      </c>
      <c r="L49" s="91">
        <f>227.962/2</f>
        <v>113.98099999999999</v>
      </c>
      <c r="M49" s="91">
        <v>45.85</v>
      </c>
      <c r="N49" s="91">
        <f t="shared" ref="N49" si="34">L49</f>
        <v>113.98099999999999</v>
      </c>
      <c r="O49" s="91">
        <v>48.83</v>
      </c>
      <c r="P49" s="92">
        <f t="shared" ref="P49" si="35">(O49*N49)/(M49*L49)</f>
        <v>1.0649945474372955</v>
      </c>
      <c r="Q49" s="112">
        <f>119.911/2</f>
        <v>59.955500000000001</v>
      </c>
      <c r="R49" s="96">
        <v>28.63</v>
      </c>
      <c r="S49" s="112">
        <f>Q49</f>
        <v>59.955500000000001</v>
      </c>
      <c r="T49" s="96">
        <v>30.66</v>
      </c>
      <c r="U49" s="103"/>
      <c r="V49" s="172">
        <f t="shared" si="2"/>
        <v>1.0572213893053475</v>
      </c>
    </row>
    <row r="50" spans="1:22" hidden="1">
      <c r="A50" s="90" t="s">
        <v>74</v>
      </c>
      <c r="B50" s="91"/>
      <c r="C50" s="91"/>
      <c r="D50" s="91"/>
      <c r="E50" s="91"/>
      <c r="F50" s="92"/>
      <c r="G50" s="91"/>
      <c r="H50" s="91"/>
      <c r="I50" s="91"/>
      <c r="J50" s="91"/>
      <c r="K50" s="92"/>
      <c r="L50" s="91"/>
      <c r="M50" s="91"/>
      <c r="N50" s="91"/>
      <c r="O50" s="91"/>
      <c r="P50" s="92"/>
      <c r="Q50" s="96"/>
      <c r="R50" s="96"/>
      <c r="S50" s="96"/>
      <c r="T50" s="96"/>
      <c r="U50" s="103"/>
      <c r="V50" s="172" t="e">
        <f t="shared" si="2"/>
        <v>#DIV/0!</v>
      </c>
    </row>
    <row r="51" spans="1:22" hidden="1">
      <c r="A51" s="90" t="s">
        <v>75</v>
      </c>
      <c r="B51" s="91">
        <f>12.92/2*1.08321</f>
        <v>6.9975366000000001</v>
      </c>
      <c r="C51" s="91">
        <v>32.33</v>
      </c>
      <c r="D51" s="91">
        <f t="shared" ref="D51:D54" si="36">B51</f>
        <v>6.9975366000000001</v>
      </c>
      <c r="E51" s="91">
        <v>36.61</v>
      </c>
      <c r="F51" s="92">
        <f t="shared" ref="F51:F54" si="37">(E51*D51)/(C51*B51)</f>
        <v>1.1323847819362822</v>
      </c>
      <c r="G51" s="91">
        <f>12.92/2</f>
        <v>6.46</v>
      </c>
      <c r="H51" s="91">
        <v>18</v>
      </c>
      <c r="I51" s="91">
        <f t="shared" ref="I51:I55" si="38">G51</f>
        <v>6.46</v>
      </c>
      <c r="J51" s="91">
        <v>19.399999999999999</v>
      </c>
      <c r="K51" s="92">
        <f t="shared" ref="K51:K55" si="39">(J51*I51)/(H51*G51)</f>
        <v>1.0777777777777777</v>
      </c>
      <c r="L51" s="91"/>
      <c r="M51" s="91"/>
      <c r="N51" s="91"/>
      <c r="O51" s="91"/>
      <c r="P51" s="92"/>
      <c r="Q51" s="96"/>
      <c r="R51" s="96"/>
      <c r="S51" s="96"/>
      <c r="T51" s="96"/>
      <c r="U51" s="103"/>
      <c r="V51" s="172">
        <f t="shared" si="2"/>
        <v>1.1323847819362822</v>
      </c>
    </row>
    <row r="52" spans="1:22" hidden="1">
      <c r="A52" s="90" t="s">
        <v>76</v>
      </c>
      <c r="B52" s="91">
        <f>10.735/2*1.08321</f>
        <v>5.8141296749999993</v>
      </c>
      <c r="C52" s="91">
        <v>32.33</v>
      </c>
      <c r="D52" s="91">
        <f t="shared" si="36"/>
        <v>5.8141296749999993</v>
      </c>
      <c r="E52" s="91">
        <v>36.61</v>
      </c>
      <c r="F52" s="92">
        <f t="shared" si="37"/>
        <v>1.132384781936282</v>
      </c>
      <c r="G52" s="91">
        <f>10.735/2</f>
        <v>5.3674999999999997</v>
      </c>
      <c r="H52" s="91">
        <v>26.6</v>
      </c>
      <c r="I52" s="91">
        <f t="shared" si="38"/>
        <v>5.3674999999999997</v>
      </c>
      <c r="J52" s="91">
        <v>28.55</v>
      </c>
      <c r="K52" s="92">
        <f t="shared" si="39"/>
        <v>1.0733082706766917</v>
      </c>
      <c r="L52" s="91"/>
      <c r="M52" s="91"/>
      <c r="N52" s="91"/>
      <c r="O52" s="91"/>
      <c r="P52" s="92"/>
      <c r="Q52" s="96"/>
      <c r="R52" s="96"/>
      <c r="S52" s="96"/>
      <c r="T52" s="96"/>
      <c r="U52" s="103"/>
      <c r="V52" s="172">
        <f t="shared" si="2"/>
        <v>1.1323847819362822</v>
      </c>
    </row>
    <row r="53" spans="1:22" hidden="1">
      <c r="A53" s="90" t="s">
        <v>77</v>
      </c>
      <c r="B53" s="91">
        <f>28.624/2*1.08321</f>
        <v>15.50290152</v>
      </c>
      <c r="C53" s="91">
        <v>32.33</v>
      </c>
      <c r="D53" s="91">
        <f t="shared" si="36"/>
        <v>15.50290152</v>
      </c>
      <c r="E53" s="91">
        <v>36.61</v>
      </c>
      <c r="F53" s="92">
        <f t="shared" si="37"/>
        <v>1.1323847819362822</v>
      </c>
      <c r="G53" s="91">
        <f>28.624/2</f>
        <v>14.311999999999999</v>
      </c>
      <c r="H53" s="91">
        <v>23.8</v>
      </c>
      <c r="I53" s="91">
        <f t="shared" si="38"/>
        <v>14.311999999999999</v>
      </c>
      <c r="J53" s="91">
        <v>25.58</v>
      </c>
      <c r="K53" s="92">
        <f t="shared" si="39"/>
        <v>1.0747899159663865</v>
      </c>
      <c r="L53" s="91"/>
      <c r="M53" s="91"/>
      <c r="N53" s="91"/>
      <c r="O53" s="91"/>
      <c r="P53" s="92"/>
      <c r="Q53" s="96"/>
      <c r="R53" s="96"/>
      <c r="S53" s="96"/>
      <c r="T53" s="96"/>
      <c r="U53" s="103"/>
      <c r="V53" s="172">
        <f t="shared" si="2"/>
        <v>1.1323847819362822</v>
      </c>
    </row>
    <row r="54" spans="1:22" hidden="1">
      <c r="A54" s="90" t="s">
        <v>78</v>
      </c>
      <c r="B54" s="91">
        <f>7.641/2</f>
        <v>3.8205</v>
      </c>
      <c r="C54" s="91">
        <v>43.62</v>
      </c>
      <c r="D54" s="91">
        <f t="shared" si="36"/>
        <v>3.8205</v>
      </c>
      <c r="E54" s="91">
        <v>45.26</v>
      </c>
      <c r="F54" s="92">
        <f t="shared" si="37"/>
        <v>1.0375974323704724</v>
      </c>
      <c r="G54" s="91">
        <f>4.841/2</f>
        <v>2.4205000000000001</v>
      </c>
      <c r="H54" s="91">
        <v>27</v>
      </c>
      <c r="I54" s="91">
        <f t="shared" si="38"/>
        <v>2.4205000000000001</v>
      </c>
      <c r="J54" s="91">
        <v>28.92</v>
      </c>
      <c r="K54" s="92">
        <f t="shared" si="39"/>
        <v>1.0711111111111111</v>
      </c>
      <c r="L54" s="91">
        <f>3.354/2</f>
        <v>1.677</v>
      </c>
      <c r="M54" s="91">
        <v>51.98</v>
      </c>
      <c r="N54" s="91">
        <f>L54</f>
        <v>1.677</v>
      </c>
      <c r="O54" s="91">
        <v>51.98</v>
      </c>
      <c r="P54" s="92">
        <f t="shared" ref="P54" si="40">(O54*N54)/(M54*L54)</f>
        <v>1</v>
      </c>
      <c r="Q54" s="96">
        <f>1.644/2</f>
        <v>0.82199999999999995</v>
      </c>
      <c r="R54" s="112">
        <v>22</v>
      </c>
      <c r="S54" s="96">
        <f>Q54</f>
        <v>0.82199999999999995</v>
      </c>
      <c r="T54" s="96">
        <v>23.56</v>
      </c>
      <c r="U54" s="103"/>
      <c r="V54" s="172">
        <f t="shared" si="2"/>
        <v>1.0171548117154812</v>
      </c>
    </row>
    <row r="55" spans="1:22" hidden="1">
      <c r="A55" s="90" t="s">
        <v>79</v>
      </c>
      <c r="B55" s="91">
        <f>6.923/2</f>
        <v>3.4615</v>
      </c>
      <c r="C55" s="91">
        <v>41.91</v>
      </c>
      <c r="D55" s="91">
        <f>B55</f>
        <v>3.4615</v>
      </c>
      <c r="E55" s="91">
        <v>44.85</v>
      </c>
      <c r="F55" s="92">
        <f>(E55*D55)/(C55*B55)</f>
        <v>1.0701503221188262</v>
      </c>
      <c r="G55" s="91">
        <f>3.02/2</f>
        <v>1.51</v>
      </c>
      <c r="H55" s="91">
        <v>27</v>
      </c>
      <c r="I55" s="91">
        <f t="shared" si="38"/>
        <v>1.51</v>
      </c>
      <c r="J55" s="91">
        <v>28.92</v>
      </c>
      <c r="K55" s="92">
        <f t="shared" si="39"/>
        <v>1.0711111111111111</v>
      </c>
      <c r="L55" s="91"/>
      <c r="M55" s="91"/>
      <c r="N55" s="91"/>
      <c r="O55" s="91"/>
      <c r="P55" s="92"/>
      <c r="Q55" s="96"/>
      <c r="R55" s="96"/>
      <c r="S55" s="96"/>
      <c r="T55" s="96"/>
      <c r="U55" s="103"/>
      <c r="V55" s="172">
        <f t="shared" si="2"/>
        <v>1.0701503221188262</v>
      </c>
    </row>
    <row r="56" spans="1:22">
      <c r="A56" s="97" t="s">
        <v>230</v>
      </c>
      <c r="B56" s="91">
        <f>SUM(B57:B60)</f>
        <v>116.208</v>
      </c>
      <c r="C56" s="91">
        <f>SUMPRODUCT(B57:B60,C57:C60)/B56</f>
        <v>43.362117840424062</v>
      </c>
      <c r="D56" s="91">
        <f>SUM(D57:D60)</f>
        <v>116.208</v>
      </c>
      <c r="E56" s="91">
        <f>SUMPRODUCT(D57:D60,E57:E60)/D56</f>
        <v>45.2136927750241</v>
      </c>
      <c r="F56" s="92">
        <f>E56/C56</f>
        <v>1.0427002883349465</v>
      </c>
      <c r="G56" s="91">
        <f>SUM(G57:G60)</f>
        <v>57.929000000000002</v>
      </c>
      <c r="H56" s="91">
        <f>SUMPRODUCT(G57:G60,H57:H60)/G56</f>
        <v>29.999999999999996</v>
      </c>
      <c r="I56" s="91">
        <f>SUM(I57:I60)</f>
        <v>57.929000000000002</v>
      </c>
      <c r="J56" s="91">
        <f>SUMPRODUCT(I57:I60,J57:J60)/I56</f>
        <v>32.129999999999995</v>
      </c>
      <c r="K56" s="92">
        <f>J56/H56</f>
        <v>1.071</v>
      </c>
      <c r="L56" s="91">
        <f>SUM(L57:L60)</f>
        <v>53.707500000000003</v>
      </c>
      <c r="M56" s="91">
        <f>SUMPRODUCT(L57:L60,M57:M60)/L56</f>
        <v>49.63</v>
      </c>
      <c r="N56" s="91">
        <f>SUM(N57:N60)</f>
        <v>53.707500000000003</v>
      </c>
      <c r="O56" s="91">
        <f>SUMPRODUCT(N57:N60,O57:O60)/N56</f>
        <v>50.71</v>
      </c>
      <c r="P56" s="92">
        <f>O56/M56</f>
        <v>1.0217610316340922</v>
      </c>
      <c r="Q56" s="91">
        <f>SUM(Q57:Q60)</f>
        <v>24.574999999999999</v>
      </c>
      <c r="R56" s="91">
        <f>SUMPRODUCT(Q57:Q60,R57:R60)/Q56</f>
        <v>35</v>
      </c>
      <c r="S56" s="91">
        <f>SUM(S57:S60)</f>
        <v>24.574999999999999</v>
      </c>
      <c r="T56" s="91">
        <f>SUMPRODUCT(S57:S60,T57:T60)/S56</f>
        <v>37.49</v>
      </c>
      <c r="U56" s="92">
        <f>T56/R56</f>
        <v>1.0711428571428572</v>
      </c>
      <c r="V56" s="172">
        <f t="shared" si="2"/>
        <v>1.0315249830058786</v>
      </c>
    </row>
    <row r="57" spans="1:22" hidden="1">
      <c r="A57" s="97" t="s">
        <v>100</v>
      </c>
      <c r="B57" s="91">
        <f>145.04/2</f>
        <v>72.52</v>
      </c>
      <c r="C57" s="91">
        <v>43.04</v>
      </c>
      <c r="D57" s="91">
        <f>B57</f>
        <v>72.52</v>
      </c>
      <c r="E57" s="91">
        <v>44.79</v>
      </c>
      <c r="F57" s="92">
        <f>(E57*D57)/(C57*B57)</f>
        <v>1.0406598513011154</v>
      </c>
      <c r="G57" s="91">
        <f>55.6/2</f>
        <v>27.8</v>
      </c>
      <c r="H57" s="91">
        <v>30</v>
      </c>
      <c r="I57" s="91">
        <f>G57</f>
        <v>27.8</v>
      </c>
      <c r="J57" s="91">
        <v>32.130000000000003</v>
      </c>
      <c r="K57" s="92">
        <f>J57/H57</f>
        <v>1.0710000000000002</v>
      </c>
      <c r="L57" s="91">
        <f>107.415/2</f>
        <v>53.707500000000003</v>
      </c>
      <c r="M57" s="91">
        <v>49.63</v>
      </c>
      <c r="N57" s="91">
        <f>L57</f>
        <v>53.707500000000003</v>
      </c>
      <c r="O57" s="91">
        <v>50.71</v>
      </c>
      <c r="P57" s="92">
        <f>O57/M57</f>
        <v>1.0217610316340922</v>
      </c>
      <c r="Q57" s="96">
        <f>49.15/2</f>
        <v>24.574999999999999</v>
      </c>
      <c r="R57" s="112">
        <v>35</v>
      </c>
      <c r="S57" s="112">
        <f>Q57</f>
        <v>24.574999999999999</v>
      </c>
      <c r="T57" s="112">
        <v>37.49</v>
      </c>
      <c r="U57" s="92">
        <f>T57/R57</f>
        <v>1.0711428571428572</v>
      </c>
      <c r="V57" s="172">
        <f t="shared" si="2"/>
        <v>1.0305384698392144</v>
      </c>
    </row>
    <row r="58" spans="1:22" hidden="1">
      <c r="A58" s="97" t="s">
        <v>101</v>
      </c>
      <c r="B58" s="91">
        <f>66.934/2</f>
        <v>33.466999999999999</v>
      </c>
      <c r="C58" s="91">
        <v>43.1</v>
      </c>
      <c r="D58" s="91">
        <f>B58</f>
        <v>33.466999999999999</v>
      </c>
      <c r="E58" s="91">
        <v>45.06</v>
      </c>
      <c r="F58" s="92">
        <f>(E58*D58)/(C58*B58)</f>
        <v>1.0454756380510442</v>
      </c>
      <c r="G58" s="91">
        <f>45.344/2</f>
        <v>22.672000000000001</v>
      </c>
      <c r="H58" s="91">
        <v>30</v>
      </c>
      <c r="I58" s="91">
        <f>G58</f>
        <v>22.672000000000001</v>
      </c>
      <c r="J58" s="91">
        <v>32.130000000000003</v>
      </c>
      <c r="K58" s="92">
        <f>(J58*I58)/(H58*G58)</f>
        <v>1.0710000000000002</v>
      </c>
      <c r="L58" s="91"/>
      <c r="M58" s="91"/>
      <c r="N58" s="91"/>
      <c r="O58" s="91"/>
      <c r="P58" s="92"/>
      <c r="Q58" s="96"/>
      <c r="R58" s="112"/>
      <c r="S58" s="112"/>
      <c r="T58" s="112"/>
      <c r="U58" s="92"/>
      <c r="V58" s="172">
        <f t="shared" si="2"/>
        <v>1.0454756380510442</v>
      </c>
    </row>
    <row r="59" spans="1:22" hidden="1">
      <c r="A59" s="97" t="s">
        <v>102</v>
      </c>
      <c r="B59" s="91">
        <f>1.942/2</f>
        <v>0.97099999999999997</v>
      </c>
      <c r="C59" s="91">
        <v>82.19</v>
      </c>
      <c r="D59" s="91">
        <f>B59</f>
        <v>0.97099999999999997</v>
      </c>
      <c r="E59" s="91">
        <v>82.19</v>
      </c>
      <c r="F59" s="92">
        <f>(E59*D59)/(C59*B59)</f>
        <v>1</v>
      </c>
      <c r="G59" s="91">
        <f>1.314/2</f>
        <v>0.65700000000000003</v>
      </c>
      <c r="H59" s="91">
        <v>30</v>
      </c>
      <c r="I59" s="91">
        <f>G59</f>
        <v>0.65700000000000003</v>
      </c>
      <c r="J59" s="91">
        <v>32.130000000000003</v>
      </c>
      <c r="K59" s="92">
        <f>(J59*I59)/(H59*G59)</f>
        <v>1.0710000000000002</v>
      </c>
      <c r="L59" s="91"/>
      <c r="M59" s="91"/>
      <c r="N59" s="91"/>
      <c r="O59" s="91"/>
      <c r="P59" s="92"/>
      <c r="Q59" s="96"/>
      <c r="R59" s="96"/>
      <c r="S59" s="96"/>
      <c r="T59" s="96"/>
      <c r="U59" s="92"/>
      <c r="V59" s="172">
        <f t="shared" si="2"/>
        <v>1</v>
      </c>
    </row>
    <row r="60" spans="1:22" hidden="1">
      <c r="A60" s="97" t="s">
        <v>103</v>
      </c>
      <c r="B60" s="91">
        <f>18.5/2</f>
        <v>9.25</v>
      </c>
      <c r="C60" s="91">
        <v>42.76</v>
      </c>
      <c r="D60" s="91">
        <f t="shared" ref="D60" si="41">B60</f>
        <v>9.25</v>
      </c>
      <c r="E60" s="91">
        <v>45.21</v>
      </c>
      <c r="F60" s="92">
        <f t="shared" ref="F60" si="42">(E60*D60)/(C60*B60)</f>
        <v>1.0572965388213285</v>
      </c>
      <c r="G60" s="91">
        <f>13.6/2</f>
        <v>6.8</v>
      </c>
      <c r="H60" s="91">
        <v>30</v>
      </c>
      <c r="I60" s="91">
        <f>G60</f>
        <v>6.8</v>
      </c>
      <c r="J60" s="91">
        <v>32.130000000000003</v>
      </c>
      <c r="K60" s="92">
        <f>(J60*I60)/(H60*G60)</f>
        <v>1.071</v>
      </c>
      <c r="L60" s="91"/>
      <c r="M60" s="91"/>
      <c r="N60" s="91"/>
      <c r="O60" s="91"/>
      <c r="P60" s="92"/>
      <c r="Q60" s="96"/>
      <c r="R60" s="96"/>
      <c r="S60" s="96"/>
      <c r="T60" s="96"/>
      <c r="U60" s="92"/>
      <c r="V60" s="172">
        <f t="shared" si="2"/>
        <v>1.0572965388213285</v>
      </c>
    </row>
    <row r="61" spans="1:22">
      <c r="A61" s="93" t="s">
        <v>231</v>
      </c>
      <c r="B61" s="91">
        <f>SUM(B62:B66)</f>
        <v>104.1095</v>
      </c>
      <c r="C61" s="91">
        <f>SUMPRODUCT(B62:B66,C62:C66)/B61</f>
        <v>40.088333965680363</v>
      </c>
      <c r="D61" s="91">
        <f>SUM(D62:D66)</f>
        <v>104.1095</v>
      </c>
      <c r="E61" s="91">
        <f>SUMPRODUCT(D62:D66,E62:E66)/D61</f>
        <v>41.994961506874979</v>
      </c>
      <c r="F61" s="92">
        <f>E61/C61</f>
        <v>1.0475606579915964</v>
      </c>
      <c r="G61" s="91">
        <f>SUM(G62:G66)</f>
        <v>74.91</v>
      </c>
      <c r="H61" s="91">
        <f>SUMPRODUCT(G62:G66,H62:H66)/G61</f>
        <v>41.119684955279666</v>
      </c>
      <c r="I61" s="91">
        <f>SUM(I62:I66)</f>
        <v>74.91</v>
      </c>
      <c r="J61" s="91">
        <f>SUMPRODUCT(I62:I66,J62:J66)/I61</f>
        <v>43.009116272860766</v>
      </c>
      <c r="K61" s="92">
        <f>J61/H61</f>
        <v>1.045949557240917</v>
      </c>
      <c r="L61" s="91">
        <f>SUM(L62:L66)</f>
        <v>73.930499999999995</v>
      </c>
      <c r="M61" s="91">
        <f>SUMPRODUCT(L62:L66,M62:M66)/L61</f>
        <v>33.067474519988373</v>
      </c>
      <c r="N61" s="91">
        <f>SUM(N62:N66)</f>
        <v>73.930499999999995</v>
      </c>
      <c r="O61" s="91">
        <f>SUMPRODUCT(N62:N66,O62:O66)/N61</f>
        <v>35.153448576703795</v>
      </c>
      <c r="P61" s="92">
        <f>O61/M61</f>
        <v>1.0630823516762524</v>
      </c>
      <c r="Q61" s="91">
        <f>SUM(Q62:Q66)</f>
        <v>64.650000000000006</v>
      </c>
      <c r="R61" s="91">
        <f>SUMPRODUCT(Q62:Q66,R62:R66)/Q61</f>
        <v>31.750793503480274</v>
      </c>
      <c r="S61" s="91">
        <f>SUM(S62:S66)</f>
        <v>64.650000000000006</v>
      </c>
      <c r="T61" s="91">
        <f>SUMPRODUCT(S62:S66,T62:T66)/S61</f>
        <v>33.90634648105182</v>
      </c>
      <c r="U61" s="92">
        <f>T61/R61</f>
        <v>1.06788973564819</v>
      </c>
      <c r="V61" s="172">
        <f t="shared" si="2"/>
        <v>1.05457668612455</v>
      </c>
    </row>
    <row r="62" spans="1:22" ht="51" hidden="1">
      <c r="A62" s="93" t="s">
        <v>127</v>
      </c>
      <c r="B62" s="91">
        <f>11.18/2</f>
        <v>5.59</v>
      </c>
      <c r="C62" s="91">
        <v>33.020000000000003</v>
      </c>
      <c r="D62" s="91">
        <f>B62</f>
        <v>5.59</v>
      </c>
      <c r="E62" s="91">
        <v>34.04</v>
      </c>
      <c r="F62" s="92">
        <f>(E62*D62)/(C62*B62)</f>
        <v>1.0308903694730465</v>
      </c>
      <c r="G62" s="91">
        <v>3.9</v>
      </c>
      <c r="H62" s="91">
        <v>33.020000000000003</v>
      </c>
      <c r="I62" s="91">
        <f>G62</f>
        <v>3.9</v>
      </c>
      <c r="J62" s="99">
        <v>34.04</v>
      </c>
      <c r="K62" s="92">
        <f>(J62*I62)/(H62*G62)</f>
        <v>1.0308903694730465</v>
      </c>
      <c r="L62" s="91">
        <f>6.54/2</f>
        <v>3.27</v>
      </c>
      <c r="M62" s="91">
        <v>78.03</v>
      </c>
      <c r="N62" s="91">
        <f>L62</f>
        <v>3.27</v>
      </c>
      <c r="O62" s="91">
        <v>81.98</v>
      </c>
      <c r="P62" s="92">
        <f>(O62*N62)/(M62*L62)</f>
        <v>1.0506215558118672</v>
      </c>
      <c r="Q62" s="91">
        <v>3.1</v>
      </c>
      <c r="R62" s="91">
        <v>57.08</v>
      </c>
      <c r="S62" s="91">
        <f>Q62</f>
        <v>3.1</v>
      </c>
      <c r="T62" s="96">
        <v>61.93</v>
      </c>
      <c r="U62" s="92">
        <f>(T62*S62)/(R62*Q62)</f>
        <v>1.084968465311843</v>
      </c>
      <c r="V62" s="172">
        <f t="shared" si="2"/>
        <v>1.0447546150382709</v>
      </c>
    </row>
    <row r="63" spans="1:22" ht="25.5" hidden="1">
      <c r="A63" s="93" t="s">
        <v>128</v>
      </c>
      <c r="B63" s="91">
        <f>35.646/2</f>
        <v>17.823</v>
      </c>
      <c r="C63" s="91">
        <v>30.78</v>
      </c>
      <c r="D63" s="91">
        <f>B63</f>
        <v>17.823</v>
      </c>
      <c r="E63" s="91">
        <v>32.83</v>
      </c>
      <c r="F63" s="92">
        <f>(E63*D63)/(C63*B63)</f>
        <v>1.0666016894087069</v>
      </c>
      <c r="G63" s="91">
        <v>7.22</v>
      </c>
      <c r="H63" s="91">
        <v>30.78</v>
      </c>
      <c r="I63" s="91">
        <f>G63</f>
        <v>7.22</v>
      </c>
      <c r="J63" s="99">
        <v>32.83</v>
      </c>
      <c r="K63" s="92">
        <f>(J63*I63)/(H63*G63)</f>
        <v>1.0666016894087067</v>
      </c>
      <c r="L63" s="91">
        <f>10.78/2</f>
        <v>5.39</v>
      </c>
      <c r="M63" s="91">
        <v>52.31</v>
      </c>
      <c r="N63" s="91">
        <f>L63</f>
        <v>5.39</v>
      </c>
      <c r="O63" s="91">
        <v>55.77</v>
      </c>
      <c r="P63" s="92">
        <f>(O63*N63)/(M63*L63)</f>
        <v>1.066144140699675</v>
      </c>
      <c r="Q63" s="91">
        <v>4.2300000000000004</v>
      </c>
      <c r="R63" s="91">
        <v>52.31</v>
      </c>
      <c r="S63" s="91">
        <f>Q63</f>
        <v>4.2300000000000004</v>
      </c>
      <c r="T63" s="96">
        <v>55.77</v>
      </c>
      <c r="U63" s="92">
        <f>(T63*S63)/(R63*Q63)</f>
        <v>1.066144140699675</v>
      </c>
      <c r="V63" s="172">
        <f t="shared" si="2"/>
        <v>1.0663136358165843</v>
      </c>
    </row>
    <row r="64" spans="1:22" ht="51" hidden="1">
      <c r="A64" s="93" t="s">
        <v>129</v>
      </c>
      <c r="B64" s="91">
        <f>(59.46)/2</f>
        <v>29.73</v>
      </c>
      <c r="C64" s="91">
        <v>42.48</v>
      </c>
      <c r="D64" s="91">
        <f>B64</f>
        <v>29.73</v>
      </c>
      <c r="E64" s="91">
        <v>44.87</v>
      </c>
      <c r="F64" s="92">
        <f>(E64*D64)/(C64*B64)</f>
        <v>1.0562617702448209</v>
      </c>
      <c r="G64" s="91">
        <v>22.53</v>
      </c>
      <c r="H64" s="91">
        <v>42.48</v>
      </c>
      <c r="I64" s="91">
        <f>G64</f>
        <v>22.53</v>
      </c>
      <c r="J64" s="99">
        <v>44.87</v>
      </c>
      <c r="K64" s="92">
        <f>(J64*I64)/(H64*G64)</f>
        <v>1.0562617702448212</v>
      </c>
      <c r="L64" s="91">
        <f>122.041/2</f>
        <v>61.020499999999998</v>
      </c>
      <c r="M64" s="91">
        <v>27.85</v>
      </c>
      <c r="N64" s="91">
        <f>L64</f>
        <v>61.020499999999998</v>
      </c>
      <c r="O64" s="91">
        <v>29.86</v>
      </c>
      <c r="P64" s="92">
        <f>(O64*N64)/(M64*L64)</f>
        <v>1.0721723518850987</v>
      </c>
      <c r="Q64" s="96">
        <v>54.57</v>
      </c>
      <c r="R64" s="96">
        <v>27.85</v>
      </c>
      <c r="S64" s="96">
        <f>Q64</f>
        <v>54.57</v>
      </c>
      <c r="T64" s="96">
        <v>29.86</v>
      </c>
      <c r="U64" s="92">
        <f>(T64*S64)/(R64*Q64)</f>
        <v>1.0721723518850987</v>
      </c>
      <c r="V64" s="172">
        <f t="shared" si="2"/>
        <v>1.0625622067396558</v>
      </c>
    </row>
    <row r="65" spans="1:22" ht="63.75" hidden="1">
      <c r="A65" s="93" t="s">
        <v>130</v>
      </c>
      <c r="B65" s="91">
        <f>91.933/2</f>
        <v>45.966500000000003</v>
      </c>
      <c r="C65" s="91">
        <v>44.41</v>
      </c>
      <c r="D65" s="91">
        <f>B65</f>
        <v>45.966500000000003</v>
      </c>
      <c r="E65" s="91">
        <v>46.07</v>
      </c>
      <c r="F65" s="92">
        <f>(E65*D65)/(C65*B65)</f>
        <v>1.0373789687007431</v>
      </c>
      <c r="G65" s="91">
        <v>37.76</v>
      </c>
      <c r="H65" s="91">
        <v>44.41</v>
      </c>
      <c r="I65" s="91">
        <f>G65</f>
        <v>37.76</v>
      </c>
      <c r="J65" s="99">
        <v>46.07</v>
      </c>
      <c r="K65" s="92">
        <f>(J65*I65)/(H65*G65)</f>
        <v>1.0373789687007433</v>
      </c>
      <c r="L65" s="91"/>
      <c r="M65" s="91"/>
      <c r="N65" s="91"/>
      <c r="O65" s="91"/>
      <c r="P65" s="92"/>
      <c r="Q65" s="96"/>
      <c r="R65" s="96"/>
      <c r="S65" s="96"/>
      <c r="T65" s="96"/>
      <c r="U65" s="92"/>
      <c r="V65" s="172">
        <f t="shared" si="2"/>
        <v>1.0373789687007431</v>
      </c>
    </row>
    <row r="66" spans="1:22" hidden="1">
      <c r="A66" s="90" t="s">
        <v>131</v>
      </c>
      <c r="B66" s="91">
        <f>10/2</f>
        <v>5</v>
      </c>
      <c r="C66" s="91">
        <v>27.22</v>
      </c>
      <c r="D66" s="91">
        <f>B66</f>
        <v>5</v>
      </c>
      <c r="E66" s="91">
        <v>29</v>
      </c>
      <c r="F66" s="92">
        <f>(E66*D66)/(C66*B66)</f>
        <v>1.0653930933137399</v>
      </c>
      <c r="G66" s="99">
        <v>3.5</v>
      </c>
      <c r="H66" s="99">
        <v>27.22</v>
      </c>
      <c r="I66" s="99">
        <f>G66</f>
        <v>3.5</v>
      </c>
      <c r="J66" s="99">
        <v>29</v>
      </c>
      <c r="K66" s="92">
        <f>(J66*I66)/(H66*G66)</f>
        <v>1.0653930933137399</v>
      </c>
      <c r="L66" s="91">
        <f>8.5/2</f>
        <v>4.25</v>
      </c>
      <c r="M66" s="91">
        <v>48.98</v>
      </c>
      <c r="N66" s="91">
        <f>L66</f>
        <v>4.25</v>
      </c>
      <c r="O66" s="91">
        <v>48.98</v>
      </c>
      <c r="P66" s="92">
        <f>(O66*N66)/(M66*L66)</f>
        <v>1</v>
      </c>
      <c r="Q66" s="96">
        <v>2.75</v>
      </c>
      <c r="R66" s="96">
        <v>48.98</v>
      </c>
      <c r="S66" s="96">
        <f>Q66</f>
        <v>2.75</v>
      </c>
      <c r="T66" s="96">
        <v>48.98</v>
      </c>
      <c r="U66" s="92">
        <f>(T66*S66)/(R66*Q66)</f>
        <v>1</v>
      </c>
      <c r="V66" s="172">
        <f t="shared" si="2"/>
        <v>1.0233595800524935</v>
      </c>
    </row>
    <row r="67" spans="1:22">
      <c r="A67" s="93" t="s">
        <v>232</v>
      </c>
      <c r="B67" s="91">
        <f>SUM(B68:B71)</f>
        <v>55.34</v>
      </c>
      <c r="C67" s="91">
        <f>SUMPRODUCT(B68:B71,C68:C71)/B67</f>
        <v>45.424795807734007</v>
      </c>
      <c r="D67" s="91">
        <f>SUM(D68:D71)</f>
        <v>55.34</v>
      </c>
      <c r="E67" s="91">
        <f>SUMPRODUCT(D68:D71,E68:E71)/D67</f>
        <v>48.176331767256954</v>
      </c>
      <c r="F67" s="103">
        <f>E67/C67</f>
        <v>1.0605734359526713</v>
      </c>
      <c r="G67" s="91">
        <f>SUM(G68:G71)</f>
        <v>30.889000000000003</v>
      </c>
      <c r="H67" s="91">
        <f>SUMPRODUCT(G68:G71,H68:H71)/G67</f>
        <v>50.628265401923016</v>
      </c>
      <c r="I67" s="91">
        <f>SUM(I68:I71)</f>
        <v>30.889000000000003</v>
      </c>
      <c r="J67" s="91">
        <f>SUMPRODUCT(I68:I71,J68:J71)/I67</f>
        <v>52.912127618245968</v>
      </c>
      <c r="K67" s="103">
        <f>J67/H67</f>
        <v>1.0451104180281912</v>
      </c>
      <c r="L67" s="91">
        <f>SUM(L68:L71)</f>
        <v>31.89</v>
      </c>
      <c r="M67" s="91">
        <f>SUMPRODUCT(L68:L71,M68:M71)/L67</f>
        <v>63.360714957666971</v>
      </c>
      <c r="N67" s="91">
        <f>SUM(N68:N71)</f>
        <v>31.89</v>
      </c>
      <c r="O67" s="91">
        <f>SUMPRODUCT(N68:N71,O68:O71)/N67</f>
        <v>65.939818124804006</v>
      </c>
      <c r="P67" s="103">
        <f>O67/M67</f>
        <v>1.0407050830922631</v>
      </c>
      <c r="Q67" s="91">
        <f>SUM(Q68:Q71)</f>
        <v>27.05</v>
      </c>
      <c r="R67" s="91">
        <f>SUMPRODUCT(Q68:Q71,R68:R71)/Q67</f>
        <v>30</v>
      </c>
      <c r="S67" s="91">
        <f>SUM(S68:S71)</f>
        <v>27.05</v>
      </c>
      <c r="T67" s="91">
        <f>SUMPRODUCT(S68:S71,T68:T71)/S67</f>
        <v>32.130000000000003</v>
      </c>
      <c r="U67" s="103">
        <f>T67/R67</f>
        <v>1.0710000000000002</v>
      </c>
      <c r="V67" s="172">
        <f t="shared" si="2"/>
        <v>1.0490013705791728</v>
      </c>
    </row>
    <row r="68" spans="1:22" ht="26.25" hidden="1">
      <c r="A68" s="113" t="s">
        <v>176</v>
      </c>
      <c r="B68" s="91">
        <f>19.48/2</f>
        <v>9.74</v>
      </c>
      <c r="C68" s="91">
        <v>62.83</v>
      </c>
      <c r="D68" s="91">
        <f>B68</f>
        <v>9.74</v>
      </c>
      <c r="E68" s="91">
        <v>67.180000000000007</v>
      </c>
      <c r="F68" s="92">
        <f>(E68*D68)/(C68*B68)</f>
        <v>1.069234442145472</v>
      </c>
      <c r="G68" s="91"/>
      <c r="H68" s="91"/>
      <c r="I68" s="91"/>
      <c r="J68" s="91"/>
      <c r="K68" s="98"/>
      <c r="L68" s="91">
        <f>7/2</f>
        <v>3.5</v>
      </c>
      <c r="M68" s="91">
        <v>109.19</v>
      </c>
      <c r="N68" s="91">
        <f>L68</f>
        <v>3.5</v>
      </c>
      <c r="O68" s="91">
        <v>117.04</v>
      </c>
      <c r="P68" s="92">
        <f>(O68*N68)/(M68*L68)</f>
        <v>1.0718930304972984</v>
      </c>
      <c r="Q68" s="91">
        <f>7/2</f>
        <v>3.5</v>
      </c>
      <c r="R68" s="91">
        <v>30</v>
      </c>
      <c r="S68" s="91">
        <f>Q68</f>
        <v>3.5</v>
      </c>
      <c r="T68" s="91">
        <v>32.130000000000003</v>
      </c>
      <c r="U68" s="92">
        <f>(T68*S68)/(R68*Q68)</f>
        <v>1.0710000000000002</v>
      </c>
      <c r="V68" s="172">
        <f t="shared" si="2"/>
        <v>1.0709219858156032</v>
      </c>
    </row>
    <row r="69" spans="1:22" ht="26.25" hidden="1">
      <c r="A69" s="113" t="s">
        <v>177</v>
      </c>
      <c r="B69" s="91">
        <v>0</v>
      </c>
      <c r="C69" s="91"/>
      <c r="D69" s="91">
        <f>B69</f>
        <v>0</v>
      </c>
      <c r="E69" s="91"/>
      <c r="F69" s="92"/>
      <c r="G69" s="91">
        <f>3.378/2</f>
        <v>1.6890000000000001</v>
      </c>
      <c r="H69" s="91">
        <v>474.41</v>
      </c>
      <c r="I69" s="91">
        <f>G69</f>
        <v>1.6890000000000001</v>
      </c>
      <c r="J69" s="91">
        <v>476.39</v>
      </c>
      <c r="K69" s="92">
        <f t="shared" ref="K69:K71" si="43">(J69*I69)/(H69*G69)</f>
        <v>1.0041736051095045</v>
      </c>
      <c r="L69" s="91">
        <f>3.18/2</f>
        <v>1.59</v>
      </c>
      <c r="M69" s="91">
        <v>62.78</v>
      </c>
      <c r="N69" s="91">
        <f>L69</f>
        <v>1.59</v>
      </c>
      <c r="O69" s="91">
        <v>66.72</v>
      </c>
      <c r="P69" s="92">
        <f>(O69*N69)/(M69*L69)</f>
        <v>1.0627588403950303</v>
      </c>
      <c r="Q69" s="91"/>
      <c r="R69" s="91"/>
      <c r="S69" s="91"/>
      <c r="T69" s="91"/>
      <c r="U69" s="98"/>
      <c r="V69" s="172">
        <f t="shared" si="2"/>
        <v>1.0627588403950303</v>
      </c>
    </row>
    <row r="70" spans="1:22" ht="26.25" hidden="1">
      <c r="A70" s="113" t="s">
        <v>178</v>
      </c>
      <c r="B70" s="91">
        <f>13.4/2</f>
        <v>6.7</v>
      </c>
      <c r="C70" s="91">
        <v>53.07</v>
      </c>
      <c r="D70" s="91">
        <f>B70</f>
        <v>6.7</v>
      </c>
      <c r="E70" s="91">
        <v>56.7</v>
      </c>
      <c r="F70" s="92">
        <f>(E70*D70)/(C70*B70)</f>
        <v>1.06840022611645</v>
      </c>
      <c r="G70" s="91">
        <f>10.8/2</f>
        <v>5.4</v>
      </c>
      <c r="H70" s="91">
        <v>53.07</v>
      </c>
      <c r="I70" s="91">
        <f>G70</f>
        <v>5.4</v>
      </c>
      <c r="J70" s="91">
        <v>56.7</v>
      </c>
      <c r="K70" s="92">
        <f t="shared" si="43"/>
        <v>1.06840022611645</v>
      </c>
      <c r="L70" s="91"/>
      <c r="M70" s="91"/>
      <c r="N70" s="91"/>
      <c r="O70" s="91"/>
      <c r="P70" s="98"/>
      <c r="Q70" s="91"/>
      <c r="R70" s="91"/>
      <c r="S70" s="91"/>
      <c r="T70" s="91"/>
      <c r="U70" s="98"/>
      <c r="V70" s="172">
        <f t="shared" si="2"/>
        <v>1.06840022611645</v>
      </c>
    </row>
    <row r="71" spans="1:22" ht="26.25" hidden="1">
      <c r="A71" s="113" t="s">
        <v>179</v>
      </c>
      <c r="B71" s="91">
        <f>77.8/2</f>
        <v>38.9</v>
      </c>
      <c r="C71" s="91">
        <v>39.75</v>
      </c>
      <c r="D71" s="91">
        <f>B71</f>
        <v>38.9</v>
      </c>
      <c r="E71" s="91">
        <v>41.95</v>
      </c>
      <c r="F71" s="92">
        <f>(E71*D71)/(C71*B71)</f>
        <v>1.0553459119496857</v>
      </c>
      <c r="G71" s="91">
        <f>47.6/2</f>
        <v>23.8</v>
      </c>
      <c r="H71" s="91">
        <v>20</v>
      </c>
      <c r="I71" s="91">
        <f>G71</f>
        <v>23.8</v>
      </c>
      <c r="J71" s="91">
        <v>22</v>
      </c>
      <c r="K71" s="92">
        <f t="shared" si="43"/>
        <v>1.1000000000000001</v>
      </c>
      <c r="L71" s="91">
        <f>53.6/2</f>
        <v>26.8</v>
      </c>
      <c r="M71" s="91">
        <v>57.41</v>
      </c>
      <c r="N71" s="91">
        <f>L71</f>
        <v>26.8</v>
      </c>
      <c r="O71" s="91">
        <v>59.22</v>
      </c>
      <c r="P71" s="92">
        <f>(O71*N71)/(M71*L71)</f>
        <v>1.0315276084305871</v>
      </c>
      <c r="Q71" s="96">
        <f>47.1/2</f>
        <v>23.55</v>
      </c>
      <c r="R71" s="96">
        <v>30</v>
      </c>
      <c r="S71" s="96">
        <f>Q71</f>
        <v>23.55</v>
      </c>
      <c r="T71" s="96">
        <v>32.130000000000003</v>
      </c>
      <c r="U71" s="92">
        <f t="shared" ref="U71" si="44">(T71*S71)/(R71*Q71)</f>
        <v>1.0710000000000002</v>
      </c>
      <c r="V71" s="172">
        <f t="shared" si="2"/>
        <v>1.0412721284479209</v>
      </c>
    </row>
    <row r="72" spans="1:22" hidden="1">
      <c r="A72" s="90"/>
      <c r="B72" s="91"/>
      <c r="C72" s="91"/>
      <c r="D72" s="91"/>
      <c r="E72" s="91"/>
      <c r="F72" s="92"/>
      <c r="G72" s="99"/>
      <c r="H72" s="99"/>
      <c r="I72" s="99"/>
      <c r="J72" s="99"/>
      <c r="K72" s="92"/>
      <c r="L72" s="91"/>
      <c r="M72" s="91"/>
      <c r="N72" s="91"/>
      <c r="O72" s="91"/>
      <c r="P72" s="92"/>
      <c r="Q72" s="96"/>
      <c r="R72" s="96"/>
      <c r="S72" s="96"/>
      <c r="T72" s="96"/>
      <c r="U72" s="92"/>
      <c r="V72" s="172" t="e">
        <f t="shared" si="2"/>
        <v>#DIV/0!</v>
      </c>
    </row>
    <row r="73" spans="1:22" hidden="1">
      <c r="A73" s="90"/>
      <c r="B73" s="91"/>
      <c r="C73" s="91"/>
      <c r="D73" s="91"/>
      <c r="E73" s="91"/>
      <c r="F73" s="92"/>
      <c r="G73" s="99"/>
      <c r="H73" s="99"/>
      <c r="I73" s="99"/>
      <c r="J73" s="99"/>
      <c r="K73" s="92"/>
      <c r="L73" s="91"/>
      <c r="M73" s="91"/>
      <c r="N73" s="91"/>
      <c r="O73" s="91"/>
      <c r="P73" s="92"/>
      <c r="Q73" s="96"/>
      <c r="R73" s="96"/>
      <c r="S73" s="96"/>
      <c r="T73" s="96"/>
      <c r="U73" s="92"/>
      <c r="V73" s="172" t="e">
        <f t="shared" ref="V73:V136" si="45">(E73+O73)/(C73+M73)</f>
        <v>#DIV/0!</v>
      </c>
    </row>
    <row r="74" spans="1:22" hidden="1">
      <c r="A74" s="90"/>
      <c r="B74" s="91"/>
      <c r="C74" s="91"/>
      <c r="D74" s="91"/>
      <c r="E74" s="91"/>
      <c r="F74" s="92"/>
      <c r="G74" s="99"/>
      <c r="H74" s="99"/>
      <c r="I74" s="99"/>
      <c r="J74" s="99"/>
      <c r="K74" s="92"/>
      <c r="L74" s="91"/>
      <c r="M74" s="91"/>
      <c r="N74" s="91"/>
      <c r="O74" s="91"/>
      <c r="P74" s="92"/>
      <c r="Q74" s="96"/>
      <c r="R74" s="96"/>
      <c r="S74" s="96"/>
      <c r="T74" s="96"/>
      <c r="U74" s="92"/>
      <c r="V74" s="172" t="e">
        <f t="shared" si="45"/>
        <v>#DIV/0!</v>
      </c>
    </row>
    <row r="75" spans="1:22" hidden="1">
      <c r="A75" s="90"/>
      <c r="B75" s="91"/>
      <c r="C75" s="91"/>
      <c r="D75" s="91"/>
      <c r="E75" s="91"/>
      <c r="F75" s="92"/>
      <c r="G75" s="99"/>
      <c r="H75" s="99"/>
      <c r="I75" s="99"/>
      <c r="J75" s="99"/>
      <c r="K75" s="92"/>
      <c r="L75" s="91"/>
      <c r="M75" s="91"/>
      <c r="N75" s="91"/>
      <c r="O75" s="91"/>
      <c r="P75" s="92"/>
      <c r="Q75" s="96"/>
      <c r="R75" s="96"/>
      <c r="S75" s="96"/>
      <c r="T75" s="96"/>
      <c r="U75" s="92"/>
      <c r="V75" s="172" t="e">
        <f t="shared" si="45"/>
        <v>#DIV/0!</v>
      </c>
    </row>
    <row r="76" spans="1:22" hidden="1">
      <c r="A76" s="90"/>
      <c r="B76" s="91"/>
      <c r="C76" s="91"/>
      <c r="D76" s="91"/>
      <c r="E76" s="91"/>
      <c r="F76" s="92"/>
      <c r="G76" s="99"/>
      <c r="H76" s="99"/>
      <c r="I76" s="99"/>
      <c r="J76" s="99"/>
      <c r="K76" s="92"/>
      <c r="L76" s="91"/>
      <c r="M76" s="91"/>
      <c r="N76" s="91"/>
      <c r="O76" s="91"/>
      <c r="P76" s="92"/>
      <c r="Q76" s="96"/>
      <c r="R76" s="96"/>
      <c r="S76" s="96"/>
      <c r="T76" s="96"/>
      <c r="U76" s="92"/>
      <c r="V76" s="172" t="e">
        <f t="shared" si="45"/>
        <v>#DIV/0!</v>
      </c>
    </row>
    <row r="77" spans="1:22" hidden="1">
      <c r="A77" s="90"/>
      <c r="B77" s="91"/>
      <c r="C77" s="91"/>
      <c r="D77" s="91"/>
      <c r="E77" s="91"/>
      <c r="F77" s="92"/>
      <c r="G77" s="99"/>
      <c r="H77" s="99"/>
      <c r="I77" s="99"/>
      <c r="J77" s="99"/>
      <c r="K77" s="92"/>
      <c r="L77" s="91"/>
      <c r="M77" s="91"/>
      <c r="N77" s="91"/>
      <c r="O77" s="91"/>
      <c r="P77" s="92"/>
      <c r="Q77" s="96"/>
      <c r="R77" s="96"/>
      <c r="S77" s="96"/>
      <c r="T77" s="96"/>
      <c r="U77" s="92"/>
      <c r="V77" s="172" t="e">
        <f t="shared" si="45"/>
        <v>#DIV/0!</v>
      </c>
    </row>
    <row r="78" spans="1:22" hidden="1">
      <c r="A78" s="90"/>
      <c r="B78" s="91"/>
      <c r="C78" s="91"/>
      <c r="D78" s="91"/>
      <c r="E78" s="91"/>
      <c r="F78" s="92"/>
      <c r="G78" s="99"/>
      <c r="H78" s="99"/>
      <c r="I78" s="99"/>
      <c r="J78" s="99"/>
      <c r="K78" s="92"/>
      <c r="L78" s="91"/>
      <c r="M78" s="91"/>
      <c r="N78" s="91"/>
      <c r="O78" s="91"/>
      <c r="P78" s="92"/>
      <c r="Q78" s="96"/>
      <c r="R78" s="96"/>
      <c r="S78" s="96"/>
      <c r="T78" s="96"/>
      <c r="U78" s="92"/>
      <c r="V78" s="172" t="e">
        <f t="shared" si="45"/>
        <v>#DIV/0!</v>
      </c>
    </row>
    <row r="79" spans="1:22" hidden="1">
      <c r="A79" s="97"/>
      <c r="B79" s="91"/>
      <c r="C79" s="91"/>
      <c r="D79" s="91"/>
      <c r="E79" s="91"/>
      <c r="F79" s="92"/>
      <c r="G79" s="91"/>
      <c r="H79" s="91"/>
      <c r="I79" s="91"/>
      <c r="J79" s="91"/>
      <c r="K79" s="92"/>
      <c r="L79" s="91"/>
      <c r="M79" s="91"/>
      <c r="N79" s="91"/>
      <c r="O79" s="91"/>
      <c r="P79" s="92"/>
      <c r="Q79" s="96"/>
      <c r="R79" s="96"/>
      <c r="S79" s="96"/>
      <c r="T79" s="96"/>
      <c r="U79" s="92"/>
      <c r="V79" s="172" t="e">
        <f t="shared" si="45"/>
        <v>#DIV/0!</v>
      </c>
    </row>
    <row r="80" spans="1:22" hidden="1">
      <c r="A80" s="97"/>
      <c r="B80" s="91"/>
      <c r="C80" s="91"/>
      <c r="D80" s="91"/>
      <c r="E80" s="91"/>
      <c r="F80" s="92"/>
      <c r="G80" s="91"/>
      <c r="H80" s="91"/>
      <c r="I80" s="91"/>
      <c r="J80" s="91"/>
      <c r="K80" s="92"/>
      <c r="L80" s="91"/>
      <c r="M80" s="91"/>
      <c r="N80" s="91"/>
      <c r="O80" s="91"/>
      <c r="P80" s="92"/>
      <c r="Q80" s="96"/>
      <c r="R80" s="96"/>
      <c r="S80" s="96"/>
      <c r="T80" s="96"/>
      <c r="U80" s="92"/>
      <c r="V80" s="172" t="e">
        <f t="shared" si="45"/>
        <v>#DIV/0!</v>
      </c>
    </row>
    <row r="81" spans="1:22" hidden="1">
      <c r="A81" s="104"/>
      <c r="B81" s="102"/>
      <c r="C81" s="102"/>
      <c r="D81" s="102"/>
      <c r="E81" s="102"/>
      <c r="F81" s="103"/>
      <c r="G81" s="102"/>
      <c r="H81" s="102"/>
      <c r="I81" s="102"/>
      <c r="J81" s="102"/>
      <c r="K81" s="103"/>
      <c r="L81" s="102"/>
      <c r="M81" s="102"/>
      <c r="N81" s="102"/>
      <c r="O81" s="102"/>
      <c r="P81" s="103"/>
      <c r="Q81" s="107"/>
      <c r="R81" s="107"/>
      <c r="S81" s="107"/>
      <c r="T81" s="107"/>
      <c r="U81" s="103"/>
      <c r="V81" s="172" t="e">
        <f t="shared" si="45"/>
        <v>#DIV/0!</v>
      </c>
    </row>
    <row r="82" spans="1:22" hidden="1">
      <c r="A82" s="104"/>
      <c r="B82" s="102"/>
      <c r="C82" s="102"/>
      <c r="D82" s="102"/>
      <c r="E82" s="102"/>
      <c r="F82" s="103"/>
      <c r="G82" s="102"/>
      <c r="H82" s="102"/>
      <c r="I82" s="102"/>
      <c r="J82" s="102"/>
      <c r="K82" s="103"/>
      <c r="L82" s="102"/>
      <c r="M82" s="102"/>
      <c r="N82" s="102"/>
      <c r="O82" s="102"/>
      <c r="P82" s="103"/>
      <c r="Q82" s="107"/>
      <c r="R82" s="107"/>
      <c r="S82" s="107"/>
      <c r="T82" s="107"/>
      <c r="U82" s="103"/>
      <c r="V82" s="172" t="e">
        <f t="shared" si="45"/>
        <v>#DIV/0!</v>
      </c>
    </row>
    <row r="83" spans="1:22">
      <c r="A83" s="93" t="s">
        <v>233</v>
      </c>
      <c r="B83" s="91">
        <f>SUM(B84:B91)</f>
        <v>116.78150000000001</v>
      </c>
      <c r="C83" s="91">
        <f>SUMPRODUCT(B84:B91,C84:C91)/B83</f>
        <v>57.438001395769021</v>
      </c>
      <c r="D83" s="91">
        <f>SUM(D84:D91)</f>
        <v>116.78150000000001</v>
      </c>
      <c r="E83" s="91">
        <f>SUMPRODUCT(D84:D91,E84:E91)/D83</f>
        <v>58.499699738400338</v>
      </c>
      <c r="F83" s="92">
        <f>E83/C83</f>
        <v>1.0184842493964201</v>
      </c>
      <c r="G83" s="91">
        <f>SUM(G84:G91)</f>
        <v>71.305000000000007</v>
      </c>
      <c r="H83" s="91">
        <f>SUMPRODUCT(G84:G91,H84:H91)/G83</f>
        <v>50.704421849800148</v>
      </c>
      <c r="I83" s="91">
        <f>SUM(I84:I91)</f>
        <v>71.305000000000007</v>
      </c>
      <c r="J83" s="91">
        <f>SUMPRODUCT(I84:I91,J84:J91)/I83</f>
        <v>54.038694341210274</v>
      </c>
      <c r="K83" s="92">
        <f>J83/H83</f>
        <v>1.0657590081844759</v>
      </c>
      <c r="L83" s="91">
        <f>SUM(L84:L89)</f>
        <v>43.805</v>
      </c>
      <c r="M83" s="91">
        <f>SUMPRODUCT(L84:L89,M84:M89)/L83</f>
        <v>52.4</v>
      </c>
      <c r="N83" s="91">
        <f>SUM(N84:N89)</f>
        <v>43.805</v>
      </c>
      <c r="O83" s="91">
        <f>SUMPRODUCT(N84:N89,O84:O89)/N83</f>
        <v>59.69</v>
      </c>
      <c r="P83" s="92">
        <f>O83/M83</f>
        <v>1.1391221374045801</v>
      </c>
      <c r="Q83" s="91">
        <f>SUM(Q84:Q89)</f>
        <v>24.024999999999999</v>
      </c>
      <c r="R83" s="91">
        <f>SUMPRODUCT(Q84:Q89,R84:R89)/Q83</f>
        <v>41</v>
      </c>
      <c r="S83" s="91">
        <f>SUM(S84:S89)</f>
        <v>24.024999999999999</v>
      </c>
      <c r="T83" s="91">
        <f>SUMPRODUCT(S84:S89,T84:T89)/S83</f>
        <v>43.91</v>
      </c>
      <c r="U83" s="92">
        <f>T83/R83</f>
        <v>1.0709756097560974</v>
      </c>
      <c r="V83" s="172">
        <f t="shared" si="45"/>
        <v>1.0760365104654299</v>
      </c>
    </row>
    <row r="84" spans="1:22" ht="26.25" hidden="1">
      <c r="A84" s="104" t="s">
        <v>19</v>
      </c>
      <c r="B84" s="91">
        <f>168.83/2</f>
        <v>84.415000000000006</v>
      </c>
      <c r="C84" s="91">
        <v>53.5</v>
      </c>
      <c r="D84" s="91">
        <f>B84</f>
        <v>84.415000000000006</v>
      </c>
      <c r="E84" s="91">
        <v>53.5</v>
      </c>
      <c r="F84" s="92">
        <f>(E84*D84)/(C84*B84)</f>
        <v>1</v>
      </c>
      <c r="G84" s="94">
        <f>110.36/2</f>
        <v>55.18</v>
      </c>
      <c r="H84" s="94">
        <v>43</v>
      </c>
      <c r="I84" s="94">
        <f>G84</f>
        <v>55.18</v>
      </c>
      <c r="J84" s="94">
        <v>46.05</v>
      </c>
      <c r="K84" s="92">
        <f>(J84*I84)/(H84*G84)</f>
        <v>1.0709302325581396</v>
      </c>
      <c r="L84" s="91">
        <f>87.61/2</f>
        <v>43.805</v>
      </c>
      <c r="M84" s="91">
        <v>52.4</v>
      </c>
      <c r="N84" s="91">
        <f>L84</f>
        <v>43.805</v>
      </c>
      <c r="O84" s="91">
        <v>59.69</v>
      </c>
      <c r="P84" s="92">
        <f>(O84*N84)/(M84*L84)</f>
        <v>1.1391221374045801</v>
      </c>
      <c r="Q84" s="91">
        <f>48.05/2</f>
        <v>24.024999999999999</v>
      </c>
      <c r="R84" s="91">
        <v>41</v>
      </c>
      <c r="S84" s="91">
        <f>Q84</f>
        <v>24.024999999999999</v>
      </c>
      <c r="T84" s="91">
        <v>43.91</v>
      </c>
      <c r="U84" s="92">
        <f>(T84*S84)/(R84*Q84)</f>
        <v>1.0709756097560974</v>
      </c>
      <c r="V84" s="172">
        <f t="shared" si="45"/>
        <v>1.0688385269121812</v>
      </c>
    </row>
    <row r="85" spans="1:22" hidden="1">
      <c r="A85" s="104" t="s">
        <v>20</v>
      </c>
      <c r="B85" s="91">
        <f>13.06/2</f>
        <v>6.53</v>
      </c>
      <c r="C85" s="91">
        <v>91.26</v>
      </c>
      <c r="D85" s="91">
        <f>B85</f>
        <v>6.53</v>
      </c>
      <c r="E85" s="91">
        <v>94.88</v>
      </c>
      <c r="F85" s="92">
        <f>(E85*D85)/(C85*B85)</f>
        <v>1.0396668858207319</v>
      </c>
      <c r="G85" s="94">
        <f>8.27/2</f>
        <v>4.1349999999999998</v>
      </c>
      <c r="H85" s="94">
        <v>91.26</v>
      </c>
      <c r="I85" s="94">
        <f t="shared" ref="I85:I91" si="46">G85</f>
        <v>4.1349999999999998</v>
      </c>
      <c r="J85" s="94">
        <v>94.88</v>
      </c>
      <c r="K85" s="92">
        <f>(J85*I85)/(H85*G85)</f>
        <v>1.0396668858207319</v>
      </c>
      <c r="L85" s="91"/>
      <c r="M85" s="91"/>
      <c r="N85" s="91"/>
      <c r="O85" s="91"/>
      <c r="P85" s="92"/>
      <c r="Q85" s="91"/>
      <c r="R85" s="91"/>
      <c r="S85" s="91"/>
      <c r="T85" s="91"/>
      <c r="U85" s="92"/>
      <c r="V85" s="172">
        <f t="shared" si="45"/>
        <v>1.0396668858207319</v>
      </c>
    </row>
    <row r="86" spans="1:22" hidden="1">
      <c r="A86" s="104" t="s">
        <v>21</v>
      </c>
      <c r="B86" s="91">
        <f>13/2</f>
        <v>6.5</v>
      </c>
      <c r="C86" s="91">
        <v>81.069999999999993</v>
      </c>
      <c r="D86" s="91">
        <f>B86</f>
        <v>6.5</v>
      </c>
      <c r="E86" s="91">
        <v>84.59</v>
      </c>
      <c r="F86" s="92">
        <f>(E86*D86)/(C86*B86)</f>
        <v>1.0434192672998646</v>
      </c>
      <c r="G86" s="94">
        <f>8.61/2</f>
        <v>4.3049999999999997</v>
      </c>
      <c r="H86" s="94">
        <v>81.069999999999993</v>
      </c>
      <c r="I86" s="94">
        <f t="shared" si="46"/>
        <v>4.3049999999999997</v>
      </c>
      <c r="J86" s="94">
        <v>84.59</v>
      </c>
      <c r="K86" s="92">
        <f>(J86*I86)/(H86*G86)</f>
        <v>1.0434192672998643</v>
      </c>
      <c r="L86" s="91"/>
      <c r="M86" s="91"/>
      <c r="N86" s="91"/>
      <c r="O86" s="91"/>
      <c r="P86" s="92"/>
      <c r="Q86" s="91"/>
      <c r="R86" s="91"/>
      <c r="S86" s="91"/>
      <c r="T86" s="91"/>
      <c r="U86" s="92"/>
      <c r="V86" s="172">
        <f t="shared" si="45"/>
        <v>1.0434192672998643</v>
      </c>
    </row>
    <row r="87" spans="1:22" hidden="1">
      <c r="A87" s="109" t="s">
        <v>22</v>
      </c>
      <c r="B87" s="91">
        <f>7.97/2</f>
        <v>3.9849999999999999</v>
      </c>
      <c r="C87" s="91">
        <v>87.3</v>
      </c>
      <c r="D87" s="91">
        <f>B87</f>
        <v>3.9849999999999999</v>
      </c>
      <c r="E87" s="91">
        <v>92.57</v>
      </c>
      <c r="F87" s="92">
        <f>(E87*D87)/(C87*B87)</f>
        <v>1.0603665521191294</v>
      </c>
      <c r="G87" s="95">
        <f>3.23/2</f>
        <v>1.615</v>
      </c>
      <c r="H87" s="95">
        <v>87.3</v>
      </c>
      <c r="I87" s="94">
        <f t="shared" si="46"/>
        <v>1.615</v>
      </c>
      <c r="J87" s="95">
        <v>92.57</v>
      </c>
      <c r="K87" s="92">
        <f t="shared" ref="K87:K91" si="47">(J87*I87)/(H87*G87)</f>
        <v>1.0603665521191292</v>
      </c>
      <c r="L87" s="91"/>
      <c r="M87" s="91"/>
      <c r="N87" s="91"/>
      <c r="O87" s="91"/>
      <c r="P87" s="92"/>
      <c r="Q87" s="96"/>
      <c r="R87" s="96"/>
      <c r="S87" s="96"/>
      <c r="T87" s="96"/>
      <c r="U87" s="98"/>
      <c r="V87" s="172">
        <f t="shared" si="45"/>
        <v>1.0603665521191294</v>
      </c>
    </row>
    <row r="88" spans="1:22" hidden="1">
      <c r="A88" s="109" t="s">
        <v>23</v>
      </c>
      <c r="B88" s="91">
        <f>2.103/2</f>
        <v>1.0515000000000001</v>
      </c>
      <c r="C88" s="91">
        <v>99.44</v>
      </c>
      <c r="D88" s="91">
        <f>B88</f>
        <v>1.0515000000000001</v>
      </c>
      <c r="E88" s="91">
        <v>107.89</v>
      </c>
      <c r="F88" s="92">
        <f>(E88*D88)/(C88*B88)</f>
        <v>1.0849758648431216</v>
      </c>
      <c r="G88" s="95">
        <f>0.55/2</f>
        <v>0.27500000000000002</v>
      </c>
      <c r="H88" s="95">
        <v>99.44</v>
      </c>
      <c r="I88" s="94">
        <f t="shared" si="46"/>
        <v>0.27500000000000002</v>
      </c>
      <c r="J88" s="95">
        <v>107.89</v>
      </c>
      <c r="K88" s="92">
        <f t="shared" si="47"/>
        <v>1.0849758648431216</v>
      </c>
      <c r="L88" s="91"/>
      <c r="M88" s="91"/>
      <c r="N88" s="91"/>
      <c r="O88" s="91"/>
      <c r="P88" s="92"/>
      <c r="Q88" s="96"/>
      <c r="R88" s="96"/>
      <c r="S88" s="96"/>
      <c r="T88" s="96"/>
      <c r="U88" s="98"/>
      <c r="V88" s="172">
        <f t="shared" si="45"/>
        <v>1.0849758648431216</v>
      </c>
    </row>
    <row r="89" spans="1:22" hidden="1">
      <c r="A89" s="109" t="s">
        <v>24</v>
      </c>
      <c r="B89" s="96">
        <f>7.4/2</f>
        <v>3.7</v>
      </c>
      <c r="C89" s="96">
        <v>73.23</v>
      </c>
      <c r="D89" s="91">
        <f t="shared" ref="D89:D91" si="48">B89</f>
        <v>3.7</v>
      </c>
      <c r="E89" s="96">
        <v>79.430000000000007</v>
      </c>
      <c r="F89" s="92">
        <f t="shared" ref="F89:F91" si="49">(E89*D89)/(C89*B89)</f>
        <v>1.0846647548818791</v>
      </c>
      <c r="G89" s="94">
        <f>5.27/2</f>
        <v>2.6349999999999998</v>
      </c>
      <c r="H89" s="94">
        <v>73.23</v>
      </c>
      <c r="I89" s="94">
        <f t="shared" si="46"/>
        <v>2.6349999999999998</v>
      </c>
      <c r="J89" s="94">
        <v>79.430000000000007</v>
      </c>
      <c r="K89" s="92">
        <f t="shared" si="47"/>
        <v>1.0846647548818789</v>
      </c>
      <c r="L89" s="96"/>
      <c r="M89" s="96"/>
      <c r="N89" s="96"/>
      <c r="O89" s="96"/>
      <c r="P89" s="98"/>
      <c r="Q89" s="96"/>
      <c r="R89" s="96"/>
      <c r="S89" s="96"/>
      <c r="T89" s="96"/>
      <c r="U89" s="98"/>
      <c r="V89" s="172">
        <f t="shared" si="45"/>
        <v>1.0846647548818791</v>
      </c>
    </row>
    <row r="90" spans="1:22" hidden="1">
      <c r="A90" s="109" t="s">
        <v>25</v>
      </c>
      <c r="B90" s="96">
        <f>2.6/2</f>
        <v>1.3</v>
      </c>
      <c r="C90" s="96">
        <v>94.21</v>
      </c>
      <c r="D90" s="91">
        <f t="shared" si="48"/>
        <v>1.3</v>
      </c>
      <c r="E90" s="96">
        <v>102.22</v>
      </c>
      <c r="F90" s="92">
        <f t="shared" si="49"/>
        <v>1.0850228213565438</v>
      </c>
      <c r="G90" s="94">
        <f>2.26/2</f>
        <v>1.1299999999999999</v>
      </c>
      <c r="H90" s="94">
        <v>94.21</v>
      </c>
      <c r="I90" s="94">
        <f t="shared" si="46"/>
        <v>1.1299999999999999</v>
      </c>
      <c r="J90" s="94">
        <v>102.22</v>
      </c>
      <c r="K90" s="92">
        <f t="shared" si="47"/>
        <v>1.0850228213565438</v>
      </c>
      <c r="L90" s="96"/>
      <c r="M90" s="96"/>
      <c r="N90" s="96"/>
      <c r="O90" s="96"/>
      <c r="P90" s="98"/>
      <c r="Q90" s="96"/>
      <c r="R90" s="96"/>
      <c r="S90" s="96"/>
      <c r="T90" s="96"/>
      <c r="U90" s="98"/>
      <c r="V90" s="172">
        <f t="shared" si="45"/>
        <v>1.085022821356544</v>
      </c>
    </row>
    <row r="91" spans="1:22" ht="51" hidden="1">
      <c r="A91" s="114" t="s">
        <v>26</v>
      </c>
      <c r="B91" s="96">
        <f>18.6/2</f>
        <v>9.3000000000000007</v>
      </c>
      <c r="C91" s="96">
        <v>23.95</v>
      </c>
      <c r="D91" s="91">
        <f t="shared" si="48"/>
        <v>9.3000000000000007</v>
      </c>
      <c r="E91" s="96">
        <v>25.48</v>
      </c>
      <c r="F91" s="92">
        <f t="shared" si="49"/>
        <v>1.0638830897703551</v>
      </c>
      <c r="G91" s="94">
        <f>4.06/2</f>
        <v>2.0299999999999998</v>
      </c>
      <c r="H91" s="94">
        <v>23.95</v>
      </c>
      <c r="I91" s="94">
        <f t="shared" si="46"/>
        <v>2.0299999999999998</v>
      </c>
      <c r="J91" s="94">
        <v>25.48</v>
      </c>
      <c r="K91" s="92">
        <f t="shared" si="47"/>
        <v>1.0638830897703548</v>
      </c>
      <c r="L91" s="96"/>
      <c r="M91" s="96"/>
      <c r="N91" s="96"/>
      <c r="O91" s="96"/>
      <c r="P91" s="98"/>
      <c r="Q91" s="96"/>
      <c r="R91" s="96"/>
      <c r="S91" s="96"/>
      <c r="T91" s="96"/>
      <c r="U91" s="98"/>
      <c r="V91" s="172">
        <f t="shared" si="45"/>
        <v>1.0638830897703551</v>
      </c>
    </row>
    <row r="92" spans="1:22">
      <c r="A92" s="90" t="s">
        <v>202</v>
      </c>
      <c r="B92" s="91">
        <f>SUM(B93:B104)</f>
        <v>286.63484500000004</v>
      </c>
      <c r="C92" s="91">
        <f>SUMPRODUCT(B93:B104,C93:C104)/B92</f>
        <v>45.517804938370269</v>
      </c>
      <c r="D92" s="91">
        <f>SUM(D93:D104)</f>
        <v>286.63484500000004</v>
      </c>
      <c r="E92" s="91">
        <f>SUMPRODUCT(D93:D104,E93:E104)/D92</f>
        <v>45.993822468269677</v>
      </c>
      <c r="F92" s="92">
        <f>E92/C92</f>
        <v>1.0104578314034238</v>
      </c>
      <c r="G92" s="91">
        <f>SUM(G93:G104)</f>
        <v>119.078</v>
      </c>
      <c r="H92" s="91">
        <f>SUMPRODUCT(G93:G104,H93:H104)/G92</f>
        <v>37.209501538800524</v>
      </c>
      <c r="I92" s="91">
        <f>SUM(I93:I104)</f>
        <v>119.078</v>
      </c>
      <c r="J92" s="91">
        <f>SUMPRODUCT(I93:I104,J93:J104)/I92</f>
        <v>39.884858806405489</v>
      </c>
      <c r="K92" s="92">
        <f>J92/H92</f>
        <v>1.0718998416255379</v>
      </c>
      <c r="L92" s="91">
        <f>SUM(L93:L104)</f>
        <v>104.746</v>
      </c>
      <c r="M92" s="91">
        <f>SUMPRODUCT(L93:L104,M93:M104)/L92</f>
        <v>76.30067267485154</v>
      </c>
      <c r="N92" s="91">
        <f>SUM(N93:N104)</f>
        <v>104.746</v>
      </c>
      <c r="O92" s="91">
        <f>SUMPRODUCT(N93:N104,O93:O104)/N92</f>
        <v>78.483273442422615</v>
      </c>
      <c r="P92" s="92">
        <f>O92/M92</f>
        <v>1.0286052624578033</v>
      </c>
      <c r="Q92" s="91">
        <f>SUM(Q93:Q104)</f>
        <v>76.736000000000004</v>
      </c>
      <c r="R92" s="91">
        <f>SUMPRODUCT(Q93:Q104,R93:R104)/Q92</f>
        <v>51.34760870640789</v>
      </c>
      <c r="S92" s="91">
        <f>SUM(S93:S104)</f>
        <v>76.736000000000004</v>
      </c>
      <c r="T92" s="91">
        <f>SUMPRODUCT(S93:S104,T93:T104)/S92</f>
        <v>54.992029021359606</v>
      </c>
      <c r="U92" s="92">
        <f>T92/R92</f>
        <v>1.0709754632545705</v>
      </c>
      <c r="V92" s="172">
        <f t="shared" si="45"/>
        <v>1.0218244255679481</v>
      </c>
    </row>
    <row r="93" spans="1:22" hidden="1">
      <c r="A93" s="97" t="s">
        <v>81</v>
      </c>
      <c r="B93" s="91">
        <f>0.98369/2</f>
        <v>0.49184499999999998</v>
      </c>
      <c r="C93" s="91">
        <v>34.85</v>
      </c>
      <c r="D93" s="91">
        <f>B93</f>
        <v>0.49184499999999998</v>
      </c>
      <c r="E93" s="91">
        <v>37.07</v>
      </c>
      <c r="F93" s="92">
        <f>(E93*D93)/(C93*B93)</f>
        <v>1.0637015781922525</v>
      </c>
      <c r="G93" s="91"/>
      <c r="H93" s="91"/>
      <c r="I93" s="91"/>
      <c r="J93" s="91"/>
      <c r="K93" s="92"/>
      <c r="L93" s="91"/>
      <c r="M93" s="91"/>
      <c r="N93" s="91"/>
      <c r="O93" s="91"/>
      <c r="P93" s="92"/>
      <c r="Q93" s="96"/>
      <c r="R93" s="112"/>
      <c r="S93" s="112"/>
      <c r="T93" s="112"/>
      <c r="U93" s="92"/>
      <c r="V93" s="172">
        <f t="shared" si="45"/>
        <v>1.0637015781922525</v>
      </c>
    </row>
    <row r="94" spans="1:22" hidden="1">
      <c r="A94" s="97" t="s">
        <v>92</v>
      </c>
      <c r="B94" s="91">
        <f>14.76/2</f>
        <v>7.38</v>
      </c>
      <c r="C94" s="91">
        <v>93.81</v>
      </c>
      <c r="D94" s="91">
        <f>B94</f>
        <v>7.38</v>
      </c>
      <c r="E94" s="91">
        <v>100.11</v>
      </c>
      <c r="F94" s="92">
        <f t="shared" ref="F94" si="50">(E94*D94)/(C94*B94)</f>
        <v>1.0671570195075151</v>
      </c>
      <c r="G94" s="91">
        <f>7.09/2</f>
        <v>3.5449999999999999</v>
      </c>
      <c r="H94" s="91">
        <v>30.53</v>
      </c>
      <c r="I94" s="91">
        <f>G94</f>
        <v>3.5449999999999999</v>
      </c>
      <c r="J94" s="91">
        <v>32.700000000000003</v>
      </c>
      <c r="K94" s="92">
        <f t="shared" ref="K94:K101" si="51">(J94*I94)/(H94*G94)</f>
        <v>1.07107762856207</v>
      </c>
      <c r="L94" s="91">
        <f>14.76/2</f>
        <v>7.38</v>
      </c>
      <c r="M94" s="91">
        <v>110.48</v>
      </c>
      <c r="N94" s="91">
        <f>L94</f>
        <v>7.38</v>
      </c>
      <c r="O94" s="91">
        <v>118.37</v>
      </c>
      <c r="P94" s="92">
        <f t="shared" ref="P94" si="52">(O94*N94)/(M94*L94)</f>
        <v>1.0714156408399711</v>
      </c>
      <c r="Q94" s="96">
        <f>9.12/2</f>
        <v>4.5599999999999996</v>
      </c>
      <c r="R94" s="96">
        <v>51.35</v>
      </c>
      <c r="S94" s="96">
        <f>Q94</f>
        <v>4.5599999999999996</v>
      </c>
      <c r="T94" s="112">
        <v>55</v>
      </c>
      <c r="U94" s="92">
        <f t="shared" ref="U94" si="53">T94/R94</f>
        <v>1.071080817916261</v>
      </c>
      <c r="V94" s="172">
        <f t="shared" si="45"/>
        <v>1.0694600812570365</v>
      </c>
    </row>
    <row r="95" spans="1:22" hidden="1">
      <c r="A95" s="97" t="s">
        <v>82</v>
      </c>
      <c r="B95" s="91">
        <f>4.92/2</f>
        <v>2.46</v>
      </c>
      <c r="C95" s="91">
        <v>57.33</v>
      </c>
      <c r="D95" s="91">
        <f>B95</f>
        <v>2.46</v>
      </c>
      <c r="E95" s="91">
        <v>59.81</v>
      </c>
      <c r="F95" s="92">
        <f>(E95*D95)/(C95*B95)</f>
        <v>1.0432583289726147</v>
      </c>
      <c r="G95" s="91">
        <f>3.04/2</f>
        <v>1.52</v>
      </c>
      <c r="H95" s="91">
        <v>57.33</v>
      </c>
      <c r="I95" s="91">
        <f t="shared" ref="I95:I101" si="54">G95</f>
        <v>1.52</v>
      </c>
      <c r="J95" s="91">
        <v>59.81</v>
      </c>
      <c r="K95" s="92">
        <f t="shared" si="51"/>
        <v>1.0432583289726147</v>
      </c>
      <c r="L95" s="91"/>
      <c r="M95" s="91"/>
      <c r="N95" s="91"/>
      <c r="O95" s="91"/>
      <c r="P95" s="92"/>
      <c r="Q95" s="96"/>
      <c r="R95" s="112"/>
      <c r="S95" s="112"/>
      <c r="T95" s="112"/>
      <c r="U95" s="92"/>
      <c r="V95" s="172">
        <f t="shared" si="45"/>
        <v>1.0432583289726147</v>
      </c>
    </row>
    <row r="96" spans="1:22" hidden="1">
      <c r="A96" s="97" t="s">
        <v>83</v>
      </c>
      <c r="B96" s="91">
        <f>5.59/2</f>
        <v>2.7949999999999999</v>
      </c>
      <c r="C96" s="91">
        <v>71.900000000000006</v>
      </c>
      <c r="D96" s="91">
        <f>B96</f>
        <v>2.7949999999999999</v>
      </c>
      <c r="E96" s="91">
        <v>75</v>
      </c>
      <c r="F96" s="92">
        <f t="shared" ref="F96:F104" si="55">(E96*D96)/(C96*B96)</f>
        <v>1.0431154381084839</v>
      </c>
      <c r="G96" s="91">
        <f>3.74/2</f>
        <v>1.87</v>
      </c>
      <c r="H96" s="91">
        <v>39.18</v>
      </c>
      <c r="I96" s="91">
        <f t="shared" si="54"/>
        <v>1.87</v>
      </c>
      <c r="J96" s="91">
        <v>42.51</v>
      </c>
      <c r="K96" s="92">
        <f t="shared" si="51"/>
        <v>1.0849923430321593</v>
      </c>
      <c r="L96" s="91"/>
      <c r="M96" s="91"/>
      <c r="N96" s="91"/>
      <c r="O96" s="91"/>
      <c r="P96" s="92"/>
      <c r="Q96" s="96"/>
      <c r="R96" s="96"/>
      <c r="S96" s="96"/>
      <c r="T96" s="96"/>
      <c r="U96" s="92"/>
      <c r="V96" s="172">
        <f t="shared" si="45"/>
        <v>1.0431154381084839</v>
      </c>
    </row>
    <row r="97" spans="1:22" hidden="1">
      <c r="A97" s="97" t="s">
        <v>84</v>
      </c>
      <c r="B97" s="91">
        <f>51.206/2</f>
        <v>25.603000000000002</v>
      </c>
      <c r="C97" s="91">
        <v>63.85</v>
      </c>
      <c r="D97" s="91">
        <f t="shared" ref="D97:D104" si="56">B97</f>
        <v>25.603000000000002</v>
      </c>
      <c r="E97" s="91">
        <v>63.85</v>
      </c>
      <c r="F97" s="92">
        <f t="shared" si="55"/>
        <v>1</v>
      </c>
      <c r="G97" s="91">
        <f>39.507/2</f>
        <v>19.753499999999999</v>
      </c>
      <c r="H97" s="91">
        <v>41</v>
      </c>
      <c r="I97" s="91">
        <f t="shared" si="54"/>
        <v>19.753499999999999</v>
      </c>
      <c r="J97" s="91">
        <v>43.91</v>
      </c>
      <c r="K97" s="92">
        <f t="shared" si="51"/>
        <v>1.0709756097560974</v>
      </c>
      <c r="L97" s="91"/>
      <c r="M97" s="91"/>
      <c r="N97" s="91"/>
      <c r="O97" s="91"/>
      <c r="P97" s="92"/>
      <c r="Q97" s="112"/>
      <c r="R97" s="96"/>
      <c r="S97" s="112"/>
      <c r="T97" s="96"/>
      <c r="U97" s="92"/>
      <c r="V97" s="172">
        <f t="shared" si="45"/>
        <v>1</v>
      </c>
    </row>
    <row r="98" spans="1:22" hidden="1">
      <c r="A98" s="97" t="s">
        <v>85</v>
      </c>
      <c r="B98" s="91">
        <f>340.636/2</f>
        <v>170.31800000000001</v>
      </c>
      <c r="C98" s="91">
        <v>44.4</v>
      </c>
      <c r="D98" s="91">
        <f t="shared" si="56"/>
        <v>170.31800000000001</v>
      </c>
      <c r="E98" s="91">
        <v>44.4</v>
      </c>
      <c r="F98" s="92">
        <f t="shared" si="55"/>
        <v>1</v>
      </c>
      <c r="G98" s="91">
        <f>163.416/2</f>
        <v>81.707999999999998</v>
      </c>
      <c r="H98" s="91">
        <f>42.1/1.18</f>
        <v>35.677966101694921</v>
      </c>
      <c r="I98" s="91">
        <f t="shared" si="54"/>
        <v>81.707999999999998</v>
      </c>
      <c r="J98" s="91">
        <f>45.09/1.18</f>
        <v>38.211864406779668</v>
      </c>
      <c r="K98" s="92">
        <f t="shared" si="51"/>
        <v>1.0710213776722091</v>
      </c>
      <c r="L98" s="91">
        <f>194.732/2</f>
        <v>97.366</v>
      </c>
      <c r="M98" s="91">
        <v>73.709999999999994</v>
      </c>
      <c r="N98" s="91">
        <f t="shared" ref="N98" si="57">L98</f>
        <v>97.366</v>
      </c>
      <c r="O98" s="91">
        <v>75.459999999999994</v>
      </c>
      <c r="P98" s="92">
        <f t="shared" ref="P98" si="58">(O98*N98)/(M98*L98)</f>
        <v>1.0237416904083572</v>
      </c>
      <c r="Q98" s="112">
        <f>144.352/2</f>
        <v>72.176000000000002</v>
      </c>
      <c r="R98" s="112">
        <f>60.59/1.18</f>
        <v>51.347457627118651</v>
      </c>
      <c r="S98" s="112">
        <f>Q98</f>
        <v>72.176000000000002</v>
      </c>
      <c r="T98" s="112">
        <f>64.89/1.18</f>
        <v>54.991525423728817</v>
      </c>
      <c r="U98" s="92">
        <f t="shared" ref="U98" si="59">T98/R98</f>
        <v>1.0709688067337844</v>
      </c>
      <c r="V98" s="172">
        <f t="shared" si="45"/>
        <v>1.0148166963000593</v>
      </c>
    </row>
    <row r="99" spans="1:22" hidden="1">
      <c r="A99" s="97" t="s">
        <v>86</v>
      </c>
      <c r="B99" s="91">
        <f>4.612/2</f>
        <v>2.306</v>
      </c>
      <c r="C99" s="91">
        <v>70.38</v>
      </c>
      <c r="D99" s="91">
        <f t="shared" si="56"/>
        <v>2.306</v>
      </c>
      <c r="E99" s="91">
        <v>71.069999999999993</v>
      </c>
      <c r="F99" s="92">
        <f t="shared" si="55"/>
        <v>1.0098039215686274</v>
      </c>
      <c r="G99" s="91">
        <f>3/2</f>
        <v>1.5</v>
      </c>
      <c r="H99" s="91">
        <v>42.1</v>
      </c>
      <c r="I99" s="91">
        <f t="shared" si="54"/>
        <v>1.5</v>
      </c>
      <c r="J99" s="91">
        <v>45.68</v>
      </c>
      <c r="K99" s="92">
        <f t="shared" si="51"/>
        <v>1.0850356294536816</v>
      </c>
      <c r="L99" s="91"/>
      <c r="M99" s="91"/>
      <c r="N99" s="91"/>
      <c r="O99" s="91"/>
      <c r="P99" s="92"/>
      <c r="Q99" s="96"/>
      <c r="R99" s="96"/>
      <c r="S99" s="96"/>
      <c r="T99" s="96"/>
      <c r="U99" s="92"/>
      <c r="V99" s="172">
        <f t="shared" si="45"/>
        <v>1.0098039215686274</v>
      </c>
    </row>
    <row r="100" spans="1:22" hidden="1">
      <c r="A100" s="97" t="s">
        <v>87</v>
      </c>
      <c r="B100" s="91">
        <f>16.1/2</f>
        <v>8.0500000000000007</v>
      </c>
      <c r="C100" s="91">
        <v>48.63</v>
      </c>
      <c r="D100" s="91">
        <f t="shared" si="56"/>
        <v>8.0500000000000007</v>
      </c>
      <c r="E100" s="91">
        <v>48.63</v>
      </c>
      <c r="F100" s="92">
        <f t="shared" si="55"/>
        <v>1</v>
      </c>
      <c r="G100" s="91">
        <f>11.83/2</f>
        <v>5.915</v>
      </c>
      <c r="H100" s="91">
        <v>42.1</v>
      </c>
      <c r="I100" s="91">
        <f t="shared" si="54"/>
        <v>5.915</v>
      </c>
      <c r="J100" s="91">
        <v>45.68</v>
      </c>
      <c r="K100" s="92">
        <f t="shared" si="51"/>
        <v>1.0850356294536818</v>
      </c>
      <c r="L100" s="91"/>
      <c r="M100" s="91"/>
      <c r="N100" s="91"/>
      <c r="O100" s="91"/>
      <c r="P100" s="92"/>
      <c r="Q100" s="96"/>
      <c r="R100" s="96"/>
      <c r="S100" s="96"/>
      <c r="T100" s="96"/>
      <c r="U100" s="92"/>
      <c r="V100" s="172">
        <f t="shared" si="45"/>
        <v>1</v>
      </c>
    </row>
    <row r="101" spans="1:22" hidden="1">
      <c r="A101" s="97" t="s">
        <v>88</v>
      </c>
      <c r="B101" s="91">
        <f>84.507/2</f>
        <v>42.253500000000003</v>
      </c>
      <c r="C101" s="91">
        <v>34.61</v>
      </c>
      <c r="D101" s="91">
        <f t="shared" si="56"/>
        <v>42.253500000000003</v>
      </c>
      <c r="E101" s="91">
        <v>34.61</v>
      </c>
      <c r="F101" s="92">
        <f t="shared" si="55"/>
        <v>1</v>
      </c>
      <c r="G101" s="91">
        <v>0.17499999999999999</v>
      </c>
      <c r="H101" s="91">
        <v>34.61</v>
      </c>
      <c r="I101" s="91">
        <f t="shared" si="54"/>
        <v>0.17499999999999999</v>
      </c>
      <c r="J101" s="91">
        <v>34.61</v>
      </c>
      <c r="K101" s="92">
        <f t="shared" si="51"/>
        <v>1</v>
      </c>
      <c r="L101" s="91"/>
      <c r="M101" s="91"/>
      <c r="N101" s="91"/>
      <c r="O101" s="91"/>
      <c r="P101" s="92"/>
      <c r="Q101" s="96"/>
      <c r="R101" s="96"/>
      <c r="S101" s="96"/>
      <c r="T101" s="96"/>
      <c r="U101" s="92"/>
      <c r="V101" s="172">
        <f t="shared" si="45"/>
        <v>1</v>
      </c>
    </row>
    <row r="102" spans="1:22" hidden="1">
      <c r="A102" s="97" t="s">
        <v>89</v>
      </c>
      <c r="B102" s="91">
        <f>(41-8.3)/2</f>
        <v>16.350000000000001</v>
      </c>
      <c r="C102" s="91">
        <v>24.41</v>
      </c>
      <c r="D102" s="91">
        <f t="shared" si="56"/>
        <v>16.350000000000001</v>
      </c>
      <c r="E102" s="91">
        <v>26.38</v>
      </c>
      <c r="F102" s="92">
        <f t="shared" si="55"/>
        <v>1.0807046292503073</v>
      </c>
      <c r="G102" s="91"/>
      <c r="H102" s="91"/>
      <c r="I102" s="91"/>
      <c r="J102" s="91"/>
      <c r="K102" s="92"/>
      <c r="L102" s="91"/>
      <c r="M102" s="91"/>
      <c r="N102" s="91"/>
      <c r="O102" s="91"/>
      <c r="P102" s="92"/>
      <c r="Q102" s="96"/>
      <c r="R102" s="96"/>
      <c r="S102" s="96"/>
      <c r="T102" s="96"/>
      <c r="U102" s="92"/>
      <c r="V102" s="172">
        <f t="shared" si="45"/>
        <v>1.0807046292503073</v>
      </c>
    </row>
    <row r="103" spans="1:22" hidden="1">
      <c r="A103" s="97" t="s">
        <v>90</v>
      </c>
      <c r="B103" s="91">
        <f>10.8/2</f>
        <v>5.4</v>
      </c>
      <c r="C103" s="91">
        <v>36</v>
      </c>
      <c r="D103" s="91">
        <f t="shared" si="56"/>
        <v>5.4</v>
      </c>
      <c r="E103" s="91">
        <v>38.65</v>
      </c>
      <c r="F103" s="92">
        <f t="shared" si="55"/>
        <v>1.0736111111111111</v>
      </c>
      <c r="G103" s="91">
        <f>1.4/2</f>
        <v>0.7</v>
      </c>
      <c r="H103" s="91">
        <v>36</v>
      </c>
      <c r="I103" s="91">
        <f t="shared" ref="I103:I104" si="60">G103</f>
        <v>0.7</v>
      </c>
      <c r="J103" s="91">
        <v>38.65</v>
      </c>
      <c r="K103" s="92">
        <f t="shared" ref="K103:K104" si="61">(J103*I103)/(H103*G103)</f>
        <v>1.0736111111111111</v>
      </c>
      <c r="L103" s="91"/>
      <c r="M103" s="91"/>
      <c r="N103" s="91"/>
      <c r="O103" s="91"/>
      <c r="P103" s="92"/>
      <c r="Q103" s="96"/>
      <c r="R103" s="96"/>
      <c r="S103" s="96"/>
      <c r="T103" s="96"/>
      <c r="U103" s="92"/>
      <c r="V103" s="172">
        <f t="shared" si="45"/>
        <v>1.0736111111111111</v>
      </c>
    </row>
    <row r="104" spans="1:22" hidden="1">
      <c r="A104" s="97" t="s">
        <v>91</v>
      </c>
      <c r="B104" s="91">
        <f>6.455/2</f>
        <v>3.2275</v>
      </c>
      <c r="C104" s="91">
        <v>58.56</v>
      </c>
      <c r="D104" s="91">
        <f t="shared" si="56"/>
        <v>3.2275</v>
      </c>
      <c r="E104" s="91">
        <v>66.61</v>
      </c>
      <c r="F104" s="92">
        <f t="shared" si="55"/>
        <v>1.1374658469945353</v>
      </c>
      <c r="G104" s="91">
        <f>4.783/2</f>
        <v>2.3915000000000002</v>
      </c>
      <c r="H104" s="91">
        <v>39.18</v>
      </c>
      <c r="I104" s="91">
        <f t="shared" si="60"/>
        <v>2.3915000000000002</v>
      </c>
      <c r="J104" s="91">
        <v>42.51</v>
      </c>
      <c r="K104" s="92">
        <f t="shared" si="61"/>
        <v>1.0849923430321593</v>
      </c>
      <c r="L104" s="91"/>
      <c r="M104" s="91"/>
      <c r="N104" s="91"/>
      <c r="O104" s="91"/>
      <c r="P104" s="92"/>
      <c r="Q104" s="96"/>
      <c r="R104" s="96"/>
      <c r="S104" s="96"/>
      <c r="T104" s="96"/>
      <c r="U104" s="92"/>
      <c r="V104" s="172">
        <f t="shared" si="45"/>
        <v>1.1374658469945356</v>
      </c>
    </row>
    <row r="105" spans="1:22">
      <c r="A105" s="90" t="s">
        <v>234</v>
      </c>
      <c r="B105" s="91">
        <f>SUM(B106:B115)</f>
        <v>342.76299999999998</v>
      </c>
      <c r="C105" s="91">
        <f>SUMPRODUCT(B106:B115,C106:C115)/B105</f>
        <v>57.695784798826018</v>
      </c>
      <c r="D105" s="91">
        <f>SUM(D106:D115)</f>
        <v>342.76299999999998</v>
      </c>
      <c r="E105" s="91">
        <f>SUMPRODUCT(D106:D115,E106:E115)/D105</f>
        <v>61.308387340523915</v>
      </c>
      <c r="F105" s="92">
        <f>E105/C105</f>
        <v>1.0626146702795418</v>
      </c>
      <c r="G105" s="91">
        <f>SUM(G106:G115)</f>
        <v>175.66</v>
      </c>
      <c r="H105" s="91">
        <f>SUMPRODUCT(G106:G115,H106:H115)/G105</f>
        <v>42.262778663326884</v>
      </c>
      <c r="I105" s="91">
        <f>SUM(I106:I115)</f>
        <v>175.66</v>
      </c>
      <c r="J105" s="91">
        <f>SUMPRODUCT(I106:I115,J106:J115)/I105</f>
        <v>44.093141864966412</v>
      </c>
      <c r="K105" s="92">
        <f>J105/H105</f>
        <v>1.0433091069619567</v>
      </c>
      <c r="L105" s="91">
        <f>SUM(L106:L115)</f>
        <v>239.70950000000002</v>
      </c>
      <c r="M105" s="91">
        <f>SUMPRODUCT(L106:L115,M106:M115)/L105</f>
        <v>59.084798850275014</v>
      </c>
      <c r="N105" s="91">
        <f>SUM(N106:N115)</f>
        <v>239.70950000000002</v>
      </c>
      <c r="O105" s="91">
        <f>SUMPRODUCT(N106:N115,O106:O115)/N105</f>
        <v>63.11635383662307</v>
      </c>
      <c r="P105" s="92">
        <f>O105/M105</f>
        <v>1.068233370761984</v>
      </c>
      <c r="Q105" s="91">
        <f>SUM(Q106:Q115)</f>
        <v>132.92049999999998</v>
      </c>
      <c r="R105" s="91">
        <f>SUMPRODUCT(Q106:Q115,R106:R115)/Q105</f>
        <v>48.468136517692912</v>
      </c>
      <c r="S105" s="91">
        <f>SUM(S106:S115)</f>
        <v>132.92049999999998</v>
      </c>
      <c r="T105" s="91">
        <f>SUMPRODUCT(S106:S115,T106:T115)/S105</f>
        <v>52.457575204727647</v>
      </c>
      <c r="U105" s="92">
        <f>T105/R105</f>
        <v>1.0823105440742171</v>
      </c>
      <c r="V105" s="172">
        <f t="shared" si="45"/>
        <v>1.0654574355529418</v>
      </c>
    </row>
    <row r="106" spans="1:22" ht="89.25" hidden="1">
      <c r="A106" s="93" t="s">
        <v>133</v>
      </c>
      <c r="B106" s="91">
        <f>217.298/2</f>
        <v>108.649</v>
      </c>
      <c r="C106" s="91">
        <v>43.02</v>
      </c>
      <c r="D106" s="91">
        <f>B106</f>
        <v>108.649</v>
      </c>
      <c r="E106" s="91">
        <v>43.46</v>
      </c>
      <c r="F106" s="92">
        <f>(E106*D106)/(C106*B106)</f>
        <v>1.0102278010227801</v>
      </c>
      <c r="G106" s="91">
        <v>30.9</v>
      </c>
      <c r="H106" s="91">
        <v>43.02</v>
      </c>
      <c r="I106" s="91">
        <f>G106</f>
        <v>30.9</v>
      </c>
      <c r="J106" s="99">
        <v>43.46</v>
      </c>
      <c r="K106" s="92">
        <f t="shared" ref="K106" si="62">(J106*I106)/(H106*G106)</f>
        <v>1.0102278010227801</v>
      </c>
      <c r="L106" s="91">
        <f>122.645/2</f>
        <v>61.322499999999998</v>
      </c>
      <c r="M106" s="91">
        <v>68.87</v>
      </c>
      <c r="N106" s="91">
        <f>L106</f>
        <v>61.322499999999998</v>
      </c>
      <c r="O106" s="91">
        <v>71.14</v>
      </c>
      <c r="P106" s="92">
        <f>(O106*N106)/(M106*L106)</f>
        <v>1.0329606505009439</v>
      </c>
      <c r="Q106" s="91">
        <v>29.31</v>
      </c>
      <c r="R106" s="91">
        <v>68.87</v>
      </c>
      <c r="S106" s="91">
        <f>Q106</f>
        <v>29.31</v>
      </c>
      <c r="T106" s="96">
        <v>71.14</v>
      </c>
      <c r="U106" s="92">
        <f>(T106*S106)/(R106*Q106)</f>
        <v>1.0329606505009437</v>
      </c>
      <c r="V106" s="172">
        <f t="shared" si="45"/>
        <v>1.0242202162838501</v>
      </c>
    </row>
    <row r="107" spans="1:22" ht="102" hidden="1">
      <c r="A107" s="93" t="s">
        <v>134</v>
      </c>
      <c r="B107" s="91">
        <v>0</v>
      </c>
      <c r="C107" s="91">
        <v>0</v>
      </c>
      <c r="D107" s="91">
        <v>0</v>
      </c>
      <c r="E107" s="91">
        <v>0</v>
      </c>
      <c r="F107" s="92">
        <v>0</v>
      </c>
      <c r="G107" s="99">
        <v>0</v>
      </c>
      <c r="H107" s="99">
        <v>0</v>
      </c>
      <c r="I107" s="99">
        <v>0</v>
      </c>
      <c r="J107" s="99">
        <v>0</v>
      </c>
      <c r="K107" s="92">
        <v>0</v>
      </c>
      <c r="L107" s="91">
        <f>10.165/2</f>
        <v>5.0824999999999996</v>
      </c>
      <c r="M107" s="91">
        <v>51.78</v>
      </c>
      <c r="N107" s="91">
        <f>L107</f>
        <v>5.0824999999999996</v>
      </c>
      <c r="O107" s="91">
        <v>51.78</v>
      </c>
      <c r="P107" s="92">
        <f>(O107*N107)/(M107*L107)</f>
        <v>1</v>
      </c>
      <c r="Q107" s="112">
        <v>0</v>
      </c>
      <c r="R107" s="112">
        <v>0</v>
      </c>
      <c r="S107" s="112">
        <v>0</v>
      </c>
      <c r="T107" s="112">
        <v>0</v>
      </c>
      <c r="U107" s="92">
        <v>0</v>
      </c>
      <c r="V107" s="172">
        <f t="shared" si="45"/>
        <v>1</v>
      </c>
    </row>
    <row r="108" spans="1:22" ht="89.25" hidden="1">
      <c r="A108" s="93" t="s">
        <v>135</v>
      </c>
      <c r="B108" s="91">
        <f>25.234/2</f>
        <v>12.617000000000001</v>
      </c>
      <c r="C108" s="91">
        <v>116.64</v>
      </c>
      <c r="D108" s="91">
        <f>B108</f>
        <v>12.617000000000001</v>
      </c>
      <c r="E108" s="91">
        <v>117.23</v>
      </c>
      <c r="F108" s="92">
        <f>(E108*D108)/(C108*B108)</f>
        <v>1.0050582990397805</v>
      </c>
      <c r="G108" s="91">
        <v>9.8800000000000008</v>
      </c>
      <c r="H108" s="91">
        <v>70.739999999999995</v>
      </c>
      <c r="I108" s="91">
        <f>G108</f>
        <v>9.8800000000000008</v>
      </c>
      <c r="J108" s="99">
        <v>75.760000000000005</v>
      </c>
      <c r="K108" s="92">
        <f t="shared" ref="K108" si="63">(J108*I108)/(H108*G108)</f>
        <v>1.0709640938648572</v>
      </c>
      <c r="L108" s="91">
        <f>20.976/2</f>
        <v>10.488</v>
      </c>
      <c r="M108" s="91">
        <v>101</v>
      </c>
      <c r="N108" s="91">
        <f>L108</f>
        <v>10.488</v>
      </c>
      <c r="O108" s="91">
        <v>103.89</v>
      </c>
      <c r="P108" s="92">
        <f>(O108*N108)/(M108*L108)</f>
        <v>1.0286138613861386</v>
      </c>
      <c r="Q108" s="96">
        <v>9.6105</v>
      </c>
      <c r="R108" s="96">
        <v>84.08</v>
      </c>
      <c r="S108" s="96">
        <f>Q108</f>
        <v>9.6105</v>
      </c>
      <c r="T108" s="96">
        <v>90.05</v>
      </c>
      <c r="U108" s="92">
        <f t="shared" ref="U108" si="64">(T108*S108)/(R108*Q108)</f>
        <v>1.0710038058991436</v>
      </c>
      <c r="V108" s="172">
        <f t="shared" si="45"/>
        <v>1.0159897077743063</v>
      </c>
    </row>
    <row r="109" spans="1:22" hidden="1">
      <c r="A109" s="97" t="s">
        <v>141</v>
      </c>
      <c r="B109" s="91">
        <f>3.13/2</f>
        <v>1.5649999999999999</v>
      </c>
      <c r="C109" s="91">
        <v>291.20999999999998</v>
      </c>
      <c r="D109" s="91">
        <f>B109</f>
        <v>1.5649999999999999</v>
      </c>
      <c r="E109" s="91">
        <v>301.67</v>
      </c>
      <c r="F109" s="92">
        <f>(E109*D109)/(C109*B109)</f>
        <v>1.0359190961848839</v>
      </c>
      <c r="G109" s="91"/>
      <c r="H109" s="91"/>
      <c r="I109" s="91"/>
      <c r="J109" s="91"/>
      <c r="K109" s="92"/>
      <c r="L109" s="91"/>
      <c r="M109" s="91"/>
      <c r="N109" s="91"/>
      <c r="O109" s="91"/>
      <c r="P109" s="92"/>
      <c r="Q109" s="96"/>
      <c r="R109" s="96"/>
      <c r="S109" s="96"/>
      <c r="T109" s="96"/>
      <c r="U109" s="92"/>
      <c r="V109" s="172">
        <f t="shared" si="45"/>
        <v>1.0359190961848839</v>
      </c>
    </row>
    <row r="110" spans="1:22" hidden="1">
      <c r="A110" s="97" t="s">
        <v>142</v>
      </c>
      <c r="B110" s="91">
        <f>136.93/2</f>
        <v>68.465000000000003</v>
      </c>
      <c r="C110" s="91">
        <v>33.83</v>
      </c>
      <c r="D110" s="91">
        <f>B110</f>
        <v>68.465000000000003</v>
      </c>
      <c r="E110" s="91">
        <v>36.35</v>
      </c>
      <c r="F110" s="92">
        <f t="shared" ref="F110:F115" si="65">(E110*D110)/(C110*B110)</f>
        <v>1.0744900975465563</v>
      </c>
      <c r="G110" s="91">
        <f>66.76/2</f>
        <v>33.380000000000003</v>
      </c>
      <c r="H110" s="91">
        <v>19.420000000000002</v>
      </c>
      <c r="I110" s="91">
        <f>G110</f>
        <v>33.380000000000003</v>
      </c>
      <c r="J110" s="91">
        <v>20.8</v>
      </c>
      <c r="K110" s="92">
        <f t="shared" ref="K110:K115" si="66">(J110*I110)/(H110*G110)</f>
        <v>1.0710607621009269</v>
      </c>
      <c r="L110" s="91">
        <f>109.73/2</f>
        <v>54.865000000000002</v>
      </c>
      <c r="M110" s="91">
        <v>30.5</v>
      </c>
      <c r="N110" s="91">
        <f>L110</f>
        <v>54.865000000000002</v>
      </c>
      <c r="O110" s="91">
        <v>32.479999999999997</v>
      </c>
      <c r="P110" s="92">
        <f t="shared" ref="P110" si="67">(O110*N110)/(M110*L110)</f>
        <v>1.064918032786885</v>
      </c>
      <c r="Q110" s="96">
        <f>66.9/2</f>
        <v>33.450000000000003</v>
      </c>
      <c r="R110" s="96">
        <v>21.27</v>
      </c>
      <c r="S110" s="96">
        <f>Q110</f>
        <v>33.450000000000003</v>
      </c>
      <c r="T110" s="96">
        <v>22.78</v>
      </c>
      <c r="U110" s="92">
        <f t="shared" ref="U110" si="68">T110/R110</f>
        <v>1.070992007522332</v>
      </c>
      <c r="V110" s="172">
        <f t="shared" si="45"/>
        <v>1.069951810974662</v>
      </c>
    </row>
    <row r="111" spans="1:22" hidden="1">
      <c r="A111" s="90" t="s">
        <v>136</v>
      </c>
      <c r="B111" s="91">
        <f>7.807/2</f>
        <v>3.9035000000000002</v>
      </c>
      <c r="C111" s="91">
        <v>118.97</v>
      </c>
      <c r="D111" s="91">
        <f t="shared" ref="D111:D115" si="69">B111</f>
        <v>3.9035000000000002</v>
      </c>
      <c r="E111" s="91">
        <v>118.97</v>
      </c>
      <c r="F111" s="92">
        <f t="shared" si="65"/>
        <v>1</v>
      </c>
      <c r="G111" s="99">
        <v>2.06</v>
      </c>
      <c r="H111" s="91">
        <v>74.45</v>
      </c>
      <c r="I111" s="99">
        <f>G111</f>
        <v>2.06</v>
      </c>
      <c r="J111" s="91">
        <v>80.78</v>
      </c>
      <c r="K111" s="92">
        <f t="shared" si="66"/>
        <v>1.0850235057085291</v>
      </c>
      <c r="L111" s="91">
        <v>0</v>
      </c>
      <c r="M111" s="91">
        <v>0</v>
      </c>
      <c r="N111" s="91">
        <v>0</v>
      </c>
      <c r="O111" s="91">
        <v>0</v>
      </c>
      <c r="P111" s="92"/>
      <c r="Q111" s="91">
        <f>L111</f>
        <v>0</v>
      </c>
      <c r="R111" s="96">
        <v>0</v>
      </c>
      <c r="S111" s="91">
        <f>Q111</f>
        <v>0</v>
      </c>
      <c r="T111" s="96">
        <v>0</v>
      </c>
      <c r="U111" s="92"/>
      <c r="V111" s="172">
        <f t="shared" si="45"/>
        <v>1</v>
      </c>
    </row>
    <row r="112" spans="1:22" hidden="1">
      <c r="A112" s="90" t="s">
        <v>137</v>
      </c>
      <c r="B112" s="91">
        <f>79.676/2</f>
        <v>39.838000000000001</v>
      </c>
      <c r="C112" s="91">
        <v>84.6</v>
      </c>
      <c r="D112" s="91">
        <f t="shared" si="69"/>
        <v>39.838000000000001</v>
      </c>
      <c r="E112" s="91">
        <v>87.97</v>
      </c>
      <c r="F112" s="92">
        <f t="shared" si="65"/>
        <v>1.0398345153664303</v>
      </c>
      <c r="G112" s="91">
        <v>21.58</v>
      </c>
      <c r="H112" s="91">
        <v>84.6</v>
      </c>
      <c r="I112" s="91">
        <f t="shared" ref="I112" si="70">G112</f>
        <v>21.58</v>
      </c>
      <c r="J112" s="99">
        <v>87.97</v>
      </c>
      <c r="K112" s="92">
        <f t="shared" si="66"/>
        <v>1.0398345153664303</v>
      </c>
      <c r="L112" s="91">
        <f>52.429/2</f>
        <v>26.214500000000001</v>
      </c>
      <c r="M112" s="91">
        <v>88.27</v>
      </c>
      <c r="N112" s="91">
        <f>L112</f>
        <v>26.214500000000001</v>
      </c>
      <c r="O112" s="91">
        <v>89.16</v>
      </c>
      <c r="P112" s="92">
        <f t="shared" ref="P112" si="71">(O112*N112)/(M112*L112)</f>
        <v>1.0100827008043503</v>
      </c>
      <c r="Q112" s="91">
        <v>0.2</v>
      </c>
      <c r="R112" s="91">
        <v>88.27</v>
      </c>
      <c r="S112" s="91">
        <f>Q112</f>
        <v>0.2</v>
      </c>
      <c r="T112" s="96">
        <v>89.16</v>
      </c>
      <c r="U112" s="92">
        <f t="shared" ref="U112" si="72">(T112*S112)/(R112*Q112)</f>
        <v>1.0100827008043503</v>
      </c>
      <c r="V112" s="172">
        <f t="shared" si="45"/>
        <v>1.024642795163996</v>
      </c>
    </row>
    <row r="113" spans="1:22" hidden="1">
      <c r="A113" s="90" t="s">
        <v>138</v>
      </c>
      <c r="B113" s="91">
        <f>6.025/2</f>
        <v>3.0125000000000002</v>
      </c>
      <c r="C113" s="91">
        <v>145</v>
      </c>
      <c r="D113" s="91">
        <f t="shared" si="69"/>
        <v>3.0125000000000002</v>
      </c>
      <c r="E113" s="91">
        <v>148.31</v>
      </c>
      <c r="F113" s="92">
        <f t="shared" si="65"/>
        <v>1.0228275862068965</v>
      </c>
      <c r="G113" s="99">
        <v>2.34</v>
      </c>
      <c r="H113" s="99">
        <v>93.96</v>
      </c>
      <c r="I113" s="99">
        <f>G113</f>
        <v>2.34</v>
      </c>
      <c r="J113" s="99">
        <v>93.96</v>
      </c>
      <c r="K113" s="92">
        <f t="shared" si="66"/>
        <v>1</v>
      </c>
      <c r="L113" s="91"/>
      <c r="M113" s="91"/>
      <c r="N113" s="91"/>
      <c r="O113" s="91"/>
      <c r="P113" s="92"/>
      <c r="Q113" s="96"/>
      <c r="R113" s="96"/>
      <c r="S113" s="96"/>
      <c r="T113" s="96"/>
      <c r="U113" s="92"/>
      <c r="V113" s="172">
        <f t="shared" si="45"/>
        <v>1.0228275862068965</v>
      </c>
    </row>
    <row r="114" spans="1:22" ht="63.75" hidden="1">
      <c r="A114" s="93" t="s">
        <v>139</v>
      </c>
      <c r="B114" s="91">
        <f>165.666/2</f>
        <v>82.832999999999998</v>
      </c>
      <c r="C114" s="91">
        <v>39.01</v>
      </c>
      <c r="D114" s="91">
        <f t="shared" si="69"/>
        <v>82.832999999999998</v>
      </c>
      <c r="E114" s="91">
        <v>44.13</v>
      </c>
      <c r="F114" s="92">
        <f t="shared" si="65"/>
        <v>1.1312483978467061</v>
      </c>
      <c r="G114" s="91">
        <v>61.75</v>
      </c>
      <c r="H114" s="91">
        <v>33.5</v>
      </c>
      <c r="I114" s="91">
        <f t="shared" ref="I114:I115" si="73">G114</f>
        <v>61.75</v>
      </c>
      <c r="J114" s="99">
        <v>35</v>
      </c>
      <c r="K114" s="92">
        <f t="shared" si="66"/>
        <v>1.044776119402985</v>
      </c>
      <c r="L114" s="91">
        <f>144.314/2</f>
        <v>72.156999999999996</v>
      </c>
      <c r="M114" s="91">
        <v>41.35</v>
      </c>
      <c r="N114" s="91">
        <f>L114</f>
        <v>72.156999999999996</v>
      </c>
      <c r="O114" s="91">
        <v>46.74</v>
      </c>
      <c r="P114" s="92">
        <f>(O114*N114)/(M114*L114)</f>
        <v>1.1303506650544135</v>
      </c>
      <c r="Q114" s="91">
        <v>51.87</v>
      </c>
      <c r="R114" s="91">
        <v>48.79</v>
      </c>
      <c r="S114" s="91">
        <f>Q114</f>
        <v>51.87</v>
      </c>
      <c r="T114" s="96">
        <v>55.16</v>
      </c>
      <c r="U114" s="92">
        <f>(T114*S114)/(R114*Q114)</f>
        <v>1.1305595408895266</v>
      </c>
      <c r="V114" s="172">
        <f t="shared" si="45"/>
        <v>1.1307864609258338</v>
      </c>
    </row>
    <row r="115" spans="1:22" ht="63.75" hidden="1">
      <c r="A115" s="93" t="s">
        <v>140</v>
      </c>
      <c r="B115" s="91">
        <f>43.76/2</f>
        <v>21.88</v>
      </c>
      <c r="C115" s="91">
        <v>153.36000000000001</v>
      </c>
      <c r="D115" s="91">
        <f t="shared" si="69"/>
        <v>21.88</v>
      </c>
      <c r="E115" s="91">
        <v>172.82</v>
      </c>
      <c r="F115" s="92">
        <f t="shared" si="65"/>
        <v>1.1268909754825247</v>
      </c>
      <c r="G115" s="91">
        <v>13.77</v>
      </c>
      <c r="H115" s="91">
        <v>34.85</v>
      </c>
      <c r="I115" s="91">
        <f t="shared" si="73"/>
        <v>13.77</v>
      </c>
      <c r="J115" s="99">
        <v>37.31</v>
      </c>
      <c r="K115" s="92">
        <f t="shared" si="66"/>
        <v>1.0705882352941176</v>
      </c>
      <c r="L115" s="91">
        <f>19.16/2</f>
        <v>9.58</v>
      </c>
      <c r="M115" s="91">
        <v>171.86</v>
      </c>
      <c r="N115" s="91">
        <f>L115</f>
        <v>9.58</v>
      </c>
      <c r="O115" s="91">
        <v>200.67</v>
      </c>
      <c r="P115" s="92">
        <f>(O115*N115)/(M115*L115)</f>
        <v>1.1676364482718491</v>
      </c>
      <c r="Q115" s="91">
        <v>8.48</v>
      </c>
      <c r="R115" s="91">
        <v>41.97</v>
      </c>
      <c r="S115" s="91">
        <f>Q115</f>
        <v>8.48</v>
      </c>
      <c r="T115" s="96">
        <v>44.95</v>
      </c>
      <c r="U115" s="92">
        <f>(T115*S115)/(R115*Q115)</f>
        <v>1.07100309745056</v>
      </c>
      <c r="V115" s="172">
        <f t="shared" si="45"/>
        <v>1.1484226062357787</v>
      </c>
    </row>
    <row r="116" spans="1:22">
      <c r="A116" s="104" t="s">
        <v>235</v>
      </c>
      <c r="B116" s="91">
        <f>SUM(B117:B120)</f>
        <v>36.3705</v>
      </c>
      <c r="C116" s="91">
        <f>SUMPRODUCT(B117:B120,C117:C120)/B116</f>
        <v>37.440717339602145</v>
      </c>
      <c r="D116" s="91">
        <f>SUM(D117:D120)</f>
        <v>36.3705</v>
      </c>
      <c r="E116" s="91">
        <f>SUMPRODUCT(D117:D120,E117:E120)/D116</f>
        <v>39.593072545057119</v>
      </c>
      <c r="F116" s="92">
        <f>E116/C116</f>
        <v>1.0574870183691263</v>
      </c>
      <c r="G116" s="91">
        <f>SUM(G117:G120)</f>
        <v>18.859000000000002</v>
      </c>
      <c r="H116" s="91">
        <f>SUMPRODUCT(G117:G120,H117:H120)/G116</f>
        <v>16.640861127313219</v>
      </c>
      <c r="I116" s="91">
        <f>SUM(I117:I120)</f>
        <v>18.859000000000002</v>
      </c>
      <c r="J116" s="91">
        <f>SUMPRODUCT(I117:I120,J117:J120)/I116</f>
        <v>17.825721406225142</v>
      </c>
      <c r="K116" s="92">
        <f>J116/H116</f>
        <v>1.0712018608800942</v>
      </c>
      <c r="L116" s="91">
        <f>SUM(L117:L120)</f>
        <v>10.040000000000001</v>
      </c>
      <c r="M116" s="91">
        <f>SUMPRODUCT(L117:L120,M117:M120)/L116</f>
        <v>63.349203187251</v>
      </c>
      <c r="N116" s="91">
        <f>SUM(N117:N120)</f>
        <v>10.040000000000001</v>
      </c>
      <c r="O116" s="91">
        <f>SUMPRODUCT(N117:N120,O117:O120)/N116</f>
        <v>66.314780876494027</v>
      </c>
      <c r="P116" s="92">
        <f>O116/M116</f>
        <v>1.0468131805932461</v>
      </c>
      <c r="Q116" s="91">
        <f>SUM(Q117:Q120)</f>
        <v>10.040000000000001</v>
      </c>
      <c r="R116" s="91">
        <f>SUMPRODUCT(Q117:Q120,R117:R120)/Q116</f>
        <v>52.780876494023893</v>
      </c>
      <c r="S116" s="91">
        <f>SUM(S117:S120)</f>
        <v>10.040000000000001</v>
      </c>
      <c r="T116" s="91">
        <f>SUMPRODUCT(S117:S120,T117:T120)/S116</f>
        <v>55.340398406374504</v>
      </c>
      <c r="U116" s="92">
        <f>T116/R116</f>
        <v>1.0484933574879229</v>
      </c>
      <c r="V116" s="172">
        <f t="shared" si="45"/>
        <v>1.0507782213533392</v>
      </c>
    </row>
    <row r="117" spans="1:22" ht="51.75" hidden="1">
      <c r="A117" s="113" t="s">
        <v>122</v>
      </c>
      <c r="B117" s="91"/>
      <c r="C117" s="91"/>
      <c r="D117" s="91"/>
      <c r="E117" s="91"/>
      <c r="F117" s="92"/>
      <c r="G117" s="96"/>
      <c r="H117" s="96"/>
      <c r="I117" s="96"/>
      <c r="J117" s="96"/>
      <c r="K117" s="92"/>
      <c r="L117" s="91">
        <f>7.28/2</f>
        <v>3.64</v>
      </c>
      <c r="M117" s="91">
        <v>69.150000000000006</v>
      </c>
      <c r="N117" s="91">
        <f>L117</f>
        <v>3.64</v>
      </c>
      <c r="O117" s="91">
        <v>73.11</v>
      </c>
      <c r="P117" s="92">
        <f>(O117*N117)/(M117*L117)</f>
        <v>1.0572668112798265</v>
      </c>
      <c r="Q117" s="91">
        <f>7.28/2</f>
        <v>3.64</v>
      </c>
      <c r="R117" s="91">
        <v>40</v>
      </c>
      <c r="S117" s="91">
        <f>Q117</f>
        <v>3.64</v>
      </c>
      <c r="T117" s="96">
        <v>42.84</v>
      </c>
      <c r="U117" s="92">
        <f>(T117*S117)/(R117*Q117)</f>
        <v>1.0710000000000002</v>
      </c>
      <c r="V117" s="172">
        <f t="shared" si="45"/>
        <v>1.0572668112798265</v>
      </c>
    </row>
    <row r="118" spans="1:22" ht="39" hidden="1">
      <c r="A118" s="113" t="s">
        <v>123</v>
      </c>
      <c r="B118" s="91">
        <f>39.5/2</f>
        <v>19.75</v>
      </c>
      <c r="C118" s="91">
        <v>38.21</v>
      </c>
      <c r="D118" s="91">
        <f>B118</f>
        <v>19.75</v>
      </c>
      <c r="E118" s="91">
        <v>40.229999999999997</v>
      </c>
      <c r="F118" s="92">
        <f t="shared" ref="F118:F120" si="74">(E118*D118)/(C118*B118)</f>
        <v>1.0528657419523684</v>
      </c>
      <c r="G118" s="91">
        <v>12.67</v>
      </c>
      <c r="H118" s="91">
        <v>15</v>
      </c>
      <c r="I118" s="91">
        <f>G118</f>
        <v>12.67</v>
      </c>
      <c r="J118" s="99">
        <v>16.07</v>
      </c>
      <c r="K118" s="92">
        <f t="shared" ref="K118:K120" si="75">(J118*I118)/(H118*G118)</f>
        <v>1.0713333333333332</v>
      </c>
      <c r="L118" s="91">
        <f>12.8/2</f>
        <v>6.4</v>
      </c>
      <c r="M118" s="91">
        <v>60.05</v>
      </c>
      <c r="N118" s="91">
        <f>L118</f>
        <v>6.4</v>
      </c>
      <c r="O118" s="91">
        <v>62.45</v>
      </c>
      <c r="P118" s="92">
        <f>(O118*N118)/(M118*L118)</f>
        <v>1.0399666944213157</v>
      </c>
      <c r="Q118" s="91">
        <f>12.8/2</f>
        <v>6.4</v>
      </c>
      <c r="R118" s="91">
        <v>60.05</v>
      </c>
      <c r="S118" s="91">
        <f>Q118</f>
        <v>6.4</v>
      </c>
      <c r="T118" s="96">
        <v>62.45</v>
      </c>
      <c r="U118" s="92">
        <f>(T118*S118)/(R118*Q118)</f>
        <v>1.0399666944213157</v>
      </c>
      <c r="V118" s="172">
        <f t="shared" si="45"/>
        <v>1.044982698961938</v>
      </c>
    </row>
    <row r="119" spans="1:22" hidden="1">
      <c r="A119" s="109" t="s">
        <v>124</v>
      </c>
      <c r="B119" s="91">
        <f>14/2</f>
        <v>7</v>
      </c>
      <c r="C119" s="91">
        <v>32.549999999999997</v>
      </c>
      <c r="D119" s="91">
        <f>B119</f>
        <v>7</v>
      </c>
      <c r="E119" s="91">
        <v>32.99</v>
      </c>
      <c r="F119" s="92">
        <f t="shared" si="74"/>
        <v>1.0135176651305686</v>
      </c>
      <c r="G119" s="91">
        <v>0.25</v>
      </c>
      <c r="H119" s="91">
        <v>20</v>
      </c>
      <c r="I119" s="91">
        <f>G119</f>
        <v>0.25</v>
      </c>
      <c r="J119" s="99">
        <v>21.42</v>
      </c>
      <c r="K119" s="92">
        <f t="shared" si="75"/>
        <v>1.0710000000000002</v>
      </c>
      <c r="L119" s="91"/>
      <c r="M119" s="91"/>
      <c r="N119" s="91"/>
      <c r="O119" s="91"/>
      <c r="P119" s="92"/>
      <c r="Q119" s="96"/>
      <c r="R119" s="96"/>
      <c r="S119" s="96"/>
      <c r="T119" s="96"/>
      <c r="U119" s="92"/>
      <c r="V119" s="172">
        <f t="shared" si="45"/>
        <v>1.0135176651305684</v>
      </c>
    </row>
    <row r="120" spans="1:22" hidden="1">
      <c r="A120" s="109" t="s">
        <v>125</v>
      </c>
      <c r="B120" s="112">
        <f>19.241/2</f>
        <v>9.6204999999999998</v>
      </c>
      <c r="C120" s="112">
        <v>39.42</v>
      </c>
      <c r="D120" s="112">
        <f>19.241/2</f>
        <v>9.6204999999999998</v>
      </c>
      <c r="E120" s="96">
        <v>43.09</v>
      </c>
      <c r="F120" s="92">
        <f t="shared" si="74"/>
        <v>1.0930999492643327</v>
      </c>
      <c r="G120" s="112">
        <v>5.9390000000000001</v>
      </c>
      <c r="H120" s="112">
        <v>20</v>
      </c>
      <c r="I120" s="91">
        <f>G120</f>
        <v>5.9390000000000001</v>
      </c>
      <c r="J120" s="112">
        <v>21.42</v>
      </c>
      <c r="K120" s="92">
        <f t="shared" si="75"/>
        <v>1.0710000000000002</v>
      </c>
      <c r="L120" s="96"/>
      <c r="M120" s="96"/>
      <c r="N120" s="96"/>
      <c r="O120" s="96"/>
      <c r="P120" s="92"/>
      <c r="Q120" s="96"/>
      <c r="R120" s="96"/>
      <c r="S120" s="96"/>
      <c r="T120" s="96"/>
      <c r="U120" s="92"/>
      <c r="V120" s="172">
        <f t="shared" si="45"/>
        <v>1.093099949264333</v>
      </c>
    </row>
    <row r="121" spans="1:22" hidden="1">
      <c r="A121" s="114"/>
      <c r="B121" s="96"/>
      <c r="C121" s="96"/>
      <c r="D121" s="91"/>
      <c r="E121" s="96"/>
      <c r="F121" s="92"/>
      <c r="G121" s="94"/>
      <c r="H121" s="94"/>
      <c r="I121" s="94"/>
      <c r="J121" s="94"/>
      <c r="K121" s="92"/>
      <c r="L121" s="96"/>
      <c r="M121" s="96"/>
      <c r="N121" s="96"/>
      <c r="O121" s="96"/>
      <c r="P121" s="98"/>
      <c r="Q121" s="96"/>
      <c r="R121" s="96"/>
      <c r="S121" s="96"/>
      <c r="T121" s="96"/>
      <c r="U121" s="98"/>
      <c r="V121" s="172" t="e">
        <f t="shared" si="45"/>
        <v>#DIV/0!</v>
      </c>
    </row>
    <row r="122" spans="1:22" hidden="1">
      <c r="A122" s="114"/>
      <c r="B122" s="96"/>
      <c r="C122" s="96"/>
      <c r="D122" s="91"/>
      <c r="E122" s="96"/>
      <c r="F122" s="92"/>
      <c r="G122" s="94"/>
      <c r="H122" s="94"/>
      <c r="I122" s="94"/>
      <c r="J122" s="94"/>
      <c r="K122" s="92"/>
      <c r="L122" s="96"/>
      <c r="M122" s="96"/>
      <c r="N122" s="96"/>
      <c r="O122" s="96"/>
      <c r="P122" s="98"/>
      <c r="Q122" s="96"/>
      <c r="R122" s="96"/>
      <c r="S122" s="96"/>
      <c r="T122" s="96"/>
      <c r="U122" s="98"/>
      <c r="V122" s="172" t="e">
        <f t="shared" si="45"/>
        <v>#DIV/0!</v>
      </c>
    </row>
    <row r="123" spans="1:22" hidden="1">
      <c r="A123" s="114"/>
      <c r="B123" s="96"/>
      <c r="C123" s="96"/>
      <c r="D123" s="91"/>
      <c r="E123" s="96"/>
      <c r="F123" s="92"/>
      <c r="G123" s="94"/>
      <c r="H123" s="94"/>
      <c r="I123" s="94"/>
      <c r="J123" s="94"/>
      <c r="K123" s="92"/>
      <c r="L123" s="96"/>
      <c r="M123" s="96"/>
      <c r="N123" s="96"/>
      <c r="O123" s="96"/>
      <c r="P123" s="98"/>
      <c r="Q123" s="96"/>
      <c r="R123" s="96"/>
      <c r="S123" s="96"/>
      <c r="T123" s="96"/>
      <c r="U123" s="98"/>
      <c r="V123" s="172" t="e">
        <f t="shared" si="45"/>
        <v>#DIV/0!</v>
      </c>
    </row>
    <row r="124" spans="1:22" hidden="1">
      <c r="A124" s="114"/>
      <c r="B124" s="96"/>
      <c r="C124" s="96"/>
      <c r="D124" s="91"/>
      <c r="E124" s="96"/>
      <c r="F124" s="92"/>
      <c r="G124" s="94"/>
      <c r="H124" s="94"/>
      <c r="I124" s="94"/>
      <c r="J124" s="94"/>
      <c r="K124" s="92"/>
      <c r="L124" s="96"/>
      <c r="M124" s="96"/>
      <c r="N124" s="96"/>
      <c r="O124" s="96"/>
      <c r="P124" s="98"/>
      <c r="Q124" s="96"/>
      <c r="R124" s="96"/>
      <c r="S124" s="96"/>
      <c r="T124" s="96"/>
      <c r="U124" s="98"/>
      <c r="V124" s="172" t="e">
        <f t="shared" si="45"/>
        <v>#DIV/0!</v>
      </c>
    </row>
    <row r="125" spans="1:22" hidden="1">
      <c r="A125" s="114"/>
      <c r="B125" s="96"/>
      <c r="C125" s="96"/>
      <c r="D125" s="91"/>
      <c r="E125" s="96"/>
      <c r="F125" s="92"/>
      <c r="G125" s="94"/>
      <c r="H125" s="94"/>
      <c r="I125" s="94"/>
      <c r="J125" s="94"/>
      <c r="K125" s="92"/>
      <c r="L125" s="96"/>
      <c r="M125" s="96"/>
      <c r="N125" s="96"/>
      <c r="O125" s="96"/>
      <c r="P125" s="98"/>
      <c r="Q125" s="96"/>
      <c r="R125" s="96"/>
      <c r="S125" s="96"/>
      <c r="T125" s="96"/>
      <c r="U125" s="98"/>
      <c r="V125" s="172" t="e">
        <f t="shared" si="45"/>
        <v>#DIV/0!</v>
      </c>
    </row>
    <row r="126" spans="1:22">
      <c r="A126" s="90" t="s">
        <v>236</v>
      </c>
      <c r="B126" s="91">
        <f>SUM(B127:B131)</f>
        <v>134.696</v>
      </c>
      <c r="C126" s="91">
        <f>SUMPRODUCT(B127:B131,C127:C131)/B126</f>
        <v>43.424630501276951</v>
      </c>
      <c r="D126" s="91">
        <f>SUM(D127:D131)</f>
        <v>134.696</v>
      </c>
      <c r="E126" s="91">
        <f>SUMPRODUCT(D127:D131,E127:E131)/D126</f>
        <v>51.538024662944707</v>
      </c>
      <c r="F126" s="92">
        <f>E126/C126</f>
        <v>1.186838530760306</v>
      </c>
      <c r="G126" s="91">
        <f>SUM(G127:G131)</f>
        <v>75.230999999999995</v>
      </c>
      <c r="H126" s="91">
        <f>SUMPRODUCT(G127:G131,H127:H131)/G126</f>
        <v>24.450159907484945</v>
      </c>
      <c r="I126" s="91">
        <f>SUM(I127:I131)</f>
        <v>75.230999999999995</v>
      </c>
      <c r="J126" s="91">
        <f>SUMPRODUCT(I127:I131,J127:J131)/I126</f>
        <v>26.105314431550823</v>
      </c>
      <c r="K126" s="92">
        <f>J126/H126</f>
        <v>1.0676950388189153</v>
      </c>
      <c r="L126" s="91">
        <f>SUM(L127:L131)</f>
        <v>90.009999999999991</v>
      </c>
      <c r="M126" s="91">
        <f>SUMPRODUCT(L127:L131,M127:M131)/L126</f>
        <v>62.600576602599702</v>
      </c>
      <c r="N126" s="91">
        <f>SUM(N127:N131)</f>
        <v>90.009999999999991</v>
      </c>
      <c r="O126" s="91">
        <f>SUMPRODUCT(N127:N131,O127:O131)/N126</f>
        <v>71.412657482501942</v>
      </c>
      <c r="P126" s="92">
        <f>O126/M126</f>
        <v>1.1407667685849445</v>
      </c>
      <c r="Q126" s="91">
        <f>SUM(Q127:Q131)</f>
        <v>44.945</v>
      </c>
      <c r="R126" s="91">
        <f>SUMPRODUCT(Q127:Q131,R127:R131)/Q126</f>
        <v>26.60105709200133</v>
      </c>
      <c r="S126" s="91">
        <f>SUM(S127:S131)</f>
        <v>44.945</v>
      </c>
      <c r="T126" s="91">
        <f>SUMPRODUCT(S127:S131,T127:T131)/S126</f>
        <v>28.4954737790633</v>
      </c>
      <c r="U126" s="92">
        <f>T126/R126</f>
        <v>1.0712158423069436</v>
      </c>
      <c r="V126" s="172">
        <f t="shared" si="45"/>
        <v>1.1596363308678803</v>
      </c>
    </row>
    <row r="127" spans="1:22" hidden="1">
      <c r="A127" s="97" t="s">
        <v>38</v>
      </c>
      <c r="B127" s="91">
        <f>161.89/2</f>
        <v>80.944999999999993</v>
      </c>
      <c r="C127" s="91">
        <v>36.25</v>
      </c>
      <c r="D127" s="91">
        <f>B127</f>
        <v>80.944999999999993</v>
      </c>
      <c r="E127" s="91">
        <v>48.5</v>
      </c>
      <c r="F127" s="92">
        <f>(E127*D127)/(C127*B127)</f>
        <v>1.3379310344827584</v>
      </c>
      <c r="G127" s="115">
        <f>86.85/2</f>
        <v>43.424999999999997</v>
      </c>
      <c r="H127" s="115">
        <v>16.61</v>
      </c>
      <c r="I127" s="115">
        <f>G127</f>
        <v>43.424999999999997</v>
      </c>
      <c r="J127" s="115">
        <v>17.79</v>
      </c>
      <c r="K127" s="92">
        <f>(J127*I127)/(H127*G127)</f>
        <v>1.0710415412402168</v>
      </c>
      <c r="L127" s="91">
        <f>164.14/2-8.12/2</f>
        <v>78.009999999999991</v>
      </c>
      <c r="M127" s="91">
        <v>61.79</v>
      </c>
      <c r="N127" s="91">
        <f>L127</f>
        <v>78.009999999999991</v>
      </c>
      <c r="O127" s="91">
        <v>71.33</v>
      </c>
      <c r="P127" s="92">
        <f>(O127*N127)/(M127*L127)</f>
        <v>1.1543939148729567</v>
      </c>
      <c r="Q127" s="112">
        <f>78.89/2*0.06</f>
        <v>2.3666999999999998</v>
      </c>
      <c r="R127" s="91">
        <v>35.03</v>
      </c>
      <c r="S127" s="91">
        <f>Q127</f>
        <v>2.3666999999999998</v>
      </c>
      <c r="T127" s="91">
        <v>37.53</v>
      </c>
      <c r="U127" s="92">
        <f>(T127*S127)/(R127*Q127)</f>
        <v>1.0713673993719668</v>
      </c>
      <c r="V127" s="172">
        <f t="shared" si="45"/>
        <v>1.2222562219502244</v>
      </c>
    </row>
    <row r="128" spans="1:22" hidden="1">
      <c r="A128" s="97" t="s">
        <v>38</v>
      </c>
      <c r="B128" s="91"/>
      <c r="C128" s="91"/>
      <c r="D128" s="91"/>
      <c r="E128" s="91"/>
      <c r="F128" s="92"/>
      <c r="G128" s="115"/>
      <c r="H128" s="115"/>
      <c r="I128" s="115">
        <f t="shared" ref="I128:I131" si="76">G128</f>
        <v>0</v>
      </c>
      <c r="J128" s="115"/>
      <c r="K128" s="92"/>
      <c r="L128" s="91"/>
      <c r="M128" s="91"/>
      <c r="N128" s="91">
        <f t="shared" ref="N128:N131" si="77">L128</f>
        <v>0</v>
      </c>
      <c r="O128" s="91"/>
      <c r="P128" s="92"/>
      <c r="Q128" s="112">
        <f>78.89/2*0.94</f>
        <v>37.078299999999999</v>
      </c>
      <c r="R128" s="91">
        <v>24.7</v>
      </c>
      <c r="S128" s="91">
        <f>Q128</f>
        <v>37.078299999999999</v>
      </c>
      <c r="T128" s="91">
        <v>26.46</v>
      </c>
      <c r="U128" s="92">
        <f>(T128*S128)/(R128*Q128)</f>
        <v>1.071255060728745</v>
      </c>
      <c r="V128" s="172" t="e">
        <f t="shared" si="45"/>
        <v>#DIV/0!</v>
      </c>
    </row>
    <row r="129" spans="1:22" hidden="1">
      <c r="A129" s="97" t="s">
        <v>39</v>
      </c>
      <c r="B129" s="91">
        <f>64.63/2</f>
        <v>32.314999999999998</v>
      </c>
      <c r="C129" s="91">
        <v>57.95</v>
      </c>
      <c r="D129" s="91">
        <f t="shared" ref="D129:D131" si="78">B129</f>
        <v>32.314999999999998</v>
      </c>
      <c r="E129" s="91">
        <v>59.17</v>
      </c>
      <c r="F129" s="92">
        <f t="shared" ref="F129:F131" si="79">(E129*D129)/(C129*B129)</f>
        <v>1.0210526315789472</v>
      </c>
      <c r="G129" s="115">
        <f>35/2</f>
        <v>17.5</v>
      </c>
      <c r="H129" s="115">
        <v>32.200000000000003</v>
      </c>
      <c r="I129" s="115">
        <f t="shared" si="76"/>
        <v>17.5</v>
      </c>
      <c r="J129" s="115">
        <v>34.49</v>
      </c>
      <c r="K129" s="92">
        <f t="shared" ref="K129:K131" si="80">(J129*I129)/(H129*G129)</f>
        <v>1.0711180124223603</v>
      </c>
      <c r="L129" s="91">
        <f>24/2</f>
        <v>12</v>
      </c>
      <c r="M129" s="91">
        <v>67.87</v>
      </c>
      <c r="N129" s="91">
        <f t="shared" si="77"/>
        <v>12</v>
      </c>
      <c r="O129" s="91">
        <v>71.95</v>
      </c>
      <c r="P129" s="92">
        <f t="shared" ref="P129" si="81">(O129*N129)/(M129*L129)</f>
        <v>1.0601149255930455</v>
      </c>
      <c r="Q129" s="112">
        <f>11/2</f>
        <v>5.5</v>
      </c>
      <c r="R129" s="91">
        <v>35.79</v>
      </c>
      <c r="S129" s="91">
        <f t="shared" ref="S129:S131" si="82">Q129</f>
        <v>5.5</v>
      </c>
      <c r="T129" s="91">
        <v>38.33</v>
      </c>
      <c r="U129" s="92">
        <f t="shared" ref="U129" si="83">(T129*S129)/(R129*Q129)</f>
        <v>1.0709695445655212</v>
      </c>
      <c r="V129" s="172">
        <f t="shared" si="45"/>
        <v>1.0421236687331108</v>
      </c>
    </row>
    <row r="130" spans="1:22" hidden="1">
      <c r="A130" s="97" t="s">
        <v>40</v>
      </c>
      <c r="B130" s="91">
        <f>32.19/2</f>
        <v>16.094999999999999</v>
      </c>
      <c r="C130" s="91">
        <v>38.909999999999997</v>
      </c>
      <c r="D130" s="91">
        <f t="shared" si="78"/>
        <v>16.094999999999999</v>
      </c>
      <c r="E130" s="91">
        <v>41.03</v>
      </c>
      <c r="F130" s="92">
        <f t="shared" si="79"/>
        <v>1.0544847083012081</v>
      </c>
      <c r="G130" s="115">
        <f>19.19/2</f>
        <v>9.5950000000000006</v>
      </c>
      <c r="H130" s="115">
        <v>38.909999999999997</v>
      </c>
      <c r="I130" s="115">
        <f t="shared" si="76"/>
        <v>9.5950000000000006</v>
      </c>
      <c r="J130" s="115">
        <v>41.03</v>
      </c>
      <c r="K130" s="92">
        <f t="shared" si="80"/>
        <v>1.0544847083012079</v>
      </c>
      <c r="L130" s="91">
        <v>0</v>
      </c>
      <c r="M130" s="91"/>
      <c r="N130" s="91"/>
      <c r="O130" s="91"/>
      <c r="P130" s="92"/>
      <c r="Q130" s="112">
        <v>0</v>
      </c>
      <c r="R130" s="91"/>
      <c r="S130" s="91"/>
      <c r="T130" s="91"/>
      <c r="U130" s="92"/>
      <c r="V130" s="172">
        <f t="shared" si="45"/>
        <v>1.0544847083012081</v>
      </c>
    </row>
    <row r="131" spans="1:22" hidden="1">
      <c r="A131" s="97" t="s">
        <v>41</v>
      </c>
      <c r="B131" s="91">
        <f>10.682/2</f>
        <v>5.3410000000000002</v>
      </c>
      <c r="C131" s="91">
        <v>77.88</v>
      </c>
      <c r="D131" s="91">
        <f t="shared" si="78"/>
        <v>5.3410000000000002</v>
      </c>
      <c r="E131" s="91">
        <v>83.07</v>
      </c>
      <c r="F131" s="92">
        <f t="shared" si="79"/>
        <v>1.0666409861325115</v>
      </c>
      <c r="G131" s="115">
        <f>9.422/2</f>
        <v>4.7110000000000003</v>
      </c>
      <c r="H131" s="115">
        <v>38.479999999999997</v>
      </c>
      <c r="I131" s="115">
        <f t="shared" si="76"/>
        <v>4.7110000000000003</v>
      </c>
      <c r="J131" s="115">
        <v>41.21</v>
      </c>
      <c r="K131" s="92">
        <f t="shared" si="80"/>
        <v>1.0709459459459461</v>
      </c>
      <c r="L131" s="91">
        <v>0</v>
      </c>
      <c r="M131" s="91"/>
      <c r="N131" s="91">
        <f t="shared" si="77"/>
        <v>0</v>
      </c>
      <c r="O131" s="91"/>
      <c r="P131" s="92"/>
      <c r="Q131" s="112">
        <v>0</v>
      </c>
      <c r="R131" s="91"/>
      <c r="S131" s="91">
        <f t="shared" si="82"/>
        <v>0</v>
      </c>
      <c r="T131" s="91"/>
      <c r="U131" s="92"/>
      <c r="V131" s="172">
        <f t="shared" si="45"/>
        <v>1.0666409861325115</v>
      </c>
    </row>
    <row r="132" spans="1:22">
      <c r="A132" s="93" t="s">
        <v>237</v>
      </c>
      <c r="B132" s="91">
        <f>SUM(B133:B133)</f>
        <v>59.05</v>
      </c>
      <c r="C132" s="91">
        <f>SUMPRODUCT(B133:B133,C133:C133)/B132</f>
        <v>64.599999999999994</v>
      </c>
      <c r="D132" s="91">
        <f>SUM(D133:D133)</f>
        <v>59.05</v>
      </c>
      <c r="E132" s="91">
        <f>SUMPRODUCT(D133:D133,E133:E133)/D132</f>
        <v>97.08</v>
      </c>
      <c r="F132" s="92">
        <f>E132/C132</f>
        <v>1.5027863777089785</v>
      </c>
      <c r="G132" s="91">
        <f>SUM(G133:G133)</f>
        <v>41</v>
      </c>
      <c r="H132" s="91">
        <f>SUMPRODUCT(G133:G133,H133:H133)/G132</f>
        <v>45.15</v>
      </c>
      <c r="I132" s="91">
        <f>SUM(I133:I133)</f>
        <v>41</v>
      </c>
      <c r="J132" s="91">
        <f>SUMPRODUCT(I133:I133,J133:J133)/I132</f>
        <v>48.36</v>
      </c>
      <c r="K132" s="92">
        <f>J132/H132</f>
        <v>1.0710963455149503</v>
      </c>
      <c r="L132" s="91"/>
      <c r="M132" s="91"/>
      <c r="N132" s="91"/>
      <c r="O132" s="91"/>
      <c r="P132" s="92"/>
      <c r="Q132" s="91"/>
      <c r="R132" s="91"/>
      <c r="S132" s="91"/>
      <c r="T132" s="91"/>
      <c r="U132" s="92"/>
      <c r="V132" s="172">
        <f t="shared" si="45"/>
        <v>1.5027863777089785</v>
      </c>
    </row>
    <row r="133" spans="1:22" hidden="1">
      <c r="A133" s="90" t="s">
        <v>58</v>
      </c>
      <c r="B133" s="91">
        <f>118.1/2</f>
        <v>59.05</v>
      </c>
      <c r="C133" s="91">
        <v>64.599999999999994</v>
      </c>
      <c r="D133" s="91">
        <f>B133</f>
        <v>59.05</v>
      </c>
      <c r="E133" s="91">
        <v>97.08</v>
      </c>
      <c r="F133" s="92">
        <f>(E133*D133)/(C133*B133)</f>
        <v>1.5027863777089783</v>
      </c>
      <c r="G133" s="99">
        <f>82/2</f>
        <v>41</v>
      </c>
      <c r="H133" s="99">
        <v>45.15</v>
      </c>
      <c r="I133" s="99">
        <f>G133</f>
        <v>41</v>
      </c>
      <c r="J133" s="99">
        <v>48.36</v>
      </c>
      <c r="K133" s="92">
        <f t="shared" ref="K133" si="84">(J133*I133)/(H133*G133)</f>
        <v>1.0710963455149503</v>
      </c>
      <c r="L133" s="91"/>
      <c r="M133" s="91"/>
      <c r="N133" s="91"/>
      <c r="O133" s="91"/>
      <c r="P133" s="92"/>
      <c r="Q133" s="96"/>
      <c r="R133" s="96"/>
      <c r="S133" s="96"/>
      <c r="T133" s="96"/>
      <c r="U133" s="98"/>
      <c r="V133" s="172">
        <f t="shared" si="45"/>
        <v>1.5027863777089785</v>
      </c>
    </row>
    <row r="134" spans="1:22">
      <c r="A134" s="93" t="s">
        <v>238</v>
      </c>
      <c r="B134" s="91">
        <f>SUM(B135:B136)</f>
        <v>46.875</v>
      </c>
      <c r="C134" s="91">
        <f>SUMPRODUCT(B135:B136,C135:C136)/B134</f>
        <v>68.041276799999977</v>
      </c>
      <c r="D134" s="91">
        <f>SUM(D135:D136)</f>
        <v>46.875</v>
      </c>
      <c r="E134" s="91">
        <f>SUMPRODUCT(D135:D136,E135:E136)/D134</f>
        <v>119.19380266666664</v>
      </c>
      <c r="F134" s="92">
        <f>E134/C134</f>
        <v>1.7517866840891891</v>
      </c>
      <c r="G134" s="91">
        <f>SUM(G135:G136)</f>
        <v>29.425000000000001</v>
      </c>
      <c r="H134" s="91">
        <f>SUMPRODUCT(G135:G136,H135:H136)/G134</f>
        <v>48.22</v>
      </c>
      <c r="I134" s="91">
        <f>SUM(I135:I136)</f>
        <v>29.425000000000001</v>
      </c>
      <c r="J134" s="91">
        <f>SUMPRODUCT(I135:I136,J135:J136)/I134</f>
        <v>51.640000000000008</v>
      </c>
      <c r="K134" s="92">
        <f>J134/H134</f>
        <v>1.0709249274160102</v>
      </c>
      <c r="L134" s="91"/>
      <c r="M134" s="91"/>
      <c r="N134" s="91"/>
      <c r="O134" s="91"/>
      <c r="P134" s="92"/>
      <c r="Q134" s="91"/>
      <c r="R134" s="91"/>
      <c r="S134" s="91"/>
      <c r="T134" s="91"/>
      <c r="U134" s="92"/>
      <c r="V134" s="172">
        <f t="shared" si="45"/>
        <v>1.7517866840891891</v>
      </c>
    </row>
    <row r="135" spans="1:22" hidden="1">
      <c r="A135" s="109" t="s">
        <v>58</v>
      </c>
      <c r="B135" s="100">
        <f>92.57/2</f>
        <v>46.284999999999997</v>
      </c>
      <c r="C135" s="100">
        <v>64.569999999999993</v>
      </c>
      <c r="D135" s="100">
        <f>B135</f>
        <v>46.284999999999997</v>
      </c>
      <c r="E135" s="100">
        <v>116.1</v>
      </c>
      <c r="F135" s="101">
        <f>(E135*D135)/(C135*B135)</f>
        <v>1.7980486293944558</v>
      </c>
      <c r="G135" s="116">
        <f>58.56/2</f>
        <v>29.28</v>
      </c>
      <c r="H135" s="116">
        <v>48.22</v>
      </c>
      <c r="I135" s="116">
        <f>G135</f>
        <v>29.28</v>
      </c>
      <c r="J135" s="116">
        <v>51.64</v>
      </c>
      <c r="K135" s="101">
        <f t="shared" ref="K135:K136" si="85">(J135*I135)/(H135*G135)</f>
        <v>1.0709249274160102</v>
      </c>
      <c r="L135" s="91"/>
      <c r="M135" s="91"/>
      <c r="N135" s="91"/>
      <c r="O135" s="91"/>
      <c r="P135" s="92"/>
      <c r="Q135" s="96"/>
      <c r="R135" s="96"/>
      <c r="S135" s="96"/>
      <c r="T135" s="96"/>
      <c r="U135" s="98"/>
      <c r="V135" s="172">
        <f t="shared" si="45"/>
        <v>1.7980486293944558</v>
      </c>
    </row>
    <row r="136" spans="1:22" hidden="1">
      <c r="A136" s="109" t="s">
        <v>59</v>
      </c>
      <c r="B136" s="100">
        <f>1.18/2</f>
        <v>0.59</v>
      </c>
      <c r="C136" s="100">
        <v>340.36</v>
      </c>
      <c r="D136" s="100">
        <f>B136</f>
        <v>0.59</v>
      </c>
      <c r="E136" s="100">
        <v>361.9</v>
      </c>
      <c r="F136" s="101">
        <f>(E136*D136)/(C136*B136)</f>
        <v>1.0632859325420143</v>
      </c>
      <c r="G136" s="116">
        <f>0.29/2</f>
        <v>0.14499999999999999</v>
      </c>
      <c r="H136" s="116">
        <v>48.22</v>
      </c>
      <c r="I136" s="116">
        <f>G136</f>
        <v>0.14499999999999999</v>
      </c>
      <c r="J136" s="116">
        <v>51.64</v>
      </c>
      <c r="K136" s="101">
        <f t="shared" si="85"/>
        <v>1.07092492741601</v>
      </c>
      <c r="L136" s="91"/>
      <c r="M136" s="91"/>
      <c r="N136" s="91"/>
      <c r="O136" s="91"/>
      <c r="P136" s="92"/>
      <c r="Q136" s="96"/>
      <c r="R136" s="96"/>
      <c r="S136" s="96"/>
      <c r="T136" s="96"/>
      <c r="U136" s="98"/>
      <c r="V136" s="172">
        <f t="shared" si="45"/>
        <v>1.0632859325420143</v>
      </c>
    </row>
    <row r="137" spans="1:22">
      <c r="A137" s="90" t="s">
        <v>239</v>
      </c>
      <c r="B137" s="91">
        <f>SUM(B138:B143)</f>
        <v>433.26949999999999</v>
      </c>
      <c r="C137" s="91">
        <f>SUMPRODUCT(B138:B143,C138:C143)/B137</f>
        <v>47.107297663463505</v>
      </c>
      <c r="D137" s="91">
        <f>SUM(D138:D143)</f>
        <v>433.26949999999999</v>
      </c>
      <c r="E137" s="91">
        <f>SUMPRODUCT(D138:D143,E138:E143)/D137</f>
        <v>67.673509213087939</v>
      </c>
      <c r="F137" s="92">
        <f>E137/C137</f>
        <v>1.4365822827823898</v>
      </c>
      <c r="G137" s="91">
        <f>SUM(G138:G143)</f>
        <v>287.15900000000005</v>
      </c>
      <c r="H137" s="91">
        <f>SUMPRODUCT(G138:G143,H138:H143)/G137</f>
        <v>29.377964820883196</v>
      </c>
      <c r="I137" s="91">
        <f>SUM(I138:I143)</f>
        <v>381.65700000000004</v>
      </c>
      <c r="J137" s="91">
        <f>SUMPRODUCT(I138:I143,J138:J143)/I137</f>
        <v>34.702182470123695</v>
      </c>
      <c r="K137" s="92">
        <f>J137/H137</f>
        <v>1.1812316708016413</v>
      </c>
      <c r="L137" s="91">
        <f>SUM(L138:L143)</f>
        <v>392.23749999999995</v>
      </c>
      <c r="M137" s="91">
        <f>SUMPRODUCT(L138:L143,M138:M143)/L137</f>
        <v>35.808039937537842</v>
      </c>
      <c r="N137" s="91">
        <f>SUM(N138:N143)</f>
        <v>392.23749999999995</v>
      </c>
      <c r="O137" s="91">
        <f>SUMPRODUCT(N138:N143,O138:O143)/N137</f>
        <v>41.148639051595012</v>
      </c>
      <c r="P137" s="92">
        <f>O137/M137</f>
        <v>1.1491452512724267</v>
      </c>
      <c r="Q137" s="91">
        <f>SUM(Q138:Q143)</f>
        <v>234.03700000000001</v>
      </c>
      <c r="R137" s="91">
        <f>SUMPRODUCT(Q138:Q143,R138:R143)/Q137</f>
        <v>25.25054354653324</v>
      </c>
      <c r="S137" s="91">
        <f>SUM(S138:S143)</f>
        <v>234.03700000000001</v>
      </c>
      <c r="T137" s="91">
        <f>SUMPRODUCT(S138:S143,T138:T143)/S137</f>
        <v>31.69</v>
      </c>
      <c r="U137" s="92">
        <f>T137/R137</f>
        <v>1.2550224885891956</v>
      </c>
      <c r="V137" s="172">
        <f t="shared" ref="V137:V200" si="86">(E137+O137)/(C137+M137)</f>
        <v>1.3124489559259631</v>
      </c>
    </row>
    <row r="138" spans="1:22" hidden="1">
      <c r="A138" s="90" t="s">
        <v>144</v>
      </c>
      <c r="B138" s="91">
        <f>430.581/2</f>
        <v>215.29050000000001</v>
      </c>
      <c r="C138" s="91">
        <v>55.17</v>
      </c>
      <c r="D138" s="91">
        <f>B138</f>
        <v>215.29050000000001</v>
      </c>
      <c r="E138" s="91">
        <v>95.72</v>
      </c>
      <c r="F138" s="92">
        <f>(E138*D138)/(C138*B138)</f>
        <v>1.7350009062896503</v>
      </c>
      <c r="G138" s="91">
        <v>164.86</v>
      </c>
      <c r="H138" s="91">
        <v>27.42</v>
      </c>
      <c r="I138" s="91">
        <f>G138</f>
        <v>164.86</v>
      </c>
      <c r="J138" s="91">
        <v>35.03</v>
      </c>
      <c r="K138" s="92">
        <f>(J138*I138)/(H138*G138)</f>
        <v>1.2775346462436177</v>
      </c>
      <c r="L138" s="91">
        <f>765.458/2</f>
        <v>382.72899999999998</v>
      </c>
      <c r="M138" s="91">
        <v>33.86</v>
      </c>
      <c r="N138" s="91">
        <f>L138</f>
        <v>382.72899999999998</v>
      </c>
      <c r="O138" s="91">
        <v>39.33</v>
      </c>
      <c r="P138" s="92">
        <f>(O138*N138)/(M138*L138)</f>
        <v>1.1615475487300648</v>
      </c>
      <c r="Q138" s="112">
        <v>225.18700000000001</v>
      </c>
      <c r="R138" s="96">
        <v>25.08</v>
      </c>
      <c r="S138" s="96">
        <f>Q138</f>
        <v>225.18700000000001</v>
      </c>
      <c r="T138" s="96">
        <v>31.69</v>
      </c>
      <c r="U138" s="92">
        <f>(T138*S138)/(R138*Q138)</f>
        <v>1.2635566188197769</v>
      </c>
      <c r="V138" s="172">
        <f t="shared" si="86"/>
        <v>1.5169044142423904</v>
      </c>
    </row>
    <row r="139" spans="1:22" hidden="1">
      <c r="A139" s="90" t="s">
        <v>145</v>
      </c>
      <c r="B139" s="91">
        <f>11.3/2</f>
        <v>5.65</v>
      </c>
      <c r="C139" s="91">
        <v>62.62</v>
      </c>
      <c r="D139" s="91">
        <f>B139</f>
        <v>5.65</v>
      </c>
      <c r="E139" s="91">
        <v>62.62</v>
      </c>
      <c r="F139" s="92">
        <f>(E139*D139)/(C139*B139)</f>
        <v>1</v>
      </c>
      <c r="G139" s="91">
        <v>4.71</v>
      </c>
      <c r="H139" s="91">
        <v>32.36</v>
      </c>
      <c r="I139" s="91">
        <f>G139</f>
        <v>4.71</v>
      </c>
      <c r="J139" s="91">
        <v>34.659999999999997</v>
      </c>
      <c r="K139" s="92">
        <f t="shared" ref="K139:K143" si="87">(J139*I139)/(H139*G139)</f>
        <v>1.0710754017305315</v>
      </c>
      <c r="L139" s="91">
        <f>5.8/2</f>
        <v>2.9</v>
      </c>
      <c r="M139" s="91">
        <v>54.9</v>
      </c>
      <c r="N139" s="91">
        <f t="shared" ref="N139:N140" si="88">L139</f>
        <v>2.9</v>
      </c>
      <c r="O139" s="91">
        <v>54.9</v>
      </c>
      <c r="P139" s="92">
        <f t="shared" ref="P139:P140" si="89">(O139*N139)/(M139*L139)</f>
        <v>1</v>
      </c>
      <c r="Q139" s="96">
        <v>2.42</v>
      </c>
      <c r="R139" s="96">
        <v>29.59</v>
      </c>
      <c r="S139" s="96">
        <f>Q139</f>
        <v>2.42</v>
      </c>
      <c r="T139" s="96">
        <v>31.69</v>
      </c>
      <c r="U139" s="92">
        <f>(T139*S139)/(R139*Q139)</f>
        <v>1.0709699222710376</v>
      </c>
      <c r="V139" s="172">
        <f t="shared" si="86"/>
        <v>1</v>
      </c>
    </row>
    <row r="140" spans="1:22" hidden="1">
      <c r="A140" s="90" t="s">
        <v>146</v>
      </c>
      <c r="B140" s="91">
        <f>410.776/2</f>
        <v>205.38800000000001</v>
      </c>
      <c r="C140" s="91">
        <v>34.270000000000003</v>
      </c>
      <c r="D140" s="91">
        <f>410.776/2</f>
        <v>205.38800000000001</v>
      </c>
      <c r="E140" s="91">
        <v>34.78</v>
      </c>
      <c r="F140" s="92">
        <f>(E140*D140)/(C140*B140)</f>
        <v>1.0148818208345491</v>
      </c>
      <c r="G140" s="91">
        <v>110.89</v>
      </c>
      <c r="H140" s="91">
        <v>32.36</v>
      </c>
      <c r="I140" s="91">
        <f>410.776/2</f>
        <v>205.38800000000001</v>
      </c>
      <c r="J140" s="91">
        <v>34.659999999999997</v>
      </c>
      <c r="K140" s="92">
        <f t="shared" si="87"/>
        <v>1.9838221175095174</v>
      </c>
      <c r="L140" s="91">
        <f>13.217/2</f>
        <v>6.6085000000000003</v>
      </c>
      <c r="M140" s="91">
        <v>140.25</v>
      </c>
      <c r="N140" s="91">
        <f t="shared" si="88"/>
        <v>6.6085000000000003</v>
      </c>
      <c r="O140" s="91">
        <v>140.44</v>
      </c>
      <c r="P140" s="92">
        <f t="shared" si="89"/>
        <v>1.001354723707665</v>
      </c>
      <c r="Q140" s="91">
        <v>6.43</v>
      </c>
      <c r="R140" s="96">
        <v>29.59</v>
      </c>
      <c r="S140" s="91">
        <f>Q140</f>
        <v>6.43</v>
      </c>
      <c r="T140" s="96">
        <v>31.69</v>
      </c>
      <c r="U140" s="92">
        <f>(T140*S140)/(R140*Q140)</f>
        <v>1.0709699222710374</v>
      </c>
      <c r="V140" s="172">
        <f t="shared" si="86"/>
        <v>1.0040110016044006</v>
      </c>
    </row>
    <row r="141" spans="1:22" hidden="1">
      <c r="A141" s="90" t="s">
        <v>147</v>
      </c>
      <c r="B141" s="91">
        <f>13.882/2</f>
        <v>6.9409999999999998</v>
      </c>
      <c r="C141" s="91">
        <v>164.26</v>
      </c>
      <c r="D141" s="91">
        <f>B141</f>
        <v>6.9409999999999998</v>
      </c>
      <c r="E141" s="91">
        <v>175.2</v>
      </c>
      <c r="F141" s="92">
        <f>(E141*D141)/(C141*B141)</f>
        <v>1.066601728966273</v>
      </c>
      <c r="G141" s="91">
        <f>1.553/2</f>
        <v>0.77649999999999997</v>
      </c>
      <c r="H141" s="91">
        <v>68.25</v>
      </c>
      <c r="I141" s="91">
        <f>G141</f>
        <v>0.77649999999999997</v>
      </c>
      <c r="J141" s="99">
        <v>73.099999999999994</v>
      </c>
      <c r="K141" s="92">
        <f t="shared" si="87"/>
        <v>1.0710622710622708</v>
      </c>
      <c r="L141" s="91"/>
      <c r="M141" s="91"/>
      <c r="N141" s="91"/>
      <c r="O141" s="91"/>
      <c r="P141" s="92"/>
      <c r="Q141" s="96"/>
      <c r="R141" s="96"/>
      <c r="S141" s="96"/>
      <c r="T141" s="96"/>
      <c r="U141" s="92"/>
      <c r="V141" s="172">
        <f t="shared" si="86"/>
        <v>1.066601728966273</v>
      </c>
    </row>
    <row r="142" spans="1:22" hidden="1">
      <c r="A142" s="90" t="s">
        <v>148</v>
      </c>
      <c r="B142" s="91"/>
      <c r="C142" s="91"/>
      <c r="D142" s="91"/>
      <c r="E142" s="91"/>
      <c r="F142" s="92"/>
      <c r="G142" s="91">
        <f>1.005/2</f>
        <v>0.50249999999999995</v>
      </c>
      <c r="H142" s="91">
        <v>57.23</v>
      </c>
      <c r="I142" s="91">
        <f>G142</f>
        <v>0.50249999999999995</v>
      </c>
      <c r="J142" s="99">
        <v>61.29</v>
      </c>
      <c r="K142" s="92">
        <f t="shared" si="87"/>
        <v>1.0709418137340556</v>
      </c>
      <c r="L142" s="91"/>
      <c r="M142" s="91"/>
      <c r="N142" s="91"/>
      <c r="O142" s="91"/>
      <c r="P142" s="92"/>
      <c r="Q142" s="96"/>
      <c r="R142" s="96"/>
      <c r="S142" s="96"/>
      <c r="T142" s="96"/>
      <c r="U142" s="92"/>
      <c r="V142" s="172" t="e">
        <f t="shared" si="86"/>
        <v>#DIV/0!</v>
      </c>
    </row>
    <row r="143" spans="1:22" hidden="1">
      <c r="A143" s="90" t="s">
        <v>149</v>
      </c>
      <c r="B143" s="91"/>
      <c r="C143" s="91"/>
      <c r="D143" s="91"/>
      <c r="E143" s="91"/>
      <c r="F143" s="92"/>
      <c r="G143" s="91">
        <v>5.42</v>
      </c>
      <c r="H143" s="91">
        <v>17.18</v>
      </c>
      <c r="I143" s="91">
        <f>G143</f>
        <v>5.42</v>
      </c>
      <c r="J143" s="99">
        <v>18.399999999999999</v>
      </c>
      <c r="K143" s="92">
        <f t="shared" si="87"/>
        <v>1.0710128055878929</v>
      </c>
      <c r="L143" s="91"/>
      <c r="M143" s="91"/>
      <c r="N143" s="91"/>
      <c r="O143" s="91"/>
      <c r="P143" s="92"/>
      <c r="Q143" s="96"/>
      <c r="R143" s="96"/>
      <c r="S143" s="96"/>
      <c r="T143" s="96"/>
      <c r="U143" s="92"/>
      <c r="V143" s="172" t="e">
        <f t="shared" si="86"/>
        <v>#DIV/0!</v>
      </c>
    </row>
    <row r="144" spans="1:22">
      <c r="A144" s="90" t="s">
        <v>203</v>
      </c>
      <c r="B144" s="91">
        <f>SUM(B145:B150)</f>
        <v>469.62</v>
      </c>
      <c r="C144" s="91">
        <f>SUMPRODUCT(B145:B150,C145:C150)/B144</f>
        <v>42.304141028916995</v>
      </c>
      <c r="D144" s="91">
        <f>SUM(D145:D150)</f>
        <v>469.62</v>
      </c>
      <c r="E144" s="91">
        <f>SUMPRODUCT(D145:D150,E145:E150)/D144</f>
        <v>42.477022156211405</v>
      </c>
      <c r="F144" s="92">
        <f>E144/C144</f>
        <v>1.0040866242190389</v>
      </c>
      <c r="G144" s="91">
        <f>SUM(G145:G150)</f>
        <v>295.31700000000001</v>
      </c>
      <c r="H144" s="91">
        <f>SUMPRODUCT(G145:G150,H145:H150)/G144</f>
        <v>30.527706159821477</v>
      </c>
      <c r="I144" s="91">
        <f>SUM(I145:I150)</f>
        <v>295.31700000000001</v>
      </c>
      <c r="J144" s="91">
        <f>SUMPRODUCT(I145:I150,J145:J150)/I144</f>
        <v>32.692984284683916</v>
      </c>
      <c r="K144" s="92">
        <f>J144/H144</f>
        <v>1.0709282942362774</v>
      </c>
      <c r="L144" s="91">
        <f>SUM(L145:L150)</f>
        <v>250</v>
      </c>
      <c r="M144" s="91">
        <f>SUMPRODUCT(L145:L150,M145:M150)/L144</f>
        <v>51.3</v>
      </c>
      <c r="N144" s="91">
        <f>SUM(N145:N150)</f>
        <v>250</v>
      </c>
      <c r="O144" s="91">
        <f>SUMPRODUCT(N145:N150,O145:O150)/N144</f>
        <v>51.3</v>
      </c>
      <c r="P144" s="92">
        <f>O144/M144</f>
        <v>1</v>
      </c>
      <c r="Q144" s="91">
        <f>SUM(Q145:Q150)</f>
        <v>155</v>
      </c>
      <c r="R144" s="91">
        <f>SUMPRODUCT(Q145:Q150,R145:R150)/Q144</f>
        <v>39</v>
      </c>
      <c r="S144" s="91">
        <f>SUM(S145:S150)</f>
        <v>155</v>
      </c>
      <c r="T144" s="91">
        <f>SUMPRODUCT(S145:S150,T145:T150)/S144</f>
        <v>41.77</v>
      </c>
      <c r="U144" s="92">
        <f>T144/R144</f>
        <v>1.0710256410256411</v>
      </c>
      <c r="V144" s="172">
        <f t="shared" si="86"/>
        <v>1.0018469388789222</v>
      </c>
    </row>
    <row r="145" spans="1:22" hidden="1">
      <c r="A145" s="97" t="s">
        <v>94</v>
      </c>
      <c r="B145" s="91">
        <f>12.075/2</f>
        <v>6.0374999999999996</v>
      </c>
      <c r="C145" s="91">
        <v>19.920000000000002</v>
      </c>
      <c r="D145" s="91">
        <f>B145</f>
        <v>6.0374999999999996</v>
      </c>
      <c r="E145" s="91">
        <v>21.32</v>
      </c>
      <c r="F145" s="92">
        <f>(E145*D145)/(C145*B145)</f>
        <v>1.0702811244979917</v>
      </c>
      <c r="G145" s="91">
        <f>11.78/2</f>
        <v>5.89</v>
      </c>
      <c r="H145" s="91">
        <v>19.920000000000002</v>
      </c>
      <c r="I145" s="91">
        <f>G145</f>
        <v>5.89</v>
      </c>
      <c r="J145" s="91">
        <v>21.32</v>
      </c>
      <c r="K145" s="92">
        <f>J145/H145</f>
        <v>1.070281124497992</v>
      </c>
      <c r="L145" s="91"/>
      <c r="M145" s="91"/>
      <c r="N145" s="91"/>
      <c r="O145" s="91"/>
      <c r="P145" s="92"/>
      <c r="Q145" s="96"/>
      <c r="R145" s="112"/>
      <c r="S145" s="112"/>
      <c r="T145" s="112"/>
      <c r="U145" s="92"/>
      <c r="V145" s="172">
        <f t="shared" si="86"/>
        <v>1.070281124497992</v>
      </c>
    </row>
    <row r="146" spans="1:22" hidden="1">
      <c r="A146" s="97" t="s">
        <v>95</v>
      </c>
      <c r="B146" s="91">
        <f>50.8/2</f>
        <v>25.4</v>
      </c>
      <c r="C146" s="91">
        <v>30.43</v>
      </c>
      <c r="D146" s="91">
        <f>B146</f>
        <v>25.4</v>
      </c>
      <c r="E146" s="91">
        <v>32.57</v>
      </c>
      <c r="F146" s="92">
        <f>(E146*D146)/(C146*B146)</f>
        <v>1.0703253368386461</v>
      </c>
      <c r="G146" s="91">
        <f>31.2/2</f>
        <v>15.6</v>
      </c>
      <c r="H146" s="91">
        <v>30.43</v>
      </c>
      <c r="I146" s="91">
        <f>G146</f>
        <v>15.6</v>
      </c>
      <c r="J146" s="91">
        <v>32.57</v>
      </c>
      <c r="K146" s="92">
        <f>(J146*I146)/(H146*G146)</f>
        <v>1.0703253368386461</v>
      </c>
      <c r="L146" s="91"/>
      <c r="M146" s="91"/>
      <c r="N146" s="91"/>
      <c r="O146" s="91"/>
      <c r="P146" s="92"/>
      <c r="Q146" s="96"/>
      <c r="R146" s="112"/>
      <c r="S146" s="112"/>
      <c r="T146" s="112"/>
      <c r="U146" s="92"/>
      <c r="V146" s="172">
        <f t="shared" si="86"/>
        <v>1.0703253368386461</v>
      </c>
    </row>
    <row r="147" spans="1:22" hidden="1">
      <c r="A147" s="97" t="s">
        <v>96</v>
      </c>
      <c r="B147" s="91"/>
      <c r="C147" s="91"/>
      <c r="D147" s="91"/>
      <c r="E147" s="91"/>
      <c r="F147" s="92"/>
      <c r="G147" s="91"/>
      <c r="H147" s="91"/>
      <c r="I147" s="91"/>
      <c r="J147" s="91"/>
      <c r="K147" s="92"/>
      <c r="L147" s="91"/>
      <c r="M147" s="91"/>
      <c r="N147" s="91"/>
      <c r="O147" s="91"/>
      <c r="P147" s="92"/>
      <c r="Q147" s="96"/>
      <c r="R147" s="96"/>
      <c r="S147" s="96"/>
      <c r="T147" s="96"/>
      <c r="U147" s="92"/>
      <c r="V147" s="172" t="e">
        <f t="shared" si="86"/>
        <v>#DIV/0!</v>
      </c>
    </row>
    <row r="148" spans="1:22" hidden="1">
      <c r="A148" s="117" t="s">
        <v>97</v>
      </c>
      <c r="B148" s="91">
        <f>18.602/2</f>
        <v>9.3010000000000002</v>
      </c>
      <c r="C148" s="91">
        <v>84.06</v>
      </c>
      <c r="D148" s="91">
        <f t="shared" ref="D148:D150" si="90">B148</f>
        <v>9.3010000000000002</v>
      </c>
      <c r="E148" s="91">
        <v>84.06</v>
      </c>
      <c r="F148" s="92">
        <f t="shared" ref="F148:F150" si="91">(E148*D148)/(C148*B148)</f>
        <v>1</v>
      </c>
      <c r="G148" s="91">
        <f>16.986/2</f>
        <v>8.4930000000000003</v>
      </c>
      <c r="H148" s="91">
        <v>29</v>
      </c>
      <c r="I148" s="91">
        <f>G148</f>
        <v>8.4930000000000003</v>
      </c>
      <c r="J148" s="91">
        <v>31.06</v>
      </c>
      <c r="K148" s="92">
        <f>(J148*I148)/(H148*G148)</f>
        <v>1.0710344827586207</v>
      </c>
      <c r="L148" s="91"/>
      <c r="M148" s="91"/>
      <c r="N148" s="91"/>
      <c r="O148" s="91"/>
      <c r="P148" s="92"/>
      <c r="Q148" s="112"/>
      <c r="R148" s="96"/>
      <c r="S148" s="112"/>
      <c r="T148" s="96"/>
      <c r="U148" s="92"/>
      <c r="V148" s="172">
        <f t="shared" si="86"/>
        <v>1</v>
      </c>
    </row>
    <row r="149" spans="1:22" hidden="1">
      <c r="A149" s="117" t="s">
        <v>98</v>
      </c>
      <c r="B149" s="91">
        <f>14.763/2</f>
        <v>7.3815</v>
      </c>
      <c r="C149" s="91">
        <v>41.1</v>
      </c>
      <c r="D149" s="91">
        <f t="shared" si="90"/>
        <v>7.3815</v>
      </c>
      <c r="E149" s="91">
        <v>43.59</v>
      </c>
      <c r="F149" s="92">
        <f t="shared" si="91"/>
        <v>1.0605839416058394</v>
      </c>
      <c r="G149" s="91">
        <f>16.668/2</f>
        <v>8.3339999999999996</v>
      </c>
      <c r="H149" s="91">
        <v>25.2</v>
      </c>
      <c r="I149" s="91">
        <f>G149</f>
        <v>8.3339999999999996</v>
      </c>
      <c r="J149" s="91">
        <v>26.99</v>
      </c>
      <c r="K149" s="92">
        <f>(J149*I149)/(H149*G149)</f>
        <v>1.071031746031746</v>
      </c>
      <c r="L149" s="91"/>
      <c r="M149" s="91"/>
      <c r="N149" s="91"/>
      <c r="O149" s="91"/>
      <c r="P149" s="92"/>
      <c r="Q149" s="96"/>
      <c r="R149" s="112"/>
      <c r="S149" s="112"/>
      <c r="T149" s="112"/>
      <c r="U149" s="92"/>
      <c r="V149" s="172">
        <f t="shared" si="86"/>
        <v>1.0605839416058394</v>
      </c>
    </row>
    <row r="150" spans="1:22" hidden="1">
      <c r="A150" s="97" t="s">
        <v>99</v>
      </c>
      <c r="B150" s="91">
        <f>843/2</f>
        <v>421.5</v>
      </c>
      <c r="C150" s="91">
        <v>42.44</v>
      </c>
      <c r="D150" s="91">
        <f t="shared" si="90"/>
        <v>421.5</v>
      </c>
      <c r="E150" s="91">
        <v>42.44</v>
      </c>
      <c r="F150" s="92">
        <f t="shared" si="91"/>
        <v>1</v>
      </c>
      <c r="G150" s="91">
        <f>514/2</f>
        <v>257</v>
      </c>
      <c r="H150" s="91">
        <v>31</v>
      </c>
      <c r="I150" s="91">
        <f>G150</f>
        <v>257</v>
      </c>
      <c r="J150" s="91">
        <v>33.200000000000003</v>
      </c>
      <c r="K150" s="92">
        <f>(J150*I150)/(H150*G150)</f>
        <v>1.0709677419354842</v>
      </c>
      <c r="L150" s="91">
        <f>500/2</f>
        <v>250</v>
      </c>
      <c r="M150" s="91">
        <v>51.3</v>
      </c>
      <c r="N150" s="91">
        <f>L150</f>
        <v>250</v>
      </c>
      <c r="O150" s="91">
        <v>51.3</v>
      </c>
      <c r="P150" s="92">
        <f>O150/M150</f>
        <v>1</v>
      </c>
      <c r="Q150" s="96">
        <f>310/2</f>
        <v>155</v>
      </c>
      <c r="R150" s="96">
        <v>39</v>
      </c>
      <c r="S150" s="96">
        <f>Q150</f>
        <v>155</v>
      </c>
      <c r="T150" s="96">
        <v>41.77</v>
      </c>
      <c r="U150" s="92">
        <f>T150/R150</f>
        <v>1.0710256410256411</v>
      </c>
      <c r="V150" s="172">
        <f t="shared" si="86"/>
        <v>1</v>
      </c>
    </row>
    <row r="151" spans="1:22">
      <c r="A151" s="97" t="s">
        <v>207</v>
      </c>
      <c r="B151" s="91">
        <f>SUM(B152:B158)</f>
        <v>224.21950000000001</v>
      </c>
      <c r="C151" s="91">
        <f>SUMPRODUCT(B152:B158,C152:C158)/B151</f>
        <v>56.780515209426476</v>
      </c>
      <c r="D151" s="91">
        <f>SUM(D152:D158)</f>
        <v>224.21950000000001</v>
      </c>
      <c r="E151" s="91">
        <f>SUMPRODUCT(D152:D158,E152:E158)/D151</f>
        <v>60.769983453713877</v>
      </c>
      <c r="F151" s="92">
        <f>E151/C151</f>
        <v>1.0702612195323138</v>
      </c>
      <c r="G151" s="91">
        <f>SUM(G152:G158)</f>
        <v>109.87550000000002</v>
      </c>
      <c r="H151" s="91">
        <f>SUMPRODUCT(G152:G158,H152:H158)/G151</f>
        <v>58.594302733548417</v>
      </c>
      <c r="I151" s="91">
        <f>SUM(I152:I158)</f>
        <v>109.87550000000002</v>
      </c>
      <c r="J151" s="91">
        <f>SUMPRODUCT(I152:I158,J152:J158)/I151</f>
        <v>62.208101851641167</v>
      </c>
      <c r="K151" s="92">
        <f>J151/H151</f>
        <v>1.0616749231495446</v>
      </c>
      <c r="L151" s="91">
        <f>SUM(L152:L158)</f>
        <v>101.47499999999999</v>
      </c>
      <c r="M151" s="91">
        <f>SUMPRODUCT(L152:L158,M152:M158)/L151</f>
        <v>71.491924020694753</v>
      </c>
      <c r="N151" s="91">
        <f>SUM(N152:N158)</f>
        <v>101.47499999999999</v>
      </c>
      <c r="O151" s="91">
        <f>SUMPRODUCT(N152:N158,O152:O158)/N151</f>
        <v>76.236510667652141</v>
      </c>
      <c r="P151" s="92">
        <f>O151/M151</f>
        <v>1.0663653512190268</v>
      </c>
      <c r="Q151" s="91">
        <f>SUM(Q152:Q158)</f>
        <v>58.971000000000004</v>
      </c>
      <c r="R151" s="91">
        <f>SUMPRODUCT(Q152:Q158,R152:R158)/Q151</f>
        <v>61.690772922283827</v>
      </c>
      <c r="S151" s="91">
        <f>SUM(S152:S158)</f>
        <v>58.971000000000004</v>
      </c>
      <c r="T151" s="91">
        <f>SUMPRODUCT(S152:S158,T152:T158)/S151</f>
        <v>66.035417069406989</v>
      </c>
      <c r="U151" s="92">
        <f>T151/R151</f>
        <v>1.0704261584239902</v>
      </c>
      <c r="V151" s="172">
        <f t="shared" si="86"/>
        <v>1.0680898791951392</v>
      </c>
    </row>
    <row r="152" spans="1:22" hidden="1">
      <c r="A152" s="97" t="s">
        <v>60</v>
      </c>
      <c r="B152" s="91">
        <f>8.41/2</f>
        <v>4.2050000000000001</v>
      </c>
      <c r="C152" s="91">
        <v>172.04</v>
      </c>
      <c r="D152" s="91">
        <f>B152</f>
        <v>4.2050000000000001</v>
      </c>
      <c r="E152" s="91">
        <v>185.25</v>
      </c>
      <c r="F152" s="92">
        <f>(E152*D152)/(C152*B152)</f>
        <v>1.0767844687282029</v>
      </c>
      <c r="G152" s="91">
        <f>3.578/2</f>
        <v>1.7889999999999999</v>
      </c>
      <c r="H152" s="91">
        <v>66.81</v>
      </c>
      <c r="I152" s="91">
        <f>3.578/2</f>
        <v>1.7889999999999999</v>
      </c>
      <c r="J152" s="91">
        <v>71.55</v>
      </c>
      <c r="K152" s="92">
        <f>(J152*I152)/(H152*G152)</f>
        <v>1.0709474629546476</v>
      </c>
      <c r="L152" s="91"/>
      <c r="M152" s="91"/>
      <c r="N152" s="91"/>
      <c r="O152" s="91"/>
      <c r="P152" s="92"/>
      <c r="Q152" s="96"/>
      <c r="R152" s="96"/>
      <c r="S152" s="96"/>
      <c r="T152" s="96"/>
      <c r="U152" s="92"/>
      <c r="V152" s="172">
        <f t="shared" si="86"/>
        <v>1.0767844687282029</v>
      </c>
    </row>
    <row r="153" spans="1:22" hidden="1">
      <c r="A153" s="97" t="s">
        <v>61</v>
      </c>
      <c r="B153" s="91">
        <f>122.838/2</f>
        <v>61.418999999999997</v>
      </c>
      <c r="C153" s="91">
        <v>50.68</v>
      </c>
      <c r="D153" s="91">
        <f>B153</f>
        <v>61.418999999999997</v>
      </c>
      <c r="E153" s="91">
        <v>54.29</v>
      </c>
      <c r="F153" s="92">
        <f t="shared" ref="F153:F158" si="92">(E153*D153)/(C153*B153)</f>
        <v>1.0712312549329124</v>
      </c>
      <c r="G153" s="91">
        <f>63.27/2</f>
        <v>31.635000000000002</v>
      </c>
      <c r="H153" s="91">
        <v>50.68</v>
      </c>
      <c r="I153" s="91">
        <f>G153</f>
        <v>31.635000000000002</v>
      </c>
      <c r="J153" s="91">
        <v>54.29</v>
      </c>
      <c r="K153" s="92">
        <f t="shared" ref="K153:K158" si="93">(J153*I153)/(H153*G153)</f>
        <v>1.0712312549329124</v>
      </c>
      <c r="L153" s="91">
        <f>22.89/2</f>
        <v>11.445</v>
      </c>
      <c r="M153" s="91">
        <v>100.72</v>
      </c>
      <c r="N153" s="91">
        <f>L153</f>
        <v>11.445</v>
      </c>
      <c r="O153" s="91">
        <v>107.98</v>
      </c>
      <c r="P153" s="92">
        <f t="shared" ref="P153:P156" si="94">(O153*N153)/(M153*L153)</f>
        <v>1.0720810166799049</v>
      </c>
      <c r="Q153" s="96">
        <f>7.636/2</f>
        <v>3.8180000000000001</v>
      </c>
      <c r="R153" s="96">
        <v>75.5</v>
      </c>
      <c r="S153" s="96">
        <f>7.636/2</f>
        <v>3.8180000000000001</v>
      </c>
      <c r="T153" s="96">
        <v>80.86</v>
      </c>
      <c r="U153" s="92">
        <f t="shared" ref="U153:U156" si="95">T153/R153</f>
        <v>1.0709933774834437</v>
      </c>
      <c r="V153" s="172">
        <f t="shared" si="86"/>
        <v>1.0717965653896961</v>
      </c>
    </row>
    <row r="154" spans="1:22" hidden="1">
      <c r="A154" s="97" t="s">
        <v>62</v>
      </c>
      <c r="B154" s="91">
        <f>103.382/2</f>
        <v>51.691000000000003</v>
      </c>
      <c r="C154" s="91">
        <v>43.56</v>
      </c>
      <c r="D154" s="91">
        <f>103.382/2</f>
        <v>51.691000000000003</v>
      </c>
      <c r="E154" s="91">
        <v>46.65</v>
      </c>
      <c r="F154" s="92">
        <f t="shared" si="92"/>
        <v>1.0709366391184572</v>
      </c>
      <c r="G154" s="91">
        <f>37.679/2</f>
        <v>18.839500000000001</v>
      </c>
      <c r="H154" s="91">
        <v>43.56</v>
      </c>
      <c r="I154" s="91">
        <f>37.679/2</f>
        <v>18.839500000000001</v>
      </c>
      <c r="J154" s="91">
        <v>46.65</v>
      </c>
      <c r="K154" s="92">
        <f t="shared" si="93"/>
        <v>1.0709366391184572</v>
      </c>
      <c r="L154" s="91">
        <f>74.838/2</f>
        <v>37.418999999999997</v>
      </c>
      <c r="M154" s="91">
        <v>60.3</v>
      </c>
      <c r="N154" s="91">
        <f>74.838/2</f>
        <v>37.418999999999997</v>
      </c>
      <c r="O154" s="91">
        <v>64.58</v>
      </c>
      <c r="P154" s="92">
        <f t="shared" si="94"/>
        <v>1.0709784411276948</v>
      </c>
      <c r="Q154" s="96">
        <f>36.72/2</f>
        <v>18.36</v>
      </c>
      <c r="R154" s="96">
        <v>60.3</v>
      </c>
      <c r="S154" s="96">
        <f>36.72/2</f>
        <v>18.36</v>
      </c>
      <c r="T154" s="96">
        <v>64.58</v>
      </c>
      <c r="U154" s="92">
        <f t="shared" si="95"/>
        <v>1.0709784411276948</v>
      </c>
      <c r="V154" s="172">
        <f t="shared" si="86"/>
        <v>1.0709609089158483</v>
      </c>
    </row>
    <row r="155" spans="1:22" hidden="1">
      <c r="A155" s="97" t="s">
        <v>63</v>
      </c>
      <c r="B155" s="91">
        <f>44.819/2</f>
        <v>22.409500000000001</v>
      </c>
      <c r="C155" s="91">
        <v>57.5</v>
      </c>
      <c r="D155" s="91">
        <f>44.819/2</f>
        <v>22.409500000000001</v>
      </c>
      <c r="E155" s="91">
        <v>60.11</v>
      </c>
      <c r="F155" s="92">
        <f t="shared" si="92"/>
        <v>1.045391304347826</v>
      </c>
      <c r="G155" s="91">
        <f>35.664/2</f>
        <v>17.832000000000001</v>
      </c>
      <c r="H155" s="91">
        <v>57.5</v>
      </c>
      <c r="I155" s="91">
        <f>35.664/2</f>
        <v>17.832000000000001</v>
      </c>
      <c r="J155" s="91">
        <v>60.11</v>
      </c>
      <c r="K155" s="92">
        <f t="shared" si="93"/>
        <v>1.045391304347826</v>
      </c>
      <c r="L155" s="91">
        <f>35.152/2</f>
        <v>17.576000000000001</v>
      </c>
      <c r="M155" s="91">
        <v>103.44</v>
      </c>
      <c r="N155" s="91">
        <f>35.152/2</f>
        <v>17.576000000000001</v>
      </c>
      <c r="O155" s="91">
        <v>109</v>
      </c>
      <c r="P155" s="92">
        <f t="shared" si="94"/>
        <v>1.0537509667440064</v>
      </c>
      <c r="Q155" s="96">
        <f>32.076/2</f>
        <v>16.038</v>
      </c>
      <c r="R155" s="96">
        <v>64.94</v>
      </c>
      <c r="S155" s="96">
        <f>32.076/2</f>
        <v>16.038</v>
      </c>
      <c r="T155" s="96">
        <v>69.55</v>
      </c>
      <c r="U155" s="92">
        <f t="shared" si="95"/>
        <v>1.0709886048660302</v>
      </c>
      <c r="V155" s="172">
        <f t="shared" si="86"/>
        <v>1.0507642599726608</v>
      </c>
    </row>
    <row r="156" spans="1:22" hidden="1">
      <c r="A156" s="97" t="s">
        <v>64</v>
      </c>
      <c r="B156" s="91">
        <f>117.29/2</f>
        <v>58.645000000000003</v>
      </c>
      <c r="C156" s="91">
        <v>52.32</v>
      </c>
      <c r="D156" s="91">
        <f>117.29/2</f>
        <v>58.645000000000003</v>
      </c>
      <c r="E156" s="91">
        <v>53.03</v>
      </c>
      <c r="F156" s="92">
        <f t="shared" si="92"/>
        <v>1.0135703363914372</v>
      </c>
      <c r="G156" s="91">
        <f>36.68/2</f>
        <v>18.34</v>
      </c>
      <c r="H156" s="91">
        <v>52.32</v>
      </c>
      <c r="I156" s="91">
        <f>36.68/2</f>
        <v>18.34</v>
      </c>
      <c r="J156" s="91">
        <v>53.03</v>
      </c>
      <c r="K156" s="92">
        <f t="shared" si="93"/>
        <v>1.0135703363914372</v>
      </c>
      <c r="L156" s="91">
        <f>70.07/2</f>
        <v>35.034999999999997</v>
      </c>
      <c r="M156" s="91">
        <v>57.87</v>
      </c>
      <c r="N156" s="91">
        <f>70.07/2</f>
        <v>35.034999999999997</v>
      </c>
      <c r="O156" s="91">
        <v>61.88</v>
      </c>
      <c r="P156" s="92">
        <f t="shared" si="94"/>
        <v>1.0692932434767584</v>
      </c>
      <c r="Q156" s="96">
        <f>41.51/2</f>
        <v>20.754999999999999</v>
      </c>
      <c r="R156" s="96">
        <v>57.87</v>
      </c>
      <c r="S156" s="96">
        <f>Q156</f>
        <v>20.754999999999999</v>
      </c>
      <c r="T156" s="96">
        <v>61.88</v>
      </c>
      <c r="U156" s="92">
        <f t="shared" si="95"/>
        <v>1.0692932434767584</v>
      </c>
      <c r="V156" s="172">
        <f t="shared" si="86"/>
        <v>1.0428351030039023</v>
      </c>
    </row>
    <row r="157" spans="1:22" hidden="1">
      <c r="A157" s="97" t="s">
        <v>64</v>
      </c>
      <c r="B157" s="91">
        <f>1.8/2</f>
        <v>0.9</v>
      </c>
      <c r="C157" s="91">
        <v>224.8</v>
      </c>
      <c r="D157" s="91">
        <f>1.8/2</f>
        <v>0.9</v>
      </c>
      <c r="E157" s="91">
        <v>237.12</v>
      </c>
      <c r="F157" s="92">
        <f t="shared" si="92"/>
        <v>1.0548042704626335</v>
      </c>
      <c r="G157" s="91">
        <f>1.68/2</f>
        <v>0.84</v>
      </c>
      <c r="H157" s="91">
        <v>224.8</v>
      </c>
      <c r="I157" s="91">
        <f>1.68/2</f>
        <v>0.84</v>
      </c>
      <c r="J157" s="91">
        <v>237.12</v>
      </c>
      <c r="K157" s="92">
        <f t="shared" si="93"/>
        <v>1.0548042704626335</v>
      </c>
      <c r="L157" s="91"/>
      <c r="M157" s="91"/>
      <c r="N157" s="91"/>
      <c r="O157" s="91"/>
      <c r="P157" s="92"/>
      <c r="Q157" s="96"/>
      <c r="R157" s="96"/>
      <c r="S157" s="96"/>
      <c r="T157" s="96"/>
      <c r="U157" s="92"/>
      <c r="V157" s="172">
        <f t="shared" si="86"/>
        <v>1.0548042704626335</v>
      </c>
    </row>
    <row r="158" spans="1:22" hidden="1">
      <c r="A158" s="97" t="s">
        <v>65</v>
      </c>
      <c r="B158" s="91">
        <f>49.9/2</f>
        <v>24.95</v>
      </c>
      <c r="C158" s="91">
        <v>83.54</v>
      </c>
      <c r="D158" s="91">
        <f>B158</f>
        <v>24.95</v>
      </c>
      <c r="E158" s="91">
        <v>97.42</v>
      </c>
      <c r="F158" s="92">
        <f t="shared" si="92"/>
        <v>1.1661479530763703</v>
      </c>
      <c r="G158" s="99">
        <f>41.2/2</f>
        <v>20.6</v>
      </c>
      <c r="H158" s="99">
        <v>83.54</v>
      </c>
      <c r="I158" s="91">
        <f>G158</f>
        <v>20.6</v>
      </c>
      <c r="J158" s="99">
        <v>90.64</v>
      </c>
      <c r="K158" s="92">
        <f t="shared" si="93"/>
        <v>1.0849892267177399</v>
      </c>
      <c r="L158" s="91"/>
      <c r="M158" s="91"/>
      <c r="N158" s="91"/>
      <c r="O158" s="91"/>
      <c r="P158" s="92"/>
      <c r="Q158" s="96"/>
      <c r="R158" s="96"/>
      <c r="S158" s="96"/>
      <c r="T158" s="96"/>
      <c r="U158" s="92"/>
      <c r="V158" s="172">
        <f t="shared" si="86"/>
        <v>1.1661479530763705</v>
      </c>
    </row>
    <row r="159" spans="1:22">
      <c r="A159" s="97" t="s">
        <v>240</v>
      </c>
      <c r="B159" s="91">
        <f>SUM(B160:B171)</f>
        <v>751.49400000000014</v>
      </c>
      <c r="C159" s="91">
        <f>SUMPRODUCT(B160:B171,C160:C171)/B159</f>
        <v>37.520562013801829</v>
      </c>
      <c r="D159" s="91">
        <f>SUM(D160:D171)</f>
        <v>751.49400000000014</v>
      </c>
      <c r="E159" s="91">
        <f>SUMPRODUCT(D160:D171,E160:E171)/D159</f>
        <v>38.685019441272971</v>
      </c>
      <c r="F159" s="92">
        <f>E159/C159</f>
        <v>1.0310351808441143</v>
      </c>
      <c r="G159" s="91">
        <f>SUM(G160:G171)</f>
        <v>532.94249999999988</v>
      </c>
      <c r="H159" s="91">
        <f>SUMPRODUCT(G160:G171,H160:H171)/G159</f>
        <v>26.786138560914175</v>
      </c>
      <c r="I159" s="91">
        <f>SUM(I160:I171)</f>
        <v>532.94249999999988</v>
      </c>
      <c r="J159" s="91">
        <f>SUMPRODUCT(I160:I171,J160:J171)/I159</f>
        <v>28.615674861734625</v>
      </c>
      <c r="K159" s="92">
        <f>J159/H159</f>
        <v>1.0683016066933244</v>
      </c>
      <c r="L159" s="91">
        <f>SUM(L160:L171)</f>
        <v>541.51800000000003</v>
      </c>
      <c r="M159" s="91">
        <f>SUMPRODUCT(L160:L171,M160:M171)/L159</f>
        <v>34.442230156707623</v>
      </c>
      <c r="N159" s="91">
        <f>SUM(N160:N171)</f>
        <v>541.51800000000003</v>
      </c>
      <c r="O159" s="91">
        <f>SUMPRODUCT(N160:N171,O160:O171)/N159</f>
        <v>36.408307073818413</v>
      </c>
      <c r="P159" s="92">
        <f>O159/M159</f>
        <v>1.0570833220777343</v>
      </c>
      <c r="Q159" s="91">
        <f>SUM(Q160:Q171)</f>
        <v>421.09750000000003</v>
      </c>
      <c r="R159" s="91">
        <f>SUMPRODUCT(Q160:Q171,R160:R171)/Q159</f>
        <v>20.73313425038144</v>
      </c>
      <c r="S159" s="91">
        <f>SUM(S160:S171)</f>
        <v>421.09750000000003</v>
      </c>
      <c r="T159" s="91">
        <f>SUMPRODUCT(S160:S171,T160:T171)/S159</f>
        <v>22.111120464975446</v>
      </c>
      <c r="U159" s="92">
        <f>T159/R159</f>
        <v>1.0664629957995211</v>
      </c>
      <c r="V159" s="172">
        <f t="shared" si="86"/>
        <v>1.043502124502957</v>
      </c>
    </row>
    <row r="160" spans="1:22" ht="51.75" hidden="1">
      <c r="A160" s="104" t="s">
        <v>151</v>
      </c>
      <c r="B160" s="91">
        <f>35.93/2</f>
        <v>17.965</v>
      </c>
      <c r="C160" s="91">
        <v>9.75</v>
      </c>
      <c r="D160" s="91">
        <f t="shared" ref="D160:D171" si="96">B160</f>
        <v>17.965</v>
      </c>
      <c r="E160" s="91">
        <v>9.85</v>
      </c>
      <c r="F160" s="92">
        <f t="shared" ref="F160:F171" si="97">(E160*D160)/(C160*B160)</f>
        <v>1.0102564102564102</v>
      </c>
      <c r="G160" s="91">
        <f>1.58/2</f>
        <v>0.79</v>
      </c>
      <c r="H160" s="91">
        <v>9.75</v>
      </c>
      <c r="I160" s="91">
        <f t="shared" ref="I160" si="98">G160</f>
        <v>0.79</v>
      </c>
      <c r="J160" s="91">
        <v>9.85</v>
      </c>
      <c r="K160" s="92">
        <f>(J160*I160)/(H160*G160)</f>
        <v>1.0102564102564102</v>
      </c>
      <c r="L160" s="91"/>
      <c r="M160" s="91"/>
      <c r="N160" s="91"/>
      <c r="O160" s="91"/>
      <c r="P160" s="92"/>
      <c r="Q160" s="112"/>
      <c r="R160" s="112"/>
      <c r="S160" s="112"/>
      <c r="T160" s="112"/>
      <c r="U160" s="98"/>
      <c r="V160" s="172">
        <f t="shared" si="86"/>
        <v>1.0102564102564102</v>
      </c>
    </row>
    <row r="161" spans="1:22" ht="51.75" hidden="1">
      <c r="A161" s="104" t="s">
        <v>152</v>
      </c>
      <c r="B161" s="91">
        <f>21.5/2-5.95/2</f>
        <v>7.7750000000000004</v>
      </c>
      <c r="C161" s="91">
        <v>31.1</v>
      </c>
      <c r="D161" s="91">
        <f t="shared" si="96"/>
        <v>7.7750000000000004</v>
      </c>
      <c r="E161" s="91">
        <v>32.130000000000003</v>
      </c>
      <c r="F161" s="92">
        <f t="shared" si="97"/>
        <v>1.0331189710610933</v>
      </c>
      <c r="G161" s="91"/>
      <c r="H161" s="91"/>
      <c r="I161" s="91"/>
      <c r="J161" s="91"/>
      <c r="K161" s="92"/>
      <c r="L161" s="91"/>
      <c r="M161" s="91"/>
      <c r="N161" s="91"/>
      <c r="O161" s="91"/>
      <c r="P161" s="92"/>
      <c r="Q161" s="112"/>
      <c r="R161" s="112"/>
      <c r="S161" s="112"/>
      <c r="T161" s="112"/>
      <c r="U161" s="98"/>
      <c r="V161" s="172">
        <f t="shared" si="86"/>
        <v>1.0331189710610933</v>
      </c>
    </row>
    <row r="162" spans="1:22" ht="51.75" hidden="1">
      <c r="A162" s="104" t="s">
        <v>153</v>
      </c>
      <c r="B162" s="91">
        <f>57.54/2</f>
        <v>28.77</v>
      </c>
      <c r="C162" s="91">
        <v>37.520000000000003</v>
      </c>
      <c r="D162" s="91">
        <f t="shared" si="96"/>
        <v>28.77</v>
      </c>
      <c r="E162" s="91">
        <v>38</v>
      </c>
      <c r="F162" s="92">
        <f t="shared" si="97"/>
        <v>1.0127931769722813</v>
      </c>
      <c r="G162" s="99">
        <f>4.54/2</f>
        <v>2.27</v>
      </c>
      <c r="H162" s="99">
        <v>24.14</v>
      </c>
      <c r="I162" s="91">
        <f t="shared" ref="I162:I171" si="99">G162</f>
        <v>2.27</v>
      </c>
      <c r="J162" s="99">
        <v>26.7</v>
      </c>
      <c r="K162" s="92">
        <f t="shared" ref="K162:K171" si="100">(J162*I162)/(H162*G162)</f>
        <v>1.1060480530240264</v>
      </c>
      <c r="L162" s="91"/>
      <c r="M162" s="91"/>
      <c r="N162" s="91"/>
      <c r="O162" s="91"/>
      <c r="P162" s="92"/>
      <c r="Q162" s="112"/>
      <c r="R162" s="112"/>
      <c r="S162" s="112"/>
      <c r="T162" s="112"/>
      <c r="U162" s="98"/>
      <c r="V162" s="172">
        <f t="shared" si="86"/>
        <v>1.0127931769722813</v>
      </c>
    </row>
    <row r="163" spans="1:22" ht="26.25" hidden="1">
      <c r="A163" s="104" t="s">
        <v>154</v>
      </c>
      <c r="B163" s="91">
        <f>229.28/2</f>
        <v>114.64</v>
      </c>
      <c r="C163" s="91">
        <v>19.170000000000002</v>
      </c>
      <c r="D163" s="91">
        <f t="shared" si="96"/>
        <v>114.64</v>
      </c>
      <c r="E163" s="91">
        <v>20.149999999999999</v>
      </c>
      <c r="F163" s="92">
        <f t="shared" si="97"/>
        <v>1.0511215440792903</v>
      </c>
      <c r="G163" s="112">
        <f>191/2</f>
        <v>95.5</v>
      </c>
      <c r="H163" s="112">
        <v>19.170000000000002</v>
      </c>
      <c r="I163" s="91">
        <f t="shared" si="99"/>
        <v>95.5</v>
      </c>
      <c r="J163" s="112">
        <v>20.149999999999999</v>
      </c>
      <c r="K163" s="92">
        <f t="shared" si="100"/>
        <v>1.0511215440792905</v>
      </c>
      <c r="L163" s="91">
        <f>356.276/2</f>
        <v>178.13800000000001</v>
      </c>
      <c r="M163" s="91">
        <v>20.68</v>
      </c>
      <c r="N163" s="91">
        <f>L163</f>
        <v>178.13800000000001</v>
      </c>
      <c r="O163" s="91">
        <v>21.86</v>
      </c>
      <c r="P163" s="92">
        <f t="shared" ref="P163" si="101">(O163*N163)/(M163*L163)</f>
        <v>1.0570599613152805</v>
      </c>
      <c r="Q163" s="112">
        <f>281.7/2</f>
        <v>140.85</v>
      </c>
      <c r="R163" s="112">
        <v>20.68</v>
      </c>
      <c r="S163" s="112">
        <f t="shared" ref="S163" si="102">Q163</f>
        <v>140.85</v>
      </c>
      <c r="T163" s="112">
        <v>21.86</v>
      </c>
      <c r="U163" s="92">
        <f t="shared" ref="U163" si="103">(T163*S163)/(R163*Q163)</f>
        <v>1.0570599613152805</v>
      </c>
      <c r="V163" s="172">
        <f t="shared" si="86"/>
        <v>1.054203262233375</v>
      </c>
    </row>
    <row r="164" spans="1:22" ht="26.25" hidden="1">
      <c r="A164" s="104" t="s">
        <v>155</v>
      </c>
      <c r="B164" s="91">
        <f>29.434/2</f>
        <v>14.717000000000001</v>
      </c>
      <c r="C164" s="91">
        <v>79.73</v>
      </c>
      <c r="D164" s="91">
        <f t="shared" si="96"/>
        <v>14.717000000000001</v>
      </c>
      <c r="E164" s="91">
        <v>85.39</v>
      </c>
      <c r="F164" s="92">
        <f t="shared" si="97"/>
        <v>1.0709895898657971</v>
      </c>
      <c r="G164" s="112">
        <f>21.28/2</f>
        <v>10.64</v>
      </c>
      <c r="H164" s="112">
        <v>67.540000000000006</v>
      </c>
      <c r="I164" s="91">
        <f t="shared" si="99"/>
        <v>10.64</v>
      </c>
      <c r="J164" s="112">
        <v>72.34</v>
      </c>
      <c r="K164" s="92">
        <f t="shared" si="100"/>
        <v>1.0710689961504294</v>
      </c>
      <c r="L164" s="91"/>
      <c r="M164" s="91"/>
      <c r="N164" s="91"/>
      <c r="O164" s="91"/>
      <c r="P164" s="92"/>
      <c r="Q164" s="112"/>
      <c r="R164" s="112"/>
      <c r="S164" s="112"/>
      <c r="T164" s="112"/>
      <c r="U164" s="92"/>
      <c r="V164" s="172">
        <f t="shared" si="86"/>
        <v>1.0709895898657971</v>
      </c>
    </row>
    <row r="165" spans="1:22" ht="26.25" hidden="1">
      <c r="A165" s="104" t="s">
        <v>156</v>
      </c>
      <c r="B165" s="91">
        <f>4.944/2</f>
        <v>2.472</v>
      </c>
      <c r="C165" s="91">
        <v>83.81</v>
      </c>
      <c r="D165" s="91">
        <f t="shared" si="96"/>
        <v>2.472</v>
      </c>
      <c r="E165" s="91">
        <v>88.86</v>
      </c>
      <c r="F165" s="92">
        <f t="shared" si="97"/>
        <v>1.0602553394582985</v>
      </c>
      <c r="G165" s="99">
        <f>3.69/2</f>
        <v>1.845</v>
      </c>
      <c r="H165" s="99">
        <v>56.89</v>
      </c>
      <c r="I165" s="91">
        <f t="shared" si="99"/>
        <v>1.845</v>
      </c>
      <c r="J165" s="99">
        <v>60.93</v>
      </c>
      <c r="K165" s="92">
        <f t="shared" si="100"/>
        <v>1.071014238003164</v>
      </c>
      <c r="L165" s="91"/>
      <c r="M165" s="91"/>
      <c r="N165" s="91"/>
      <c r="O165" s="91"/>
      <c r="P165" s="92"/>
      <c r="Q165" s="112"/>
      <c r="R165" s="112"/>
      <c r="S165" s="112"/>
      <c r="T165" s="112"/>
      <c r="U165" s="92"/>
      <c r="V165" s="172">
        <f t="shared" si="86"/>
        <v>1.0602553394582985</v>
      </c>
    </row>
    <row r="166" spans="1:22" ht="39" hidden="1">
      <c r="A166" s="104" t="s">
        <v>157</v>
      </c>
      <c r="B166" s="91">
        <f>25.57/2</f>
        <v>12.785</v>
      </c>
      <c r="C166" s="91">
        <v>67.62</v>
      </c>
      <c r="D166" s="91">
        <f t="shared" si="96"/>
        <v>12.785</v>
      </c>
      <c r="E166" s="91">
        <v>68.67</v>
      </c>
      <c r="F166" s="92">
        <f t="shared" si="97"/>
        <v>1.015527950310559</v>
      </c>
      <c r="G166" s="112">
        <f>20.87/2</f>
        <v>10.435</v>
      </c>
      <c r="H166" s="112">
        <v>24.5</v>
      </c>
      <c r="I166" s="91">
        <f t="shared" si="99"/>
        <v>10.435</v>
      </c>
      <c r="J166" s="112">
        <v>26.24</v>
      </c>
      <c r="K166" s="92">
        <f t="shared" si="100"/>
        <v>1.0710204081632653</v>
      </c>
      <c r="L166" s="91"/>
      <c r="M166" s="91"/>
      <c r="N166" s="91"/>
      <c r="O166" s="91"/>
      <c r="P166" s="92"/>
      <c r="Q166" s="112"/>
      <c r="R166" s="112"/>
      <c r="S166" s="112"/>
      <c r="T166" s="112"/>
      <c r="U166" s="92"/>
      <c r="V166" s="172">
        <f t="shared" si="86"/>
        <v>1.015527950310559</v>
      </c>
    </row>
    <row r="167" spans="1:22" hidden="1">
      <c r="A167" s="104" t="s">
        <v>158</v>
      </c>
      <c r="B167" s="91">
        <f>95.72/2</f>
        <v>47.86</v>
      </c>
      <c r="C167" s="91">
        <v>55.58</v>
      </c>
      <c r="D167" s="91">
        <f t="shared" si="96"/>
        <v>47.86</v>
      </c>
      <c r="E167" s="91">
        <v>58.59</v>
      </c>
      <c r="F167" s="92">
        <f t="shared" si="97"/>
        <v>1.0541561712846348</v>
      </c>
      <c r="G167" s="112">
        <f>84.19/2</f>
        <v>42.094999999999999</v>
      </c>
      <c r="H167" s="112">
        <v>26.45</v>
      </c>
      <c r="I167" s="91">
        <f t="shared" si="99"/>
        <v>42.094999999999999</v>
      </c>
      <c r="J167" s="112">
        <v>28.33</v>
      </c>
      <c r="K167" s="92">
        <f t="shared" si="100"/>
        <v>1.071077504725898</v>
      </c>
      <c r="L167" s="91">
        <f>33.71/2</f>
        <v>16.855</v>
      </c>
      <c r="M167" s="91">
        <v>33.79</v>
      </c>
      <c r="N167" s="91">
        <f>L167</f>
        <v>16.855</v>
      </c>
      <c r="O167" s="91">
        <v>35.94</v>
      </c>
      <c r="P167" s="92">
        <f t="shared" ref="P167:P169" si="104">(O167*N167)/(M167*L167)</f>
        <v>1.0636282923941995</v>
      </c>
      <c r="Q167" s="112">
        <f>31.915/2</f>
        <v>15.9575</v>
      </c>
      <c r="R167" s="112">
        <v>26.24</v>
      </c>
      <c r="S167" s="112">
        <f t="shared" ref="S167:S169" si="105">Q167</f>
        <v>15.9575</v>
      </c>
      <c r="T167" s="112">
        <v>28.1</v>
      </c>
      <c r="U167" s="92">
        <f t="shared" ref="U167:U169" si="106">(T167*S167)/(R167*Q167)</f>
        <v>1.0708841463414636</v>
      </c>
      <c r="V167" s="172">
        <f t="shared" si="86"/>
        <v>1.0577374958039609</v>
      </c>
    </row>
    <row r="168" spans="1:22" hidden="1">
      <c r="A168" s="104" t="s">
        <v>159</v>
      </c>
      <c r="B168" s="91">
        <f>410.93/2</f>
        <v>205.465</v>
      </c>
      <c r="C168" s="91">
        <v>58.12</v>
      </c>
      <c r="D168" s="91">
        <f t="shared" si="96"/>
        <v>205.465</v>
      </c>
      <c r="E168" s="91">
        <v>60.11</v>
      </c>
      <c r="F168" s="92">
        <f t="shared" si="97"/>
        <v>1.0342395044735031</v>
      </c>
      <c r="G168" s="99">
        <f>325.43/2</f>
        <v>162.715</v>
      </c>
      <c r="H168" s="99">
        <v>36.729999999999997</v>
      </c>
      <c r="I168" s="91">
        <f t="shared" si="99"/>
        <v>162.715</v>
      </c>
      <c r="J168" s="99">
        <v>39.340000000000003</v>
      </c>
      <c r="K168" s="92">
        <f t="shared" si="100"/>
        <v>1.0710590797713044</v>
      </c>
      <c r="L168" s="91">
        <f>292.94/2</f>
        <v>146.47</v>
      </c>
      <c r="M168" s="91">
        <v>53.58</v>
      </c>
      <c r="N168" s="91">
        <f>L168</f>
        <v>146.47</v>
      </c>
      <c r="O168" s="91">
        <v>53.58</v>
      </c>
      <c r="P168" s="92">
        <f t="shared" si="104"/>
        <v>1</v>
      </c>
      <c r="Q168" s="112">
        <f>241.34/2</f>
        <v>120.67</v>
      </c>
      <c r="R168" s="112">
        <v>26.7</v>
      </c>
      <c r="S168" s="112">
        <f t="shared" si="105"/>
        <v>120.67</v>
      </c>
      <c r="T168" s="112">
        <v>28.6</v>
      </c>
      <c r="U168" s="92">
        <f t="shared" si="106"/>
        <v>1.0711610486891385</v>
      </c>
      <c r="V168" s="172">
        <f t="shared" si="86"/>
        <v>1.0178155774395703</v>
      </c>
    </row>
    <row r="169" spans="1:22" ht="26.25" hidden="1">
      <c r="A169" s="104" t="s">
        <v>160</v>
      </c>
      <c r="B169" s="91">
        <f>481.61/2</f>
        <v>240.80500000000001</v>
      </c>
      <c r="C169" s="91">
        <v>26.65</v>
      </c>
      <c r="D169" s="91">
        <f t="shared" si="96"/>
        <v>240.80500000000001</v>
      </c>
      <c r="E169" s="91">
        <v>26.65</v>
      </c>
      <c r="F169" s="92">
        <f t="shared" si="97"/>
        <v>1</v>
      </c>
      <c r="G169" s="99">
        <f>327.54/2</f>
        <v>163.77000000000001</v>
      </c>
      <c r="H169" s="99">
        <v>20.46</v>
      </c>
      <c r="I169" s="91">
        <f t="shared" si="99"/>
        <v>163.77000000000001</v>
      </c>
      <c r="J169" s="99">
        <v>21.91</v>
      </c>
      <c r="K169" s="92">
        <f t="shared" si="100"/>
        <v>1.0708699902248289</v>
      </c>
      <c r="L169" s="91">
        <f>400.11/2</f>
        <v>200.05500000000001</v>
      </c>
      <c r="M169" s="91">
        <v>32.74</v>
      </c>
      <c r="N169" s="91">
        <f>L169</f>
        <v>200.05500000000001</v>
      </c>
      <c r="O169" s="91">
        <v>36.83</v>
      </c>
      <c r="P169" s="92">
        <f t="shared" si="104"/>
        <v>1.124923640806353</v>
      </c>
      <c r="Q169" s="112">
        <f>287.24/2</f>
        <v>143.62</v>
      </c>
      <c r="R169" s="112">
        <v>15.16</v>
      </c>
      <c r="S169" s="112">
        <f t="shared" si="105"/>
        <v>143.62</v>
      </c>
      <c r="T169" s="112">
        <v>16.239999999999998</v>
      </c>
      <c r="U169" s="92">
        <f t="shared" si="106"/>
        <v>1.0712401055408971</v>
      </c>
      <c r="V169" s="172">
        <f t="shared" si="86"/>
        <v>1.0688668125947129</v>
      </c>
    </row>
    <row r="170" spans="1:22" ht="39" hidden="1">
      <c r="A170" s="104" t="s">
        <v>161</v>
      </c>
      <c r="B170" s="91">
        <f>111.26/2</f>
        <v>55.63</v>
      </c>
      <c r="C170" s="91">
        <v>19.84</v>
      </c>
      <c r="D170" s="91">
        <f t="shared" si="96"/>
        <v>55.63</v>
      </c>
      <c r="E170" s="91">
        <v>21.16</v>
      </c>
      <c r="F170" s="92">
        <f t="shared" si="97"/>
        <v>1.0665322580645162</v>
      </c>
      <c r="G170" s="99">
        <f>82.27/2</f>
        <v>41.134999999999998</v>
      </c>
      <c r="H170" s="99">
        <v>19.84</v>
      </c>
      <c r="I170" s="91">
        <f t="shared" si="99"/>
        <v>41.134999999999998</v>
      </c>
      <c r="J170" s="99">
        <v>21.16</v>
      </c>
      <c r="K170" s="92">
        <f t="shared" si="100"/>
        <v>1.0665322580645162</v>
      </c>
      <c r="L170" s="91"/>
      <c r="M170" s="91"/>
      <c r="N170" s="91"/>
      <c r="O170" s="91"/>
      <c r="P170" s="92"/>
      <c r="Q170" s="112"/>
      <c r="R170" s="112"/>
      <c r="S170" s="112"/>
      <c r="T170" s="112"/>
      <c r="U170" s="92"/>
      <c r="V170" s="172">
        <f t="shared" si="86"/>
        <v>1.0665322580645162</v>
      </c>
    </row>
    <row r="171" spans="1:22" ht="39" hidden="1">
      <c r="A171" s="104" t="s">
        <v>162</v>
      </c>
      <c r="B171" s="91">
        <f>5.22/2</f>
        <v>2.61</v>
      </c>
      <c r="C171" s="91">
        <v>51.53</v>
      </c>
      <c r="D171" s="91">
        <f t="shared" si="96"/>
        <v>2.61</v>
      </c>
      <c r="E171" s="91">
        <v>52.89</v>
      </c>
      <c r="F171" s="92">
        <f t="shared" si="97"/>
        <v>1.0263923927809042</v>
      </c>
      <c r="G171" s="99">
        <f>3.495/2</f>
        <v>1.7475000000000001</v>
      </c>
      <c r="H171" s="99">
        <v>26.44</v>
      </c>
      <c r="I171" s="91">
        <f t="shared" si="99"/>
        <v>1.7475000000000001</v>
      </c>
      <c r="J171" s="99">
        <v>28.32</v>
      </c>
      <c r="K171" s="92">
        <f t="shared" si="100"/>
        <v>1.0711043872919819</v>
      </c>
      <c r="L171" s="91"/>
      <c r="M171" s="91"/>
      <c r="N171" s="91"/>
      <c r="O171" s="91"/>
      <c r="P171" s="92"/>
      <c r="Q171" s="112"/>
      <c r="R171" s="112"/>
      <c r="S171" s="112"/>
      <c r="T171" s="112"/>
      <c r="U171" s="92"/>
      <c r="V171" s="172">
        <f t="shared" si="86"/>
        <v>1.0263923927809042</v>
      </c>
    </row>
    <row r="172" spans="1:22">
      <c r="A172" s="90" t="s">
        <v>241</v>
      </c>
      <c r="B172" s="91">
        <f>SUM(B173:B193)</f>
        <v>607.9905</v>
      </c>
      <c r="C172" s="91">
        <f>SUMPRODUCT(B173:B193,C173:C193)/B172</f>
        <v>55.673529635742661</v>
      </c>
      <c r="D172" s="91">
        <f>SUM(D173:D193)</f>
        <v>607.9905</v>
      </c>
      <c r="E172" s="91">
        <f>SUMPRODUCT(D173:D193,E173:E193)/D172</f>
        <v>58.850501290727401</v>
      </c>
      <c r="F172" s="92">
        <f>E172/C172</f>
        <v>1.057064311815163</v>
      </c>
      <c r="G172" s="91">
        <f>SUM(G173:G193)</f>
        <v>407.43349999999998</v>
      </c>
      <c r="H172" s="91">
        <f>SUMPRODUCT(G173:G193,H173:H193)/G172</f>
        <v>27.144987942817657</v>
      </c>
      <c r="I172" s="91">
        <f>SUM(I173:I193)</f>
        <v>407.43349999999998</v>
      </c>
      <c r="J172" s="91">
        <f>SUMPRODUCT(I173:I193,J173:J193)/I172</f>
        <v>29.1897784791874</v>
      </c>
      <c r="K172" s="92">
        <f>J172/H172</f>
        <v>1.0753284746590126</v>
      </c>
      <c r="L172" s="91">
        <f>SUM(L173:L193)</f>
        <v>526.64350000000002</v>
      </c>
      <c r="M172" s="91">
        <f>SUMPRODUCT(L173:L193,M173:M193)/L172</f>
        <v>40.267198493857798</v>
      </c>
      <c r="N172" s="91">
        <f>SUM(N173:N193)</f>
        <v>526.64350000000002</v>
      </c>
      <c r="O172" s="91">
        <f>SUMPRODUCT(N173:N193,O173:O193)/N172</f>
        <v>42.460681599602005</v>
      </c>
      <c r="P172" s="92">
        <f>O172/M172</f>
        <v>1.0544731987272169</v>
      </c>
      <c r="Q172" s="91">
        <f>SUM(Q173:Q193)</f>
        <v>365.45050000000009</v>
      </c>
      <c r="R172" s="91">
        <f>SUMPRODUCT(Q173:Q193,R173:R193)/Q172</f>
        <v>23.166234141149072</v>
      </c>
      <c r="S172" s="91">
        <f>SUM(S173:S193)</f>
        <v>365.45050000000009</v>
      </c>
      <c r="T172" s="91">
        <f>SUMPRODUCT(S173:S193,T173:T193)/S172</f>
        <v>24.425115343938504</v>
      </c>
      <c r="U172" s="92">
        <f>T172/R172</f>
        <v>1.0543412103632908</v>
      </c>
      <c r="V172" s="172">
        <f t="shared" si="86"/>
        <v>1.0559767980234038</v>
      </c>
    </row>
    <row r="173" spans="1:22" hidden="1">
      <c r="A173" s="97" t="s">
        <v>107</v>
      </c>
      <c r="B173" s="100">
        <f>112.85/2</f>
        <v>56.424999999999997</v>
      </c>
      <c r="C173" s="100">
        <v>64.41</v>
      </c>
      <c r="D173" s="100">
        <f>B173</f>
        <v>56.424999999999997</v>
      </c>
      <c r="E173" s="100">
        <v>68.03</v>
      </c>
      <c r="F173" s="101">
        <f>(E173*D173)/(C173*B173)</f>
        <v>1.0562024530352432</v>
      </c>
      <c r="G173" s="100">
        <f>39.548/2</f>
        <v>19.774000000000001</v>
      </c>
      <c r="H173" s="100">
        <v>25.26</v>
      </c>
      <c r="I173" s="100">
        <f>G173</f>
        <v>19.774000000000001</v>
      </c>
      <c r="J173" s="100">
        <v>27.05</v>
      </c>
      <c r="K173" s="101">
        <f>(J173*I173)/(H173*G173)</f>
        <v>1.0708630245447346</v>
      </c>
      <c r="L173" s="100">
        <f>140.24/2</f>
        <v>70.12</v>
      </c>
      <c r="M173" s="100">
        <v>42.43</v>
      </c>
      <c r="N173" s="100">
        <f>L173</f>
        <v>70.12</v>
      </c>
      <c r="O173" s="100">
        <v>44.51</v>
      </c>
      <c r="P173" s="101">
        <f>(O173*N173)/(M173*L173)</f>
        <v>1.049021918453924</v>
      </c>
      <c r="Q173" s="118">
        <f>37.5/2</f>
        <v>18.75</v>
      </c>
      <c r="R173" s="118">
        <v>23.59</v>
      </c>
      <c r="S173" s="118">
        <f>Q173</f>
        <v>18.75</v>
      </c>
      <c r="T173" s="118">
        <v>25.26</v>
      </c>
      <c r="U173" s="101">
        <f>(T173*S173)/(R173*Q173)</f>
        <v>1.0707927087749047</v>
      </c>
      <c r="V173" s="172">
        <f t="shared" si="86"/>
        <v>1.0533508049419691</v>
      </c>
    </row>
    <row r="174" spans="1:22" hidden="1">
      <c r="A174" s="109" t="s">
        <v>58</v>
      </c>
      <c r="B174" s="100">
        <f>43.84/2</f>
        <v>21.92</v>
      </c>
      <c r="C174" s="100">
        <v>109.08</v>
      </c>
      <c r="D174" s="100">
        <f>B174</f>
        <v>21.92</v>
      </c>
      <c r="E174" s="100">
        <v>128.27000000000001</v>
      </c>
      <c r="F174" s="101">
        <f>(E174*D174)/(C174*B174)</f>
        <v>1.1759259259259258</v>
      </c>
      <c r="G174" s="116">
        <f>25.181/2</f>
        <v>12.5905</v>
      </c>
      <c r="H174" s="116">
        <v>38.93</v>
      </c>
      <c r="I174" s="116">
        <f>G174</f>
        <v>12.5905</v>
      </c>
      <c r="J174" s="116">
        <v>41.69</v>
      </c>
      <c r="K174" s="101">
        <f t="shared" ref="K174:K186" si="107">(J174*I174)/(H174*G174)</f>
        <v>1.0708964808630874</v>
      </c>
      <c r="L174" s="100">
        <f>28.19/2</f>
        <v>14.095000000000001</v>
      </c>
      <c r="M174" s="100">
        <v>43.07</v>
      </c>
      <c r="N174" s="100">
        <f>L174</f>
        <v>14.095000000000001</v>
      </c>
      <c r="O174" s="100">
        <v>46.2</v>
      </c>
      <c r="P174" s="101">
        <f>(O174*N174)/(M174*L174)</f>
        <v>1.0726723937775715</v>
      </c>
      <c r="Q174" s="118">
        <f>20.54/2</f>
        <v>10.27</v>
      </c>
      <c r="R174" s="118">
        <v>33.06</v>
      </c>
      <c r="S174" s="118">
        <f>Q174</f>
        <v>10.27</v>
      </c>
      <c r="T174" s="118">
        <v>35.409999999999997</v>
      </c>
      <c r="U174" s="101">
        <f t="shared" ref="U174" si="108">T174/R174</f>
        <v>1.0710828796128249</v>
      </c>
      <c r="V174" s="172">
        <f t="shared" si="86"/>
        <v>1.1466973381531385</v>
      </c>
    </row>
    <row r="175" spans="1:22" hidden="1">
      <c r="A175" s="97" t="s">
        <v>108</v>
      </c>
      <c r="B175" s="100">
        <f>168.1/2</f>
        <v>84.05</v>
      </c>
      <c r="C175" s="100">
        <v>62.63</v>
      </c>
      <c r="D175" s="100">
        <f>B175</f>
        <v>84.05</v>
      </c>
      <c r="E175" s="100">
        <v>62.63</v>
      </c>
      <c r="F175" s="101">
        <f t="shared" ref="F175:F186" si="109">(E175*D175)/(C175*B175)</f>
        <v>1</v>
      </c>
      <c r="G175" s="100">
        <f>132.62/2</f>
        <v>66.31</v>
      </c>
      <c r="H175" s="100">
        <v>30.72</v>
      </c>
      <c r="I175" s="100">
        <f t="shared" ref="I175:I186" si="110">G175</f>
        <v>66.31</v>
      </c>
      <c r="J175" s="100">
        <v>32.9</v>
      </c>
      <c r="K175" s="101">
        <f t="shared" si="107"/>
        <v>1.0709635416666667</v>
      </c>
      <c r="L175" s="100">
        <f>198.7/2</f>
        <v>99.35</v>
      </c>
      <c r="M175" s="100">
        <v>28.36</v>
      </c>
      <c r="N175" s="100">
        <f t="shared" ref="N175:N184" si="111">L175</f>
        <v>99.35</v>
      </c>
      <c r="O175" s="100">
        <v>28.36</v>
      </c>
      <c r="P175" s="101">
        <f t="shared" ref="P175:P184" si="112">(O175*N175)/(M175*L175)</f>
        <v>1</v>
      </c>
      <c r="Q175" s="118">
        <f>132.62/2</f>
        <v>66.31</v>
      </c>
      <c r="R175" s="118">
        <v>27.59</v>
      </c>
      <c r="S175" s="118">
        <f t="shared" ref="S175:S184" si="113">Q175</f>
        <v>66.31</v>
      </c>
      <c r="T175" s="118">
        <v>28.36</v>
      </c>
      <c r="U175" s="101">
        <f t="shared" ref="U175:U184" si="114">(T175*S175)/(R175*Q175)</f>
        <v>1.0279086625588982</v>
      </c>
      <c r="V175" s="172">
        <f t="shared" si="86"/>
        <v>1</v>
      </c>
    </row>
    <row r="176" spans="1:22" hidden="1">
      <c r="A176" s="97" t="s">
        <v>109</v>
      </c>
      <c r="B176" s="100">
        <f>66.883/2</f>
        <v>33.441499999999998</v>
      </c>
      <c r="C176" s="100">
        <v>54.83</v>
      </c>
      <c r="D176" s="100">
        <f t="shared" ref="D176:D186" si="115">B176</f>
        <v>33.441499999999998</v>
      </c>
      <c r="E176" s="100">
        <v>58.63</v>
      </c>
      <c r="F176" s="101">
        <f t="shared" si="109"/>
        <v>1.0693051249316068</v>
      </c>
      <c r="G176" s="100">
        <f>55.925/2</f>
        <v>27.962499999999999</v>
      </c>
      <c r="H176" s="100">
        <v>21</v>
      </c>
      <c r="I176" s="100">
        <f t="shared" si="110"/>
        <v>27.962499999999999</v>
      </c>
      <c r="J176" s="100">
        <v>22.5</v>
      </c>
      <c r="K176" s="101">
        <f t="shared" si="107"/>
        <v>1.0714285714285714</v>
      </c>
      <c r="L176" s="100">
        <f>56.428/2</f>
        <v>28.213999999999999</v>
      </c>
      <c r="M176" s="100">
        <v>37.86</v>
      </c>
      <c r="N176" s="100">
        <f t="shared" si="111"/>
        <v>28.213999999999999</v>
      </c>
      <c r="O176" s="100">
        <v>40.54</v>
      </c>
      <c r="P176" s="101">
        <f t="shared" si="112"/>
        <v>1.0707871104067619</v>
      </c>
      <c r="Q176" s="118">
        <f>54.845/2</f>
        <v>27.422499999999999</v>
      </c>
      <c r="R176" s="118">
        <v>16.3</v>
      </c>
      <c r="S176" s="118">
        <f t="shared" si="113"/>
        <v>27.422499999999999</v>
      </c>
      <c r="T176" s="118">
        <v>17.46</v>
      </c>
      <c r="U176" s="101">
        <f t="shared" si="114"/>
        <v>1.0711656441717792</v>
      </c>
      <c r="V176" s="172">
        <f t="shared" si="86"/>
        <v>1.0699104542021793</v>
      </c>
    </row>
    <row r="177" spans="1:22" hidden="1">
      <c r="A177" s="97" t="s">
        <v>109</v>
      </c>
      <c r="B177" s="100">
        <f>53.1/2</f>
        <v>26.55</v>
      </c>
      <c r="C177" s="100">
        <v>39.86</v>
      </c>
      <c r="D177" s="100">
        <f t="shared" si="115"/>
        <v>26.55</v>
      </c>
      <c r="E177" s="100">
        <v>42.67</v>
      </c>
      <c r="F177" s="101">
        <f t="shared" si="109"/>
        <v>1.0704967385850477</v>
      </c>
      <c r="G177" s="100">
        <f>44.496/2</f>
        <v>22.248000000000001</v>
      </c>
      <c r="H177" s="100">
        <v>21</v>
      </c>
      <c r="I177" s="100">
        <f t="shared" si="110"/>
        <v>22.248000000000001</v>
      </c>
      <c r="J177" s="100">
        <v>22.5</v>
      </c>
      <c r="K177" s="101">
        <f t="shared" si="107"/>
        <v>1.0714285714285714</v>
      </c>
      <c r="L177" s="100">
        <f>50.322/2</f>
        <v>25.161000000000001</v>
      </c>
      <c r="M177" s="100">
        <v>46.74</v>
      </c>
      <c r="N177" s="100">
        <f t="shared" si="111"/>
        <v>25.161000000000001</v>
      </c>
      <c r="O177" s="100">
        <v>50.04</v>
      </c>
      <c r="P177" s="101">
        <f t="shared" si="112"/>
        <v>1.0706033376123234</v>
      </c>
      <c r="Q177" s="118">
        <f>43.52/2</f>
        <v>21.76</v>
      </c>
      <c r="R177" s="118">
        <v>20.7</v>
      </c>
      <c r="S177" s="118">
        <f t="shared" si="113"/>
        <v>21.76</v>
      </c>
      <c r="T177" s="118">
        <v>22.17</v>
      </c>
      <c r="U177" s="101">
        <f t="shared" si="114"/>
        <v>1.0710144927536231</v>
      </c>
      <c r="V177" s="172">
        <f t="shared" si="86"/>
        <v>1.0705542725173212</v>
      </c>
    </row>
    <row r="178" spans="1:22" hidden="1">
      <c r="A178" s="97" t="s">
        <v>109</v>
      </c>
      <c r="B178" s="100">
        <f>37.65/2</f>
        <v>18.824999999999999</v>
      </c>
      <c r="C178" s="100">
        <v>78.2</v>
      </c>
      <c r="D178" s="100">
        <f t="shared" si="115"/>
        <v>18.824999999999999</v>
      </c>
      <c r="E178" s="100">
        <v>83.74</v>
      </c>
      <c r="F178" s="101">
        <f t="shared" si="109"/>
        <v>1.0708439897698208</v>
      </c>
      <c r="G178" s="100">
        <f>30.238/2</f>
        <v>15.119</v>
      </c>
      <c r="H178" s="100">
        <v>30.72</v>
      </c>
      <c r="I178" s="100">
        <f t="shared" si="110"/>
        <v>15.119</v>
      </c>
      <c r="J178" s="100">
        <v>32.9</v>
      </c>
      <c r="K178" s="101">
        <f t="shared" si="107"/>
        <v>1.0709635416666667</v>
      </c>
      <c r="L178" s="100">
        <f>28.742/2</f>
        <v>14.371</v>
      </c>
      <c r="M178" s="100">
        <v>36.36</v>
      </c>
      <c r="N178" s="100">
        <f t="shared" si="111"/>
        <v>14.371</v>
      </c>
      <c r="O178" s="100">
        <v>38.93</v>
      </c>
      <c r="P178" s="101">
        <f t="shared" si="112"/>
        <v>1.0706820682068205</v>
      </c>
      <c r="Q178" s="118">
        <f>24.884/2</f>
        <v>12.442</v>
      </c>
      <c r="R178" s="118">
        <v>28.64</v>
      </c>
      <c r="S178" s="118">
        <f t="shared" si="113"/>
        <v>12.442</v>
      </c>
      <c r="T178" s="118">
        <v>30.67</v>
      </c>
      <c r="U178" s="101">
        <f t="shared" si="114"/>
        <v>1.0708798882681565</v>
      </c>
      <c r="V178" s="172">
        <f t="shared" si="86"/>
        <v>1.070792597765363</v>
      </c>
    </row>
    <row r="179" spans="1:22" hidden="1">
      <c r="A179" s="97" t="s">
        <v>109</v>
      </c>
      <c r="B179" s="100">
        <f>3.344/2</f>
        <v>1.6719999999999999</v>
      </c>
      <c r="C179" s="100">
        <v>187.17</v>
      </c>
      <c r="D179" s="100">
        <f t="shared" si="115"/>
        <v>1.6719999999999999</v>
      </c>
      <c r="E179" s="100">
        <v>200.41</v>
      </c>
      <c r="F179" s="101">
        <f t="shared" si="109"/>
        <v>1.0707378319175083</v>
      </c>
      <c r="G179" s="100">
        <f>3.144/2</f>
        <v>1.5720000000000001</v>
      </c>
      <c r="H179" s="100">
        <v>30.72</v>
      </c>
      <c r="I179" s="100">
        <f t="shared" si="110"/>
        <v>1.5720000000000001</v>
      </c>
      <c r="J179" s="100">
        <v>32.9</v>
      </c>
      <c r="K179" s="101">
        <f t="shared" si="107"/>
        <v>1.0709635416666667</v>
      </c>
      <c r="L179" s="100">
        <f>3.284/2</f>
        <v>1.6419999999999999</v>
      </c>
      <c r="M179" s="100">
        <v>163.77000000000001</v>
      </c>
      <c r="N179" s="100">
        <f t="shared" si="111"/>
        <v>1.6419999999999999</v>
      </c>
      <c r="O179" s="100">
        <v>175.34</v>
      </c>
      <c r="P179" s="101">
        <f t="shared" si="112"/>
        <v>1.0706478598033826</v>
      </c>
      <c r="Q179" s="118">
        <f>3.144/2</f>
        <v>1.5720000000000001</v>
      </c>
      <c r="R179" s="118">
        <v>28.64</v>
      </c>
      <c r="S179" s="118">
        <f t="shared" si="113"/>
        <v>1.5720000000000001</v>
      </c>
      <c r="T179" s="118">
        <v>30.67</v>
      </c>
      <c r="U179" s="101">
        <f t="shared" si="114"/>
        <v>1.0708798882681565</v>
      </c>
      <c r="V179" s="172">
        <f t="shared" si="86"/>
        <v>1.0706958454436657</v>
      </c>
    </row>
    <row r="180" spans="1:22" hidden="1">
      <c r="A180" s="97" t="s">
        <v>110</v>
      </c>
      <c r="B180" s="100">
        <f>19.1/2</f>
        <v>9.5500000000000007</v>
      </c>
      <c r="C180" s="100">
        <v>68.34</v>
      </c>
      <c r="D180" s="100">
        <f t="shared" si="115"/>
        <v>9.5500000000000007</v>
      </c>
      <c r="E180" s="100">
        <v>69.94</v>
      </c>
      <c r="F180" s="101">
        <f t="shared" si="109"/>
        <v>1.0234123500146326</v>
      </c>
      <c r="G180" s="100">
        <f>17.6/2</f>
        <v>8.8000000000000007</v>
      </c>
      <c r="H180" s="100">
        <v>30.04</v>
      </c>
      <c r="I180" s="100">
        <f t="shared" si="110"/>
        <v>8.8000000000000007</v>
      </c>
      <c r="J180" s="100">
        <v>32.18</v>
      </c>
      <c r="K180" s="101">
        <f t="shared" si="107"/>
        <v>1.0712383488681758</v>
      </c>
      <c r="L180" s="100">
        <f>14.369/2</f>
        <v>7.1844999999999999</v>
      </c>
      <c r="M180" s="100">
        <v>92.01</v>
      </c>
      <c r="N180" s="100">
        <f t="shared" si="111"/>
        <v>7.1844999999999999</v>
      </c>
      <c r="O180" s="100">
        <v>94.3</v>
      </c>
      <c r="P180" s="101">
        <f t="shared" si="112"/>
        <v>1.0248885990653189</v>
      </c>
      <c r="Q180" s="118">
        <f>13.645/2</f>
        <v>6.8224999999999998</v>
      </c>
      <c r="R180" s="118">
        <v>28.6</v>
      </c>
      <c r="S180" s="118">
        <f t="shared" si="113"/>
        <v>6.8224999999999998</v>
      </c>
      <c r="T180" s="118">
        <v>30.63</v>
      </c>
      <c r="U180" s="101">
        <f t="shared" si="114"/>
        <v>1.0709790209790209</v>
      </c>
      <c r="V180" s="172">
        <f t="shared" si="86"/>
        <v>1.0242594324914249</v>
      </c>
    </row>
    <row r="181" spans="1:22" hidden="1">
      <c r="A181" s="97" t="s">
        <v>111</v>
      </c>
      <c r="B181" s="100">
        <f>108.212/2</f>
        <v>54.106000000000002</v>
      </c>
      <c r="C181" s="100">
        <v>75.290000000000006</v>
      </c>
      <c r="D181" s="100">
        <f t="shared" si="115"/>
        <v>54.106000000000002</v>
      </c>
      <c r="E181" s="100">
        <v>75.290000000000006</v>
      </c>
      <c r="F181" s="101">
        <f t="shared" si="109"/>
        <v>1</v>
      </c>
      <c r="G181" s="100">
        <f>88.68/2</f>
        <v>44.34</v>
      </c>
      <c r="H181" s="100">
        <v>25.46</v>
      </c>
      <c r="I181" s="100">
        <f t="shared" si="110"/>
        <v>44.34</v>
      </c>
      <c r="J181" s="100">
        <v>27.27</v>
      </c>
      <c r="K181" s="101">
        <f t="shared" si="107"/>
        <v>1.0710919088766693</v>
      </c>
      <c r="L181" s="100">
        <f>106.845/2</f>
        <v>53.422499999999999</v>
      </c>
      <c r="M181" s="100">
        <v>65.900000000000006</v>
      </c>
      <c r="N181" s="100">
        <f t="shared" si="111"/>
        <v>53.422499999999999</v>
      </c>
      <c r="O181" s="100">
        <v>65.900000000000006</v>
      </c>
      <c r="P181" s="101">
        <f t="shared" si="112"/>
        <v>1</v>
      </c>
      <c r="Q181" s="118">
        <f>88.671/2</f>
        <v>44.335500000000003</v>
      </c>
      <c r="R181" s="118">
        <v>24.24</v>
      </c>
      <c r="S181" s="118">
        <f t="shared" si="113"/>
        <v>44.335500000000003</v>
      </c>
      <c r="T181" s="118">
        <v>25.96</v>
      </c>
      <c r="U181" s="101">
        <f t="shared" si="114"/>
        <v>1.0709570957095711</v>
      </c>
      <c r="V181" s="172">
        <f t="shared" si="86"/>
        <v>1</v>
      </c>
    </row>
    <row r="182" spans="1:22" hidden="1">
      <c r="A182" s="97" t="s">
        <v>111</v>
      </c>
      <c r="B182" s="100">
        <f>9.587/2</f>
        <v>4.7934999999999999</v>
      </c>
      <c r="C182" s="100">
        <v>59.48</v>
      </c>
      <c r="D182" s="100">
        <f t="shared" si="115"/>
        <v>4.7934999999999999</v>
      </c>
      <c r="E182" s="100">
        <v>63.77</v>
      </c>
      <c r="F182" s="101">
        <f t="shared" si="109"/>
        <v>1.0721250840618697</v>
      </c>
      <c r="G182" s="100">
        <f>9.027/2</f>
        <v>4.5134999999999996</v>
      </c>
      <c r="H182" s="100">
        <v>24</v>
      </c>
      <c r="I182" s="100">
        <f t="shared" si="110"/>
        <v>4.5134999999999996</v>
      </c>
      <c r="J182" s="100">
        <v>26.04</v>
      </c>
      <c r="K182" s="101">
        <f t="shared" si="107"/>
        <v>1.0850000000000002</v>
      </c>
      <c r="L182" s="100">
        <f>14.824/2</f>
        <v>7.4119999999999999</v>
      </c>
      <c r="M182" s="100">
        <v>44.67</v>
      </c>
      <c r="N182" s="100">
        <f t="shared" si="111"/>
        <v>7.4119999999999999</v>
      </c>
      <c r="O182" s="100">
        <v>48.32</v>
      </c>
      <c r="P182" s="101">
        <f t="shared" si="112"/>
        <v>1.0817103201253637</v>
      </c>
      <c r="Q182" s="118">
        <f>14.264/2</f>
        <v>7.1319999999999997</v>
      </c>
      <c r="R182" s="118">
        <v>21.47</v>
      </c>
      <c r="S182" s="118">
        <f t="shared" si="113"/>
        <v>7.1319999999999997</v>
      </c>
      <c r="T182" s="118">
        <v>22.99</v>
      </c>
      <c r="U182" s="101">
        <f t="shared" si="114"/>
        <v>1.0707964601769913</v>
      </c>
      <c r="V182" s="172">
        <f t="shared" si="86"/>
        <v>1.0762361977916466</v>
      </c>
    </row>
    <row r="183" spans="1:22" hidden="1">
      <c r="A183" s="97" t="s">
        <v>112</v>
      </c>
      <c r="B183" s="100">
        <f>86.547/2</f>
        <v>43.273499999999999</v>
      </c>
      <c r="C183" s="100">
        <v>27.18</v>
      </c>
      <c r="D183" s="100">
        <f t="shared" si="115"/>
        <v>43.273499999999999</v>
      </c>
      <c r="E183" s="100">
        <v>28.8</v>
      </c>
      <c r="F183" s="101">
        <f t="shared" si="109"/>
        <v>1.0596026490066226</v>
      </c>
      <c r="G183" s="100">
        <f>1.896/2</f>
        <v>0.94799999999999995</v>
      </c>
      <c r="H183" s="100">
        <v>20.34</v>
      </c>
      <c r="I183" s="100">
        <f t="shared" si="110"/>
        <v>0.94799999999999995</v>
      </c>
      <c r="J183" s="100">
        <v>21.78</v>
      </c>
      <c r="K183" s="101">
        <f t="shared" si="107"/>
        <v>1.0707964601769913</v>
      </c>
      <c r="L183" s="100">
        <f>84.508/2</f>
        <v>42.253999999999998</v>
      </c>
      <c r="M183" s="100">
        <v>21.94</v>
      </c>
      <c r="N183" s="100">
        <f t="shared" si="111"/>
        <v>42.253999999999998</v>
      </c>
      <c r="O183" s="100">
        <v>22.3</v>
      </c>
      <c r="P183" s="101">
        <f t="shared" si="112"/>
        <v>1.0164083865086599</v>
      </c>
      <c r="Q183" s="118">
        <f>1.408/2</f>
        <v>0.70399999999999996</v>
      </c>
      <c r="R183" s="118">
        <v>18.190000000000001</v>
      </c>
      <c r="S183" s="118">
        <f t="shared" si="113"/>
        <v>0.70399999999999996</v>
      </c>
      <c r="T183" s="118">
        <v>19.48</v>
      </c>
      <c r="U183" s="101">
        <f t="shared" si="114"/>
        <v>1.0709180868609127</v>
      </c>
      <c r="V183" s="172">
        <f t="shared" si="86"/>
        <v>1.0403094462540716</v>
      </c>
    </row>
    <row r="184" spans="1:22" hidden="1">
      <c r="A184" s="97" t="s">
        <v>113</v>
      </c>
      <c r="B184" s="100">
        <f>275.76/2</f>
        <v>137.88</v>
      </c>
      <c r="C184" s="100">
        <v>25.48</v>
      </c>
      <c r="D184" s="100">
        <f t="shared" si="115"/>
        <v>137.88</v>
      </c>
      <c r="E184" s="100">
        <v>27.09</v>
      </c>
      <c r="F184" s="101">
        <f t="shared" si="109"/>
        <v>1.0631868131868132</v>
      </c>
      <c r="G184" s="100">
        <f>196.8/2</f>
        <v>98.4</v>
      </c>
      <c r="H184" s="100">
        <v>24</v>
      </c>
      <c r="I184" s="100">
        <f t="shared" si="110"/>
        <v>98.4</v>
      </c>
      <c r="J184" s="100">
        <v>26.04</v>
      </c>
      <c r="K184" s="101">
        <f t="shared" si="107"/>
        <v>1.085</v>
      </c>
      <c r="L184" s="100">
        <f>224.247/2</f>
        <v>112.12350000000001</v>
      </c>
      <c r="M184" s="100">
        <v>19.39</v>
      </c>
      <c r="N184" s="100">
        <f t="shared" si="111"/>
        <v>112.12350000000001</v>
      </c>
      <c r="O184" s="100">
        <v>20.12</v>
      </c>
      <c r="P184" s="101">
        <f t="shared" si="112"/>
        <v>1.037648272305312</v>
      </c>
      <c r="Q184" s="118">
        <f>217.103/2</f>
        <v>108.5515</v>
      </c>
      <c r="R184" s="118">
        <v>19.39</v>
      </c>
      <c r="S184" s="118">
        <f t="shared" si="113"/>
        <v>108.5515</v>
      </c>
      <c r="T184" s="118">
        <v>20.12</v>
      </c>
      <c r="U184" s="101">
        <f t="shared" si="114"/>
        <v>1.037648272305312</v>
      </c>
      <c r="V184" s="172">
        <f t="shared" si="86"/>
        <v>1.0521506574548696</v>
      </c>
    </row>
    <row r="185" spans="1:22" hidden="1">
      <c r="A185" s="97" t="s">
        <v>114</v>
      </c>
      <c r="B185" s="100">
        <f>85.894/2</f>
        <v>42.947000000000003</v>
      </c>
      <c r="C185" s="100">
        <v>57.83</v>
      </c>
      <c r="D185" s="100">
        <f t="shared" si="115"/>
        <v>42.947000000000003</v>
      </c>
      <c r="E185" s="100">
        <v>61.93</v>
      </c>
      <c r="F185" s="101">
        <f t="shared" si="109"/>
        <v>1.0708974580667474</v>
      </c>
      <c r="G185" s="100">
        <f>78.809/2</f>
        <v>39.404499999999999</v>
      </c>
      <c r="H185" s="100">
        <v>35.4</v>
      </c>
      <c r="I185" s="100">
        <f t="shared" si="110"/>
        <v>39.404499999999999</v>
      </c>
      <c r="J185" s="100">
        <v>37.909999999999997</v>
      </c>
      <c r="K185" s="101">
        <f t="shared" si="107"/>
        <v>1.0709039548022599</v>
      </c>
      <c r="L185" s="100"/>
      <c r="M185" s="100"/>
      <c r="N185" s="100"/>
      <c r="O185" s="100"/>
      <c r="P185" s="101"/>
      <c r="Q185" s="118"/>
      <c r="R185" s="118"/>
      <c r="S185" s="118"/>
      <c r="T185" s="118"/>
      <c r="U185" s="101"/>
      <c r="V185" s="172">
        <f t="shared" si="86"/>
        <v>1.0708974580667474</v>
      </c>
    </row>
    <row r="186" spans="1:22" hidden="1">
      <c r="A186" s="97" t="s">
        <v>114</v>
      </c>
      <c r="B186" s="100">
        <f>8.612/2</f>
        <v>4.306</v>
      </c>
      <c r="C186" s="100">
        <v>65.73</v>
      </c>
      <c r="D186" s="100">
        <f t="shared" si="115"/>
        <v>4.306</v>
      </c>
      <c r="E186" s="100">
        <v>70.41</v>
      </c>
      <c r="F186" s="101">
        <f t="shared" si="109"/>
        <v>1.0712003651300774</v>
      </c>
      <c r="G186" s="100">
        <f>8.572/2</f>
        <v>4.2859999999999996</v>
      </c>
      <c r="H186" s="100">
        <v>35.4</v>
      </c>
      <c r="I186" s="100">
        <f t="shared" si="110"/>
        <v>4.2859999999999996</v>
      </c>
      <c r="J186" s="100">
        <v>37.909999999999997</v>
      </c>
      <c r="K186" s="101">
        <f t="shared" si="107"/>
        <v>1.0709039548022599</v>
      </c>
      <c r="L186" s="100"/>
      <c r="M186" s="100"/>
      <c r="N186" s="100"/>
      <c r="O186" s="100"/>
      <c r="P186" s="101"/>
      <c r="Q186" s="118"/>
      <c r="R186" s="118"/>
      <c r="S186" s="118"/>
      <c r="T186" s="118"/>
      <c r="U186" s="101"/>
      <c r="V186" s="172">
        <f t="shared" si="86"/>
        <v>1.0712003651300774</v>
      </c>
    </row>
    <row r="187" spans="1:22" hidden="1">
      <c r="A187" s="97" t="s">
        <v>118</v>
      </c>
      <c r="B187" s="100">
        <f>1.22/2</f>
        <v>0.61</v>
      </c>
      <c r="C187" s="100">
        <v>40.299999999999997</v>
      </c>
      <c r="D187" s="100">
        <f>B187</f>
        <v>0.61</v>
      </c>
      <c r="E187" s="100">
        <v>43.11</v>
      </c>
      <c r="F187" s="101">
        <f>(E187*D187)/(C187*B187)</f>
        <v>1.069727047146402</v>
      </c>
      <c r="G187" s="100"/>
      <c r="H187" s="100"/>
      <c r="I187" s="100"/>
      <c r="J187" s="100"/>
      <c r="K187" s="101"/>
      <c r="L187" s="100"/>
      <c r="M187" s="100"/>
      <c r="N187" s="100"/>
      <c r="O187" s="100"/>
      <c r="P187" s="101"/>
      <c r="Q187" s="118"/>
      <c r="R187" s="118"/>
      <c r="S187" s="118"/>
      <c r="T187" s="118"/>
      <c r="U187" s="101"/>
      <c r="V187" s="172">
        <f t="shared" si="86"/>
        <v>1.069727047146402</v>
      </c>
    </row>
    <row r="188" spans="1:22" hidden="1">
      <c r="A188" s="97" t="s">
        <v>119</v>
      </c>
      <c r="B188" s="100">
        <f>2.46/2</f>
        <v>1.23</v>
      </c>
      <c r="C188" s="100">
        <v>40.299999999999997</v>
      </c>
      <c r="D188" s="100">
        <f>B188</f>
        <v>1.23</v>
      </c>
      <c r="E188" s="100">
        <v>43.11</v>
      </c>
      <c r="F188" s="101">
        <f t="shared" ref="F188:F191" si="116">(E188*D188)/(C188*B188)</f>
        <v>1.0697270471464022</v>
      </c>
      <c r="G188" s="100">
        <f>1.11/2</f>
        <v>0.55500000000000005</v>
      </c>
      <c r="H188" s="100">
        <v>26.03</v>
      </c>
      <c r="I188" s="100">
        <f t="shared" ref="I188:I191" si="117">G188</f>
        <v>0.55500000000000005</v>
      </c>
      <c r="J188" s="100">
        <v>27.88</v>
      </c>
      <c r="K188" s="101">
        <f t="shared" ref="K188:K193" si="118">(J188*I188)/(H188*G188)</f>
        <v>1.0710718401844026</v>
      </c>
      <c r="L188" s="100"/>
      <c r="M188" s="100"/>
      <c r="N188" s="100"/>
      <c r="O188" s="100"/>
      <c r="P188" s="101"/>
      <c r="Q188" s="118"/>
      <c r="R188" s="118"/>
      <c r="S188" s="118"/>
      <c r="T188" s="118"/>
      <c r="U188" s="101"/>
      <c r="V188" s="172">
        <f t="shared" si="86"/>
        <v>1.069727047146402</v>
      </c>
    </row>
    <row r="189" spans="1:22" hidden="1">
      <c r="A189" s="97" t="s">
        <v>120</v>
      </c>
      <c r="B189" s="100">
        <f>50.39/2</f>
        <v>25.195</v>
      </c>
      <c r="C189" s="100">
        <v>69.78</v>
      </c>
      <c r="D189" s="100">
        <f t="shared" ref="D189:D191" si="119">B189</f>
        <v>25.195</v>
      </c>
      <c r="E189" s="100">
        <v>74.45</v>
      </c>
      <c r="F189" s="101">
        <f t="shared" si="116"/>
        <v>1.0669246202350244</v>
      </c>
      <c r="G189" s="100">
        <f>7.71/2</f>
        <v>3.855</v>
      </c>
      <c r="H189" s="100">
        <v>26.03</v>
      </c>
      <c r="I189" s="100">
        <f t="shared" si="117"/>
        <v>3.855</v>
      </c>
      <c r="J189" s="100">
        <v>27.88</v>
      </c>
      <c r="K189" s="101">
        <f t="shared" si="118"/>
        <v>1.0710718401844024</v>
      </c>
      <c r="L189" s="100">
        <f>26.47/2</f>
        <v>13.234999999999999</v>
      </c>
      <c r="M189" s="100">
        <v>65.22</v>
      </c>
      <c r="N189" s="100">
        <f t="shared" ref="N189" si="120">L189</f>
        <v>13.234999999999999</v>
      </c>
      <c r="O189" s="100">
        <v>70.39</v>
      </c>
      <c r="P189" s="101">
        <f t="shared" ref="P189:P192" si="121">(O189*N189)/(M189*L189)</f>
        <v>1.0792701625268322</v>
      </c>
      <c r="Q189" s="118">
        <f>7.71/2</f>
        <v>3.855</v>
      </c>
      <c r="R189" s="118">
        <v>25.48</v>
      </c>
      <c r="S189" s="118">
        <f t="shared" ref="S189" si="122">Q189</f>
        <v>3.855</v>
      </c>
      <c r="T189" s="118">
        <v>27.29</v>
      </c>
      <c r="U189" s="101">
        <f t="shared" ref="U189" si="123">T189/R189</f>
        <v>1.0710361067503924</v>
      </c>
      <c r="V189" s="172">
        <f t="shared" si="86"/>
        <v>1.072888888888889</v>
      </c>
    </row>
    <row r="190" spans="1:22" hidden="1">
      <c r="A190" s="97" t="s">
        <v>115</v>
      </c>
      <c r="B190" s="100">
        <f>21.081/2</f>
        <v>10.5405</v>
      </c>
      <c r="C190" s="100">
        <v>37.26</v>
      </c>
      <c r="D190" s="100">
        <f t="shared" si="119"/>
        <v>10.5405</v>
      </c>
      <c r="E190" s="100">
        <v>40.299999999999997</v>
      </c>
      <c r="F190" s="101">
        <f t="shared" si="116"/>
        <v>1.0815888352120235</v>
      </c>
      <c r="G190" s="100">
        <f>20.271/2</f>
        <v>10.1355</v>
      </c>
      <c r="H190" s="100">
        <v>23</v>
      </c>
      <c r="I190" s="100">
        <f t="shared" si="117"/>
        <v>10.1355</v>
      </c>
      <c r="J190" s="100">
        <v>24.96</v>
      </c>
      <c r="K190" s="101">
        <f t="shared" si="118"/>
        <v>1.0852173913043479</v>
      </c>
      <c r="L190" s="100">
        <f>22.13/2</f>
        <v>11.065</v>
      </c>
      <c r="M190" s="100">
        <v>61.79</v>
      </c>
      <c r="N190" s="100">
        <f>L190</f>
        <v>11.065</v>
      </c>
      <c r="O190" s="100">
        <v>66.930000000000007</v>
      </c>
      <c r="P190" s="101">
        <f t="shared" si="121"/>
        <v>1.0831849813885743</v>
      </c>
      <c r="Q190" s="118">
        <f>21.32/2</f>
        <v>10.66</v>
      </c>
      <c r="R190" s="118">
        <v>25.69</v>
      </c>
      <c r="S190" s="118">
        <f>Q190</f>
        <v>10.66</v>
      </c>
      <c r="T190" s="118">
        <v>28</v>
      </c>
      <c r="U190" s="101">
        <f t="shared" ref="U190:U193" si="124">(T190*S190)/(R190*Q190)</f>
        <v>1.0899182561307901</v>
      </c>
      <c r="V190" s="172">
        <f t="shared" si="86"/>
        <v>1.0825845532559315</v>
      </c>
    </row>
    <row r="191" spans="1:22" hidden="1">
      <c r="A191" s="97" t="s">
        <v>116</v>
      </c>
      <c r="B191" s="100">
        <f>15.972/2</f>
        <v>7.9859999999999998</v>
      </c>
      <c r="C191" s="100">
        <v>54.14</v>
      </c>
      <c r="D191" s="100">
        <f t="shared" si="119"/>
        <v>7.9859999999999998</v>
      </c>
      <c r="E191" s="100">
        <v>58.29</v>
      </c>
      <c r="F191" s="101">
        <f t="shared" si="116"/>
        <v>1.0766531215367565</v>
      </c>
      <c r="G191" s="100">
        <f>13.797/2</f>
        <v>6.8985000000000003</v>
      </c>
      <c r="H191" s="100">
        <v>23</v>
      </c>
      <c r="I191" s="100">
        <f t="shared" si="117"/>
        <v>6.8985000000000003</v>
      </c>
      <c r="J191" s="100">
        <v>24.96</v>
      </c>
      <c r="K191" s="101">
        <f t="shared" si="118"/>
        <v>1.0852173913043479</v>
      </c>
      <c r="L191" s="100">
        <f>13.438/2</f>
        <v>6.7190000000000003</v>
      </c>
      <c r="M191" s="100">
        <v>63.82</v>
      </c>
      <c r="N191" s="100">
        <f t="shared" ref="N191:N192" si="125">L191</f>
        <v>6.7190000000000003</v>
      </c>
      <c r="O191" s="100">
        <v>68.84</v>
      </c>
      <c r="P191" s="101">
        <f t="shared" si="121"/>
        <v>1.0786587276715764</v>
      </c>
      <c r="Q191" s="118">
        <f>12.436/2</f>
        <v>6.218</v>
      </c>
      <c r="R191" s="118">
        <v>25.69</v>
      </c>
      <c r="S191" s="118">
        <f t="shared" ref="S191:S193" si="126">Q191</f>
        <v>6.218</v>
      </c>
      <c r="T191" s="118">
        <v>28</v>
      </c>
      <c r="U191" s="101">
        <f t="shared" si="124"/>
        <v>1.0899182561307901</v>
      </c>
      <c r="V191" s="172">
        <f t="shared" si="86"/>
        <v>1.0777382163445235</v>
      </c>
    </row>
    <row r="192" spans="1:22" hidden="1">
      <c r="A192" s="97" t="s">
        <v>116</v>
      </c>
      <c r="B192" s="100">
        <f>23.972/2</f>
        <v>11.986000000000001</v>
      </c>
      <c r="C192" s="100">
        <v>75.59</v>
      </c>
      <c r="D192" s="100">
        <f>B192</f>
        <v>11.986000000000001</v>
      </c>
      <c r="E192" s="100">
        <v>81.150000000000006</v>
      </c>
      <c r="F192" s="101">
        <f>(E192*D192)/(C192*B192)</f>
        <v>1.0735547030030428</v>
      </c>
      <c r="G192" s="100">
        <f>19.86/2</f>
        <v>9.93</v>
      </c>
      <c r="H192" s="100">
        <v>30.72</v>
      </c>
      <c r="I192" s="100">
        <f>G192</f>
        <v>9.93</v>
      </c>
      <c r="J192" s="100">
        <v>33.33</v>
      </c>
      <c r="K192" s="101">
        <f t="shared" si="118"/>
        <v>1.0849609374999998</v>
      </c>
      <c r="L192" s="100">
        <f>21.068/2</f>
        <v>10.534000000000001</v>
      </c>
      <c r="M192" s="100">
        <v>73.180000000000007</v>
      </c>
      <c r="N192" s="100">
        <f t="shared" si="125"/>
        <v>10.534000000000001</v>
      </c>
      <c r="O192" s="100">
        <v>78.63</v>
      </c>
      <c r="P192" s="101">
        <f t="shared" si="121"/>
        <v>1.07447389997267</v>
      </c>
      <c r="Q192" s="118">
        <f>18.354/2</f>
        <v>9.1769999999999996</v>
      </c>
      <c r="R192" s="118">
        <v>29.99</v>
      </c>
      <c r="S192" s="118">
        <f t="shared" si="126"/>
        <v>9.1769999999999996</v>
      </c>
      <c r="T192" s="118">
        <v>32.700000000000003</v>
      </c>
      <c r="U192" s="101">
        <f t="shared" si="124"/>
        <v>1.0903634544848284</v>
      </c>
      <c r="V192" s="172">
        <f t="shared" si="86"/>
        <v>1.0740068562210123</v>
      </c>
    </row>
    <row r="193" spans="1:22" hidden="1">
      <c r="A193" s="97" t="s">
        <v>116</v>
      </c>
      <c r="B193" s="100">
        <f>21.407/2</f>
        <v>10.7035</v>
      </c>
      <c r="C193" s="100">
        <v>173.01</v>
      </c>
      <c r="D193" s="100">
        <f>B193</f>
        <v>10.7035</v>
      </c>
      <c r="E193" s="100">
        <v>191.67</v>
      </c>
      <c r="F193" s="101">
        <f>(E193*D193)/(C193*B193)</f>
        <v>1.107855037281082</v>
      </c>
      <c r="G193" s="116">
        <f>19.583/2</f>
        <v>9.7914999999999992</v>
      </c>
      <c r="H193" s="116">
        <v>23</v>
      </c>
      <c r="I193" s="100">
        <f>G193</f>
        <v>9.7914999999999992</v>
      </c>
      <c r="J193" s="119">
        <v>24.96</v>
      </c>
      <c r="K193" s="101">
        <f t="shared" si="118"/>
        <v>1.0852173913043479</v>
      </c>
      <c r="L193" s="100">
        <f>19.482/2</f>
        <v>9.7409999999999997</v>
      </c>
      <c r="M193" s="100">
        <v>144.81</v>
      </c>
      <c r="N193" s="100">
        <f>L193</f>
        <v>9.7409999999999997</v>
      </c>
      <c r="O193" s="100">
        <v>185.22</v>
      </c>
      <c r="P193" s="101">
        <f>(O193*N193)/(M193*L193)</f>
        <v>1.2790553138595402</v>
      </c>
      <c r="Q193" s="118">
        <f>18.937/2</f>
        <v>9.4685000000000006</v>
      </c>
      <c r="R193" s="118">
        <v>22.01</v>
      </c>
      <c r="S193" s="118">
        <f t="shared" si="126"/>
        <v>9.4685000000000006</v>
      </c>
      <c r="T193" s="118">
        <v>23</v>
      </c>
      <c r="U193" s="101">
        <f t="shared" si="124"/>
        <v>1.044979554747842</v>
      </c>
      <c r="V193" s="172">
        <f t="shared" si="86"/>
        <v>1.1858599207098357</v>
      </c>
    </row>
    <row r="194" spans="1:22" hidden="1">
      <c r="A194" s="97"/>
      <c r="B194" s="91"/>
      <c r="C194" s="91"/>
      <c r="D194" s="91"/>
      <c r="E194" s="91"/>
      <c r="F194" s="92"/>
      <c r="G194" s="99"/>
      <c r="H194" s="99"/>
      <c r="I194" s="91"/>
      <c r="J194" s="99"/>
      <c r="K194" s="92"/>
      <c r="L194" s="91"/>
      <c r="M194" s="91"/>
      <c r="N194" s="91"/>
      <c r="O194" s="91"/>
      <c r="P194" s="92"/>
      <c r="Q194" s="96"/>
      <c r="R194" s="96"/>
      <c r="S194" s="96"/>
      <c r="T194" s="96"/>
      <c r="U194" s="92"/>
      <c r="V194" s="172" t="e">
        <f t="shared" si="86"/>
        <v>#DIV/0!</v>
      </c>
    </row>
    <row r="195" spans="1:22" hidden="1">
      <c r="A195" s="97"/>
      <c r="B195" s="91"/>
      <c r="C195" s="91"/>
      <c r="D195" s="91"/>
      <c r="E195" s="91"/>
      <c r="F195" s="92"/>
      <c r="G195" s="99"/>
      <c r="H195" s="99"/>
      <c r="I195" s="91"/>
      <c r="J195" s="99"/>
      <c r="K195" s="92"/>
      <c r="L195" s="91"/>
      <c r="M195" s="91"/>
      <c r="N195" s="91"/>
      <c r="O195" s="91"/>
      <c r="P195" s="92"/>
      <c r="Q195" s="96"/>
      <c r="R195" s="96"/>
      <c r="S195" s="96"/>
      <c r="T195" s="96"/>
      <c r="U195" s="92"/>
      <c r="V195" s="172" t="e">
        <f t="shared" si="86"/>
        <v>#DIV/0!</v>
      </c>
    </row>
    <row r="196" spans="1:22" hidden="1">
      <c r="A196" s="97"/>
      <c r="B196" s="91"/>
      <c r="C196" s="91"/>
      <c r="D196" s="91"/>
      <c r="E196" s="91"/>
      <c r="F196" s="92"/>
      <c r="G196" s="99"/>
      <c r="H196" s="99"/>
      <c r="I196" s="91"/>
      <c r="J196" s="99"/>
      <c r="K196" s="92"/>
      <c r="L196" s="91"/>
      <c r="M196" s="91"/>
      <c r="N196" s="91"/>
      <c r="O196" s="91"/>
      <c r="P196" s="92"/>
      <c r="Q196" s="96"/>
      <c r="R196" s="96"/>
      <c r="S196" s="96"/>
      <c r="T196" s="96"/>
      <c r="U196" s="92"/>
      <c r="V196" s="172" t="e">
        <f t="shared" si="86"/>
        <v>#DIV/0!</v>
      </c>
    </row>
    <row r="197" spans="1:22" hidden="1">
      <c r="A197" s="97"/>
      <c r="B197" s="91"/>
      <c r="C197" s="91"/>
      <c r="D197" s="91"/>
      <c r="E197" s="91"/>
      <c r="F197" s="92"/>
      <c r="G197" s="99"/>
      <c r="H197" s="99"/>
      <c r="I197" s="91"/>
      <c r="J197" s="99"/>
      <c r="K197" s="92"/>
      <c r="L197" s="91"/>
      <c r="M197" s="91"/>
      <c r="N197" s="91"/>
      <c r="O197" s="91"/>
      <c r="P197" s="92"/>
      <c r="Q197" s="96"/>
      <c r="R197" s="96"/>
      <c r="S197" s="96"/>
      <c r="T197" s="96"/>
      <c r="U197" s="92"/>
      <c r="V197" s="172" t="e">
        <f t="shared" si="86"/>
        <v>#DIV/0!</v>
      </c>
    </row>
    <row r="198" spans="1:22" hidden="1">
      <c r="A198" s="97"/>
      <c r="B198" s="91"/>
      <c r="C198" s="91"/>
      <c r="D198" s="91"/>
      <c r="E198" s="91"/>
      <c r="F198" s="92"/>
      <c r="G198" s="99"/>
      <c r="H198" s="99"/>
      <c r="I198" s="91"/>
      <c r="J198" s="99"/>
      <c r="K198" s="92"/>
      <c r="L198" s="91"/>
      <c r="M198" s="91"/>
      <c r="N198" s="91"/>
      <c r="O198" s="91"/>
      <c r="P198" s="92"/>
      <c r="Q198" s="96"/>
      <c r="R198" s="96"/>
      <c r="S198" s="96"/>
      <c r="T198" s="96"/>
      <c r="U198" s="92"/>
      <c r="V198" s="172" t="e">
        <f t="shared" si="86"/>
        <v>#DIV/0!</v>
      </c>
    </row>
    <row r="199" spans="1:22" hidden="1">
      <c r="A199" s="97"/>
      <c r="B199" s="91"/>
      <c r="C199" s="91"/>
      <c r="D199" s="91"/>
      <c r="E199" s="91"/>
      <c r="F199" s="92"/>
      <c r="G199" s="99"/>
      <c r="H199" s="99"/>
      <c r="I199" s="91"/>
      <c r="J199" s="99"/>
      <c r="K199" s="92"/>
      <c r="L199" s="91"/>
      <c r="M199" s="91"/>
      <c r="N199" s="91"/>
      <c r="O199" s="91"/>
      <c r="P199" s="92"/>
      <c r="Q199" s="96"/>
      <c r="R199" s="96"/>
      <c r="S199" s="96"/>
      <c r="T199" s="96"/>
      <c r="U199" s="92"/>
      <c r="V199" s="172" t="e">
        <f t="shared" si="86"/>
        <v>#DIV/0!</v>
      </c>
    </row>
    <row r="200" spans="1:22" hidden="1">
      <c r="A200" s="97"/>
      <c r="B200" s="91"/>
      <c r="C200" s="91"/>
      <c r="D200" s="91"/>
      <c r="E200" s="91"/>
      <c r="F200" s="92"/>
      <c r="G200" s="99"/>
      <c r="H200" s="99"/>
      <c r="I200" s="91"/>
      <c r="J200" s="99"/>
      <c r="K200" s="92"/>
      <c r="L200" s="91"/>
      <c r="M200" s="91"/>
      <c r="N200" s="91"/>
      <c r="O200" s="91"/>
      <c r="P200" s="92"/>
      <c r="Q200" s="96"/>
      <c r="R200" s="96"/>
      <c r="S200" s="96"/>
      <c r="T200" s="96"/>
      <c r="U200" s="92"/>
      <c r="V200" s="172" t="e">
        <f t="shared" si="86"/>
        <v>#DIV/0!</v>
      </c>
    </row>
    <row r="201" spans="1:22" hidden="1">
      <c r="A201" s="97"/>
      <c r="B201" s="91"/>
      <c r="C201" s="91"/>
      <c r="D201" s="91"/>
      <c r="E201" s="91"/>
      <c r="F201" s="92"/>
      <c r="G201" s="91"/>
      <c r="H201" s="91"/>
      <c r="I201" s="91"/>
      <c r="J201" s="91"/>
      <c r="K201" s="92"/>
      <c r="L201" s="91"/>
      <c r="M201" s="91"/>
      <c r="N201" s="91"/>
      <c r="O201" s="91"/>
      <c r="P201" s="92"/>
      <c r="Q201" s="96"/>
      <c r="R201" s="96"/>
      <c r="S201" s="96"/>
      <c r="T201" s="96"/>
      <c r="U201" s="92"/>
      <c r="V201" s="172" t="e">
        <f t="shared" ref="V201:V264" si="127">(E201+O201)/(C201+M201)</f>
        <v>#DIV/0!</v>
      </c>
    </row>
    <row r="202" spans="1:22" hidden="1">
      <c r="A202" s="97"/>
      <c r="B202" s="91"/>
      <c r="C202" s="91"/>
      <c r="D202" s="91"/>
      <c r="E202" s="91"/>
      <c r="F202" s="92"/>
      <c r="G202" s="91"/>
      <c r="H202" s="91"/>
      <c r="I202" s="91"/>
      <c r="J202" s="91"/>
      <c r="K202" s="92"/>
      <c r="L202" s="91"/>
      <c r="M202" s="91"/>
      <c r="N202" s="91"/>
      <c r="O202" s="91"/>
      <c r="P202" s="92"/>
      <c r="Q202" s="96"/>
      <c r="R202" s="96"/>
      <c r="S202" s="96"/>
      <c r="T202" s="96"/>
      <c r="U202" s="92"/>
      <c r="V202" s="172" t="e">
        <f t="shared" si="127"/>
        <v>#DIV/0!</v>
      </c>
    </row>
    <row r="203" spans="1:22" hidden="1">
      <c r="A203" s="97"/>
      <c r="B203" s="91"/>
      <c r="C203" s="91"/>
      <c r="D203" s="91"/>
      <c r="E203" s="91"/>
      <c r="F203" s="92"/>
      <c r="G203" s="91"/>
      <c r="H203" s="91"/>
      <c r="I203" s="91"/>
      <c r="J203" s="91"/>
      <c r="K203" s="92"/>
      <c r="L203" s="91"/>
      <c r="M203" s="91"/>
      <c r="N203" s="91"/>
      <c r="O203" s="91"/>
      <c r="P203" s="92"/>
      <c r="Q203" s="96"/>
      <c r="R203" s="96"/>
      <c r="S203" s="96"/>
      <c r="T203" s="96"/>
      <c r="U203" s="92"/>
      <c r="V203" s="172" t="e">
        <f t="shared" si="127"/>
        <v>#DIV/0!</v>
      </c>
    </row>
    <row r="204" spans="1:22" hidden="1">
      <c r="A204" s="97"/>
      <c r="B204" s="91"/>
      <c r="C204" s="91"/>
      <c r="D204" s="91"/>
      <c r="E204" s="91"/>
      <c r="F204" s="92"/>
      <c r="G204" s="91"/>
      <c r="H204" s="91"/>
      <c r="I204" s="91"/>
      <c r="J204" s="91"/>
      <c r="K204" s="92"/>
      <c r="L204" s="91"/>
      <c r="M204" s="91"/>
      <c r="N204" s="91"/>
      <c r="O204" s="91"/>
      <c r="P204" s="92"/>
      <c r="Q204" s="96"/>
      <c r="R204" s="96"/>
      <c r="S204" s="96"/>
      <c r="T204" s="96"/>
      <c r="U204" s="92"/>
      <c r="V204" s="172" t="e">
        <f t="shared" si="127"/>
        <v>#DIV/0!</v>
      </c>
    </row>
    <row r="205" spans="1:22" hidden="1">
      <c r="A205" s="97"/>
      <c r="B205" s="91"/>
      <c r="C205" s="91"/>
      <c r="D205" s="91"/>
      <c r="E205" s="91"/>
      <c r="F205" s="92"/>
      <c r="G205" s="91"/>
      <c r="H205" s="91"/>
      <c r="I205" s="91"/>
      <c r="J205" s="91"/>
      <c r="K205" s="92"/>
      <c r="L205" s="91"/>
      <c r="M205" s="91"/>
      <c r="N205" s="91"/>
      <c r="O205" s="91"/>
      <c r="P205" s="92"/>
      <c r="Q205" s="96"/>
      <c r="R205" s="96"/>
      <c r="S205" s="96"/>
      <c r="T205" s="96"/>
      <c r="U205" s="92"/>
      <c r="V205" s="172" t="e">
        <f t="shared" si="127"/>
        <v>#DIV/0!</v>
      </c>
    </row>
    <row r="206" spans="1:22" hidden="1">
      <c r="A206" s="90"/>
      <c r="B206" s="91"/>
      <c r="C206" s="91"/>
      <c r="D206" s="91"/>
      <c r="E206" s="91"/>
      <c r="F206" s="92"/>
      <c r="G206" s="91"/>
      <c r="H206" s="91"/>
      <c r="I206" s="91"/>
      <c r="J206" s="99"/>
      <c r="K206" s="92"/>
      <c r="L206" s="91"/>
      <c r="M206" s="91"/>
      <c r="N206" s="91"/>
      <c r="O206" s="91"/>
      <c r="P206" s="92"/>
      <c r="Q206" s="96"/>
      <c r="R206" s="96"/>
      <c r="S206" s="96"/>
      <c r="T206" s="96"/>
      <c r="U206" s="92"/>
      <c r="V206" s="172" t="e">
        <f t="shared" si="127"/>
        <v>#DIV/0!</v>
      </c>
    </row>
    <row r="207" spans="1:22" hidden="1">
      <c r="A207" s="90"/>
      <c r="B207" s="91"/>
      <c r="C207" s="91"/>
      <c r="D207" s="91"/>
      <c r="E207" s="91"/>
      <c r="F207" s="92"/>
      <c r="G207" s="91"/>
      <c r="H207" s="91"/>
      <c r="I207" s="91"/>
      <c r="J207" s="99"/>
      <c r="K207" s="92"/>
      <c r="L207" s="91"/>
      <c r="M207" s="91"/>
      <c r="N207" s="91"/>
      <c r="O207" s="91"/>
      <c r="P207" s="92"/>
      <c r="Q207" s="96"/>
      <c r="R207" s="96"/>
      <c r="S207" s="96"/>
      <c r="T207" s="96"/>
      <c r="U207" s="92"/>
      <c r="V207" s="172" t="e">
        <f t="shared" si="127"/>
        <v>#DIV/0!</v>
      </c>
    </row>
    <row r="208" spans="1:22" hidden="1">
      <c r="A208" s="90"/>
      <c r="B208" s="91"/>
      <c r="C208" s="91"/>
      <c r="D208" s="91"/>
      <c r="E208" s="91"/>
      <c r="F208" s="92"/>
      <c r="G208" s="91"/>
      <c r="H208" s="91"/>
      <c r="I208" s="91"/>
      <c r="J208" s="99"/>
      <c r="K208" s="92"/>
      <c r="L208" s="91"/>
      <c r="M208" s="91"/>
      <c r="N208" s="91"/>
      <c r="O208" s="91"/>
      <c r="P208" s="92"/>
      <c r="Q208" s="96"/>
      <c r="R208" s="96"/>
      <c r="S208" s="96"/>
      <c r="T208" s="96"/>
      <c r="U208" s="92"/>
      <c r="V208" s="172" t="e">
        <f t="shared" si="127"/>
        <v>#DIV/0!</v>
      </c>
    </row>
    <row r="209" spans="1:22" hidden="1">
      <c r="A209" s="90"/>
      <c r="B209" s="91"/>
      <c r="C209" s="91"/>
      <c r="D209" s="91"/>
      <c r="E209" s="91"/>
      <c r="F209" s="92"/>
      <c r="G209" s="91"/>
      <c r="H209" s="91"/>
      <c r="I209" s="91"/>
      <c r="J209" s="99"/>
      <c r="K209" s="92"/>
      <c r="L209" s="91"/>
      <c r="M209" s="91"/>
      <c r="N209" s="91"/>
      <c r="O209" s="91"/>
      <c r="P209" s="92"/>
      <c r="Q209" s="96"/>
      <c r="R209" s="96"/>
      <c r="S209" s="96"/>
      <c r="T209" s="96"/>
      <c r="U209" s="92"/>
      <c r="V209" s="172" t="e">
        <f t="shared" si="127"/>
        <v>#DIV/0!</v>
      </c>
    </row>
    <row r="210" spans="1:22" hidden="1">
      <c r="A210" s="90"/>
      <c r="B210" s="91"/>
      <c r="C210" s="91"/>
      <c r="D210" s="91"/>
      <c r="E210" s="91"/>
      <c r="F210" s="92"/>
      <c r="G210" s="91"/>
      <c r="H210" s="91"/>
      <c r="I210" s="91"/>
      <c r="J210" s="99"/>
      <c r="K210" s="92"/>
      <c r="L210" s="91"/>
      <c r="M210" s="91"/>
      <c r="N210" s="91"/>
      <c r="O210" s="91"/>
      <c r="P210" s="92"/>
      <c r="Q210" s="96"/>
      <c r="R210" s="96"/>
      <c r="S210" s="96"/>
      <c r="T210" s="96"/>
      <c r="U210" s="92"/>
      <c r="V210" s="172" t="e">
        <f t="shared" si="127"/>
        <v>#DIV/0!</v>
      </c>
    </row>
    <row r="211" spans="1:22" hidden="1">
      <c r="A211" s="90"/>
      <c r="B211" s="91"/>
      <c r="C211" s="91"/>
      <c r="D211" s="91"/>
      <c r="E211" s="91"/>
      <c r="F211" s="92"/>
      <c r="G211" s="91"/>
      <c r="H211" s="91"/>
      <c r="I211" s="91"/>
      <c r="J211" s="99"/>
      <c r="K211" s="92"/>
      <c r="L211" s="91"/>
      <c r="M211" s="91"/>
      <c r="N211" s="91"/>
      <c r="O211" s="91"/>
      <c r="P211" s="92"/>
      <c r="Q211" s="96"/>
      <c r="R211" s="96"/>
      <c r="S211" s="96"/>
      <c r="T211" s="96"/>
      <c r="U211" s="92"/>
      <c r="V211" s="172" t="e">
        <f t="shared" si="127"/>
        <v>#DIV/0!</v>
      </c>
    </row>
    <row r="212" spans="1:22" hidden="1">
      <c r="A212" s="90"/>
      <c r="B212" s="91"/>
      <c r="C212" s="91"/>
      <c r="D212" s="91"/>
      <c r="E212" s="91"/>
      <c r="F212" s="92"/>
      <c r="G212" s="91"/>
      <c r="H212" s="91"/>
      <c r="I212" s="91"/>
      <c r="J212" s="99"/>
      <c r="K212" s="92"/>
      <c r="L212" s="91"/>
      <c r="M212" s="91"/>
      <c r="N212" s="91"/>
      <c r="O212" s="91"/>
      <c r="P212" s="92"/>
      <c r="Q212" s="96"/>
      <c r="R212" s="96"/>
      <c r="S212" s="96"/>
      <c r="T212" s="96"/>
      <c r="U212" s="92"/>
      <c r="V212" s="172" t="e">
        <f t="shared" si="127"/>
        <v>#DIV/0!</v>
      </c>
    </row>
    <row r="213" spans="1:22" hidden="1">
      <c r="A213" s="90"/>
      <c r="B213" s="91"/>
      <c r="C213" s="91"/>
      <c r="D213" s="91"/>
      <c r="E213" s="91"/>
      <c r="F213" s="92"/>
      <c r="G213" s="91"/>
      <c r="H213" s="91"/>
      <c r="I213" s="91"/>
      <c r="J213" s="99"/>
      <c r="K213" s="92"/>
      <c r="L213" s="91"/>
      <c r="M213" s="91"/>
      <c r="N213" s="91"/>
      <c r="O213" s="91"/>
      <c r="P213" s="92"/>
      <c r="Q213" s="96"/>
      <c r="R213" s="96"/>
      <c r="S213" s="96"/>
      <c r="T213" s="96"/>
      <c r="U213" s="92"/>
      <c r="V213" s="172" t="e">
        <f t="shared" si="127"/>
        <v>#DIV/0!</v>
      </c>
    </row>
    <row r="214" spans="1:22" hidden="1">
      <c r="A214" s="109"/>
      <c r="B214" s="100"/>
      <c r="C214" s="100"/>
      <c r="D214" s="100"/>
      <c r="E214" s="100"/>
      <c r="F214" s="101"/>
      <c r="G214" s="116"/>
      <c r="H214" s="116"/>
      <c r="I214" s="116"/>
      <c r="J214" s="116"/>
      <c r="K214" s="101"/>
      <c r="L214" s="91"/>
      <c r="M214" s="91"/>
      <c r="N214" s="91"/>
      <c r="O214" s="91"/>
      <c r="P214" s="92"/>
      <c r="Q214" s="96"/>
      <c r="R214" s="96"/>
      <c r="S214" s="96"/>
      <c r="T214" s="96"/>
      <c r="U214" s="98"/>
      <c r="V214" s="172" t="e">
        <f t="shared" si="127"/>
        <v>#DIV/0!</v>
      </c>
    </row>
    <row r="215" spans="1:22" hidden="1">
      <c r="A215" s="109"/>
      <c r="B215" s="100"/>
      <c r="C215" s="100"/>
      <c r="D215" s="100"/>
      <c r="E215" s="100"/>
      <c r="F215" s="101"/>
      <c r="G215" s="116"/>
      <c r="H215" s="116"/>
      <c r="I215" s="116"/>
      <c r="J215" s="116"/>
      <c r="K215" s="101"/>
      <c r="L215" s="91"/>
      <c r="M215" s="91"/>
      <c r="N215" s="91"/>
      <c r="O215" s="91"/>
      <c r="P215" s="92"/>
      <c r="Q215" s="96"/>
      <c r="R215" s="96"/>
      <c r="S215" s="96"/>
      <c r="T215" s="96"/>
      <c r="U215" s="98"/>
      <c r="V215" s="172" t="e">
        <f t="shared" si="127"/>
        <v>#DIV/0!</v>
      </c>
    </row>
    <row r="216" spans="1:22" hidden="1">
      <c r="A216" s="109"/>
      <c r="B216" s="100"/>
      <c r="C216" s="100"/>
      <c r="D216" s="100"/>
      <c r="E216" s="100"/>
      <c r="F216" s="101"/>
      <c r="G216" s="116"/>
      <c r="H216" s="116"/>
      <c r="I216" s="116"/>
      <c r="J216" s="116"/>
      <c r="K216" s="101"/>
      <c r="L216" s="91"/>
      <c r="M216" s="91"/>
      <c r="N216" s="91"/>
      <c r="O216" s="91"/>
      <c r="P216" s="92"/>
      <c r="Q216" s="96"/>
      <c r="R216" s="96"/>
      <c r="S216" s="96"/>
      <c r="T216" s="96"/>
      <c r="U216" s="98"/>
      <c r="V216" s="172" t="e">
        <f t="shared" si="127"/>
        <v>#DIV/0!</v>
      </c>
    </row>
    <row r="217" spans="1:22" hidden="1">
      <c r="A217" s="109"/>
      <c r="B217" s="100"/>
      <c r="C217" s="100"/>
      <c r="D217" s="100"/>
      <c r="E217" s="100"/>
      <c r="F217" s="101"/>
      <c r="G217" s="116"/>
      <c r="H217" s="116"/>
      <c r="I217" s="116"/>
      <c r="J217" s="116"/>
      <c r="K217" s="101"/>
      <c r="L217" s="91"/>
      <c r="M217" s="91"/>
      <c r="N217" s="91"/>
      <c r="O217" s="91"/>
      <c r="P217" s="92"/>
      <c r="Q217" s="96"/>
      <c r="R217" s="96"/>
      <c r="S217" s="96"/>
      <c r="T217" s="96"/>
      <c r="U217" s="98"/>
      <c r="V217" s="172" t="e">
        <f t="shared" si="127"/>
        <v>#DIV/0!</v>
      </c>
    </row>
    <row r="218" spans="1:22" hidden="1">
      <c r="A218" s="109"/>
      <c r="B218" s="100"/>
      <c r="C218" s="100"/>
      <c r="D218" s="100"/>
      <c r="E218" s="100"/>
      <c r="F218" s="101"/>
      <c r="G218" s="116"/>
      <c r="H218" s="116"/>
      <c r="I218" s="116"/>
      <c r="J218" s="116"/>
      <c r="K218" s="101"/>
      <c r="L218" s="91"/>
      <c r="M218" s="91"/>
      <c r="N218" s="91"/>
      <c r="O218" s="91"/>
      <c r="P218" s="92"/>
      <c r="Q218" s="96"/>
      <c r="R218" s="96"/>
      <c r="S218" s="96"/>
      <c r="T218" s="96"/>
      <c r="U218" s="98"/>
      <c r="V218" s="172" t="e">
        <f t="shared" si="127"/>
        <v>#DIV/0!</v>
      </c>
    </row>
    <row r="219" spans="1:22" hidden="1">
      <c r="A219" s="97" t="s">
        <v>68</v>
      </c>
      <c r="B219" s="91">
        <f>SUM(B220:B226)</f>
        <v>224.21950000000001</v>
      </c>
      <c r="C219" s="91">
        <f>SUMPRODUCT(B220:B226,C220:C226)/B219</f>
        <v>56.780515209426476</v>
      </c>
      <c r="D219" s="91">
        <f>SUM(D220:D226)</f>
        <v>224.21950000000001</v>
      </c>
      <c r="E219" s="91">
        <f>SUMPRODUCT(D220:D226,E220:E226)/D219</f>
        <v>60.769983453713877</v>
      </c>
      <c r="F219" s="92">
        <f>E219/C219</f>
        <v>1.0702612195323138</v>
      </c>
      <c r="G219" s="91">
        <f>SUM(G220:G226)</f>
        <v>109.87550000000002</v>
      </c>
      <c r="H219" s="91">
        <f>SUMPRODUCT(G220:G226,H220:H226)/G219</f>
        <v>58.594302733548417</v>
      </c>
      <c r="I219" s="91">
        <f>SUM(I220:I226)</f>
        <v>109.87550000000002</v>
      </c>
      <c r="J219" s="91">
        <f>SUMPRODUCT(I220:I226,J220:J226)/I219</f>
        <v>62.208101851641167</v>
      </c>
      <c r="K219" s="92">
        <f>J219/H219</f>
        <v>1.0616749231495446</v>
      </c>
      <c r="L219" s="91">
        <f>SUM(L220:L226)</f>
        <v>101.47499999999999</v>
      </c>
      <c r="M219" s="91">
        <f>SUMPRODUCT(L220:L226,M220:M226)/L219</f>
        <v>71.491924020694753</v>
      </c>
      <c r="N219" s="91">
        <f>SUM(N220:N226)</f>
        <v>101.47499999999999</v>
      </c>
      <c r="O219" s="91">
        <f>SUMPRODUCT(N220:N226,O220:O226)/N219</f>
        <v>76.236510667652141</v>
      </c>
      <c r="P219" s="92">
        <f>O219/M219</f>
        <v>1.0663653512190268</v>
      </c>
      <c r="Q219" s="91">
        <f>SUM(Q220:Q226)</f>
        <v>58.971000000000004</v>
      </c>
      <c r="R219" s="91">
        <f>SUMPRODUCT(Q220:Q226,R220:R226)/Q219</f>
        <v>61.690772922283827</v>
      </c>
      <c r="S219" s="91">
        <f>SUM(S220:S226)</f>
        <v>58.971000000000004</v>
      </c>
      <c r="T219" s="91">
        <f>SUMPRODUCT(S220:S226,T220:T226)/S219</f>
        <v>66.035417069406989</v>
      </c>
      <c r="U219" s="92">
        <f>T219/R219</f>
        <v>1.0704261584239902</v>
      </c>
      <c r="V219" s="172">
        <f t="shared" si="127"/>
        <v>1.0680898791951392</v>
      </c>
    </row>
    <row r="220" spans="1:22" hidden="1">
      <c r="A220" s="97" t="s">
        <v>60</v>
      </c>
      <c r="B220" s="91">
        <f>8.41/2</f>
        <v>4.2050000000000001</v>
      </c>
      <c r="C220" s="91">
        <v>172.04</v>
      </c>
      <c r="D220" s="91">
        <f>B220</f>
        <v>4.2050000000000001</v>
      </c>
      <c r="E220" s="91">
        <v>185.25</v>
      </c>
      <c r="F220" s="92">
        <f>(E220*D220)/(C220*B220)</f>
        <v>1.0767844687282029</v>
      </c>
      <c r="G220" s="91">
        <f>3.578/2</f>
        <v>1.7889999999999999</v>
      </c>
      <c r="H220" s="91">
        <v>66.81</v>
      </c>
      <c r="I220" s="91">
        <f>3.578/2</f>
        <v>1.7889999999999999</v>
      </c>
      <c r="J220" s="91">
        <v>71.55</v>
      </c>
      <c r="K220" s="92">
        <f>(J220*I220)/(H220*G220)</f>
        <v>1.0709474629546476</v>
      </c>
      <c r="L220" s="91"/>
      <c r="M220" s="91"/>
      <c r="N220" s="91"/>
      <c r="O220" s="91"/>
      <c r="P220" s="92"/>
      <c r="Q220" s="96"/>
      <c r="R220" s="96"/>
      <c r="S220" s="96"/>
      <c r="T220" s="96"/>
      <c r="U220" s="92"/>
      <c r="V220" s="172">
        <f t="shared" si="127"/>
        <v>1.0767844687282029</v>
      </c>
    </row>
    <row r="221" spans="1:22" hidden="1">
      <c r="A221" s="97" t="s">
        <v>61</v>
      </c>
      <c r="B221" s="91">
        <f>122.838/2</f>
        <v>61.418999999999997</v>
      </c>
      <c r="C221" s="91">
        <v>50.68</v>
      </c>
      <c r="D221" s="91">
        <f>B221</f>
        <v>61.418999999999997</v>
      </c>
      <c r="E221" s="91">
        <v>54.29</v>
      </c>
      <c r="F221" s="92">
        <f t="shared" ref="F221:F226" si="128">(E221*D221)/(C221*B221)</f>
        <v>1.0712312549329124</v>
      </c>
      <c r="G221" s="91">
        <f>63.27/2</f>
        <v>31.635000000000002</v>
      </c>
      <c r="H221" s="91">
        <v>50.68</v>
      </c>
      <c r="I221" s="91">
        <f>G221</f>
        <v>31.635000000000002</v>
      </c>
      <c r="J221" s="91">
        <v>54.29</v>
      </c>
      <c r="K221" s="92">
        <f t="shared" ref="K221:K226" si="129">(J221*I221)/(H221*G221)</f>
        <v>1.0712312549329124</v>
      </c>
      <c r="L221" s="91">
        <f>22.89/2</f>
        <v>11.445</v>
      </c>
      <c r="M221" s="91">
        <v>100.72</v>
      </c>
      <c r="N221" s="91">
        <f>L221</f>
        <v>11.445</v>
      </c>
      <c r="O221" s="91">
        <v>107.98</v>
      </c>
      <c r="P221" s="92">
        <f t="shared" ref="P221:P224" si="130">(O221*N221)/(M221*L221)</f>
        <v>1.0720810166799049</v>
      </c>
      <c r="Q221" s="96">
        <f>7.636/2</f>
        <v>3.8180000000000001</v>
      </c>
      <c r="R221" s="96">
        <v>75.5</v>
      </c>
      <c r="S221" s="96">
        <f>7.636/2</f>
        <v>3.8180000000000001</v>
      </c>
      <c r="T221" s="96">
        <v>80.86</v>
      </c>
      <c r="U221" s="92">
        <f t="shared" ref="U221:U224" si="131">T221/R221</f>
        <v>1.0709933774834437</v>
      </c>
      <c r="V221" s="172">
        <f t="shared" si="127"/>
        <v>1.0717965653896961</v>
      </c>
    </row>
    <row r="222" spans="1:22" hidden="1">
      <c r="A222" s="97" t="s">
        <v>62</v>
      </c>
      <c r="B222" s="91">
        <f>103.382/2</f>
        <v>51.691000000000003</v>
      </c>
      <c r="C222" s="91">
        <v>43.56</v>
      </c>
      <c r="D222" s="91">
        <f>103.382/2</f>
        <v>51.691000000000003</v>
      </c>
      <c r="E222" s="91">
        <v>46.65</v>
      </c>
      <c r="F222" s="92">
        <f t="shared" si="128"/>
        <v>1.0709366391184572</v>
      </c>
      <c r="G222" s="91">
        <f>37.679/2</f>
        <v>18.839500000000001</v>
      </c>
      <c r="H222" s="91">
        <v>43.56</v>
      </c>
      <c r="I222" s="91">
        <f>37.679/2</f>
        <v>18.839500000000001</v>
      </c>
      <c r="J222" s="91">
        <v>46.65</v>
      </c>
      <c r="K222" s="92">
        <f t="shared" si="129"/>
        <v>1.0709366391184572</v>
      </c>
      <c r="L222" s="91">
        <f>74.838/2</f>
        <v>37.418999999999997</v>
      </c>
      <c r="M222" s="91">
        <v>60.3</v>
      </c>
      <c r="N222" s="91">
        <f>74.838/2</f>
        <v>37.418999999999997</v>
      </c>
      <c r="O222" s="91">
        <v>64.58</v>
      </c>
      <c r="P222" s="92">
        <f t="shared" si="130"/>
        <v>1.0709784411276948</v>
      </c>
      <c r="Q222" s="96">
        <f>36.72/2</f>
        <v>18.36</v>
      </c>
      <c r="R222" s="96">
        <v>60.3</v>
      </c>
      <c r="S222" s="96">
        <f>36.72/2</f>
        <v>18.36</v>
      </c>
      <c r="T222" s="96">
        <v>64.58</v>
      </c>
      <c r="U222" s="92">
        <f t="shared" si="131"/>
        <v>1.0709784411276948</v>
      </c>
      <c r="V222" s="172">
        <f t="shared" si="127"/>
        <v>1.0709609089158483</v>
      </c>
    </row>
    <row r="223" spans="1:22" hidden="1">
      <c r="A223" s="97" t="s">
        <v>63</v>
      </c>
      <c r="B223" s="91">
        <f>44.819/2</f>
        <v>22.409500000000001</v>
      </c>
      <c r="C223" s="91">
        <v>57.5</v>
      </c>
      <c r="D223" s="91">
        <f>44.819/2</f>
        <v>22.409500000000001</v>
      </c>
      <c r="E223" s="91">
        <v>60.11</v>
      </c>
      <c r="F223" s="92">
        <f t="shared" si="128"/>
        <v>1.045391304347826</v>
      </c>
      <c r="G223" s="91">
        <f>35.664/2</f>
        <v>17.832000000000001</v>
      </c>
      <c r="H223" s="91">
        <v>57.5</v>
      </c>
      <c r="I223" s="91">
        <f>35.664/2</f>
        <v>17.832000000000001</v>
      </c>
      <c r="J223" s="91">
        <v>60.11</v>
      </c>
      <c r="K223" s="92">
        <f t="shared" si="129"/>
        <v>1.045391304347826</v>
      </c>
      <c r="L223" s="91">
        <f>35.152/2</f>
        <v>17.576000000000001</v>
      </c>
      <c r="M223" s="91">
        <v>103.44</v>
      </c>
      <c r="N223" s="91">
        <f>35.152/2</f>
        <v>17.576000000000001</v>
      </c>
      <c r="O223" s="91">
        <v>109</v>
      </c>
      <c r="P223" s="92">
        <f t="shared" si="130"/>
        <v>1.0537509667440064</v>
      </c>
      <c r="Q223" s="96">
        <f>32.076/2</f>
        <v>16.038</v>
      </c>
      <c r="R223" s="96">
        <v>64.94</v>
      </c>
      <c r="S223" s="96">
        <f>32.076/2</f>
        <v>16.038</v>
      </c>
      <c r="T223" s="96">
        <v>69.55</v>
      </c>
      <c r="U223" s="92">
        <f t="shared" si="131"/>
        <v>1.0709886048660302</v>
      </c>
      <c r="V223" s="172">
        <f t="shared" si="127"/>
        <v>1.0507642599726608</v>
      </c>
    </row>
    <row r="224" spans="1:22" hidden="1">
      <c r="A224" s="97" t="s">
        <v>64</v>
      </c>
      <c r="B224" s="91">
        <f>117.29/2</f>
        <v>58.645000000000003</v>
      </c>
      <c r="C224" s="91">
        <v>52.32</v>
      </c>
      <c r="D224" s="91">
        <f>117.29/2</f>
        <v>58.645000000000003</v>
      </c>
      <c r="E224" s="91">
        <v>53.03</v>
      </c>
      <c r="F224" s="92">
        <f t="shared" si="128"/>
        <v>1.0135703363914372</v>
      </c>
      <c r="G224" s="91">
        <f>36.68/2</f>
        <v>18.34</v>
      </c>
      <c r="H224" s="91">
        <v>52.32</v>
      </c>
      <c r="I224" s="91">
        <f>36.68/2</f>
        <v>18.34</v>
      </c>
      <c r="J224" s="91">
        <v>53.03</v>
      </c>
      <c r="K224" s="92">
        <f t="shared" si="129"/>
        <v>1.0135703363914372</v>
      </c>
      <c r="L224" s="91">
        <f>70.07/2</f>
        <v>35.034999999999997</v>
      </c>
      <c r="M224" s="91">
        <v>57.87</v>
      </c>
      <c r="N224" s="91">
        <f>70.07/2</f>
        <v>35.034999999999997</v>
      </c>
      <c r="O224" s="91">
        <v>61.88</v>
      </c>
      <c r="P224" s="92">
        <f t="shared" si="130"/>
        <v>1.0692932434767584</v>
      </c>
      <c r="Q224" s="96">
        <f>41.51/2</f>
        <v>20.754999999999999</v>
      </c>
      <c r="R224" s="96">
        <v>57.87</v>
      </c>
      <c r="S224" s="96">
        <f>Q224</f>
        <v>20.754999999999999</v>
      </c>
      <c r="T224" s="96">
        <v>61.88</v>
      </c>
      <c r="U224" s="92">
        <f t="shared" si="131"/>
        <v>1.0692932434767584</v>
      </c>
      <c r="V224" s="172">
        <f t="shared" si="127"/>
        <v>1.0428351030039023</v>
      </c>
    </row>
    <row r="225" spans="1:22" hidden="1">
      <c r="A225" s="97" t="s">
        <v>64</v>
      </c>
      <c r="B225" s="91">
        <f>1.8/2</f>
        <v>0.9</v>
      </c>
      <c r="C225" s="91">
        <v>224.8</v>
      </c>
      <c r="D225" s="91">
        <f>1.8/2</f>
        <v>0.9</v>
      </c>
      <c r="E225" s="91">
        <v>237.12</v>
      </c>
      <c r="F225" s="92">
        <f t="shared" si="128"/>
        <v>1.0548042704626335</v>
      </c>
      <c r="G225" s="91">
        <f>1.68/2</f>
        <v>0.84</v>
      </c>
      <c r="H225" s="91">
        <v>224.8</v>
      </c>
      <c r="I225" s="91">
        <f>1.68/2</f>
        <v>0.84</v>
      </c>
      <c r="J225" s="91">
        <v>237.12</v>
      </c>
      <c r="K225" s="92">
        <f t="shared" si="129"/>
        <v>1.0548042704626335</v>
      </c>
      <c r="L225" s="91"/>
      <c r="M225" s="91"/>
      <c r="N225" s="91"/>
      <c r="O225" s="91"/>
      <c r="P225" s="92"/>
      <c r="Q225" s="96"/>
      <c r="R225" s="96"/>
      <c r="S225" s="96"/>
      <c r="T225" s="96"/>
      <c r="U225" s="92"/>
      <c r="V225" s="172">
        <f t="shared" si="127"/>
        <v>1.0548042704626335</v>
      </c>
    </row>
    <row r="226" spans="1:22" hidden="1">
      <c r="A226" s="97" t="s">
        <v>65</v>
      </c>
      <c r="B226" s="91">
        <f>49.9/2</f>
        <v>24.95</v>
      </c>
      <c r="C226" s="91">
        <v>83.54</v>
      </c>
      <c r="D226" s="91">
        <f>B226</f>
        <v>24.95</v>
      </c>
      <c r="E226" s="91">
        <v>97.42</v>
      </c>
      <c r="F226" s="92">
        <f t="shared" si="128"/>
        <v>1.1661479530763703</v>
      </c>
      <c r="G226" s="99">
        <f>41.2/2</f>
        <v>20.6</v>
      </c>
      <c r="H226" s="99">
        <v>83.54</v>
      </c>
      <c r="I226" s="91">
        <f>G226</f>
        <v>20.6</v>
      </c>
      <c r="J226" s="99">
        <v>90.64</v>
      </c>
      <c r="K226" s="92">
        <f t="shared" si="129"/>
        <v>1.0849892267177399</v>
      </c>
      <c r="L226" s="91"/>
      <c r="M226" s="91"/>
      <c r="N226" s="91"/>
      <c r="O226" s="91"/>
      <c r="P226" s="92"/>
      <c r="Q226" s="96"/>
      <c r="R226" s="96"/>
      <c r="S226" s="96"/>
      <c r="T226" s="96"/>
      <c r="U226" s="92"/>
      <c r="V226" s="172">
        <f t="shared" si="127"/>
        <v>1.1661479530763705</v>
      </c>
    </row>
    <row r="227" spans="1:22">
      <c r="A227" s="104" t="s">
        <v>242</v>
      </c>
      <c r="B227" s="91">
        <f>SUM(B228:B240)</f>
        <v>322.27149999999995</v>
      </c>
      <c r="C227" s="91">
        <f>SUMPRODUCT(B228:B240,C228:C240)/B227</f>
        <v>58.752237662964305</v>
      </c>
      <c r="D227" s="91">
        <f>SUM(D228:D240)</f>
        <v>322.27149999999995</v>
      </c>
      <c r="E227" s="91">
        <f>SUMPRODUCT(D228:D240,E228:E240)/D227</f>
        <v>61.643030519298179</v>
      </c>
      <c r="F227" s="92">
        <f>E227/C227</f>
        <v>1.0492031107464719</v>
      </c>
      <c r="G227" s="91">
        <f>SUM(G228:G240)</f>
        <v>222.75349999999997</v>
      </c>
      <c r="H227" s="91">
        <f>SUMPRODUCT(G228:G240,H228:H240)/G227</f>
        <v>53.394755413495183</v>
      </c>
      <c r="I227" s="91">
        <f>SUM(I228:I240)</f>
        <v>222.75349999999997</v>
      </c>
      <c r="J227" s="91">
        <f>SUMPRODUCT(I228:I240,J228:J240)/I227</f>
        <v>56.694683360755285</v>
      </c>
      <c r="K227" s="92">
        <f>J227/H227</f>
        <v>1.0618024733272973</v>
      </c>
      <c r="L227" s="91">
        <f>SUM(L228:L240)</f>
        <v>234.41649999999996</v>
      </c>
      <c r="M227" s="91">
        <f>SUMPRODUCT(L228:L240,M228:M240)/L227</f>
        <v>78.808459622082921</v>
      </c>
      <c r="N227" s="91">
        <f>SUM(N228:N240)</f>
        <v>234.41649999999996</v>
      </c>
      <c r="O227" s="91">
        <f>SUMPRODUCT(N228:N240,O228:O240)/N227</f>
        <v>81.702456908963327</v>
      </c>
      <c r="P227" s="92">
        <f>O227/M227</f>
        <v>1.0367219115911952</v>
      </c>
      <c r="Q227" s="91">
        <f>SUM(Q228:Q240)</f>
        <v>184.43449999999999</v>
      </c>
      <c r="R227" s="91">
        <f>SUMPRODUCT(Q228:Q240,R228:R240)/Q227</f>
        <v>70.556896215187493</v>
      </c>
      <c r="S227" s="91">
        <f>SUM(S228:S240)</f>
        <v>184.43449999999999</v>
      </c>
      <c r="T227" s="91">
        <f>SUMPRODUCT(S228:S240,T228:T240)/S227</f>
        <v>73.955773865518651</v>
      </c>
      <c r="U227" s="92">
        <f>T227/R227</f>
        <v>1.0481721537178323</v>
      </c>
      <c r="V227" s="172">
        <f t="shared" si="127"/>
        <v>1.0420526375439001</v>
      </c>
    </row>
    <row r="228" spans="1:22" hidden="1">
      <c r="A228" s="109" t="s">
        <v>43</v>
      </c>
      <c r="B228" s="91">
        <f>237.35/2</f>
        <v>118.675</v>
      </c>
      <c r="C228" s="91">
        <v>70.02</v>
      </c>
      <c r="D228" s="91">
        <f>B228</f>
        <v>118.675</v>
      </c>
      <c r="E228" s="91">
        <v>74.16</v>
      </c>
      <c r="F228" s="92">
        <f>(E228*D228)/(C228*B228)</f>
        <v>1.0591259640102828</v>
      </c>
      <c r="G228" s="115">
        <f>112.506/2</f>
        <v>56.253</v>
      </c>
      <c r="H228" s="115">
        <v>60.65</v>
      </c>
      <c r="I228" s="115">
        <f>G228</f>
        <v>56.253</v>
      </c>
      <c r="J228" s="115">
        <v>64.959999999999994</v>
      </c>
      <c r="K228" s="92">
        <f>(J228*I228)/(H228*G228)</f>
        <v>1.0710634789777409</v>
      </c>
      <c r="L228" s="91">
        <f>106.37/2</f>
        <v>53.185000000000002</v>
      </c>
      <c r="M228" s="91">
        <v>75.33</v>
      </c>
      <c r="N228" s="91">
        <f>L228</f>
        <v>53.185000000000002</v>
      </c>
      <c r="O228" s="91">
        <v>78.62</v>
      </c>
      <c r="P228" s="92">
        <f>(O228*N228)/(M228*L228)</f>
        <v>1.0436744988716316</v>
      </c>
      <c r="Q228" s="91">
        <f>89.58/2</f>
        <v>44.79</v>
      </c>
      <c r="R228" s="91">
        <v>62.8</v>
      </c>
      <c r="S228" s="91">
        <f>Q228</f>
        <v>44.79</v>
      </c>
      <c r="T228" s="91">
        <v>67.260000000000005</v>
      </c>
      <c r="U228" s="92">
        <f>(T228*S228)/(R228*Q228)</f>
        <v>1.0710191082802549</v>
      </c>
      <c r="V228" s="172">
        <f t="shared" si="127"/>
        <v>1.0511179910560715</v>
      </c>
    </row>
    <row r="229" spans="1:22" hidden="1">
      <c r="A229" s="109" t="s">
        <v>43</v>
      </c>
      <c r="B229" s="91"/>
      <c r="C229" s="91"/>
      <c r="D229" s="91"/>
      <c r="E229" s="91"/>
      <c r="F229" s="92"/>
      <c r="G229" s="115">
        <f>40.74/2</f>
        <v>20.37</v>
      </c>
      <c r="H229" s="115">
        <v>57.84</v>
      </c>
      <c r="I229" s="115">
        <f>G229</f>
        <v>20.37</v>
      </c>
      <c r="J229" s="115">
        <v>61.95</v>
      </c>
      <c r="K229" s="92">
        <f>(J229*I229)/(H229*G229)</f>
        <v>1.071058091286307</v>
      </c>
      <c r="L229" s="91">
        <f>50.79/2</f>
        <v>25.395</v>
      </c>
      <c r="M229" s="91">
        <v>110.65</v>
      </c>
      <c r="N229" s="91">
        <f>L229</f>
        <v>25.395</v>
      </c>
      <c r="O229" s="91">
        <v>112.01</v>
      </c>
      <c r="P229" s="92">
        <f>(O229*N229)/(M229*L229)</f>
        <v>1.0122910076818796</v>
      </c>
      <c r="Q229" s="91">
        <f>32.37/2</f>
        <v>16.184999999999999</v>
      </c>
      <c r="R229" s="91">
        <v>98.79</v>
      </c>
      <c r="S229" s="91">
        <f>Q229</f>
        <v>16.184999999999999</v>
      </c>
      <c r="T229" s="91">
        <v>105.8</v>
      </c>
      <c r="U229" s="92">
        <f>(T229*S229)/(R229*Q229)</f>
        <v>1.0709585990484867</v>
      </c>
      <c r="V229" s="172">
        <f t="shared" si="127"/>
        <v>1.0122910076818799</v>
      </c>
    </row>
    <row r="230" spans="1:22" hidden="1">
      <c r="A230" s="109" t="s">
        <v>44</v>
      </c>
      <c r="B230" s="91"/>
      <c r="C230" s="91"/>
      <c r="D230" s="91">
        <f t="shared" ref="D230:D240" si="132">B230</f>
        <v>0</v>
      </c>
      <c r="E230" s="91"/>
      <c r="F230" s="92"/>
      <c r="G230" s="115">
        <v>0</v>
      </c>
      <c r="H230" s="115"/>
      <c r="I230" s="115">
        <f t="shared" ref="I230:I240" si="133">G230</f>
        <v>0</v>
      </c>
      <c r="J230" s="115"/>
      <c r="K230" s="92"/>
      <c r="L230" s="91">
        <v>0</v>
      </c>
      <c r="M230" s="91"/>
      <c r="N230" s="91">
        <f t="shared" ref="N230:N240" si="134">L230</f>
        <v>0</v>
      </c>
      <c r="O230" s="91"/>
      <c r="P230" s="92"/>
      <c r="Q230" s="91">
        <v>0</v>
      </c>
      <c r="R230" s="91"/>
      <c r="S230" s="91">
        <f t="shared" ref="S230:S240" si="135">Q230</f>
        <v>0</v>
      </c>
      <c r="T230" s="91"/>
      <c r="U230" s="92"/>
      <c r="V230" s="172" t="e">
        <f t="shared" si="127"/>
        <v>#DIV/0!</v>
      </c>
    </row>
    <row r="231" spans="1:22" hidden="1">
      <c r="A231" s="109" t="s">
        <v>45</v>
      </c>
      <c r="B231" s="91">
        <f>24.403/2</f>
        <v>12.201499999999999</v>
      </c>
      <c r="C231" s="91">
        <v>62.34</v>
      </c>
      <c r="D231" s="91">
        <f t="shared" si="132"/>
        <v>12.201499999999999</v>
      </c>
      <c r="E231" s="91">
        <v>62.34</v>
      </c>
      <c r="F231" s="92">
        <f t="shared" ref="F231:F240" si="136">(E231*D231)/(C231*B231)</f>
        <v>1</v>
      </c>
      <c r="G231" s="115">
        <f>19.611/2</f>
        <v>9.8055000000000003</v>
      </c>
      <c r="H231" s="115">
        <v>60.3</v>
      </c>
      <c r="I231" s="115">
        <f t="shared" si="133"/>
        <v>9.8055000000000003</v>
      </c>
      <c r="J231" s="115">
        <v>62.34</v>
      </c>
      <c r="K231" s="92">
        <f t="shared" ref="K231:K240" si="137">(J231*I231)/(H231*G231)</f>
        <v>1.0338308457711445</v>
      </c>
      <c r="L231" s="91">
        <f>24.849/2</f>
        <v>12.4245</v>
      </c>
      <c r="M231" s="91">
        <f>148.33</f>
        <v>148.33000000000001</v>
      </c>
      <c r="N231" s="91">
        <f t="shared" si="134"/>
        <v>12.4245</v>
      </c>
      <c r="O231" s="91">
        <v>157.13999999999999</v>
      </c>
      <c r="P231" s="92">
        <f t="shared" ref="P231:P240" si="138">(O231*N231)/(M231*L231)</f>
        <v>1.0593945931369244</v>
      </c>
      <c r="Q231" s="91">
        <f>22.32/2</f>
        <v>11.16</v>
      </c>
      <c r="R231" s="91">
        <v>141.80000000000001</v>
      </c>
      <c r="S231" s="91">
        <f t="shared" si="135"/>
        <v>11.16</v>
      </c>
      <c r="T231" s="91">
        <v>141.80000000000001</v>
      </c>
      <c r="U231" s="92">
        <f t="shared" ref="U231:U240" si="139">(T231*S231)/(R231*Q231)</f>
        <v>1</v>
      </c>
      <c r="V231" s="172">
        <f t="shared" si="127"/>
        <v>1.0418189585607822</v>
      </c>
    </row>
    <row r="232" spans="1:22" hidden="1">
      <c r="A232" s="109" t="s">
        <v>46</v>
      </c>
      <c r="B232" s="91">
        <f>118.14/2</f>
        <v>59.07</v>
      </c>
      <c r="C232" s="91">
        <v>31.49</v>
      </c>
      <c r="D232" s="91">
        <f t="shared" si="132"/>
        <v>59.07</v>
      </c>
      <c r="E232" s="91">
        <v>33.369999999999997</v>
      </c>
      <c r="F232" s="92">
        <f t="shared" si="136"/>
        <v>1.0597014925373134</v>
      </c>
      <c r="G232" s="115">
        <f>97.69/2</f>
        <v>48.844999999999999</v>
      </c>
      <c r="H232" s="115">
        <v>31.49</v>
      </c>
      <c r="I232" s="115">
        <f t="shared" si="133"/>
        <v>48.844999999999999</v>
      </c>
      <c r="J232" s="115">
        <v>33.369999999999997</v>
      </c>
      <c r="K232" s="92">
        <f t="shared" si="137"/>
        <v>1.0597014925373134</v>
      </c>
      <c r="L232" s="91">
        <f>116.32/2</f>
        <v>58.16</v>
      </c>
      <c r="M232" s="91">
        <v>44.47</v>
      </c>
      <c r="N232" s="91">
        <f t="shared" si="134"/>
        <v>58.16</v>
      </c>
      <c r="O232" s="91">
        <v>46.96</v>
      </c>
      <c r="P232" s="92">
        <f t="shared" si="138"/>
        <v>1.055992804137621</v>
      </c>
      <c r="Q232" s="91">
        <f>109.08/2</f>
        <v>54.54</v>
      </c>
      <c r="R232" s="91">
        <v>44.47</v>
      </c>
      <c r="S232" s="91">
        <f t="shared" si="135"/>
        <v>54.54</v>
      </c>
      <c r="T232" s="91">
        <v>46.96</v>
      </c>
      <c r="U232" s="92">
        <f t="shared" si="139"/>
        <v>1.055992804137621</v>
      </c>
      <c r="V232" s="172">
        <f t="shared" si="127"/>
        <v>1.0575302790942602</v>
      </c>
    </row>
    <row r="233" spans="1:22" hidden="1">
      <c r="A233" s="109" t="s">
        <v>47</v>
      </c>
      <c r="B233" s="91">
        <f>21.27/2</f>
        <v>10.635</v>
      </c>
      <c r="C233" s="91">
        <v>107.52</v>
      </c>
      <c r="D233" s="91">
        <f t="shared" si="132"/>
        <v>10.635</v>
      </c>
      <c r="E233" s="91">
        <v>110.2</v>
      </c>
      <c r="F233" s="92">
        <f t="shared" si="136"/>
        <v>1.0249255952380953</v>
      </c>
      <c r="G233" s="115">
        <f>15.9/2</f>
        <v>7.95</v>
      </c>
      <c r="H233" s="115">
        <v>80</v>
      </c>
      <c r="I233" s="115">
        <f t="shared" si="133"/>
        <v>7.95</v>
      </c>
      <c r="J233" s="115">
        <v>83.6</v>
      </c>
      <c r="K233" s="92">
        <f t="shared" si="137"/>
        <v>1.0449999999999999</v>
      </c>
      <c r="L233" s="91">
        <f>15.76/2</f>
        <v>7.88</v>
      </c>
      <c r="M233" s="91">
        <v>121.67</v>
      </c>
      <c r="N233" s="91">
        <f t="shared" si="134"/>
        <v>7.88</v>
      </c>
      <c r="O233" s="91">
        <v>121.67</v>
      </c>
      <c r="P233" s="92">
        <f t="shared" si="138"/>
        <v>1</v>
      </c>
      <c r="Q233" s="91">
        <f>13.57/2</f>
        <v>6.7850000000000001</v>
      </c>
      <c r="R233" s="91">
        <v>80</v>
      </c>
      <c r="S233" s="91">
        <f t="shared" si="135"/>
        <v>6.7850000000000001</v>
      </c>
      <c r="T233" s="91">
        <v>83.6</v>
      </c>
      <c r="U233" s="92">
        <f t="shared" si="139"/>
        <v>1.0450000000000002</v>
      </c>
      <c r="V233" s="172">
        <f t="shared" si="127"/>
        <v>1.0116933548584144</v>
      </c>
    </row>
    <row r="234" spans="1:22" hidden="1">
      <c r="A234" s="109" t="s">
        <v>48</v>
      </c>
      <c r="B234" s="91">
        <f>16.63/2</f>
        <v>8.3149999999999995</v>
      </c>
      <c r="C234" s="91">
        <v>70</v>
      </c>
      <c r="D234" s="91">
        <f t="shared" si="132"/>
        <v>8.3149999999999995</v>
      </c>
      <c r="E234" s="91">
        <v>72.55</v>
      </c>
      <c r="F234" s="92">
        <f t="shared" si="136"/>
        <v>1.0364285714285715</v>
      </c>
      <c r="G234" s="115">
        <f>13.7/2</f>
        <v>6.85</v>
      </c>
      <c r="H234" s="115">
        <v>70</v>
      </c>
      <c r="I234" s="115">
        <f t="shared" si="133"/>
        <v>6.85</v>
      </c>
      <c r="J234" s="115">
        <v>72.55</v>
      </c>
      <c r="K234" s="92">
        <f t="shared" si="137"/>
        <v>1.0364285714285715</v>
      </c>
      <c r="L234" s="91"/>
      <c r="M234" s="91"/>
      <c r="N234" s="91">
        <f t="shared" si="134"/>
        <v>0</v>
      </c>
      <c r="O234" s="91"/>
      <c r="P234" s="92"/>
      <c r="Q234" s="91"/>
      <c r="R234" s="91"/>
      <c r="S234" s="91">
        <f t="shared" si="135"/>
        <v>0</v>
      </c>
      <c r="T234" s="91"/>
      <c r="U234" s="92"/>
      <c r="V234" s="172">
        <f t="shared" si="127"/>
        <v>1.0364285714285715</v>
      </c>
    </row>
    <row r="235" spans="1:22" hidden="1">
      <c r="A235" s="109" t="s">
        <v>49</v>
      </c>
      <c r="B235" s="91">
        <f>60.25/2</f>
        <v>30.125</v>
      </c>
      <c r="C235" s="91">
        <v>58.66</v>
      </c>
      <c r="D235" s="91">
        <f t="shared" si="132"/>
        <v>30.125</v>
      </c>
      <c r="E235" s="91">
        <v>60.16</v>
      </c>
      <c r="F235" s="92">
        <f t="shared" si="136"/>
        <v>1.0255710876235935</v>
      </c>
      <c r="G235" s="115">
        <f>46.08/2</f>
        <v>23.04</v>
      </c>
      <c r="H235" s="115">
        <v>56.31</v>
      </c>
      <c r="I235" s="115">
        <f t="shared" si="133"/>
        <v>23.04</v>
      </c>
      <c r="J235" s="115">
        <v>60.16</v>
      </c>
      <c r="K235" s="92">
        <f t="shared" si="137"/>
        <v>1.0683715148286272</v>
      </c>
      <c r="L235" s="91">
        <f>19.014/2</f>
        <v>9.5069999999999997</v>
      </c>
      <c r="M235" s="91">
        <v>166.77</v>
      </c>
      <c r="N235" s="91">
        <f t="shared" si="134"/>
        <v>9.5069999999999997</v>
      </c>
      <c r="O235" s="91">
        <v>181.18</v>
      </c>
      <c r="P235" s="92">
        <f t="shared" si="138"/>
        <v>1.0864064280146308</v>
      </c>
      <c r="Q235" s="91">
        <f>11.219/2</f>
        <v>5.6094999999999997</v>
      </c>
      <c r="R235" s="91">
        <v>162.15</v>
      </c>
      <c r="S235" s="91">
        <f t="shared" si="135"/>
        <v>5.6094999999999997</v>
      </c>
      <c r="T235" s="91">
        <v>162.15</v>
      </c>
      <c r="U235" s="92">
        <f t="shared" si="139"/>
        <v>1</v>
      </c>
      <c r="V235" s="172">
        <f t="shared" si="127"/>
        <v>1.070576232089784</v>
      </c>
    </row>
    <row r="236" spans="1:22" hidden="1">
      <c r="A236" s="109" t="s">
        <v>49</v>
      </c>
      <c r="B236" s="91"/>
      <c r="C236" s="91"/>
      <c r="D236" s="91">
        <f t="shared" si="132"/>
        <v>0</v>
      </c>
      <c r="E236" s="91"/>
      <c r="F236" s="92"/>
      <c r="G236" s="115"/>
      <c r="H236" s="115"/>
      <c r="I236" s="115">
        <f t="shared" si="133"/>
        <v>0</v>
      </c>
      <c r="J236" s="115"/>
      <c r="K236" s="92"/>
      <c r="L236" s="91">
        <f>4.61/2</f>
        <v>2.3050000000000002</v>
      </c>
      <c r="M236" s="91">
        <v>120.12</v>
      </c>
      <c r="N236" s="91">
        <f t="shared" si="134"/>
        <v>2.3050000000000002</v>
      </c>
      <c r="O236" s="91">
        <v>126.37</v>
      </c>
      <c r="P236" s="92">
        <f t="shared" si="138"/>
        <v>1.0520313020313021</v>
      </c>
      <c r="Q236" s="91">
        <f>4.61/2</f>
        <v>2.3050000000000002</v>
      </c>
      <c r="R236" s="91">
        <v>120.12</v>
      </c>
      <c r="S236" s="91">
        <f t="shared" si="135"/>
        <v>2.3050000000000002</v>
      </c>
      <c r="T236" s="91">
        <v>126.37</v>
      </c>
      <c r="U236" s="92">
        <f t="shared" si="139"/>
        <v>1.0520313020313021</v>
      </c>
      <c r="V236" s="172">
        <f t="shared" si="127"/>
        <v>1.0520313020313021</v>
      </c>
    </row>
    <row r="237" spans="1:22" hidden="1">
      <c r="A237" s="109" t="s">
        <v>50</v>
      </c>
      <c r="B237" s="91">
        <f>13.9/2</f>
        <v>6.95</v>
      </c>
      <c r="C237" s="91">
        <v>114.2</v>
      </c>
      <c r="D237" s="91">
        <f t="shared" si="132"/>
        <v>6.95</v>
      </c>
      <c r="E237" s="91">
        <v>116.94</v>
      </c>
      <c r="F237" s="92">
        <f t="shared" si="136"/>
        <v>1.0239929947460595</v>
      </c>
      <c r="G237" s="115">
        <f>12.15/2</f>
        <v>6.0750000000000002</v>
      </c>
      <c r="H237" s="115">
        <v>104</v>
      </c>
      <c r="I237" s="115">
        <f t="shared" si="133"/>
        <v>6.0750000000000002</v>
      </c>
      <c r="J237" s="115">
        <v>111.38</v>
      </c>
      <c r="K237" s="92">
        <f t="shared" si="137"/>
        <v>1.0709615384615383</v>
      </c>
      <c r="L237" s="91">
        <f>2.9/2</f>
        <v>1.45</v>
      </c>
      <c r="M237" s="91">
        <v>30.83</v>
      </c>
      <c r="N237" s="91">
        <f t="shared" si="134"/>
        <v>1.45</v>
      </c>
      <c r="O237" s="91">
        <v>32.770000000000003</v>
      </c>
      <c r="P237" s="92">
        <f t="shared" si="138"/>
        <v>1.0629257216996433</v>
      </c>
      <c r="Q237" s="91">
        <f>2.1/2</f>
        <v>1.05</v>
      </c>
      <c r="R237" s="91">
        <v>30.83</v>
      </c>
      <c r="S237" s="91">
        <f t="shared" si="135"/>
        <v>1.05</v>
      </c>
      <c r="T237" s="91">
        <v>32.770000000000003</v>
      </c>
      <c r="U237" s="92">
        <f t="shared" si="139"/>
        <v>1.0629257216996435</v>
      </c>
      <c r="V237" s="172">
        <f t="shared" si="127"/>
        <v>1.0322691856857202</v>
      </c>
    </row>
    <row r="238" spans="1:22" hidden="1">
      <c r="A238" s="109" t="s">
        <v>51</v>
      </c>
      <c r="B238" s="91">
        <f>1.2/2</f>
        <v>0.6</v>
      </c>
      <c r="C238" s="91">
        <v>15</v>
      </c>
      <c r="D238" s="91">
        <f t="shared" si="132"/>
        <v>0.6</v>
      </c>
      <c r="E238" s="91">
        <v>15.93</v>
      </c>
      <c r="F238" s="92">
        <f t="shared" si="136"/>
        <v>1.0620000000000001</v>
      </c>
      <c r="G238" s="115">
        <f>1.2/2</f>
        <v>0.6</v>
      </c>
      <c r="H238" s="115">
        <v>15</v>
      </c>
      <c r="I238" s="115">
        <f t="shared" si="133"/>
        <v>0.6</v>
      </c>
      <c r="J238" s="115">
        <v>15.93</v>
      </c>
      <c r="K238" s="92">
        <f t="shared" si="137"/>
        <v>1.0620000000000001</v>
      </c>
      <c r="L238" s="91"/>
      <c r="M238" s="91"/>
      <c r="N238" s="91"/>
      <c r="O238" s="91"/>
      <c r="P238" s="92"/>
      <c r="Q238" s="91"/>
      <c r="R238" s="91"/>
      <c r="S238" s="91">
        <f t="shared" si="135"/>
        <v>0</v>
      </c>
      <c r="T238" s="91"/>
      <c r="U238" s="92"/>
      <c r="V238" s="172">
        <f t="shared" si="127"/>
        <v>1.0620000000000001</v>
      </c>
    </row>
    <row r="239" spans="1:22" hidden="1">
      <c r="A239" s="97" t="s">
        <v>54</v>
      </c>
      <c r="B239" s="91">
        <f>69.25/2</f>
        <v>34.625</v>
      </c>
      <c r="C239" s="91">
        <v>48.05</v>
      </c>
      <c r="D239" s="91">
        <f>B239</f>
        <v>34.625</v>
      </c>
      <c r="E239" s="91">
        <v>51.18</v>
      </c>
      <c r="F239" s="92">
        <f t="shared" si="136"/>
        <v>1.0651404786680543</v>
      </c>
      <c r="G239" s="91">
        <f>20.76/2</f>
        <v>10.38</v>
      </c>
      <c r="H239" s="91">
        <v>48.05</v>
      </c>
      <c r="I239" s="91">
        <f>G239</f>
        <v>10.38</v>
      </c>
      <c r="J239" s="91">
        <v>51.18</v>
      </c>
      <c r="K239" s="92">
        <f t="shared" si="137"/>
        <v>1.0651404786680543</v>
      </c>
      <c r="L239" s="91">
        <f>48.9/2</f>
        <v>24.45</v>
      </c>
      <c r="M239" s="91">
        <v>34.53</v>
      </c>
      <c r="N239" s="91">
        <f>L239</f>
        <v>24.45</v>
      </c>
      <c r="O239" s="91">
        <v>37</v>
      </c>
      <c r="P239" s="92">
        <f t="shared" ref="P239" si="140">(O239*N239)/(M239*L239)</f>
        <v>1.0715320011584129</v>
      </c>
      <c r="Q239" s="96">
        <f>20.76/2</f>
        <v>10.38</v>
      </c>
      <c r="R239" s="96">
        <v>34.53</v>
      </c>
      <c r="S239" s="96">
        <f>Q239</f>
        <v>10.38</v>
      </c>
      <c r="T239" s="112">
        <v>37</v>
      </c>
      <c r="U239" s="92">
        <f t="shared" ref="U239" si="141">T239/R239</f>
        <v>1.0715320011584129</v>
      </c>
      <c r="V239" s="172">
        <f t="shared" si="127"/>
        <v>1.0678130297892954</v>
      </c>
    </row>
    <row r="240" spans="1:22" hidden="1">
      <c r="A240" s="109" t="s">
        <v>52</v>
      </c>
      <c r="B240" s="96">
        <f>82.15/2</f>
        <v>41.075000000000003</v>
      </c>
      <c r="C240" s="96">
        <v>49.78</v>
      </c>
      <c r="D240" s="91">
        <f t="shared" si="132"/>
        <v>41.075000000000003</v>
      </c>
      <c r="E240" s="96">
        <v>52.37</v>
      </c>
      <c r="F240" s="92">
        <f t="shared" si="136"/>
        <v>1.0520289272800318</v>
      </c>
      <c r="G240" s="91">
        <f>65.17/2</f>
        <v>32.585000000000001</v>
      </c>
      <c r="H240" s="91">
        <v>49.78</v>
      </c>
      <c r="I240" s="115">
        <f t="shared" si="133"/>
        <v>32.585000000000001</v>
      </c>
      <c r="J240" s="91">
        <v>52.37</v>
      </c>
      <c r="K240" s="92">
        <f t="shared" si="137"/>
        <v>1.0520289272800321</v>
      </c>
      <c r="L240" s="96">
        <f>79.32/2</f>
        <v>39.659999999999997</v>
      </c>
      <c r="M240" s="96">
        <v>88.71</v>
      </c>
      <c r="N240" s="91">
        <f t="shared" si="134"/>
        <v>39.659999999999997</v>
      </c>
      <c r="O240" s="96">
        <v>88.71</v>
      </c>
      <c r="P240" s="92">
        <f t="shared" si="138"/>
        <v>1</v>
      </c>
      <c r="Q240" s="91">
        <f>63.26/2</f>
        <v>31.63</v>
      </c>
      <c r="R240" s="91">
        <v>78.2</v>
      </c>
      <c r="S240" s="91">
        <f t="shared" si="135"/>
        <v>31.63</v>
      </c>
      <c r="T240" s="91">
        <v>81.72</v>
      </c>
      <c r="U240" s="92">
        <f t="shared" si="139"/>
        <v>1.0450127877237851</v>
      </c>
      <c r="V240" s="172">
        <f t="shared" si="127"/>
        <v>1.0187017113148962</v>
      </c>
    </row>
    <row r="241" spans="1:22" hidden="1">
      <c r="A241" s="97" t="s">
        <v>69</v>
      </c>
      <c r="B241" s="91">
        <f>SUM(B242:B251)</f>
        <v>757.09556779499997</v>
      </c>
      <c r="C241" s="91">
        <f>SUMPRODUCT(B242:B251,C242:C251)/B241</f>
        <v>29.62297649837129</v>
      </c>
      <c r="D241" s="91">
        <f>SUM(D242:D251)</f>
        <v>757.09556779499997</v>
      </c>
      <c r="E241" s="91">
        <f>SUMPRODUCT(D242:D251,E242:E251)/D241</f>
        <v>31.070706939265101</v>
      </c>
      <c r="F241" s="92">
        <f>E241/C241</f>
        <v>1.0488718762266651</v>
      </c>
      <c r="G241" s="91">
        <f>SUM(G242:G251)</f>
        <v>460.14299999999997</v>
      </c>
      <c r="H241" s="91">
        <f>SUMPRODUCT(G242:G251,H242:H251)/G241</f>
        <v>22.718571879478738</v>
      </c>
      <c r="I241" s="91">
        <f>SUM(I242:I251)</f>
        <v>460.14299999999997</v>
      </c>
      <c r="J241" s="91">
        <f>SUMPRODUCT(I242:I251,J242:J251)/I241</f>
        <v>24.348573988071582</v>
      </c>
      <c r="K241" s="92">
        <f>J241/H241</f>
        <v>1.0717475604206088</v>
      </c>
      <c r="L241" s="91">
        <f>SUM(L242:L251)</f>
        <v>614.23799999999994</v>
      </c>
      <c r="M241" s="91">
        <f>SUMPRODUCT(L242:L251,M242:M251)/L241</f>
        <v>31.605080945822309</v>
      </c>
      <c r="N241" s="91">
        <f>SUM(N242:N251)</f>
        <v>614.23799999999994</v>
      </c>
      <c r="O241" s="91">
        <f>SUMPRODUCT(N242:N251,O242:O251)/N241</f>
        <v>33.870761642881106</v>
      </c>
      <c r="P241" s="92">
        <f>O241/M241</f>
        <v>1.0716872296876141</v>
      </c>
      <c r="Q241" s="91">
        <f>SUM(Q242:Q251)</f>
        <v>367.66250000000002</v>
      </c>
      <c r="R241" s="91">
        <f>SUMPRODUCT(Q242:Q251,R242:R251)/Q241</f>
        <v>23.109462744652863</v>
      </c>
      <c r="S241" s="91">
        <f>SUM(S242:S251)</f>
        <v>367.66250000000002</v>
      </c>
      <c r="T241" s="91">
        <f>SUMPRODUCT(S242:S251,T242:T251)/S241</f>
        <v>24.752614406059347</v>
      </c>
      <c r="U241" s="92">
        <f>T241/R241</f>
        <v>1.0711029797430787</v>
      </c>
      <c r="V241" s="172">
        <f t="shared" si="127"/>
        <v>1.0606488478151899</v>
      </c>
    </row>
    <row r="242" spans="1:22" hidden="1">
      <c r="A242" s="90" t="s">
        <v>70</v>
      </c>
      <c r="B242" s="91">
        <f>1079.32/2</f>
        <v>539.66</v>
      </c>
      <c r="C242" s="91">
        <v>27.7</v>
      </c>
      <c r="D242" s="91">
        <f>B242</f>
        <v>539.66</v>
      </c>
      <c r="E242" s="91">
        <v>28.94</v>
      </c>
      <c r="F242" s="92">
        <f>(E242*D242)/(C242*B242)</f>
        <v>1.0447653429602888</v>
      </c>
      <c r="G242" s="91">
        <f>680/2</f>
        <v>340</v>
      </c>
      <c r="H242" s="91">
        <f>26.5/1.18</f>
        <v>22.457627118644069</v>
      </c>
      <c r="I242" s="91">
        <f>G242</f>
        <v>340</v>
      </c>
      <c r="J242" s="91">
        <f>28.38/1.18</f>
        <v>24.050847457627118</v>
      </c>
      <c r="K242" s="92">
        <f>(J242*I242)/(H242*G242)</f>
        <v>1.070943396226415</v>
      </c>
      <c r="L242" s="91">
        <f>997.16/2</f>
        <v>498.58</v>
      </c>
      <c r="M242" s="91">
        <v>28.28</v>
      </c>
      <c r="N242" s="91">
        <f>L242</f>
        <v>498.58</v>
      </c>
      <c r="O242" s="91">
        <v>30.39</v>
      </c>
      <c r="P242" s="92">
        <f>(O242*N242)/(M242*L242)</f>
        <v>1.0746110325318246</v>
      </c>
      <c r="Q242" s="96">
        <f>613.77/2</f>
        <v>306.88499999999999</v>
      </c>
      <c r="R242" s="112">
        <f>26/1.18</f>
        <v>22.033898305084747</v>
      </c>
      <c r="S242" s="112">
        <f>Q242</f>
        <v>306.88499999999999</v>
      </c>
      <c r="T242" s="112">
        <f>27.85/1.18</f>
        <v>23.601694915254239</v>
      </c>
      <c r="U242" s="92">
        <f t="shared" ref="U242:U250" si="142">T242/R242</f>
        <v>1.0711538461538461</v>
      </c>
      <c r="V242" s="172">
        <f t="shared" si="127"/>
        <v>1.0598428010003571</v>
      </c>
    </row>
    <row r="243" spans="1:22" hidden="1">
      <c r="A243" s="90" t="s">
        <v>71</v>
      </c>
      <c r="B243" s="91"/>
      <c r="C243" s="91"/>
      <c r="D243" s="91"/>
      <c r="E243" s="91"/>
      <c r="F243" s="92"/>
      <c r="G243" s="91"/>
      <c r="H243" s="91"/>
      <c r="I243" s="91">
        <f t="shared" ref="I243:I251" si="143">G243</f>
        <v>0</v>
      </c>
      <c r="J243" s="91"/>
      <c r="K243" s="92"/>
      <c r="L243" s="91"/>
      <c r="M243" s="91"/>
      <c r="N243" s="91"/>
      <c r="O243" s="91"/>
      <c r="P243" s="92"/>
      <c r="Q243" s="96"/>
      <c r="R243" s="112"/>
      <c r="S243" s="112"/>
      <c r="T243" s="112"/>
      <c r="U243" s="92"/>
      <c r="V243" s="172" t="e">
        <f t="shared" si="127"/>
        <v>#DIV/0!</v>
      </c>
    </row>
    <row r="244" spans="1:22" hidden="1">
      <c r="A244" s="90" t="s">
        <v>72</v>
      </c>
      <c r="B244" s="91">
        <f>13.994/2</f>
        <v>6.9969999999999999</v>
      </c>
      <c r="C244" s="91">
        <v>39.14</v>
      </c>
      <c r="D244" s="91">
        <f>B244</f>
        <v>6.9969999999999999</v>
      </c>
      <c r="E244" s="91">
        <v>40.5</v>
      </c>
      <c r="F244" s="92">
        <f t="shared" ref="F244:F250" si="144">(E244*D244)/(C244*B244)</f>
        <v>1.0347470618293306</v>
      </c>
      <c r="G244" s="91">
        <f>10.73/2</f>
        <v>5.3650000000000002</v>
      </c>
      <c r="H244" s="91">
        <v>14.8</v>
      </c>
      <c r="I244" s="91">
        <f t="shared" si="143"/>
        <v>5.3650000000000002</v>
      </c>
      <c r="J244" s="91">
        <v>17</v>
      </c>
      <c r="K244" s="92">
        <f t="shared" ref="K244:K251" si="145">(J244*I244)/(H244*G244)</f>
        <v>1.1486486486486487</v>
      </c>
      <c r="L244" s="91"/>
      <c r="M244" s="91"/>
      <c r="N244" s="91"/>
      <c r="O244" s="91"/>
      <c r="P244" s="92"/>
      <c r="Q244" s="96"/>
      <c r="R244" s="96"/>
      <c r="S244" s="96"/>
      <c r="T244" s="96"/>
      <c r="U244" s="92"/>
      <c r="V244" s="172">
        <f t="shared" si="127"/>
        <v>1.0347470618293306</v>
      </c>
    </row>
    <row r="245" spans="1:22" hidden="1">
      <c r="A245" s="90" t="s">
        <v>73</v>
      </c>
      <c r="B245" s="91">
        <f>349.684/2</f>
        <v>174.84200000000001</v>
      </c>
      <c r="C245" s="91">
        <v>34.19</v>
      </c>
      <c r="D245" s="91">
        <f t="shared" ref="D245:D250" si="146">B245</f>
        <v>174.84200000000001</v>
      </c>
      <c r="E245" s="91">
        <v>35.79</v>
      </c>
      <c r="F245" s="92">
        <f t="shared" si="144"/>
        <v>1.0467973091547236</v>
      </c>
      <c r="G245" s="91">
        <f>169.416/2</f>
        <v>84.707999999999998</v>
      </c>
      <c r="H245" s="91">
        <v>24</v>
      </c>
      <c r="I245" s="91">
        <f t="shared" si="143"/>
        <v>84.707999999999998</v>
      </c>
      <c r="J245" s="91">
        <v>25.7</v>
      </c>
      <c r="K245" s="92">
        <f t="shared" si="145"/>
        <v>1.0708333333333333</v>
      </c>
      <c r="L245" s="91">
        <f>227.962/2</f>
        <v>113.98099999999999</v>
      </c>
      <c r="M245" s="91">
        <v>45.85</v>
      </c>
      <c r="N245" s="91">
        <f t="shared" ref="N245" si="147">L245</f>
        <v>113.98099999999999</v>
      </c>
      <c r="O245" s="91">
        <v>48.83</v>
      </c>
      <c r="P245" s="92">
        <f t="shared" ref="P245:P250" si="148">(O245*N245)/(M245*L245)</f>
        <v>1.0649945474372955</v>
      </c>
      <c r="Q245" s="112">
        <f>119.911/2</f>
        <v>59.955500000000001</v>
      </c>
      <c r="R245" s="96">
        <v>28.63</v>
      </c>
      <c r="S245" s="112">
        <f>Q245</f>
        <v>59.955500000000001</v>
      </c>
      <c r="T245" s="96">
        <v>30.66</v>
      </c>
      <c r="U245" s="92">
        <f t="shared" si="142"/>
        <v>1.0709046454767726</v>
      </c>
      <c r="V245" s="172">
        <f t="shared" si="127"/>
        <v>1.0572213893053475</v>
      </c>
    </row>
    <row r="246" spans="1:22" hidden="1">
      <c r="A246" s="90" t="s">
        <v>74</v>
      </c>
      <c r="B246" s="91"/>
      <c r="C246" s="91"/>
      <c r="D246" s="91"/>
      <c r="E246" s="91"/>
      <c r="F246" s="92"/>
      <c r="G246" s="91"/>
      <c r="H246" s="91"/>
      <c r="I246" s="91"/>
      <c r="J246" s="91"/>
      <c r="K246" s="92"/>
      <c r="L246" s="91"/>
      <c r="M246" s="91"/>
      <c r="N246" s="91"/>
      <c r="O246" s="91"/>
      <c r="P246" s="92"/>
      <c r="Q246" s="96"/>
      <c r="R246" s="96"/>
      <c r="S246" s="96"/>
      <c r="T246" s="96"/>
      <c r="U246" s="92"/>
      <c r="V246" s="172" t="e">
        <f t="shared" si="127"/>
        <v>#DIV/0!</v>
      </c>
    </row>
    <row r="247" spans="1:22" hidden="1">
      <c r="A247" s="90" t="s">
        <v>75</v>
      </c>
      <c r="B247" s="91">
        <f>12.92/2*1.08321</f>
        <v>6.9975366000000001</v>
      </c>
      <c r="C247" s="91">
        <v>32.33</v>
      </c>
      <c r="D247" s="91">
        <f t="shared" si="146"/>
        <v>6.9975366000000001</v>
      </c>
      <c r="E247" s="91">
        <v>36.61</v>
      </c>
      <c r="F247" s="92">
        <f t="shared" si="144"/>
        <v>1.1323847819362822</v>
      </c>
      <c r="G247" s="91">
        <f>12.92/2</f>
        <v>6.46</v>
      </c>
      <c r="H247" s="91">
        <v>18</v>
      </c>
      <c r="I247" s="91">
        <f t="shared" si="143"/>
        <v>6.46</v>
      </c>
      <c r="J247" s="91">
        <v>19.399999999999999</v>
      </c>
      <c r="K247" s="92">
        <f t="shared" si="145"/>
        <v>1.0777777777777777</v>
      </c>
      <c r="L247" s="91"/>
      <c r="M247" s="91"/>
      <c r="N247" s="91"/>
      <c r="O247" s="91"/>
      <c r="P247" s="92"/>
      <c r="Q247" s="96"/>
      <c r="R247" s="96"/>
      <c r="S247" s="96"/>
      <c r="T247" s="96"/>
      <c r="U247" s="92"/>
      <c r="V247" s="172">
        <f t="shared" si="127"/>
        <v>1.1323847819362822</v>
      </c>
    </row>
    <row r="248" spans="1:22" hidden="1">
      <c r="A248" s="90" t="s">
        <v>76</v>
      </c>
      <c r="B248" s="91">
        <f>10.735/2*1.08321</f>
        <v>5.8141296749999993</v>
      </c>
      <c r="C248" s="91">
        <v>32.33</v>
      </c>
      <c r="D248" s="91">
        <f t="shared" si="146"/>
        <v>5.8141296749999993</v>
      </c>
      <c r="E248" s="91">
        <v>36.61</v>
      </c>
      <c r="F248" s="92">
        <f t="shared" si="144"/>
        <v>1.132384781936282</v>
      </c>
      <c r="G248" s="91">
        <f>10.735/2</f>
        <v>5.3674999999999997</v>
      </c>
      <c r="H248" s="91">
        <v>26.6</v>
      </c>
      <c r="I248" s="91">
        <f t="shared" si="143"/>
        <v>5.3674999999999997</v>
      </c>
      <c r="J248" s="91">
        <v>28.55</v>
      </c>
      <c r="K248" s="92">
        <f t="shared" si="145"/>
        <v>1.0733082706766917</v>
      </c>
      <c r="L248" s="91"/>
      <c r="M248" s="91"/>
      <c r="N248" s="91"/>
      <c r="O248" s="91"/>
      <c r="P248" s="92"/>
      <c r="Q248" s="96"/>
      <c r="R248" s="96"/>
      <c r="S248" s="96"/>
      <c r="T248" s="96"/>
      <c r="U248" s="92"/>
      <c r="V248" s="172">
        <f t="shared" si="127"/>
        <v>1.1323847819362822</v>
      </c>
    </row>
    <row r="249" spans="1:22" hidden="1">
      <c r="A249" s="90" t="s">
        <v>77</v>
      </c>
      <c r="B249" s="91">
        <f>28.624/2*1.08321</f>
        <v>15.50290152</v>
      </c>
      <c r="C249" s="91">
        <v>32.33</v>
      </c>
      <c r="D249" s="91">
        <f t="shared" si="146"/>
        <v>15.50290152</v>
      </c>
      <c r="E249" s="91">
        <v>36.61</v>
      </c>
      <c r="F249" s="92">
        <f t="shared" si="144"/>
        <v>1.1323847819362822</v>
      </c>
      <c r="G249" s="91">
        <f>28.624/2</f>
        <v>14.311999999999999</v>
      </c>
      <c r="H249" s="91">
        <v>23.8</v>
      </c>
      <c r="I249" s="91">
        <f t="shared" si="143"/>
        <v>14.311999999999999</v>
      </c>
      <c r="J249" s="91">
        <v>25.58</v>
      </c>
      <c r="K249" s="92">
        <f t="shared" si="145"/>
        <v>1.0747899159663865</v>
      </c>
      <c r="L249" s="91"/>
      <c r="M249" s="91"/>
      <c r="N249" s="91"/>
      <c r="O249" s="91"/>
      <c r="P249" s="92"/>
      <c r="Q249" s="96"/>
      <c r="R249" s="96"/>
      <c r="S249" s="96"/>
      <c r="T249" s="96"/>
      <c r="U249" s="92"/>
      <c r="V249" s="172">
        <f t="shared" si="127"/>
        <v>1.1323847819362822</v>
      </c>
    </row>
    <row r="250" spans="1:22" hidden="1">
      <c r="A250" s="90" t="s">
        <v>78</v>
      </c>
      <c r="B250" s="91">
        <f>7.641/2</f>
        <v>3.8205</v>
      </c>
      <c r="C250" s="91">
        <v>43.62</v>
      </c>
      <c r="D250" s="91">
        <f t="shared" si="146"/>
        <v>3.8205</v>
      </c>
      <c r="E250" s="91">
        <v>45.26</v>
      </c>
      <c r="F250" s="92">
        <f t="shared" si="144"/>
        <v>1.0375974323704724</v>
      </c>
      <c r="G250" s="91">
        <f>4.841/2</f>
        <v>2.4205000000000001</v>
      </c>
      <c r="H250" s="91">
        <v>27</v>
      </c>
      <c r="I250" s="91">
        <f t="shared" si="143"/>
        <v>2.4205000000000001</v>
      </c>
      <c r="J250" s="91">
        <v>28.92</v>
      </c>
      <c r="K250" s="92">
        <f t="shared" si="145"/>
        <v>1.0711111111111111</v>
      </c>
      <c r="L250" s="91">
        <f>3.354/2</f>
        <v>1.677</v>
      </c>
      <c r="M250" s="91">
        <v>51.98</v>
      </c>
      <c r="N250" s="91">
        <f>L250</f>
        <v>1.677</v>
      </c>
      <c r="O250" s="91">
        <v>51.98</v>
      </c>
      <c r="P250" s="92">
        <f t="shared" si="148"/>
        <v>1</v>
      </c>
      <c r="Q250" s="96">
        <f>1.644/2</f>
        <v>0.82199999999999995</v>
      </c>
      <c r="R250" s="112">
        <v>22</v>
      </c>
      <c r="S250" s="96">
        <f>Q250</f>
        <v>0.82199999999999995</v>
      </c>
      <c r="T250" s="96">
        <v>23.56</v>
      </c>
      <c r="U250" s="92">
        <f t="shared" si="142"/>
        <v>1.0709090909090908</v>
      </c>
      <c r="V250" s="172">
        <f t="shared" si="127"/>
        <v>1.0171548117154812</v>
      </c>
    </row>
    <row r="251" spans="1:22" hidden="1">
      <c r="A251" s="90" t="s">
        <v>79</v>
      </c>
      <c r="B251" s="91">
        <f>6.923/2</f>
        <v>3.4615</v>
      </c>
      <c r="C251" s="91">
        <v>41.91</v>
      </c>
      <c r="D251" s="91">
        <f>B251</f>
        <v>3.4615</v>
      </c>
      <c r="E251" s="91">
        <v>44.85</v>
      </c>
      <c r="F251" s="92">
        <f>(E251*D251)/(C251*B251)</f>
        <v>1.0701503221188262</v>
      </c>
      <c r="G251" s="91">
        <f>3.02/2</f>
        <v>1.51</v>
      </c>
      <c r="H251" s="91">
        <v>27</v>
      </c>
      <c r="I251" s="91">
        <f t="shared" si="143"/>
        <v>1.51</v>
      </c>
      <c r="J251" s="91">
        <v>28.92</v>
      </c>
      <c r="K251" s="92">
        <f t="shared" si="145"/>
        <v>1.0711111111111111</v>
      </c>
      <c r="L251" s="91"/>
      <c r="M251" s="91"/>
      <c r="N251" s="91"/>
      <c r="O251" s="91"/>
      <c r="P251" s="92"/>
      <c r="Q251" s="96"/>
      <c r="R251" s="96"/>
      <c r="S251" s="96"/>
      <c r="T251" s="96"/>
      <c r="U251" s="92"/>
      <c r="V251" s="172">
        <f t="shared" si="127"/>
        <v>1.0701503221188262</v>
      </c>
    </row>
    <row r="252" spans="1:22" hidden="1">
      <c r="A252" s="90" t="s">
        <v>80</v>
      </c>
      <c r="B252" s="91">
        <f>SUM(B253:B264)</f>
        <v>286.63484500000004</v>
      </c>
      <c r="C252" s="91">
        <f>SUMPRODUCT(B253:B264,C253:C264)/B252</f>
        <v>45.517804938370269</v>
      </c>
      <c r="D252" s="91">
        <f>SUM(D253:D264)</f>
        <v>286.63484500000004</v>
      </c>
      <c r="E252" s="91">
        <f>SUMPRODUCT(D253:D264,E253:E264)/D252</f>
        <v>45.993822468269677</v>
      </c>
      <c r="F252" s="92">
        <f>E252/C252</f>
        <v>1.0104578314034238</v>
      </c>
      <c r="G252" s="91">
        <f>SUM(G253:G264)</f>
        <v>119.078</v>
      </c>
      <c r="H252" s="91">
        <f>SUMPRODUCT(G253:G264,H253:H264)/G252</f>
        <v>37.209501538800524</v>
      </c>
      <c r="I252" s="91">
        <f>SUM(I253:I264)</f>
        <v>119.078</v>
      </c>
      <c r="J252" s="91">
        <f>SUMPRODUCT(I253:I264,J253:J264)/I252</f>
        <v>39.884858806405489</v>
      </c>
      <c r="K252" s="92">
        <f>J252/H252</f>
        <v>1.0718998416255379</v>
      </c>
      <c r="L252" s="91">
        <f>SUM(L253:L264)</f>
        <v>104.746</v>
      </c>
      <c r="M252" s="91">
        <f>SUMPRODUCT(L253:L264,M253:M264)/L252</f>
        <v>76.30067267485154</v>
      </c>
      <c r="N252" s="91">
        <f>SUM(N253:N264)</f>
        <v>104.746</v>
      </c>
      <c r="O252" s="91">
        <f>SUMPRODUCT(N253:N264,O253:O264)/N252</f>
        <v>78.483273442422615</v>
      </c>
      <c r="P252" s="92">
        <f>O252/M252</f>
        <v>1.0286052624578033</v>
      </c>
      <c r="Q252" s="91">
        <f>SUM(Q253:Q264)</f>
        <v>76.736000000000004</v>
      </c>
      <c r="R252" s="91">
        <f>SUMPRODUCT(Q253:Q264,R253:R264)/Q252</f>
        <v>51.34760870640789</v>
      </c>
      <c r="S252" s="91">
        <f>SUM(S253:S264)</f>
        <v>76.736000000000004</v>
      </c>
      <c r="T252" s="91">
        <f>SUMPRODUCT(S253:S264,T253:T264)/S252</f>
        <v>54.992029021359606</v>
      </c>
      <c r="U252" s="92">
        <f>T252/R252</f>
        <v>1.0709754632545705</v>
      </c>
      <c r="V252" s="172">
        <f t="shared" si="127"/>
        <v>1.0218244255679481</v>
      </c>
    </row>
    <row r="253" spans="1:22" hidden="1">
      <c r="A253" s="97" t="s">
        <v>81</v>
      </c>
      <c r="B253" s="91">
        <f>0.98369/2</f>
        <v>0.49184499999999998</v>
      </c>
      <c r="C253" s="91">
        <v>34.85</v>
      </c>
      <c r="D253" s="91">
        <f>B253</f>
        <v>0.49184499999999998</v>
      </c>
      <c r="E253" s="91">
        <v>37.07</v>
      </c>
      <c r="F253" s="92">
        <f>(E253*D253)/(C253*B253)</f>
        <v>1.0637015781922525</v>
      </c>
      <c r="G253" s="91"/>
      <c r="H253" s="91"/>
      <c r="I253" s="91"/>
      <c r="J253" s="91"/>
      <c r="K253" s="92"/>
      <c r="L253" s="91"/>
      <c r="M253" s="91"/>
      <c r="N253" s="91"/>
      <c r="O253" s="91"/>
      <c r="P253" s="92"/>
      <c r="Q253" s="96"/>
      <c r="R253" s="112"/>
      <c r="S253" s="112"/>
      <c r="T253" s="112"/>
      <c r="U253" s="92"/>
      <c r="V253" s="172">
        <f t="shared" si="127"/>
        <v>1.0637015781922525</v>
      </c>
    </row>
    <row r="254" spans="1:22" hidden="1">
      <c r="A254" s="97" t="s">
        <v>92</v>
      </c>
      <c r="B254" s="91">
        <f>14.76/2</f>
        <v>7.38</v>
      </c>
      <c r="C254" s="91">
        <v>93.81</v>
      </c>
      <c r="D254" s="91">
        <f>B254</f>
        <v>7.38</v>
      </c>
      <c r="E254" s="91">
        <v>100.11</v>
      </c>
      <c r="F254" s="92">
        <f t="shared" ref="F254" si="149">(E254*D254)/(C254*B254)</f>
        <v>1.0671570195075151</v>
      </c>
      <c r="G254" s="91">
        <f>7.09/2</f>
        <v>3.5449999999999999</v>
      </c>
      <c r="H254" s="91">
        <v>30.53</v>
      </c>
      <c r="I254" s="91">
        <f>G254</f>
        <v>3.5449999999999999</v>
      </c>
      <c r="J254" s="91">
        <v>32.700000000000003</v>
      </c>
      <c r="K254" s="92">
        <f t="shared" ref="K254:K261" si="150">(J254*I254)/(H254*G254)</f>
        <v>1.07107762856207</v>
      </c>
      <c r="L254" s="91">
        <f>14.76/2</f>
        <v>7.38</v>
      </c>
      <c r="M254" s="91">
        <v>110.48</v>
      </c>
      <c r="N254" s="91">
        <f>L254</f>
        <v>7.38</v>
      </c>
      <c r="O254" s="91">
        <v>118.37</v>
      </c>
      <c r="P254" s="92">
        <f t="shared" ref="P254" si="151">(O254*N254)/(M254*L254)</f>
        <v>1.0714156408399711</v>
      </c>
      <c r="Q254" s="96">
        <f>9.12/2</f>
        <v>4.5599999999999996</v>
      </c>
      <c r="R254" s="96">
        <v>51.35</v>
      </c>
      <c r="S254" s="96">
        <f>Q254</f>
        <v>4.5599999999999996</v>
      </c>
      <c r="T254" s="112">
        <v>55</v>
      </c>
      <c r="U254" s="92">
        <f t="shared" ref="U254:U258" si="152">T254/R254</f>
        <v>1.071080817916261</v>
      </c>
      <c r="V254" s="172">
        <f t="shared" si="127"/>
        <v>1.0694600812570365</v>
      </c>
    </row>
    <row r="255" spans="1:22" hidden="1">
      <c r="A255" s="97" t="s">
        <v>82</v>
      </c>
      <c r="B255" s="91">
        <f>4.92/2</f>
        <v>2.46</v>
      </c>
      <c r="C255" s="91">
        <v>57.33</v>
      </c>
      <c r="D255" s="91">
        <f>B255</f>
        <v>2.46</v>
      </c>
      <c r="E255" s="91">
        <v>59.81</v>
      </c>
      <c r="F255" s="92">
        <f>(E255*D255)/(C255*B255)</f>
        <v>1.0432583289726147</v>
      </c>
      <c r="G255" s="91">
        <f>3.04/2</f>
        <v>1.52</v>
      </c>
      <c r="H255" s="91">
        <v>57.33</v>
      </c>
      <c r="I255" s="91">
        <f t="shared" ref="I255:I261" si="153">G255</f>
        <v>1.52</v>
      </c>
      <c r="J255" s="91">
        <v>59.81</v>
      </c>
      <c r="K255" s="92">
        <f t="shared" si="150"/>
        <v>1.0432583289726147</v>
      </c>
      <c r="L255" s="91"/>
      <c r="M255" s="91"/>
      <c r="N255" s="91"/>
      <c r="O255" s="91"/>
      <c r="P255" s="92"/>
      <c r="Q255" s="96"/>
      <c r="R255" s="112"/>
      <c r="S255" s="112"/>
      <c r="T255" s="112"/>
      <c r="U255" s="92"/>
      <c r="V255" s="172">
        <f t="shared" si="127"/>
        <v>1.0432583289726147</v>
      </c>
    </row>
    <row r="256" spans="1:22" hidden="1">
      <c r="A256" s="97" t="s">
        <v>83</v>
      </c>
      <c r="B256" s="91">
        <f>5.59/2</f>
        <v>2.7949999999999999</v>
      </c>
      <c r="C256" s="91">
        <v>71.900000000000006</v>
      </c>
      <c r="D256" s="91">
        <f>B256</f>
        <v>2.7949999999999999</v>
      </c>
      <c r="E256" s="91">
        <v>75</v>
      </c>
      <c r="F256" s="92">
        <f t="shared" ref="F256:F264" si="154">(E256*D256)/(C256*B256)</f>
        <v>1.0431154381084839</v>
      </c>
      <c r="G256" s="91">
        <f>3.74/2</f>
        <v>1.87</v>
      </c>
      <c r="H256" s="91">
        <v>39.18</v>
      </c>
      <c r="I256" s="91">
        <f t="shared" si="153"/>
        <v>1.87</v>
      </c>
      <c r="J256" s="91">
        <v>42.51</v>
      </c>
      <c r="K256" s="92">
        <f t="shared" si="150"/>
        <v>1.0849923430321593</v>
      </c>
      <c r="L256" s="91"/>
      <c r="M256" s="91"/>
      <c r="N256" s="91"/>
      <c r="O256" s="91"/>
      <c r="P256" s="92"/>
      <c r="Q256" s="96"/>
      <c r="R256" s="96"/>
      <c r="S256" s="96"/>
      <c r="T256" s="96"/>
      <c r="U256" s="92"/>
      <c r="V256" s="172">
        <f t="shared" si="127"/>
        <v>1.0431154381084839</v>
      </c>
    </row>
    <row r="257" spans="1:22" hidden="1">
      <c r="A257" s="97" t="s">
        <v>84</v>
      </c>
      <c r="B257" s="91">
        <f>51.206/2</f>
        <v>25.603000000000002</v>
      </c>
      <c r="C257" s="91">
        <v>63.85</v>
      </c>
      <c r="D257" s="91">
        <f t="shared" ref="D257:D264" si="155">B257</f>
        <v>25.603000000000002</v>
      </c>
      <c r="E257" s="91">
        <v>63.85</v>
      </c>
      <c r="F257" s="92">
        <f t="shared" si="154"/>
        <v>1</v>
      </c>
      <c r="G257" s="91">
        <f>39.507/2</f>
        <v>19.753499999999999</v>
      </c>
      <c r="H257" s="91">
        <v>41</v>
      </c>
      <c r="I257" s="91">
        <f t="shared" si="153"/>
        <v>19.753499999999999</v>
      </c>
      <c r="J257" s="91">
        <v>43.91</v>
      </c>
      <c r="K257" s="92">
        <f t="shared" si="150"/>
        <v>1.0709756097560974</v>
      </c>
      <c r="L257" s="91"/>
      <c r="M257" s="91"/>
      <c r="N257" s="91"/>
      <c r="O257" s="91"/>
      <c r="P257" s="92"/>
      <c r="Q257" s="112"/>
      <c r="R257" s="96"/>
      <c r="S257" s="112"/>
      <c r="T257" s="96"/>
      <c r="U257" s="92"/>
      <c r="V257" s="172">
        <f t="shared" si="127"/>
        <v>1</v>
      </c>
    </row>
    <row r="258" spans="1:22" hidden="1">
      <c r="A258" s="97" t="s">
        <v>85</v>
      </c>
      <c r="B258" s="91">
        <f>340.636/2</f>
        <v>170.31800000000001</v>
      </c>
      <c r="C258" s="91">
        <v>44.4</v>
      </c>
      <c r="D258" s="91">
        <f t="shared" si="155"/>
        <v>170.31800000000001</v>
      </c>
      <c r="E258" s="91">
        <v>44.4</v>
      </c>
      <c r="F258" s="92">
        <f t="shared" si="154"/>
        <v>1</v>
      </c>
      <c r="G258" s="91">
        <f>163.416/2</f>
        <v>81.707999999999998</v>
      </c>
      <c r="H258" s="91">
        <f>42.1/1.18</f>
        <v>35.677966101694921</v>
      </c>
      <c r="I258" s="91">
        <f t="shared" si="153"/>
        <v>81.707999999999998</v>
      </c>
      <c r="J258" s="91">
        <f>45.09/1.18</f>
        <v>38.211864406779668</v>
      </c>
      <c r="K258" s="92">
        <f t="shared" si="150"/>
        <v>1.0710213776722091</v>
      </c>
      <c r="L258" s="91">
        <f>194.732/2</f>
        <v>97.366</v>
      </c>
      <c r="M258" s="91">
        <v>73.709999999999994</v>
      </c>
      <c r="N258" s="91">
        <f t="shared" ref="N258" si="156">L258</f>
        <v>97.366</v>
      </c>
      <c r="O258" s="91">
        <v>75.459999999999994</v>
      </c>
      <c r="P258" s="92">
        <f t="shared" ref="P258" si="157">(O258*N258)/(M258*L258)</f>
        <v>1.0237416904083572</v>
      </c>
      <c r="Q258" s="112">
        <f>144.352/2</f>
        <v>72.176000000000002</v>
      </c>
      <c r="R258" s="112">
        <f>60.59/1.18</f>
        <v>51.347457627118651</v>
      </c>
      <c r="S258" s="112">
        <f>Q258</f>
        <v>72.176000000000002</v>
      </c>
      <c r="T258" s="112">
        <f>64.89/1.18</f>
        <v>54.991525423728817</v>
      </c>
      <c r="U258" s="92">
        <f t="shared" si="152"/>
        <v>1.0709688067337844</v>
      </c>
      <c r="V258" s="172">
        <f t="shared" si="127"/>
        <v>1.0148166963000593</v>
      </c>
    </row>
    <row r="259" spans="1:22" hidden="1">
      <c r="A259" s="97" t="s">
        <v>86</v>
      </c>
      <c r="B259" s="91">
        <f>4.612/2</f>
        <v>2.306</v>
      </c>
      <c r="C259" s="91">
        <v>70.38</v>
      </c>
      <c r="D259" s="91">
        <f t="shared" si="155"/>
        <v>2.306</v>
      </c>
      <c r="E259" s="91">
        <v>71.069999999999993</v>
      </c>
      <c r="F259" s="92">
        <f t="shared" si="154"/>
        <v>1.0098039215686274</v>
      </c>
      <c r="G259" s="91">
        <f>3/2</f>
        <v>1.5</v>
      </c>
      <c r="H259" s="91">
        <v>42.1</v>
      </c>
      <c r="I259" s="91">
        <f t="shared" si="153"/>
        <v>1.5</v>
      </c>
      <c r="J259" s="91">
        <v>45.68</v>
      </c>
      <c r="K259" s="92">
        <f t="shared" si="150"/>
        <v>1.0850356294536816</v>
      </c>
      <c r="L259" s="91"/>
      <c r="M259" s="91"/>
      <c r="N259" s="91"/>
      <c r="O259" s="91"/>
      <c r="P259" s="92"/>
      <c r="Q259" s="96"/>
      <c r="R259" s="96"/>
      <c r="S259" s="96"/>
      <c r="T259" s="96"/>
      <c r="U259" s="92"/>
      <c r="V259" s="172">
        <f t="shared" si="127"/>
        <v>1.0098039215686274</v>
      </c>
    </row>
    <row r="260" spans="1:22" hidden="1">
      <c r="A260" s="97" t="s">
        <v>87</v>
      </c>
      <c r="B260" s="91">
        <f>16.1/2</f>
        <v>8.0500000000000007</v>
      </c>
      <c r="C260" s="91">
        <v>48.63</v>
      </c>
      <c r="D260" s="91">
        <f t="shared" si="155"/>
        <v>8.0500000000000007</v>
      </c>
      <c r="E260" s="91">
        <v>48.63</v>
      </c>
      <c r="F260" s="92">
        <f t="shared" si="154"/>
        <v>1</v>
      </c>
      <c r="G260" s="91">
        <f>11.83/2</f>
        <v>5.915</v>
      </c>
      <c r="H260" s="91">
        <v>42.1</v>
      </c>
      <c r="I260" s="91">
        <f t="shared" si="153"/>
        <v>5.915</v>
      </c>
      <c r="J260" s="91">
        <v>45.68</v>
      </c>
      <c r="K260" s="92">
        <f t="shared" si="150"/>
        <v>1.0850356294536818</v>
      </c>
      <c r="L260" s="91"/>
      <c r="M260" s="91"/>
      <c r="N260" s="91"/>
      <c r="O260" s="91"/>
      <c r="P260" s="92"/>
      <c r="Q260" s="96"/>
      <c r="R260" s="96"/>
      <c r="S260" s="96"/>
      <c r="T260" s="96"/>
      <c r="U260" s="92"/>
      <c r="V260" s="172">
        <f t="shared" si="127"/>
        <v>1</v>
      </c>
    </row>
    <row r="261" spans="1:22" hidden="1">
      <c r="A261" s="97" t="s">
        <v>88</v>
      </c>
      <c r="B261" s="91">
        <f>84.507/2</f>
        <v>42.253500000000003</v>
      </c>
      <c r="C261" s="91">
        <v>34.61</v>
      </c>
      <c r="D261" s="91">
        <f t="shared" si="155"/>
        <v>42.253500000000003</v>
      </c>
      <c r="E261" s="91">
        <v>34.61</v>
      </c>
      <c r="F261" s="92">
        <f t="shared" si="154"/>
        <v>1</v>
      </c>
      <c r="G261" s="91">
        <v>0.17499999999999999</v>
      </c>
      <c r="H261" s="91">
        <v>34.61</v>
      </c>
      <c r="I261" s="91">
        <f t="shared" si="153"/>
        <v>0.17499999999999999</v>
      </c>
      <c r="J261" s="91">
        <v>34.61</v>
      </c>
      <c r="K261" s="92">
        <f t="shared" si="150"/>
        <v>1</v>
      </c>
      <c r="L261" s="91"/>
      <c r="M261" s="91"/>
      <c r="N261" s="91"/>
      <c r="O261" s="91"/>
      <c r="P261" s="92"/>
      <c r="Q261" s="96"/>
      <c r="R261" s="96"/>
      <c r="S261" s="96"/>
      <c r="T261" s="96"/>
      <c r="U261" s="92"/>
      <c r="V261" s="172">
        <f t="shared" si="127"/>
        <v>1</v>
      </c>
    </row>
    <row r="262" spans="1:22" hidden="1">
      <c r="A262" s="97" t="s">
        <v>89</v>
      </c>
      <c r="B262" s="91">
        <f>(41-8.3)/2</f>
        <v>16.350000000000001</v>
      </c>
      <c r="C262" s="91">
        <v>24.41</v>
      </c>
      <c r="D262" s="91">
        <f t="shared" si="155"/>
        <v>16.350000000000001</v>
      </c>
      <c r="E262" s="91">
        <v>26.38</v>
      </c>
      <c r="F262" s="92">
        <f t="shared" si="154"/>
        <v>1.0807046292503073</v>
      </c>
      <c r="G262" s="91"/>
      <c r="H262" s="91"/>
      <c r="I262" s="91"/>
      <c r="J262" s="91"/>
      <c r="K262" s="92"/>
      <c r="L262" s="91"/>
      <c r="M262" s="91"/>
      <c r="N262" s="91"/>
      <c r="O262" s="91"/>
      <c r="P262" s="92"/>
      <c r="Q262" s="96"/>
      <c r="R262" s="96"/>
      <c r="S262" s="96"/>
      <c r="T262" s="96"/>
      <c r="U262" s="92"/>
      <c r="V262" s="172">
        <f t="shared" si="127"/>
        <v>1.0807046292503073</v>
      </c>
    </row>
    <row r="263" spans="1:22" hidden="1">
      <c r="A263" s="97" t="s">
        <v>90</v>
      </c>
      <c r="B263" s="91">
        <f>10.8/2</f>
        <v>5.4</v>
      </c>
      <c r="C263" s="91">
        <v>36</v>
      </c>
      <c r="D263" s="91">
        <f t="shared" si="155"/>
        <v>5.4</v>
      </c>
      <c r="E263" s="91">
        <v>38.65</v>
      </c>
      <c r="F263" s="92">
        <f t="shared" si="154"/>
        <v>1.0736111111111111</v>
      </c>
      <c r="G263" s="91">
        <f>1.4/2</f>
        <v>0.7</v>
      </c>
      <c r="H263" s="91">
        <v>36</v>
      </c>
      <c r="I263" s="91">
        <f t="shared" ref="I263:I264" si="158">G263</f>
        <v>0.7</v>
      </c>
      <c r="J263" s="91">
        <v>38.65</v>
      </c>
      <c r="K263" s="92">
        <f t="shared" ref="K263:K264" si="159">(J263*I263)/(H263*G263)</f>
        <v>1.0736111111111111</v>
      </c>
      <c r="L263" s="91"/>
      <c r="M263" s="91"/>
      <c r="N263" s="91"/>
      <c r="O263" s="91"/>
      <c r="P263" s="92"/>
      <c r="Q263" s="96"/>
      <c r="R263" s="96"/>
      <c r="S263" s="96"/>
      <c r="T263" s="96"/>
      <c r="U263" s="92"/>
      <c r="V263" s="172">
        <f t="shared" si="127"/>
        <v>1.0736111111111111</v>
      </c>
    </row>
    <row r="264" spans="1:22" hidden="1">
      <c r="A264" s="97" t="s">
        <v>91</v>
      </c>
      <c r="B264" s="91">
        <f>6.455/2</f>
        <v>3.2275</v>
      </c>
      <c r="C264" s="91">
        <v>58.56</v>
      </c>
      <c r="D264" s="91">
        <f t="shared" si="155"/>
        <v>3.2275</v>
      </c>
      <c r="E264" s="91">
        <v>66.61</v>
      </c>
      <c r="F264" s="92">
        <f t="shared" si="154"/>
        <v>1.1374658469945353</v>
      </c>
      <c r="G264" s="91">
        <f>4.783/2</f>
        <v>2.3915000000000002</v>
      </c>
      <c r="H264" s="91">
        <v>39.18</v>
      </c>
      <c r="I264" s="91">
        <f t="shared" si="158"/>
        <v>2.3915000000000002</v>
      </c>
      <c r="J264" s="91">
        <v>42.51</v>
      </c>
      <c r="K264" s="92">
        <f t="shared" si="159"/>
        <v>1.0849923430321593</v>
      </c>
      <c r="L264" s="91"/>
      <c r="M264" s="91"/>
      <c r="N264" s="91"/>
      <c r="O264" s="91"/>
      <c r="P264" s="92"/>
      <c r="Q264" s="96"/>
      <c r="R264" s="96"/>
      <c r="S264" s="96"/>
      <c r="T264" s="96"/>
      <c r="U264" s="92"/>
      <c r="V264" s="172">
        <f t="shared" si="127"/>
        <v>1.1374658469945356</v>
      </c>
    </row>
    <row r="265" spans="1:22" hidden="1">
      <c r="A265" s="90" t="s">
        <v>93</v>
      </c>
      <c r="B265" s="91">
        <f>SUM(B266:B271)</f>
        <v>469.62</v>
      </c>
      <c r="C265" s="91">
        <f>SUMPRODUCT(B266:B271,C266:C271)/B265</f>
        <v>42.304141028916995</v>
      </c>
      <c r="D265" s="91">
        <f>SUM(D266:D271)</f>
        <v>469.62</v>
      </c>
      <c r="E265" s="91">
        <f>SUMPRODUCT(D266:D271,E266:E271)/D265</f>
        <v>42.477022156211405</v>
      </c>
      <c r="F265" s="92">
        <f>E265/C265</f>
        <v>1.0040866242190389</v>
      </c>
      <c r="G265" s="91">
        <f>SUM(G266:G271)</f>
        <v>295.31700000000001</v>
      </c>
      <c r="H265" s="91">
        <f>SUMPRODUCT(G266:G271,H266:H271)/G265</f>
        <v>30.527706159821477</v>
      </c>
      <c r="I265" s="91">
        <f>SUM(I266:I271)</f>
        <v>295.31700000000001</v>
      </c>
      <c r="J265" s="91">
        <f>SUMPRODUCT(I266:I271,J266:J271)/I265</f>
        <v>32.692984284683916</v>
      </c>
      <c r="K265" s="92">
        <f>J265/H265</f>
        <v>1.0709282942362774</v>
      </c>
      <c r="L265" s="91">
        <f>SUM(L266:L271)</f>
        <v>250</v>
      </c>
      <c r="M265" s="91">
        <f>SUMPRODUCT(L266:L271,M266:M271)/L265</f>
        <v>51.3</v>
      </c>
      <c r="N265" s="91">
        <f>SUM(N266:N271)</f>
        <v>250</v>
      </c>
      <c r="O265" s="91">
        <f>SUMPRODUCT(N266:N271,O266:O271)/N265</f>
        <v>51.3</v>
      </c>
      <c r="P265" s="92">
        <f>O265/M265</f>
        <v>1</v>
      </c>
      <c r="Q265" s="91">
        <f>SUM(Q266:Q271)</f>
        <v>155</v>
      </c>
      <c r="R265" s="91">
        <f>SUMPRODUCT(Q266:Q271,R266:R271)/Q265</f>
        <v>39</v>
      </c>
      <c r="S265" s="91">
        <f>SUM(S266:S271)</f>
        <v>155</v>
      </c>
      <c r="T265" s="91">
        <f>SUMPRODUCT(S266:S271,T266:T271)/S265</f>
        <v>41.77</v>
      </c>
      <c r="U265" s="92">
        <f>T265/R265</f>
        <v>1.0710256410256411</v>
      </c>
      <c r="V265" s="172">
        <f t="shared" ref="V265:V328" si="160">(E265+O265)/(C265+M265)</f>
        <v>1.0018469388789222</v>
      </c>
    </row>
    <row r="266" spans="1:22" hidden="1">
      <c r="A266" s="97" t="s">
        <v>94</v>
      </c>
      <c r="B266" s="91">
        <f>12.075/2</f>
        <v>6.0374999999999996</v>
      </c>
      <c r="C266" s="91">
        <v>19.920000000000002</v>
      </c>
      <c r="D266" s="91">
        <f>B266</f>
        <v>6.0374999999999996</v>
      </c>
      <c r="E266" s="91">
        <v>21.32</v>
      </c>
      <c r="F266" s="92">
        <f>(E266*D266)/(C266*B266)</f>
        <v>1.0702811244979917</v>
      </c>
      <c r="G266" s="91">
        <f>11.78/2</f>
        <v>5.89</v>
      </c>
      <c r="H266" s="91">
        <v>19.920000000000002</v>
      </c>
      <c r="I266" s="91">
        <f>G266</f>
        <v>5.89</v>
      </c>
      <c r="J266" s="91">
        <v>21.32</v>
      </c>
      <c r="K266" s="92">
        <f>J266/H266</f>
        <v>1.070281124497992</v>
      </c>
      <c r="L266" s="91"/>
      <c r="M266" s="91"/>
      <c r="N266" s="91"/>
      <c r="O266" s="91"/>
      <c r="P266" s="92"/>
      <c r="Q266" s="96"/>
      <c r="R266" s="112"/>
      <c r="S266" s="112"/>
      <c r="T266" s="112"/>
      <c r="U266" s="92"/>
      <c r="V266" s="172">
        <f t="shared" si="160"/>
        <v>1.070281124497992</v>
      </c>
    </row>
    <row r="267" spans="1:22" hidden="1">
      <c r="A267" s="97" t="s">
        <v>95</v>
      </c>
      <c r="B267" s="91">
        <f>50.8/2</f>
        <v>25.4</v>
      </c>
      <c r="C267" s="91">
        <v>30.43</v>
      </c>
      <c r="D267" s="91">
        <f>B267</f>
        <v>25.4</v>
      </c>
      <c r="E267" s="91">
        <v>32.57</v>
      </c>
      <c r="F267" s="92">
        <f>(E267*D267)/(C267*B267)</f>
        <v>1.0703253368386461</v>
      </c>
      <c r="G267" s="91">
        <f>31.2/2</f>
        <v>15.6</v>
      </c>
      <c r="H267" s="91">
        <v>30.43</v>
      </c>
      <c r="I267" s="91">
        <f>G267</f>
        <v>15.6</v>
      </c>
      <c r="J267" s="91">
        <v>32.57</v>
      </c>
      <c r="K267" s="92">
        <f>(J267*I267)/(H267*G267)</f>
        <v>1.0703253368386461</v>
      </c>
      <c r="L267" s="91"/>
      <c r="M267" s="91"/>
      <c r="N267" s="91"/>
      <c r="O267" s="91"/>
      <c r="P267" s="92"/>
      <c r="Q267" s="96"/>
      <c r="R267" s="112"/>
      <c r="S267" s="112"/>
      <c r="T267" s="112"/>
      <c r="U267" s="92"/>
      <c r="V267" s="172">
        <f t="shared" si="160"/>
        <v>1.0703253368386461</v>
      </c>
    </row>
    <row r="268" spans="1:22" hidden="1">
      <c r="A268" s="97" t="s">
        <v>96</v>
      </c>
      <c r="B268" s="91"/>
      <c r="C268" s="91"/>
      <c r="D268" s="91"/>
      <c r="E268" s="91"/>
      <c r="F268" s="92"/>
      <c r="G268" s="91"/>
      <c r="H268" s="91"/>
      <c r="I268" s="91"/>
      <c r="J268" s="91"/>
      <c r="K268" s="92"/>
      <c r="L268" s="91"/>
      <c r="M268" s="91"/>
      <c r="N268" s="91"/>
      <c r="O268" s="91"/>
      <c r="P268" s="92"/>
      <c r="Q268" s="96"/>
      <c r="R268" s="96"/>
      <c r="S268" s="96"/>
      <c r="T268" s="96"/>
      <c r="U268" s="92"/>
      <c r="V268" s="172" t="e">
        <f t="shared" si="160"/>
        <v>#DIV/0!</v>
      </c>
    </row>
    <row r="269" spans="1:22" hidden="1">
      <c r="A269" s="117" t="s">
        <v>97</v>
      </c>
      <c r="B269" s="91">
        <f>18.602/2</f>
        <v>9.3010000000000002</v>
      </c>
      <c r="C269" s="91">
        <v>84.06</v>
      </c>
      <c r="D269" s="91">
        <f t="shared" ref="D269:D271" si="161">B269</f>
        <v>9.3010000000000002</v>
      </c>
      <c r="E269" s="91">
        <v>84.06</v>
      </c>
      <c r="F269" s="92">
        <f t="shared" ref="F269:F271" si="162">(E269*D269)/(C269*B269)</f>
        <v>1</v>
      </c>
      <c r="G269" s="91">
        <f>16.986/2</f>
        <v>8.4930000000000003</v>
      </c>
      <c r="H269" s="91">
        <v>29</v>
      </c>
      <c r="I269" s="91">
        <f>G269</f>
        <v>8.4930000000000003</v>
      </c>
      <c r="J269" s="91">
        <v>31.06</v>
      </c>
      <c r="K269" s="92">
        <f>(J269*I269)/(H269*G269)</f>
        <v>1.0710344827586207</v>
      </c>
      <c r="L269" s="91"/>
      <c r="M269" s="91"/>
      <c r="N269" s="91"/>
      <c r="O269" s="91"/>
      <c r="P269" s="92"/>
      <c r="Q269" s="112"/>
      <c r="R269" s="96"/>
      <c r="S269" s="112"/>
      <c r="T269" s="96"/>
      <c r="U269" s="92"/>
      <c r="V269" s="172">
        <f t="shared" si="160"/>
        <v>1</v>
      </c>
    </row>
    <row r="270" spans="1:22" hidden="1">
      <c r="A270" s="117" t="s">
        <v>98</v>
      </c>
      <c r="B270" s="91">
        <f>14.763/2</f>
        <v>7.3815</v>
      </c>
      <c r="C270" s="91">
        <v>41.1</v>
      </c>
      <c r="D270" s="91">
        <f t="shared" si="161"/>
        <v>7.3815</v>
      </c>
      <c r="E270" s="91">
        <v>43.59</v>
      </c>
      <c r="F270" s="92">
        <f t="shared" si="162"/>
        <v>1.0605839416058394</v>
      </c>
      <c r="G270" s="91">
        <f>16.668/2</f>
        <v>8.3339999999999996</v>
      </c>
      <c r="H270" s="91">
        <v>25.2</v>
      </c>
      <c r="I270" s="91">
        <f>G270</f>
        <v>8.3339999999999996</v>
      </c>
      <c r="J270" s="91">
        <v>26.99</v>
      </c>
      <c r="K270" s="92">
        <f>(J270*I270)/(H270*G270)</f>
        <v>1.071031746031746</v>
      </c>
      <c r="L270" s="91"/>
      <c r="M270" s="91"/>
      <c r="N270" s="91"/>
      <c r="O270" s="91"/>
      <c r="P270" s="92"/>
      <c r="Q270" s="96"/>
      <c r="R270" s="112"/>
      <c r="S270" s="112"/>
      <c r="T270" s="112"/>
      <c r="U270" s="92"/>
      <c r="V270" s="172">
        <f t="shared" si="160"/>
        <v>1.0605839416058394</v>
      </c>
    </row>
    <row r="271" spans="1:22" hidden="1">
      <c r="A271" s="97" t="s">
        <v>99</v>
      </c>
      <c r="B271" s="91">
        <f>843/2</f>
        <v>421.5</v>
      </c>
      <c r="C271" s="91">
        <v>42.44</v>
      </c>
      <c r="D271" s="91">
        <f t="shared" si="161"/>
        <v>421.5</v>
      </c>
      <c r="E271" s="91">
        <v>42.44</v>
      </c>
      <c r="F271" s="92">
        <f t="shared" si="162"/>
        <v>1</v>
      </c>
      <c r="G271" s="91">
        <f>514/2</f>
        <v>257</v>
      </c>
      <c r="H271" s="91">
        <v>31</v>
      </c>
      <c r="I271" s="91">
        <f>G271</f>
        <v>257</v>
      </c>
      <c r="J271" s="91">
        <v>33.200000000000003</v>
      </c>
      <c r="K271" s="92">
        <f>(J271*I271)/(H271*G271)</f>
        <v>1.0709677419354842</v>
      </c>
      <c r="L271" s="91">
        <f>500/2</f>
        <v>250</v>
      </c>
      <c r="M271" s="91">
        <v>51.3</v>
      </c>
      <c r="N271" s="91">
        <f>L271</f>
        <v>250</v>
      </c>
      <c r="O271" s="91">
        <v>51.3</v>
      </c>
      <c r="P271" s="92">
        <f>O271/M271</f>
        <v>1</v>
      </c>
      <c r="Q271" s="96">
        <f>310/2</f>
        <v>155</v>
      </c>
      <c r="R271" s="96">
        <v>39</v>
      </c>
      <c r="S271" s="96">
        <f>Q271</f>
        <v>155</v>
      </c>
      <c r="T271" s="96">
        <v>41.77</v>
      </c>
      <c r="U271" s="92">
        <f>T271/R271</f>
        <v>1.0710256410256411</v>
      </c>
      <c r="V271" s="172">
        <f t="shared" si="160"/>
        <v>1</v>
      </c>
    </row>
    <row r="272" spans="1:22" hidden="1">
      <c r="A272" s="97" t="s">
        <v>104</v>
      </c>
      <c r="B272" s="91">
        <f>SUM(B273:B276)</f>
        <v>116.208</v>
      </c>
      <c r="C272" s="91">
        <f>SUMPRODUCT(B273:B276,C273:C276)/B272</f>
        <v>43.362117840424062</v>
      </c>
      <c r="D272" s="91">
        <f>SUM(D273:D276)</f>
        <v>116.208</v>
      </c>
      <c r="E272" s="91">
        <f>SUMPRODUCT(D273:D276,E273:E276)/D272</f>
        <v>45.2136927750241</v>
      </c>
      <c r="F272" s="92">
        <f>E272/C272</f>
        <v>1.0427002883349465</v>
      </c>
      <c r="G272" s="91">
        <f>SUM(G273:G276)</f>
        <v>57.929000000000002</v>
      </c>
      <c r="H272" s="91">
        <f>SUMPRODUCT(G273:G276,H273:H276)/G272</f>
        <v>29.999999999999996</v>
      </c>
      <c r="I272" s="91">
        <f>SUM(I273:I276)</f>
        <v>57.929000000000002</v>
      </c>
      <c r="J272" s="91">
        <f>SUMPRODUCT(I273:I276,J273:J276)/I272</f>
        <v>32.129999999999995</v>
      </c>
      <c r="K272" s="92">
        <f>J272/H272</f>
        <v>1.071</v>
      </c>
      <c r="L272" s="91">
        <f>SUM(L273:L276)</f>
        <v>53.707500000000003</v>
      </c>
      <c r="M272" s="91">
        <f>SUMPRODUCT(L273:L276,M273:M276)/L272</f>
        <v>49.63</v>
      </c>
      <c r="N272" s="91">
        <f>SUM(N273:N276)</f>
        <v>53.707500000000003</v>
      </c>
      <c r="O272" s="91">
        <f>SUMPRODUCT(N273:N276,O273:O276)/N272</f>
        <v>50.71</v>
      </c>
      <c r="P272" s="92">
        <f>O272/M272</f>
        <v>1.0217610316340922</v>
      </c>
      <c r="Q272" s="91">
        <f>SUM(Q273:Q276)</f>
        <v>24.574999999999999</v>
      </c>
      <c r="R272" s="91">
        <f>SUMPRODUCT(Q273:Q276,R273:R276)/Q272</f>
        <v>35</v>
      </c>
      <c r="S272" s="91">
        <f>SUM(S273:S276)</f>
        <v>24.574999999999999</v>
      </c>
      <c r="T272" s="91">
        <f>SUMPRODUCT(S273:S276,T273:T276)/S272</f>
        <v>37.49</v>
      </c>
      <c r="U272" s="92">
        <f>T272/R272</f>
        <v>1.0711428571428572</v>
      </c>
      <c r="V272" s="172">
        <f t="shared" si="160"/>
        <v>1.0315249830058786</v>
      </c>
    </row>
    <row r="273" spans="1:22" hidden="1">
      <c r="A273" s="97" t="s">
        <v>100</v>
      </c>
      <c r="B273" s="91">
        <f>145.04/2</f>
        <v>72.52</v>
      </c>
      <c r="C273" s="91">
        <v>43.04</v>
      </c>
      <c r="D273" s="91">
        <f>B273</f>
        <v>72.52</v>
      </c>
      <c r="E273" s="91">
        <v>44.79</v>
      </c>
      <c r="F273" s="92">
        <f>(E273*D273)/(C273*B273)</f>
        <v>1.0406598513011154</v>
      </c>
      <c r="G273" s="91">
        <f>55.6/2</f>
        <v>27.8</v>
      </c>
      <c r="H273" s="91">
        <v>30</v>
      </c>
      <c r="I273" s="91">
        <f>G273</f>
        <v>27.8</v>
      </c>
      <c r="J273" s="91">
        <v>32.130000000000003</v>
      </c>
      <c r="K273" s="92">
        <f>J273/H273</f>
        <v>1.0710000000000002</v>
      </c>
      <c r="L273" s="91">
        <f>107.415/2</f>
        <v>53.707500000000003</v>
      </c>
      <c r="M273" s="91">
        <v>49.63</v>
      </c>
      <c r="N273" s="91">
        <f>L273</f>
        <v>53.707500000000003</v>
      </c>
      <c r="O273" s="91">
        <v>50.71</v>
      </c>
      <c r="P273" s="92">
        <f>O273/M273</f>
        <v>1.0217610316340922</v>
      </c>
      <c r="Q273" s="96">
        <f>49.15/2</f>
        <v>24.574999999999999</v>
      </c>
      <c r="R273" s="112">
        <v>35</v>
      </c>
      <c r="S273" s="112">
        <f>Q273</f>
        <v>24.574999999999999</v>
      </c>
      <c r="T273" s="112">
        <v>37.49</v>
      </c>
      <c r="U273" s="92">
        <f>T273/R273</f>
        <v>1.0711428571428572</v>
      </c>
      <c r="V273" s="172">
        <f t="shared" si="160"/>
        <v>1.0305384698392144</v>
      </c>
    </row>
    <row r="274" spans="1:22" hidden="1">
      <c r="A274" s="97" t="s">
        <v>101</v>
      </c>
      <c r="B274" s="91">
        <f>66.934/2</f>
        <v>33.466999999999999</v>
      </c>
      <c r="C274" s="91">
        <v>43.1</v>
      </c>
      <c r="D274" s="91">
        <f>B274</f>
        <v>33.466999999999999</v>
      </c>
      <c r="E274" s="91">
        <v>45.06</v>
      </c>
      <c r="F274" s="92">
        <f>(E274*D274)/(C274*B274)</f>
        <v>1.0454756380510442</v>
      </c>
      <c r="G274" s="91">
        <f>45.344/2</f>
        <v>22.672000000000001</v>
      </c>
      <c r="H274" s="91">
        <v>30</v>
      </c>
      <c r="I274" s="91">
        <f>G274</f>
        <v>22.672000000000001</v>
      </c>
      <c r="J274" s="91">
        <v>32.130000000000003</v>
      </c>
      <c r="K274" s="92">
        <f>(J274*I274)/(H274*G274)</f>
        <v>1.0710000000000002</v>
      </c>
      <c r="L274" s="91"/>
      <c r="M274" s="91"/>
      <c r="N274" s="91"/>
      <c r="O274" s="91"/>
      <c r="P274" s="92"/>
      <c r="Q274" s="96"/>
      <c r="R274" s="112"/>
      <c r="S274" s="112"/>
      <c r="T274" s="112"/>
      <c r="U274" s="92"/>
      <c r="V274" s="172">
        <f t="shared" si="160"/>
        <v>1.0454756380510442</v>
      </c>
    </row>
    <row r="275" spans="1:22" hidden="1">
      <c r="A275" s="97" t="s">
        <v>102</v>
      </c>
      <c r="B275" s="91">
        <f>1.942/2</f>
        <v>0.97099999999999997</v>
      </c>
      <c r="C275" s="91">
        <v>82.19</v>
      </c>
      <c r="D275" s="91">
        <f>B275</f>
        <v>0.97099999999999997</v>
      </c>
      <c r="E275" s="91">
        <v>82.19</v>
      </c>
      <c r="F275" s="92">
        <f>(E275*D275)/(C275*B275)</f>
        <v>1</v>
      </c>
      <c r="G275" s="91">
        <f>1.314/2</f>
        <v>0.65700000000000003</v>
      </c>
      <c r="H275" s="91">
        <v>30</v>
      </c>
      <c r="I275" s="91">
        <f>G275</f>
        <v>0.65700000000000003</v>
      </c>
      <c r="J275" s="91">
        <v>32.130000000000003</v>
      </c>
      <c r="K275" s="92">
        <f>(J275*I275)/(H275*G275)</f>
        <v>1.0710000000000002</v>
      </c>
      <c r="L275" s="91"/>
      <c r="M275" s="91"/>
      <c r="N275" s="91"/>
      <c r="O275" s="91"/>
      <c r="P275" s="92"/>
      <c r="Q275" s="96"/>
      <c r="R275" s="96"/>
      <c r="S275" s="96"/>
      <c r="T275" s="96"/>
      <c r="U275" s="92"/>
      <c r="V275" s="172">
        <f t="shared" si="160"/>
        <v>1</v>
      </c>
    </row>
    <row r="276" spans="1:22" hidden="1">
      <c r="A276" s="97" t="s">
        <v>103</v>
      </c>
      <c r="B276" s="91">
        <f>18.5/2</f>
        <v>9.25</v>
      </c>
      <c r="C276" s="91">
        <v>42.76</v>
      </c>
      <c r="D276" s="91">
        <f t="shared" ref="D276" si="163">B276</f>
        <v>9.25</v>
      </c>
      <c r="E276" s="91">
        <v>45.21</v>
      </c>
      <c r="F276" s="92">
        <f t="shared" ref="F276" si="164">(E276*D276)/(C276*B276)</f>
        <v>1.0572965388213285</v>
      </c>
      <c r="G276" s="91">
        <f>13.6/2</f>
        <v>6.8</v>
      </c>
      <c r="H276" s="91">
        <v>30</v>
      </c>
      <c r="I276" s="91">
        <f>G276</f>
        <v>6.8</v>
      </c>
      <c r="J276" s="91">
        <v>32.130000000000003</v>
      </c>
      <c r="K276" s="92">
        <f>(J276*I276)/(H276*G276)</f>
        <v>1.071</v>
      </c>
      <c r="L276" s="91"/>
      <c r="M276" s="91"/>
      <c r="N276" s="91"/>
      <c r="O276" s="91"/>
      <c r="P276" s="92"/>
      <c r="Q276" s="96"/>
      <c r="R276" s="96"/>
      <c r="S276" s="96"/>
      <c r="T276" s="96"/>
      <c r="U276" s="92"/>
      <c r="V276" s="172">
        <f t="shared" si="160"/>
        <v>1.0572965388213285</v>
      </c>
    </row>
    <row r="277" spans="1:22">
      <c r="A277" s="90" t="s">
        <v>205</v>
      </c>
      <c r="B277" s="91">
        <f>SUM(B278:B278)</f>
        <v>28.525500000000001</v>
      </c>
      <c r="C277" s="91">
        <f>SUMPRODUCT(B278:B278,C278:C278)/B277</f>
        <v>46.03</v>
      </c>
      <c r="D277" s="91">
        <f>SUM(D278:D278)</f>
        <v>28.525500000000001</v>
      </c>
      <c r="E277" s="91">
        <f>SUMPRODUCT(D278:D278,E278:E278)/D277</f>
        <v>48.06</v>
      </c>
      <c r="F277" s="92">
        <f>E277/C277</f>
        <v>1.0441016728220727</v>
      </c>
      <c r="G277" s="91">
        <f>SUM(G278:G278)</f>
        <v>9.5574999999999992</v>
      </c>
      <c r="H277" s="91">
        <f>SUMPRODUCT(G278:G278,H278:H278)/G277</f>
        <v>28.499999999999996</v>
      </c>
      <c r="I277" s="91">
        <f>SUM(I278:I278)</f>
        <v>9.5574999999999992</v>
      </c>
      <c r="J277" s="91">
        <f>SUMPRODUCT(I278:I278,J278:J278)/I277</f>
        <v>30.52</v>
      </c>
      <c r="K277" s="92">
        <f>J277/H277</f>
        <v>1.0708771929824563</v>
      </c>
      <c r="L277" s="91">
        <f>SUM(L278:L278)</f>
        <v>16.508500000000002</v>
      </c>
      <c r="M277" s="91">
        <f>SUMPRODUCT(L278:L278,M278:M278)/L277</f>
        <v>41.3</v>
      </c>
      <c r="N277" s="91">
        <f>SUM(N278:N278)</f>
        <v>16.508500000000002</v>
      </c>
      <c r="O277" s="91">
        <f>SUMPRODUCT(N278:N278,O278:O278)/N277</f>
        <v>42.64</v>
      </c>
      <c r="P277" s="92">
        <f>O277/M277</f>
        <v>1.0324455205811138</v>
      </c>
      <c r="Q277" s="91">
        <f>SUM(Q278:Q278)</f>
        <v>6.7169999999999996</v>
      </c>
      <c r="R277" s="91">
        <f>SUMPRODUCT(Q278:Q278,R278:R278)/Q277</f>
        <v>32</v>
      </c>
      <c r="S277" s="91">
        <f>SUM(S278:S278)</f>
        <v>6.7169999999999996</v>
      </c>
      <c r="T277" s="91">
        <f>SUMPRODUCT(S278:S278,T278:T278)/S277</f>
        <v>34.270000000000003</v>
      </c>
      <c r="U277" s="92">
        <f>T277/R277</f>
        <v>1.0709375000000001</v>
      </c>
      <c r="V277" s="172">
        <f t="shared" si="160"/>
        <v>1.038589259132028</v>
      </c>
    </row>
    <row r="278" spans="1:22" hidden="1">
      <c r="A278" s="90" t="s">
        <v>106</v>
      </c>
      <c r="B278" s="91">
        <f>57.051/2</f>
        <v>28.525500000000001</v>
      </c>
      <c r="C278" s="91">
        <v>46.03</v>
      </c>
      <c r="D278" s="91">
        <f>B278</f>
        <v>28.525500000000001</v>
      </c>
      <c r="E278" s="91">
        <v>48.06</v>
      </c>
      <c r="F278" s="92">
        <f>(E278*D278)/(C278*B278)</f>
        <v>1.0441016728220727</v>
      </c>
      <c r="G278" s="91">
        <f>19.115/2</f>
        <v>9.5574999999999992</v>
      </c>
      <c r="H278" s="91">
        <v>28.5</v>
      </c>
      <c r="I278" s="91">
        <f>G278</f>
        <v>9.5574999999999992</v>
      </c>
      <c r="J278" s="91">
        <v>30.52</v>
      </c>
      <c r="K278" s="92">
        <f>J278/H278</f>
        <v>1.0708771929824561</v>
      </c>
      <c r="L278" s="91">
        <f>33.017/2</f>
        <v>16.508500000000002</v>
      </c>
      <c r="M278" s="91">
        <v>41.3</v>
      </c>
      <c r="N278" s="91">
        <f>L278</f>
        <v>16.508500000000002</v>
      </c>
      <c r="O278" s="91">
        <v>42.64</v>
      </c>
      <c r="P278" s="120">
        <f>O278/M278</f>
        <v>1.0324455205811138</v>
      </c>
      <c r="Q278" s="96">
        <f>13.434/2</f>
        <v>6.7169999999999996</v>
      </c>
      <c r="R278" s="112">
        <v>32</v>
      </c>
      <c r="S278" s="112">
        <f>Q278</f>
        <v>6.7169999999999996</v>
      </c>
      <c r="T278" s="112">
        <v>34.270000000000003</v>
      </c>
      <c r="U278" s="92">
        <f>T278/R278</f>
        <v>1.0709375000000001</v>
      </c>
      <c r="V278" s="172">
        <f t="shared" si="160"/>
        <v>1.038589259132028</v>
      </c>
    </row>
    <row r="279" spans="1:22" hidden="1">
      <c r="A279" s="90" t="s">
        <v>117</v>
      </c>
      <c r="B279" s="91">
        <f>SUM(B280:B300)</f>
        <v>607.9905</v>
      </c>
      <c r="C279" s="91">
        <f>SUMPRODUCT(B280:B300,C280:C300)/B279</f>
        <v>55.673529635742661</v>
      </c>
      <c r="D279" s="91">
        <f>SUM(D280:D300)</f>
        <v>607.9905</v>
      </c>
      <c r="E279" s="91">
        <f>SUMPRODUCT(D280:D300,E280:E300)/D279</f>
        <v>58.850501290727401</v>
      </c>
      <c r="F279" s="92">
        <f>E279/C279</f>
        <v>1.057064311815163</v>
      </c>
      <c r="G279" s="91">
        <f>SUM(G280:G300)</f>
        <v>407.43349999999998</v>
      </c>
      <c r="H279" s="91">
        <f>SUMPRODUCT(G280:G300,H280:H300)/G279</f>
        <v>27.144987942817657</v>
      </c>
      <c r="I279" s="91">
        <f>SUM(I280:I300)</f>
        <v>407.43349999999998</v>
      </c>
      <c r="J279" s="91">
        <f>SUMPRODUCT(I280:I300,J280:J300)/I279</f>
        <v>29.1897784791874</v>
      </c>
      <c r="K279" s="92">
        <f>J279/H279</f>
        <v>1.0753284746590126</v>
      </c>
      <c r="L279" s="91">
        <f>SUM(L280:L300)</f>
        <v>526.64350000000002</v>
      </c>
      <c r="M279" s="91">
        <f>SUMPRODUCT(L280:L300,M280:M300)/L279</f>
        <v>40.267198493857798</v>
      </c>
      <c r="N279" s="91">
        <f>SUM(N280:N300)</f>
        <v>526.64350000000002</v>
      </c>
      <c r="O279" s="91">
        <f>SUMPRODUCT(N280:N300,O280:O300)/N279</f>
        <v>42.460681599602005</v>
      </c>
      <c r="P279" s="120">
        <f>O279/M279</f>
        <v>1.0544731987272169</v>
      </c>
      <c r="Q279" s="91">
        <f>SUM(Q280:Q300)</f>
        <v>365.45050000000009</v>
      </c>
      <c r="R279" s="91">
        <f>SUMPRODUCT(Q280:Q300,R280:R300)/Q279</f>
        <v>23.166234141149072</v>
      </c>
      <c r="S279" s="91">
        <f>SUM(S280:S300)</f>
        <v>365.45050000000009</v>
      </c>
      <c r="T279" s="91">
        <f>SUMPRODUCT(S280:S300,T280:T300)/S279</f>
        <v>24.425115343938504</v>
      </c>
      <c r="U279" s="92">
        <f>T279/R279</f>
        <v>1.0543412103632908</v>
      </c>
      <c r="V279" s="172">
        <f t="shared" si="160"/>
        <v>1.0559767980234038</v>
      </c>
    </row>
    <row r="280" spans="1:22" hidden="1">
      <c r="A280" s="97" t="s">
        <v>107</v>
      </c>
      <c r="B280" s="100">
        <f>112.85/2</f>
        <v>56.424999999999997</v>
      </c>
      <c r="C280" s="100">
        <v>64.41</v>
      </c>
      <c r="D280" s="100">
        <f>B280</f>
        <v>56.424999999999997</v>
      </c>
      <c r="E280" s="100">
        <v>68.03</v>
      </c>
      <c r="F280" s="101">
        <f>(E280*D280)/(C280*B280)</f>
        <v>1.0562024530352432</v>
      </c>
      <c r="G280" s="100">
        <f>39.548/2</f>
        <v>19.774000000000001</v>
      </c>
      <c r="H280" s="100">
        <v>25.26</v>
      </c>
      <c r="I280" s="100">
        <f>G280</f>
        <v>19.774000000000001</v>
      </c>
      <c r="J280" s="100">
        <v>27.05</v>
      </c>
      <c r="K280" s="101">
        <f>(J280*I280)/(H280*G280)</f>
        <v>1.0708630245447346</v>
      </c>
      <c r="L280" s="100">
        <f>140.24/2</f>
        <v>70.12</v>
      </c>
      <c r="M280" s="100">
        <v>42.43</v>
      </c>
      <c r="N280" s="100">
        <f>L280</f>
        <v>70.12</v>
      </c>
      <c r="O280" s="100">
        <v>44.51</v>
      </c>
      <c r="P280" s="121">
        <f>(O280*N280)/(M280*L280)</f>
        <v>1.049021918453924</v>
      </c>
      <c r="Q280" s="118">
        <f>37.5/2</f>
        <v>18.75</v>
      </c>
      <c r="R280" s="118">
        <v>23.59</v>
      </c>
      <c r="S280" s="118">
        <f>Q280</f>
        <v>18.75</v>
      </c>
      <c r="T280" s="118">
        <v>25.26</v>
      </c>
      <c r="U280" s="101">
        <f>(T280*S280)/(R280*Q280)</f>
        <v>1.0707927087749047</v>
      </c>
      <c r="V280" s="172">
        <f t="shared" si="160"/>
        <v>1.0533508049419691</v>
      </c>
    </row>
    <row r="281" spans="1:22" hidden="1">
      <c r="A281" s="109" t="s">
        <v>58</v>
      </c>
      <c r="B281" s="100">
        <f>43.84/2</f>
        <v>21.92</v>
      </c>
      <c r="C281" s="100">
        <v>109.08</v>
      </c>
      <c r="D281" s="100">
        <f>B281</f>
        <v>21.92</v>
      </c>
      <c r="E281" s="100">
        <v>128.27000000000001</v>
      </c>
      <c r="F281" s="101">
        <f>(E281*D281)/(C281*B281)</f>
        <v>1.1759259259259258</v>
      </c>
      <c r="G281" s="116">
        <f>25.181/2</f>
        <v>12.5905</v>
      </c>
      <c r="H281" s="116">
        <v>38.93</v>
      </c>
      <c r="I281" s="116">
        <f>G281</f>
        <v>12.5905</v>
      </c>
      <c r="J281" s="116">
        <v>41.69</v>
      </c>
      <c r="K281" s="101">
        <f t="shared" ref="K281:K300" si="165">(J281*I281)/(H281*G281)</f>
        <v>1.0708964808630874</v>
      </c>
      <c r="L281" s="100">
        <f>28.19/2</f>
        <v>14.095000000000001</v>
      </c>
      <c r="M281" s="100">
        <v>43.07</v>
      </c>
      <c r="N281" s="100">
        <f>L281</f>
        <v>14.095000000000001</v>
      </c>
      <c r="O281" s="100">
        <v>46.2</v>
      </c>
      <c r="P281" s="121">
        <f>(O281*N281)/(M281*L281)</f>
        <v>1.0726723937775715</v>
      </c>
      <c r="Q281" s="118">
        <f>20.54/2</f>
        <v>10.27</v>
      </c>
      <c r="R281" s="118">
        <v>33.06</v>
      </c>
      <c r="S281" s="118">
        <f>Q281</f>
        <v>10.27</v>
      </c>
      <c r="T281" s="118">
        <v>35.409999999999997</v>
      </c>
      <c r="U281" s="101">
        <f t="shared" ref="U281" si="166">T281/R281</f>
        <v>1.0710828796128249</v>
      </c>
      <c r="V281" s="172">
        <f t="shared" si="160"/>
        <v>1.1466973381531385</v>
      </c>
    </row>
    <row r="282" spans="1:22" hidden="1">
      <c r="A282" s="97" t="s">
        <v>108</v>
      </c>
      <c r="B282" s="100">
        <f>168.1/2</f>
        <v>84.05</v>
      </c>
      <c r="C282" s="100">
        <v>62.63</v>
      </c>
      <c r="D282" s="100">
        <f>B282</f>
        <v>84.05</v>
      </c>
      <c r="E282" s="100">
        <v>62.63</v>
      </c>
      <c r="F282" s="101">
        <f t="shared" ref="F282:F298" si="167">(E282*D282)/(C282*B282)</f>
        <v>1</v>
      </c>
      <c r="G282" s="100">
        <f>132.62/2</f>
        <v>66.31</v>
      </c>
      <c r="H282" s="100">
        <v>30.72</v>
      </c>
      <c r="I282" s="100">
        <f t="shared" ref="I282:I298" si="168">G282</f>
        <v>66.31</v>
      </c>
      <c r="J282" s="100">
        <v>32.9</v>
      </c>
      <c r="K282" s="101">
        <f t="shared" si="165"/>
        <v>1.0709635416666667</v>
      </c>
      <c r="L282" s="100">
        <f>198.7/2</f>
        <v>99.35</v>
      </c>
      <c r="M282" s="100">
        <v>28.36</v>
      </c>
      <c r="N282" s="100">
        <f t="shared" ref="N282:N299" si="169">L282</f>
        <v>99.35</v>
      </c>
      <c r="O282" s="100">
        <v>28.36</v>
      </c>
      <c r="P282" s="121">
        <f t="shared" ref="P282:P299" si="170">(O282*N282)/(M282*L282)</f>
        <v>1</v>
      </c>
      <c r="Q282" s="118">
        <f>132.62/2</f>
        <v>66.31</v>
      </c>
      <c r="R282" s="118">
        <v>27.59</v>
      </c>
      <c r="S282" s="118">
        <f t="shared" ref="S282:S300" si="171">Q282</f>
        <v>66.31</v>
      </c>
      <c r="T282" s="118">
        <v>28.36</v>
      </c>
      <c r="U282" s="101">
        <f t="shared" ref="U282:U300" si="172">(T282*S282)/(R282*Q282)</f>
        <v>1.0279086625588982</v>
      </c>
      <c r="V282" s="172">
        <f t="shared" si="160"/>
        <v>1</v>
      </c>
    </row>
    <row r="283" spans="1:22" hidden="1">
      <c r="A283" s="97" t="s">
        <v>109</v>
      </c>
      <c r="B283" s="100">
        <f>66.883/2</f>
        <v>33.441499999999998</v>
      </c>
      <c r="C283" s="100">
        <v>54.83</v>
      </c>
      <c r="D283" s="100">
        <f t="shared" ref="D283:D298" si="173">B283</f>
        <v>33.441499999999998</v>
      </c>
      <c r="E283" s="100">
        <v>58.63</v>
      </c>
      <c r="F283" s="101">
        <f t="shared" si="167"/>
        <v>1.0693051249316068</v>
      </c>
      <c r="G283" s="100">
        <f>55.925/2</f>
        <v>27.962499999999999</v>
      </c>
      <c r="H283" s="100">
        <v>21</v>
      </c>
      <c r="I283" s="100">
        <f t="shared" si="168"/>
        <v>27.962499999999999</v>
      </c>
      <c r="J283" s="100">
        <v>22.5</v>
      </c>
      <c r="K283" s="101">
        <f t="shared" si="165"/>
        <v>1.0714285714285714</v>
      </c>
      <c r="L283" s="100">
        <f>56.428/2</f>
        <v>28.213999999999999</v>
      </c>
      <c r="M283" s="100">
        <v>37.86</v>
      </c>
      <c r="N283" s="100">
        <f t="shared" si="169"/>
        <v>28.213999999999999</v>
      </c>
      <c r="O283" s="100">
        <v>40.54</v>
      </c>
      <c r="P283" s="121">
        <f t="shared" si="170"/>
        <v>1.0707871104067619</v>
      </c>
      <c r="Q283" s="118">
        <f>54.845/2</f>
        <v>27.422499999999999</v>
      </c>
      <c r="R283" s="118">
        <v>16.3</v>
      </c>
      <c r="S283" s="118">
        <f t="shared" si="171"/>
        <v>27.422499999999999</v>
      </c>
      <c r="T283" s="118">
        <v>17.46</v>
      </c>
      <c r="U283" s="101">
        <f t="shared" si="172"/>
        <v>1.0711656441717792</v>
      </c>
      <c r="V283" s="172">
        <f t="shared" si="160"/>
        <v>1.0699104542021793</v>
      </c>
    </row>
    <row r="284" spans="1:22" hidden="1">
      <c r="A284" s="97" t="s">
        <v>109</v>
      </c>
      <c r="B284" s="100">
        <f>53.1/2</f>
        <v>26.55</v>
      </c>
      <c r="C284" s="100">
        <v>39.86</v>
      </c>
      <c r="D284" s="100">
        <f t="shared" si="173"/>
        <v>26.55</v>
      </c>
      <c r="E284" s="100">
        <v>42.67</v>
      </c>
      <c r="F284" s="101">
        <f t="shared" si="167"/>
        <v>1.0704967385850477</v>
      </c>
      <c r="G284" s="100">
        <f>44.496/2</f>
        <v>22.248000000000001</v>
      </c>
      <c r="H284" s="100">
        <v>21</v>
      </c>
      <c r="I284" s="100">
        <f t="shared" si="168"/>
        <v>22.248000000000001</v>
      </c>
      <c r="J284" s="100">
        <v>22.5</v>
      </c>
      <c r="K284" s="101">
        <f t="shared" si="165"/>
        <v>1.0714285714285714</v>
      </c>
      <c r="L284" s="100">
        <f>50.322/2</f>
        <v>25.161000000000001</v>
      </c>
      <c r="M284" s="100">
        <v>46.74</v>
      </c>
      <c r="N284" s="100">
        <f t="shared" si="169"/>
        <v>25.161000000000001</v>
      </c>
      <c r="O284" s="100">
        <v>50.04</v>
      </c>
      <c r="P284" s="121">
        <f t="shared" si="170"/>
        <v>1.0706033376123234</v>
      </c>
      <c r="Q284" s="118">
        <f>43.52/2</f>
        <v>21.76</v>
      </c>
      <c r="R284" s="118">
        <v>20.7</v>
      </c>
      <c r="S284" s="118">
        <f t="shared" si="171"/>
        <v>21.76</v>
      </c>
      <c r="T284" s="118">
        <v>22.17</v>
      </c>
      <c r="U284" s="101">
        <f t="shared" si="172"/>
        <v>1.0710144927536231</v>
      </c>
      <c r="V284" s="172">
        <f t="shared" si="160"/>
        <v>1.0705542725173212</v>
      </c>
    </row>
    <row r="285" spans="1:22" hidden="1">
      <c r="A285" s="97" t="s">
        <v>109</v>
      </c>
      <c r="B285" s="100">
        <f>37.65/2</f>
        <v>18.824999999999999</v>
      </c>
      <c r="C285" s="100">
        <v>78.2</v>
      </c>
      <c r="D285" s="100">
        <f t="shared" si="173"/>
        <v>18.824999999999999</v>
      </c>
      <c r="E285" s="100">
        <v>83.74</v>
      </c>
      <c r="F285" s="101">
        <f t="shared" si="167"/>
        <v>1.0708439897698208</v>
      </c>
      <c r="G285" s="100">
        <f>30.238/2</f>
        <v>15.119</v>
      </c>
      <c r="H285" s="100">
        <v>30.72</v>
      </c>
      <c r="I285" s="100">
        <f t="shared" si="168"/>
        <v>15.119</v>
      </c>
      <c r="J285" s="100">
        <v>32.9</v>
      </c>
      <c r="K285" s="101">
        <f t="shared" si="165"/>
        <v>1.0709635416666667</v>
      </c>
      <c r="L285" s="100">
        <f>28.742/2</f>
        <v>14.371</v>
      </c>
      <c r="M285" s="100">
        <v>36.36</v>
      </c>
      <c r="N285" s="100">
        <f t="shared" si="169"/>
        <v>14.371</v>
      </c>
      <c r="O285" s="100">
        <v>38.93</v>
      </c>
      <c r="P285" s="121">
        <f t="shared" si="170"/>
        <v>1.0706820682068205</v>
      </c>
      <c r="Q285" s="118">
        <f>24.884/2</f>
        <v>12.442</v>
      </c>
      <c r="R285" s="118">
        <v>28.64</v>
      </c>
      <c r="S285" s="118">
        <f t="shared" si="171"/>
        <v>12.442</v>
      </c>
      <c r="T285" s="118">
        <v>30.67</v>
      </c>
      <c r="U285" s="101">
        <f t="shared" si="172"/>
        <v>1.0708798882681565</v>
      </c>
      <c r="V285" s="172">
        <f t="shared" si="160"/>
        <v>1.070792597765363</v>
      </c>
    </row>
    <row r="286" spans="1:22" hidden="1">
      <c r="A286" s="97" t="s">
        <v>109</v>
      </c>
      <c r="B286" s="100">
        <f>3.344/2</f>
        <v>1.6719999999999999</v>
      </c>
      <c r="C286" s="100">
        <v>187.17</v>
      </c>
      <c r="D286" s="100">
        <f t="shared" si="173"/>
        <v>1.6719999999999999</v>
      </c>
      <c r="E286" s="100">
        <v>200.41</v>
      </c>
      <c r="F286" s="101">
        <f t="shared" si="167"/>
        <v>1.0707378319175083</v>
      </c>
      <c r="G286" s="100">
        <f>3.144/2</f>
        <v>1.5720000000000001</v>
      </c>
      <c r="H286" s="100">
        <v>30.72</v>
      </c>
      <c r="I286" s="100">
        <f t="shared" si="168"/>
        <v>1.5720000000000001</v>
      </c>
      <c r="J286" s="100">
        <v>32.9</v>
      </c>
      <c r="K286" s="101">
        <f t="shared" si="165"/>
        <v>1.0709635416666667</v>
      </c>
      <c r="L286" s="100">
        <f>3.284/2</f>
        <v>1.6419999999999999</v>
      </c>
      <c r="M286" s="100">
        <v>163.77000000000001</v>
      </c>
      <c r="N286" s="100">
        <f t="shared" si="169"/>
        <v>1.6419999999999999</v>
      </c>
      <c r="O286" s="100">
        <v>175.34</v>
      </c>
      <c r="P286" s="121">
        <f t="shared" si="170"/>
        <v>1.0706478598033826</v>
      </c>
      <c r="Q286" s="118">
        <f>3.144/2</f>
        <v>1.5720000000000001</v>
      </c>
      <c r="R286" s="118">
        <v>28.64</v>
      </c>
      <c r="S286" s="118">
        <f t="shared" si="171"/>
        <v>1.5720000000000001</v>
      </c>
      <c r="T286" s="118">
        <v>30.67</v>
      </c>
      <c r="U286" s="101">
        <f t="shared" si="172"/>
        <v>1.0708798882681565</v>
      </c>
      <c r="V286" s="172">
        <f t="shared" si="160"/>
        <v>1.0706958454436657</v>
      </c>
    </row>
    <row r="287" spans="1:22" hidden="1">
      <c r="A287" s="97" t="s">
        <v>110</v>
      </c>
      <c r="B287" s="100">
        <f>19.1/2</f>
        <v>9.5500000000000007</v>
      </c>
      <c r="C287" s="100">
        <v>68.34</v>
      </c>
      <c r="D287" s="100">
        <f t="shared" si="173"/>
        <v>9.5500000000000007</v>
      </c>
      <c r="E287" s="100">
        <v>69.94</v>
      </c>
      <c r="F287" s="101">
        <f t="shared" si="167"/>
        <v>1.0234123500146326</v>
      </c>
      <c r="G287" s="100">
        <f>17.6/2</f>
        <v>8.8000000000000007</v>
      </c>
      <c r="H287" s="100">
        <v>30.04</v>
      </c>
      <c r="I287" s="100">
        <f t="shared" si="168"/>
        <v>8.8000000000000007</v>
      </c>
      <c r="J287" s="100">
        <v>32.18</v>
      </c>
      <c r="K287" s="101">
        <f t="shared" si="165"/>
        <v>1.0712383488681758</v>
      </c>
      <c r="L287" s="100">
        <f>14.369/2</f>
        <v>7.1844999999999999</v>
      </c>
      <c r="M287" s="100">
        <v>92.01</v>
      </c>
      <c r="N287" s="100">
        <f t="shared" si="169"/>
        <v>7.1844999999999999</v>
      </c>
      <c r="O287" s="100">
        <v>94.3</v>
      </c>
      <c r="P287" s="121">
        <f t="shared" si="170"/>
        <v>1.0248885990653189</v>
      </c>
      <c r="Q287" s="118">
        <f>13.645/2</f>
        <v>6.8224999999999998</v>
      </c>
      <c r="R287" s="118">
        <v>28.6</v>
      </c>
      <c r="S287" s="118">
        <f t="shared" si="171"/>
        <v>6.8224999999999998</v>
      </c>
      <c r="T287" s="118">
        <v>30.63</v>
      </c>
      <c r="U287" s="101">
        <f t="shared" si="172"/>
        <v>1.0709790209790209</v>
      </c>
      <c r="V287" s="172">
        <f t="shared" si="160"/>
        <v>1.0242594324914249</v>
      </c>
    </row>
    <row r="288" spans="1:22" hidden="1">
      <c r="A288" s="97" t="s">
        <v>111</v>
      </c>
      <c r="B288" s="100">
        <f>108.212/2</f>
        <v>54.106000000000002</v>
      </c>
      <c r="C288" s="100">
        <v>75.290000000000006</v>
      </c>
      <c r="D288" s="100">
        <f t="shared" si="173"/>
        <v>54.106000000000002</v>
      </c>
      <c r="E288" s="100">
        <v>75.290000000000006</v>
      </c>
      <c r="F288" s="101">
        <f t="shared" si="167"/>
        <v>1</v>
      </c>
      <c r="G288" s="100">
        <f>88.68/2</f>
        <v>44.34</v>
      </c>
      <c r="H288" s="100">
        <v>25.46</v>
      </c>
      <c r="I288" s="100">
        <f t="shared" si="168"/>
        <v>44.34</v>
      </c>
      <c r="J288" s="100">
        <v>27.27</v>
      </c>
      <c r="K288" s="101">
        <f t="shared" si="165"/>
        <v>1.0710919088766693</v>
      </c>
      <c r="L288" s="100">
        <f>106.845/2</f>
        <v>53.422499999999999</v>
      </c>
      <c r="M288" s="100">
        <v>65.900000000000006</v>
      </c>
      <c r="N288" s="100">
        <f t="shared" si="169"/>
        <v>53.422499999999999</v>
      </c>
      <c r="O288" s="100">
        <v>65.900000000000006</v>
      </c>
      <c r="P288" s="121">
        <f t="shared" si="170"/>
        <v>1</v>
      </c>
      <c r="Q288" s="118">
        <f>88.671/2</f>
        <v>44.335500000000003</v>
      </c>
      <c r="R288" s="118">
        <v>24.24</v>
      </c>
      <c r="S288" s="118">
        <f t="shared" si="171"/>
        <v>44.335500000000003</v>
      </c>
      <c r="T288" s="118">
        <v>25.96</v>
      </c>
      <c r="U288" s="101">
        <f t="shared" si="172"/>
        <v>1.0709570957095711</v>
      </c>
      <c r="V288" s="172">
        <f t="shared" si="160"/>
        <v>1</v>
      </c>
    </row>
    <row r="289" spans="1:22" hidden="1">
      <c r="A289" s="97" t="s">
        <v>111</v>
      </c>
      <c r="B289" s="100">
        <f>9.587/2</f>
        <v>4.7934999999999999</v>
      </c>
      <c r="C289" s="100">
        <v>59.48</v>
      </c>
      <c r="D289" s="100">
        <f t="shared" si="173"/>
        <v>4.7934999999999999</v>
      </c>
      <c r="E289" s="100">
        <v>63.77</v>
      </c>
      <c r="F289" s="101">
        <f t="shared" si="167"/>
        <v>1.0721250840618697</v>
      </c>
      <c r="G289" s="100">
        <f>9.027/2</f>
        <v>4.5134999999999996</v>
      </c>
      <c r="H289" s="100">
        <v>24</v>
      </c>
      <c r="I289" s="100">
        <f t="shared" si="168"/>
        <v>4.5134999999999996</v>
      </c>
      <c r="J289" s="100">
        <v>26.04</v>
      </c>
      <c r="K289" s="101">
        <f t="shared" si="165"/>
        <v>1.0850000000000002</v>
      </c>
      <c r="L289" s="100">
        <f>14.824/2</f>
        <v>7.4119999999999999</v>
      </c>
      <c r="M289" s="100">
        <v>44.67</v>
      </c>
      <c r="N289" s="100">
        <f t="shared" si="169"/>
        <v>7.4119999999999999</v>
      </c>
      <c r="O289" s="100">
        <v>48.32</v>
      </c>
      <c r="P289" s="121">
        <f t="shared" si="170"/>
        <v>1.0817103201253637</v>
      </c>
      <c r="Q289" s="118">
        <f>14.264/2</f>
        <v>7.1319999999999997</v>
      </c>
      <c r="R289" s="118">
        <v>21.47</v>
      </c>
      <c r="S289" s="118">
        <f t="shared" si="171"/>
        <v>7.1319999999999997</v>
      </c>
      <c r="T289" s="118">
        <v>22.99</v>
      </c>
      <c r="U289" s="101">
        <f t="shared" si="172"/>
        <v>1.0707964601769913</v>
      </c>
      <c r="V289" s="172">
        <f t="shared" si="160"/>
        <v>1.0762361977916466</v>
      </c>
    </row>
    <row r="290" spans="1:22" hidden="1">
      <c r="A290" s="97" t="s">
        <v>112</v>
      </c>
      <c r="B290" s="100">
        <f>86.547/2</f>
        <v>43.273499999999999</v>
      </c>
      <c r="C290" s="100">
        <v>27.18</v>
      </c>
      <c r="D290" s="100">
        <f t="shared" si="173"/>
        <v>43.273499999999999</v>
      </c>
      <c r="E290" s="100">
        <v>28.8</v>
      </c>
      <c r="F290" s="101">
        <f t="shared" si="167"/>
        <v>1.0596026490066226</v>
      </c>
      <c r="G290" s="100">
        <f>1.896/2</f>
        <v>0.94799999999999995</v>
      </c>
      <c r="H290" s="100">
        <v>20.34</v>
      </c>
      <c r="I290" s="100">
        <f t="shared" si="168"/>
        <v>0.94799999999999995</v>
      </c>
      <c r="J290" s="100">
        <v>21.78</v>
      </c>
      <c r="K290" s="101">
        <f t="shared" si="165"/>
        <v>1.0707964601769913</v>
      </c>
      <c r="L290" s="100">
        <f>84.508/2</f>
        <v>42.253999999999998</v>
      </c>
      <c r="M290" s="100">
        <v>21.94</v>
      </c>
      <c r="N290" s="100">
        <f t="shared" si="169"/>
        <v>42.253999999999998</v>
      </c>
      <c r="O290" s="100">
        <v>22.3</v>
      </c>
      <c r="P290" s="121">
        <f t="shared" si="170"/>
        <v>1.0164083865086599</v>
      </c>
      <c r="Q290" s="118">
        <f>1.408/2</f>
        <v>0.70399999999999996</v>
      </c>
      <c r="R290" s="118">
        <v>18.190000000000001</v>
      </c>
      <c r="S290" s="118">
        <f t="shared" si="171"/>
        <v>0.70399999999999996</v>
      </c>
      <c r="T290" s="118">
        <v>19.48</v>
      </c>
      <c r="U290" s="101">
        <f t="shared" si="172"/>
        <v>1.0709180868609127</v>
      </c>
      <c r="V290" s="172">
        <f t="shared" si="160"/>
        <v>1.0403094462540716</v>
      </c>
    </row>
    <row r="291" spans="1:22" hidden="1">
      <c r="A291" s="97" t="s">
        <v>113</v>
      </c>
      <c r="B291" s="100">
        <f>275.76/2</f>
        <v>137.88</v>
      </c>
      <c r="C291" s="100">
        <v>25.48</v>
      </c>
      <c r="D291" s="100">
        <f t="shared" si="173"/>
        <v>137.88</v>
      </c>
      <c r="E291" s="100">
        <v>27.09</v>
      </c>
      <c r="F291" s="101">
        <f t="shared" si="167"/>
        <v>1.0631868131868132</v>
      </c>
      <c r="G291" s="100">
        <f>196.8/2</f>
        <v>98.4</v>
      </c>
      <c r="H291" s="100">
        <v>24</v>
      </c>
      <c r="I291" s="100">
        <f t="shared" si="168"/>
        <v>98.4</v>
      </c>
      <c r="J291" s="100">
        <v>26.04</v>
      </c>
      <c r="K291" s="101">
        <f t="shared" si="165"/>
        <v>1.085</v>
      </c>
      <c r="L291" s="100">
        <f>224.247/2</f>
        <v>112.12350000000001</v>
      </c>
      <c r="M291" s="100">
        <v>19.39</v>
      </c>
      <c r="N291" s="100">
        <f t="shared" si="169"/>
        <v>112.12350000000001</v>
      </c>
      <c r="O291" s="100">
        <v>20.12</v>
      </c>
      <c r="P291" s="121">
        <f t="shared" si="170"/>
        <v>1.037648272305312</v>
      </c>
      <c r="Q291" s="118">
        <f>217.103/2</f>
        <v>108.5515</v>
      </c>
      <c r="R291" s="118">
        <v>19.39</v>
      </c>
      <c r="S291" s="118">
        <f t="shared" si="171"/>
        <v>108.5515</v>
      </c>
      <c r="T291" s="118">
        <v>20.12</v>
      </c>
      <c r="U291" s="101">
        <f t="shared" si="172"/>
        <v>1.037648272305312</v>
      </c>
      <c r="V291" s="172">
        <f t="shared" si="160"/>
        <v>1.0521506574548696</v>
      </c>
    </row>
    <row r="292" spans="1:22" hidden="1">
      <c r="A292" s="97" t="s">
        <v>114</v>
      </c>
      <c r="B292" s="100">
        <f>85.894/2</f>
        <v>42.947000000000003</v>
      </c>
      <c r="C292" s="100">
        <v>57.83</v>
      </c>
      <c r="D292" s="100">
        <f t="shared" si="173"/>
        <v>42.947000000000003</v>
      </c>
      <c r="E292" s="100">
        <v>61.93</v>
      </c>
      <c r="F292" s="101">
        <f t="shared" si="167"/>
        <v>1.0708974580667474</v>
      </c>
      <c r="G292" s="100">
        <f>78.809/2</f>
        <v>39.404499999999999</v>
      </c>
      <c r="H292" s="100">
        <v>35.4</v>
      </c>
      <c r="I292" s="100">
        <f t="shared" si="168"/>
        <v>39.404499999999999</v>
      </c>
      <c r="J292" s="100">
        <v>37.909999999999997</v>
      </c>
      <c r="K292" s="101">
        <f t="shared" si="165"/>
        <v>1.0709039548022599</v>
      </c>
      <c r="L292" s="100"/>
      <c r="M292" s="100"/>
      <c r="N292" s="100"/>
      <c r="O292" s="100"/>
      <c r="P292" s="121"/>
      <c r="Q292" s="118"/>
      <c r="R292" s="118"/>
      <c r="S292" s="118"/>
      <c r="T292" s="118"/>
      <c r="U292" s="101"/>
      <c r="V292" s="172">
        <f t="shared" si="160"/>
        <v>1.0708974580667474</v>
      </c>
    </row>
    <row r="293" spans="1:22" hidden="1">
      <c r="A293" s="97" t="s">
        <v>114</v>
      </c>
      <c r="B293" s="100">
        <f>8.612/2</f>
        <v>4.306</v>
      </c>
      <c r="C293" s="100">
        <v>65.73</v>
      </c>
      <c r="D293" s="100">
        <f t="shared" si="173"/>
        <v>4.306</v>
      </c>
      <c r="E293" s="100">
        <v>70.41</v>
      </c>
      <c r="F293" s="101">
        <f t="shared" si="167"/>
        <v>1.0712003651300774</v>
      </c>
      <c r="G293" s="100">
        <f>8.572/2</f>
        <v>4.2859999999999996</v>
      </c>
      <c r="H293" s="100">
        <v>35.4</v>
      </c>
      <c r="I293" s="100">
        <f t="shared" si="168"/>
        <v>4.2859999999999996</v>
      </c>
      <c r="J293" s="100">
        <v>37.909999999999997</v>
      </c>
      <c r="K293" s="101">
        <f t="shared" si="165"/>
        <v>1.0709039548022599</v>
      </c>
      <c r="L293" s="100"/>
      <c r="M293" s="100"/>
      <c r="N293" s="100"/>
      <c r="O293" s="100"/>
      <c r="P293" s="121"/>
      <c r="Q293" s="118"/>
      <c r="R293" s="118"/>
      <c r="S293" s="118"/>
      <c r="T293" s="118"/>
      <c r="U293" s="101"/>
      <c r="V293" s="172">
        <f t="shared" si="160"/>
        <v>1.0712003651300774</v>
      </c>
    </row>
    <row r="294" spans="1:22" hidden="1">
      <c r="A294" s="97" t="s">
        <v>118</v>
      </c>
      <c r="B294" s="100">
        <f>1.22/2</f>
        <v>0.61</v>
      </c>
      <c r="C294" s="100">
        <v>40.299999999999997</v>
      </c>
      <c r="D294" s="100">
        <f>B294</f>
        <v>0.61</v>
      </c>
      <c r="E294" s="100">
        <v>43.11</v>
      </c>
      <c r="F294" s="101">
        <f>(E294*D294)/(C294*B294)</f>
        <v>1.069727047146402</v>
      </c>
      <c r="G294" s="100"/>
      <c r="H294" s="100"/>
      <c r="I294" s="100"/>
      <c r="J294" s="100"/>
      <c r="K294" s="101"/>
      <c r="L294" s="100"/>
      <c r="M294" s="100"/>
      <c r="N294" s="100"/>
      <c r="O294" s="100"/>
      <c r="P294" s="121"/>
      <c r="Q294" s="118"/>
      <c r="R294" s="118"/>
      <c r="S294" s="118"/>
      <c r="T294" s="118"/>
      <c r="U294" s="101"/>
      <c r="V294" s="172">
        <f t="shared" si="160"/>
        <v>1.069727047146402</v>
      </c>
    </row>
    <row r="295" spans="1:22" hidden="1">
      <c r="A295" s="97" t="s">
        <v>119</v>
      </c>
      <c r="B295" s="100">
        <f>2.46/2</f>
        <v>1.23</v>
      </c>
      <c r="C295" s="100">
        <v>40.299999999999997</v>
      </c>
      <c r="D295" s="100">
        <f>B295</f>
        <v>1.23</v>
      </c>
      <c r="E295" s="100">
        <v>43.11</v>
      </c>
      <c r="F295" s="101">
        <f t="shared" ref="F295:F296" si="174">(E295*D295)/(C295*B295)</f>
        <v>1.0697270471464022</v>
      </c>
      <c r="G295" s="100">
        <f>1.11/2</f>
        <v>0.55500000000000005</v>
      </c>
      <c r="H295" s="100">
        <v>26.03</v>
      </c>
      <c r="I295" s="100">
        <f t="shared" ref="I295:I296" si="175">G295</f>
        <v>0.55500000000000005</v>
      </c>
      <c r="J295" s="100">
        <v>27.88</v>
      </c>
      <c r="K295" s="101">
        <f t="shared" ref="K295:K296" si="176">(J295*I295)/(H295*G295)</f>
        <v>1.0710718401844026</v>
      </c>
      <c r="L295" s="100"/>
      <c r="M295" s="100"/>
      <c r="N295" s="100"/>
      <c r="O295" s="100"/>
      <c r="P295" s="121"/>
      <c r="Q295" s="118"/>
      <c r="R295" s="118"/>
      <c r="S295" s="118"/>
      <c r="T295" s="118"/>
      <c r="U295" s="101"/>
      <c r="V295" s="172">
        <f t="shared" si="160"/>
        <v>1.069727047146402</v>
      </c>
    </row>
    <row r="296" spans="1:22" hidden="1">
      <c r="A296" s="97" t="s">
        <v>120</v>
      </c>
      <c r="B296" s="100">
        <f>50.39/2</f>
        <v>25.195</v>
      </c>
      <c r="C296" s="100">
        <v>69.78</v>
      </c>
      <c r="D296" s="100">
        <f t="shared" ref="D296" si="177">B296</f>
        <v>25.195</v>
      </c>
      <c r="E296" s="100">
        <v>74.45</v>
      </c>
      <c r="F296" s="101">
        <f t="shared" si="174"/>
        <v>1.0669246202350244</v>
      </c>
      <c r="G296" s="100">
        <f>7.71/2</f>
        <v>3.855</v>
      </c>
      <c r="H296" s="100">
        <v>26.03</v>
      </c>
      <c r="I296" s="100">
        <f t="shared" si="175"/>
        <v>3.855</v>
      </c>
      <c r="J296" s="100">
        <v>27.88</v>
      </c>
      <c r="K296" s="101">
        <f t="shared" si="176"/>
        <v>1.0710718401844024</v>
      </c>
      <c r="L296" s="100">
        <f>26.47/2</f>
        <v>13.234999999999999</v>
      </c>
      <c r="M296" s="100">
        <v>65.22</v>
      </c>
      <c r="N296" s="100">
        <f t="shared" ref="N296" si="178">L296</f>
        <v>13.234999999999999</v>
      </c>
      <c r="O296" s="100">
        <v>70.39</v>
      </c>
      <c r="P296" s="121">
        <f t="shared" ref="P296" si="179">(O296*N296)/(M296*L296)</f>
        <v>1.0792701625268322</v>
      </c>
      <c r="Q296" s="118">
        <f>7.71/2</f>
        <v>3.855</v>
      </c>
      <c r="R296" s="118">
        <v>25.48</v>
      </c>
      <c r="S296" s="118">
        <f t="shared" ref="S296" si="180">Q296</f>
        <v>3.855</v>
      </c>
      <c r="T296" s="118">
        <v>27.29</v>
      </c>
      <c r="U296" s="101">
        <f t="shared" ref="U296" si="181">T296/R296</f>
        <v>1.0710361067503924</v>
      </c>
      <c r="V296" s="172">
        <f t="shared" si="160"/>
        <v>1.072888888888889</v>
      </c>
    </row>
    <row r="297" spans="1:22" hidden="1">
      <c r="A297" s="97" t="s">
        <v>115</v>
      </c>
      <c r="B297" s="100">
        <f>21.081/2</f>
        <v>10.5405</v>
      </c>
      <c r="C297" s="100">
        <v>37.26</v>
      </c>
      <c r="D297" s="100">
        <f t="shared" si="173"/>
        <v>10.5405</v>
      </c>
      <c r="E297" s="100">
        <v>40.299999999999997</v>
      </c>
      <c r="F297" s="101">
        <f t="shared" si="167"/>
        <v>1.0815888352120235</v>
      </c>
      <c r="G297" s="100">
        <f>20.271/2</f>
        <v>10.1355</v>
      </c>
      <c r="H297" s="100">
        <v>23</v>
      </c>
      <c r="I297" s="100">
        <f t="shared" si="168"/>
        <v>10.1355</v>
      </c>
      <c r="J297" s="100">
        <v>24.96</v>
      </c>
      <c r="K297" s="101">
        <f t="shared" si="165"/>
        <v>1.0852173913043479</v>
      </c>
      <c r="L297" s="100">
        <f>22.13/2</f>
        <v>11.065</v>
      </c>
      <c r="M297" s="100">
        <v>61.79</v>
      </c>
      <c r="N297" s="100">
        <f>L297</f>
        <v>11.065</v>
      </c>
      <c r="O297" s="100">
        <v>66.930000000000007</v>
      </c>
      <c r="P297" s="121">
        <f t="shared" si="170"/>
        <v>1.0831849813885743</v>
      </c>
      <c r="Q297" s="118">
        <f>21.32/2</f>
        <v>10.66</v>
      </c>
      <c r="R297" s="118">
        <v>25.69</v>
      </c>
      <c r="S297" s="118">
        <f>Q297</f>
        <v>10.66</v>
      </c>
      <c r="T297" s="118">
        <v>28</v>
      </c>
      <c r="U297" s="101">
        <f t="shared" si="172"/>
        <v>1.0899182561307901</v>
      </c>
      <c r="V297" s="172">
        <f t="shared" si="160"/>
        <v>1.0825845532559315</v>
      </c>
    </row>
    <row r="298" spans="1:22" hidden="1">
      <c r="A298" s="97" t="s">
        <v>116</v>
      </c>
      <c r="B298" s="100">
        <f>15.972/2</f>
        <v>7.9859999999999998</v>
      </c>
      <c r="C298" s="100">
        <v>54.14</v>
      </c>
      <c r="D298" s="100">
        <f t="shared" si="173"/>
        <v>7.9859999999999998</v>
      </c>
      <c r="E298" s="100">
        <v>58.29</v>
      </c>
      <c r="F298" s="101">
        <f t="shared" si="167"/>
        <v>1.0766531215367565</v>
      </c>
      <c r="G298" s="100">
        <f>13.797/2</f>
        <v>6.8985000000000003</v>
      </c>
      <c r="H298" s="100">
        <v>23</v>
      </c>
      <c r="I298" s="100">
        <f t="shared" si="168"/>
        <v>6.8985000000000003</v>
      </c>
      <c r="J298" s="100">
        <v>24.96</v>
      </c>
      <c r="K298" s="101">
        <f t="shared" si="165"/>
        <v>1.0852173913043479</v>
      </c>
      <c r="L298" s="100">
        <f>13.438/2</f>
        <v>6.7190000000000003</v>
      </c>
      <c r="M298" s="100">
        <v>63.82</v>
      </c>
      <c r="N298" s="100">
        <f t="shared" si="169"/>
        <v>6.7190000000000003</v>
      </c>
      <c r="O298" s="100">
        <v>68.84</v>
      </c>
      <c r="P298" s="121">
        <f t="shared" si="170"/>
        <v>1.0786587276715764</v>
      </c>
      <c r="Q298" s="118">
        <f>12.436/2</f>
        <v>6.218</v>
      </c>
      <c r="R298" s="118">
        <v>25.69</v>
      </c>
      <c r="S298" s="118">
        <f t="shared" si="171"/>
        <v>6.218</v>
      </c>
      <c r="T298" s="118">
        <v>28</v>
      </c>
      <c r="U298" s="101">
        <f t="shared" si="172"/>
        <v>1.0899182561307901</v>
      </c>
      <c r="V298" s="172">
        <f t="shared" si="160"/>
        <v>1.0777382163445235</v>
      </c>
    </row>
    <row r="299" spans="1:22" hidden="1">
      <c r="A299" s="97" t="s">
        <v>116</v>
      </c>
      <c r="B299" s="100">
        <f>23.972/2</f>
        <v>11.986000000000001</v>
      </c>
      <c r="C299" s="100">
        <v>75.59</v>
      </c>
      <c r="D299" s="100">
        <f>B299</f>
        <v>11.986000000000001</v>
      </c>
      <c r="E299" s="100">
        <v>81.150000000000006</v>
      </c>
      <c r="F299" s="101">
        <f>(E299*D299)/(C299*B299)</f>
        <v>1.0735547030030428</v>
      </c>
      <c r="G299" s="100">
        <f>19.86/2</f>
        <v>9.93</v>
      </c>
      <c r="H299" s="100">
        <v>30.72</v>
      </c>
      <c r="I299" s="100">
        <f>G299</f>
        <v>9.93</v>
      </c>
      <c r="J299" s="100">
        <v>33.33</v>
      </c>
      <c r="K299" s="101">
        <f t="shared" si="165"/>
        <v>1.0849609374999998</v>
      </c>
      <c r="L299" s="100">
        <f>21.068/2</f>
        <v>10.534000000000001</v>
      </c>
      <c r="M299" s="100">
        <v>73.180000000000007</v>
      </c>
      <c r="N299" s="100">
        <f t="shared" si="169"/>
        <v>10.534000000000001</v>
      </c>
      <c r="O299" s="100">
        <v>78.63</v>
      </c>
      <c r="P299" s="121">
        <f t="shared" si="170"/>
        <v>1.07447389997267</v>
      </c>
      <c r="Q299" s="118">
        <f>18.354/2</f>
        <v>9.1769999999999996</v>
      </c>
      <c r="R299" s="118">
        <v>29.99</v>
      </c>
      <c r="S299" s="118">
        <f t="shared" si="171"/>
        <v>9.1769999999999996</v>
      </c>
      <c r="T299" s="118">
        <v>32.700000000000003</v>
      </c>
      <c r="U299" s="101">
        <f t="shared" si="172"/>
        <v>1.0903634544848284</v>
      </c>
      <c r="V299" s="172">
        <f t="shared" si="160"/>
        <v>1.0740068562210123</v>
      </c>
    </row>
    <row r="300" spans="1:22" hidden="1">
      <c r="A300" s="97" t="s">
        <v>116</v>
      </c>
      <c r="B300" s="100">
        <f>21.407/2</f>
        <v>10.7035</v>
      </c>
      <c r="C300" s="100">
        <v>173.01</v>
      </c>
      <c r="D300" s="100">
        <f>B300</f>
        <v>10.7035</v>
      </c>
      <c r="E300" s="100">
        <v>191.67</v>
      </c>
      <c r="F300" s="101">
        <f>(E300*D300)/(C300*B300)</f>
        <v>1.107855037281082</v>
      </c>
      <c r="G300" s="116">
        <f>19.583/2</f>
        <v>9.7914999999999992</v>
      </c>
      <c r="H300" s="116">
        <v>23</v>
      </c>
      <c r="I300" s="100">
        <f>G300</f>
        <v>9.7914999999999992</v>
      </c>
      <c r="J300" s="119">
        <v>24.96</v>
      </c>
      <c r="K300" s="101">
        <f t="shared" si="165"/>
        <v>1.0852173913043479</v>
      </c>
      <c r="L300" s="100">
        <f>19.482/2</f>
        <v>9.7409999999999997</v>
      </c>
      <c r="M300" s="100">
        <v>144.81</v>
      </c>
      <c r="N300" s="100">
        <f>L300</f>
        <v>9.7409999999999997</v>
      </c>
      <c r="O300" s="100">
        <v>185.22</v>
      </c>
      <c r="P300" s="121">
        <f>(O300*N300)/(M300*L300)</f>
        <v>1.2790553138595402</v>
      </c>
      <c r="Q300" s="118">
        <f>18.937/2</f>
        <v>9.4685000000000006</v>
      </c>
      <c r="R300" s="118">
        <v>22.01</v>
      </c>
      <c r="S300" s="118">
        <f t="shared" si="171"/>
        <v>9.4685000000000006</v>
      </c>
      <c r="T300" s="118">
        <v>23</v>
      </c>
      <c r="U300" s="101">
        <f t="shared" si="172"/>
        <v>1.044979554747842</v>
      </c>
      <c r="V300" s="172">
        <f t="shared" si="160"/>
        <v>1.1858599207098357</v>
      </c>
    </row>
    <row r="301" spans="1:22" ht="39" hidden="1">
      <c r="A301" s="104" t="s">
        <v>121</v>
      </c>
      <c r="B301" s="91">
        <f>SUM(B302:B305)</f>
        <v>36.3705</v>
      </c>
      <c r="C301" s="91">
        <f>SUMPRODUCT(B302:B305,C302:C305)/B301</f>
        <v>37.440717339602145</v>
      </c>
      <c r="D301" s="91">
        <f>SUM(D302:D305)</f>
        <v>36.3705</v>
      </c>
      <c r="E301" s="91">
        <f>SUMPRODUCT(D302:D305,E302:E305)/D301</f>
        <v>39.593072545057119</v>
      </c>
      <c r="F301" s="92">
        <f>E301/C301</f>
        <v>1.0574870183691263</v>
      </c>
      <c r="G301" s="91">
        <f>SUM(G302:G305)</f>
        <v>18.859000000000002</v>
      </c>
      <c r="H301" s="91">
        <f>SUMPRODUCT(G302:G305,H302:H305)/G301</f>
        <v>16.640861127313219</v>
      </c>
      <c r="I301" s="91">
        <f>SUM(I302:I305)</f>
        <v>18.859000000000002</v>
      </c>
      <c r="J301" s="91">
        <f>SUMPRODUCT(I302:I305,J302:J305)/I301</f>
        <v>17.825721406225142</v>
      </c>
      <c r="K301" s="92">
        <f>J301/H301</f>
        <v>1.0712018608800942</v>
      </c>
      <c r="L301" s="91">
        <f>SUM(L302:L305)</f>
        <v>10.040000000000001</v>
      </c>
      <c r="M301" s="91">
        <f>SUMPRODUCT(L302:L305,M302:M305)/L301</f>
        <v>63.349203187251</v>
      </c>
      <c r="N301" s="91">
        <f>SUM(N302:N305)</f>
        <v>10.040000000000001</v>
      </c>
      <c r="O301" s="91">
        <f>SUMPRODUCT(N302:N305,O302:O305)/N301</f>
        <v>66.314780876494027</v>
      </c>
      <c r="P301" s="120">
        <f>O301/M301</f>
        <v>1.0468131805932461</v>
      </c>
      <c r="Q301" s="91">
        <f>SUM(Q302:Q305)</f>
        <v>10.040000000000001</v>
      </c>
      <c r="R301" s="91">
        <f>SUMPRODUCT(Q302:Q305,R302:R305)/Q301</f>
        <v>52.780876494023893</v>
      </c>
      <c r="S301" s="91">
        <f>SUM(S302:S305)</f>
        <v>10.040000000000001</v>
      </c>
      <c r="T301" s="91">
        <f>SUMPRODUCT(S302:S305,T302:T305)/S301</f>
        <v>55.340398406374504</v>
      </c>
      <c r="U301" s="92">
        <f>T301/R301</f>
        <v>1.0484933574879229</v>
      </c>
      <c r="V301" s="172">
        <f t="shared" si="160"/>
        <v>1.0507782213533392</v>
      </c>
    </row>
    <row r="302" spans="1:22" ht="51.75" hidden="1">
      <c r="A302" s="113" t="s">
        <v>122</v>
      </c>
      <c r="B302" s="91"/>
      <c r="C302" s="91"/>
      <c r="D302" s="91"/>
      <c r="E302" s="91"/>
      <c r="F302" s="92"/>
      <c r="G302" s="96"/>
      <c r="H302" s="96"/>
      <c r="I302" s="96"/>
      <c r="J302" s="96"/>
      <c r="K302" s="92"/>
      <c r="L302" s="91">
        <f>7.28/2</f>
        <v>3.64</v>
      </c>
      <c r="M302" s="91">
        <v>69.150000000000006</v>
      </c>
      <c r="N302" s="91">
        <f>L302</f>
        <v>3.64</v>
      </c>
      <c r="O302" s="91">
        <v>73.11</v>
      </c>
      <c r="P302" s="120">
        <f>(O302*N302)/(M302*L302)</f>
        <v>1.0572668112798265</v>
      </c>
      <c r="Q302" s="91">
        <f>7.28/2</f>
        <v>3.64</v>
      </c>
      <c r="R302" s="91">
        <v>40</v>
      </c>
      <c r="S302" s="91">
        <f>Q302</f>
        <v>3.64</v>
      </c>
      <c r="T302" s="96">
        <v>42.84</v>
      </c>
      <c r="U302" s="92">
        <f>(T302*S302)/(R302*Q302)</f>
        <v>1.0710000000000002</v>
      </c>
      <c r="V302" s="172">
        <f t="shared" si="160"/>
        <v>1.0572668112798265</v>
      </c>
    </row>
    <row r="303" spans="1:22" ht="39" hidden="1">
      <c r="A303" s="113" t="s">
        <v>123</v>
      </c>
      <c r="B303" s="91">
        <f>39.5/2</f>
        <v>19.75</v>
      </c>
      <c r="C303" s="91">
        <v>38.21</v>
      </c>
      <c r="D303" s="91">
        <f>B303</f>
        <v>19.75</v>
      </c>
      <c r="E303" s="91">
        <v>40.229999999999997</v>
      </c>
      <c r="F303" s="92">
        <f t="shared" ref="F303:F305" si="182">(E303*D303)/(C303*B303)</f>
        <v>1.0528657419523684</v>
      </c>
      <c r="G303" s="91">
        <v>12.67</v>
      </c>
      <c r="H303" s="91">
        <v>15</v>
      </c>
      <c r="I303" s="91">
        <f>G303</f>
        <v>12.67</v>
      </c>
      <c r="J303" s="99">
        <v>16.07</v>
      </c>
      <c r="K303" s="92">
        <f t="shared" ref="K303:K305" si="183">(J303*I303)/(H303*G303)</f>
        <v>1.0713333333333332</v>
      </c>
      <c r="L303" s="91">
        <f>12.8/2</f>
        <v>6.4</v>
      </c>
      <c r="M303" s="91">
        <v>60.05</v>
      </c>
      <c r="N303" s="91">
        <f>L303</f>
        <v>6.4</v>
      </c>
      <c r="O303" s="91">
        <v>62.45</v>
      </c>
      <c r="P303" s="120">
        <f>(O303*N303)/(M303*L303)</f>
        <v>1.0399666944213157</v>
      </c>
      <c r="Q303" s="91">
        <f>12.8/2</f>
        <v>6.4</v>
      </c>
      <c r="R303" s="91">
        <v>60.05</v>
      </c>
      <c r="S303" s="91">
        <f>Q303</f>
        <v>6.4</v>
      </c>
      <c r="T303" s="96">
        <v>62.45</v>
      </c>
      <c r="U303" s="92">
        <f>(T303*S303)/(R303*Q303)</f>
        <v>1.0399666944213157</v>
      </c>
      <c r="V303" s="172">
        <f t="shared" si="160"/>
        <v>1.044982698961938</v>
      </c>
    </row>
    <row r="304" spans="1:22" hidden="1">
      <c r="A304" s="109" t="s">
        <v>124</v>
      </c>
      <c r="B304" s="91">
        <f>14/2</f>
        <v>7</v>
      </c>
      <c r="C304" s="91">
        <v>32.549999999999997</v>
      </c>
      <c r="D304" s="91">
        <f>B304</f>
        <v>7</v>
      </c>
      <c r="E304" s="91">
        <v>32.99</v>
      </c>
      <c r="F304" s="92">
        <f t="shared" si="182"/>
        <v>1.0135176651305686</v>
      </c>
      <c r="G304" s="91">
        <v>0.25</v>
      </c>
      <c r="H304" s="91">
        <v>20</v>
      </c>
      <c r="I304" s="91">
        <f>G304</f>
        <v>0.25</v>
      </c>
      <c r="J304" s="99">
        <v>21.42</v>
      </c>
      <c r="K304" s="92">
        <f t="shared" si="183"/>
        <v>1.0710000000000002</v>
      </c>
      <c r="L304" s="91"/>
      <c r="M304" s="91"/>
      <c r="N304" s="91"/>
      <c r="O304" s="91"/>
      <c r="P304" s="120"/>
      <c r="Q304" s="96"/>
      <c r="R304" s="96"/>
      <c r="S304" s="96"/>
      <c r="T304" s="96"/>
      <c r="U304" s="92"/>
      <c r="V304" s="172">
        <f t="shared" si="160"/>
        <v>1.0135176651305684</v>
      </c>
    </row>
    <row r="305" spans="1:22" hidden="1">
      <c r="A305" s="109" t="s">
        <v>125</v>
      </c>
      <c r="B305" s="112">
        <f>19.241/2</f>
        <v>9.6204999999999998</v>
      </c>
      <c r="C305" s="112">
        <v>39.42</v>
      </c>
      <c r="D305" s="112">
        <f>19.241/2</f>
        <v>9.6204999999999998</v>
      </c>
      <c r="E305" s="96">
        <v>43.09</v>
      </c>
      <c r="F305" s="92">
        <f t="shared" si="182"/>
        <v>1.0930999492643327</v>
      </c>
      <c r="G305" s="112">
        <v>5.9390000000000001</v>
      </c>
      <c r="H305" s="112">
        <v>20</v>
      </c>
      <c r="I305" s="91">
        <f>G305</f>
        <v>5.9390000000000001</v>
      </c>
      <c r="J305" s="112">
        <v>21.42</v>
      </c>
      <c r="K305" s="92">
        <f t="shared" si="183"/>
        <v>1.0710000000000002</v>
      </c>
      <c r="L305" s="96"/>
      <c r="M305" s="96"/>
      <c r="N305" s="96"/>
      <c r="O305" s="96"/>
      <c r="P305" s="120"/>
      <c r="Q305" s="96"/>
      <c r="R305" s="96"/>
      <c r="S305" s="96"/>
      <c r="T305" s="96"/>
      <c r="U305" s="92"/>
      <c r="V305" s="172">
        <f t="shared" si="160"/>
        <v>1.093099949264333</v>
      </c>
    </row>
    <row r="306" spans="1:22" ht="25.5" hidden="1">
      <c r="A306" s="93" t="s">
        <v>126</v>
      </c>
      <c r="B306" s="91">
        <f>SUM(B307:B311)</f>
        <v>104.1095</v>
      </c>
      <c r="C306" s="91">
        <f>SUMPRODUCT(B307:B311,C307:C311)/B306</f>
        <v>40.088333965680363</v>
      </c>
      <c r="D306" s="91">
        <f>SUM(D307:D311)</f>
        <v>104.1095</v>
      </c>
      <c r="E306" s="91">
        <f>SUMPRODUCT(D307:D311,E307:E311)/D306</f>
        <v>41.994961506874979</v>
      </c>
      <c r="F306" s="92">
        <f>E306/C306</f>
        <v>1.0475606579915964</v>
      </c>
      <c r="G306" s="91">
        <f>SUM(G307:G311)</f>
        <v>74.91</v>
      </c>
      <c r="H306" s="91">
        <f>SUMPRODUCT(G307:G311,H307:H311)/G306</f>
        <v>41.119684955279666</v>
      </c>
      <c r="I306" s="91">
        <f>SUM(I307:I311)</f>
        <v>74.91</v>
      </c>
      <c r="J306" s="91">
        <f>SUMPRODUCT(I307:I311,J307:J311)/I306</f>
        <v>43.009116272860766</v>
      </c>
      <c r="K306" s="92">
        <f>J306/H306</f>
        <v>1.045949557240917</v>
      </c>
      <c r="L306" s="91">
        <f>SUM(L307:L311)</f>
        <v>73.930499999999995</v>
      </c>
      <c r="M306" s="91">
        <f>SUMPRODUCT(L307:L311,M307:M311)/L306</f>
        <v>33.067474519988373</v>
      </c>
      <c r="N306" s="91">
        <f>SUM(N307:N311)</f>
        <v>73.930499999999995</v>
      </c>
      <c r="O306" s="91">
        <f>SUMPRODUCT(N307:N311,O307:O311)/N306</f>
        <v>35.153448576703795</v>
      </c>
      <c r="P306" s="120">
        <f>O306/M306</f>
        <v>1.0630823516762524</v>
      </c>
      <c r="Q306" s="91">
        <f>SUM(Q307:Q311)</f>
        <v>64.650000000000006</v>
      </c>
      <c r="R306" s="91">
        <f>SUMPRODUCT(Q307:Q311,R307:R311)/Q306</f>
        <v>31.750793503480274</v>
      </c>
      <c r="S306" s="91">
        <f>SUM(S307:S311)</f>
        <v>64.650000000000006</v>
      </c>
      <c r="T306" s="91">
        <f>SUMPRODUCT(S307:S311,T307:T311)/S306</f>
        <v>33.90634648105182</v>
      </c>
      <c r="U306" s="92">
        <f>T306/R306</f>
        <v>1.06788973564819</v>
      </c>
      <c r="V306" s="172">
        <f t="shared" si="160"/>
        <v>1.05457668612455</v>
      </c>
    </row>
    <row r="307" spans="1:22" ht="51" hidden="1">
      <c r="A307" s="93" t="s">
        <v>127</v>
      </c>
      <c r="B307" s="91">
        <f>11.18/2</f>
        <v>5.59</v>
      </c>
      <c r="C307" s="91">
        <v>33.020000000000003</v>
      </c>
      <c r="D307" s="91">
        <f>B307</f>
        <v>5.59</v>
      </c>
      <c r="E307" s="91">
        <v>34.04</v>
      </c>
      <c r="F307" s="92">
        <f>(E307*D307)/(C307*B307)</f>
        <v>1.0308903694730465</v>
      </c>
      <c r="G307" s="91">
        <v>3.9</v>
      </c>
      <c r="H307" s="91">
        <v>33.020000000000003</v>
      </c>
      <c r="I307" s="91">
        <f>G307</f>
        <v>3.9</v>
      </c>
      <c r="J307" s="99">
        <v>34.04</v>
      </c>
      <c r="K307" s="92">
        <f>(J307*I307)/(H307*G307)</f>
        <v>1.0308903694730465</v>
      </c>
      <c r="L307" s="91">
        <f>6.54/2</f>
        <v>3.27</v>
      </c>
      <c r="M307" s="91">
        <v>78.03</v>
      </c>
      <c r="N307" s="91">
        <f>L307</f>
        <v>3.27</v>
      </c>
      <c r="O307" s="91">
        <v>81.98</v>
      </c>
      <c r="P307" s="120">
        <f>(O307*N307)/(M307*L307)</f>
        <v>1.0506215558118672</v>
      </c>
      <c r="Q307" s="91">
        <v>3.1</v>
      </c>
      <c r="R307" s="91">
        <v>57.08</v>
      </c>
      <c r="S307" s="91">
        <f>Q307</f>
        <v>3.1</v>
      </c>
      <c r="T307" s="96">
        <v>61.93</v>
      </c>
      <c r="U307" s="92">
        <f>(T307*S307)/(R307*Q307)</f>
        <v>1.084968465311843</v>
      </c>
      <c r="V307" s="172">
        <f t="shared" si="160"/>
        <v>1.0447546150382709</v>
      </c>
    </row>
    <row r="308" spans="1:22" ht="25.5" hidden="1">
      <c r="A308" s="93" t="s">
        <v>128</v>
      </c>
      <c r="B308" s="91">
        <f>35.646/2</f>
        <v>17.823</v>
      </c>
      <c r="C308" s="91">
        <v>30.78</v>
      </c>
      <c r="D308" s="91">
        <f>B308</f>
        <v>17.823</v>
      </c>
      <c r="E308" s="91">
        <v>32.83</v>
      </c>
      <c r="F308" s="92">
        <f>(E308*D308)/(C308*B308)</f>
        <v>1.0666016894087069</v>
      </c>
      <c r="G308" s="91">
        <v>7.22</v>
      </c>
      <c r="H308" s="91">
        <v>30.78</v>
      </c>
      <c r="I308" s="91">
        <f>G308</f>
        <v>7.22</v>
      </c>
      <c r="J308" s="99">
        <v>32.83</v>
      </c>
      <c r="K308" s="92">
        <f>(J308*I308)/(H308*G308)</f>
        <v>1.0666016894087067</v>
      </c>
      <c r="L308" s="91">
        <f>10.78/2</f>
        <v>5.39</v>
      </c>
      <c r="M308" s="91">
        <v>52.31</v>
      </c>
      <c r="N308" s="91">
        <f>L308</f>
        <v>5.39</v>
      </c>
      <c r="O308" s="91">
        <v>55.77</v>
      </c>
      <c r="P308" s="120">
        <f>(O308*N308)/(M308*L308)</f>
        <v>1.066144140699675</v>
      </c>
      <c r="Q308" s="91">
        <v>4.2300000000000004</v>
      </c>
      <c r="R308" s="91">
        <v>52.31</v>
      </c>
      <c r="S308" s="91">
        <f>Q308</f>
        <v>4.2300000000000004</v>
      </c>
      <c r="T308" s="96">
        <v>55.77</v>
      </c>
      <c r="U308" s="92">
        <f>(T308*S308)/(R308*Q308)</f>
        <v>1.066144140699675</v>
      </c>
      <c r="V308" s="172">
        <f t="shared" si="160"/>
        <v>1.0663136358165843</v>
      </c>
    </row>
    <row r="309" spans="1:22" ht="51" hidden="1">
      <c r="A309" s="93" t="s">
        <v>129</v>
      </c>
      <c r="B309" s="91">
        <f>(59.46)/2</f>
        <v>29.73</v>
      </c>
      <c r="C309" s="91">
        <v>42.48</v>
      </c>
      <c r="D309" s="91">
        <f>B309</f>
        <v>29.73</v>
      </c>
      <c r="E309" s="91">
        <v>44.87</v>
      </c>
      <c r="F309" s="92">
        <f>(E309*D309)/(C309*B309)</f>
        <v>1.0562617702448209</v>
      </c>
      <c r="G309" s="91">
        <v>22.53</v>
      </c>
      <c r="H309" s="91">
        <v>42.48</v>
      </c>
      <c r="I309" s="91">
        <f>G309</f>
        <v>22.53</v>
      </c>
      <c r="J309" s="99">
        <v>44.87</v>
      </c>
      <c r="K309" s="92">
        <f>(J309*I309)/(H309*G309)</f>
        <v>1.0562617702448212</v>
      </c>
      <c r="L309" s="91">
        <f>122.041/2</f>
        <v>61.020499999999998</v>
      </c>
      <c r="M309" s="91">
        <v>27.85</v>
      </c>
      <c r="N309" s="91">
        <f>L309</f>
        <v>61.020499999999998</v>
      </c>
      <c r="O309" s="91">
        <v>29.86</v>
      </c>
      <c r="P309" s="120">
        <f>(O309*N309)/(M309*L309)</f>
        <v>1.0721723518850987</v>
      </c>
      <c r="Q309" s="96">
        <v>54.57</v>
      </c>
      <c r="R309" s="96">
        <v>27.85</v>
      </c>
      <c r="S309" s="96">
        <f>Q309</f>
        <v>54.57</v>
      </c>
      <c r="T309" s="96">
        <v>29.86</v>
      </c>
      <c r="U309" s="92">
        <f>(T309*S309)/(R309*Q309)</f>
        <v>1.0721723518850987</v>
      </c>
      <c r="V309" s="172">
        <f t="shared" si="160"/>
        <v>1.0625622067396558</v>
      </c>
    </row>
    <row r="310" spans="1:22" ht="63.75" hidden="1">
      <c r="A310" s="93" t="s">
        <v>130</v>
      </c>
      <c r="B310" s="91">
        <f>91.933/2</f>
        <v>45.966500000000003</v>
      </c>
      <c r="C310" s="91">
        <v>44.41</v>
      </c>
      <c r="D310" s="91">
        <f>B310</f>
        <v>45.966500000000003</v>
      </c>
      <c r="E310" s="91">
        <v>46.07</v>
      </c>
      <c r="F310" s="92">
        <f>(E310*D310)/(C310*B310)</f>
        <v>1.0373789687007431</v>
      </c>
      <c r="G310" s="91">
        <v>37.76</v>
      </c>
      <c r="H310" s="91">
        <v>44.41</v>
      </c>
      <c r="I310" s="91">
        <f>G310</f>
        <v>37.76</v>
      </c>
      <c r="J310" s="99">
        <v>46.07</v>
      </c>
      <c r="K310" s="92">
        <f>(J310*I310)/(H310*G310)</f>
        <v>1.0373789687007433</v>
      </c>
      <c r="L310" s="91"/>
      <c r="M310" s="91"/>
      <c r="N310" s="91"/>
      <c r="O310" s="91"/>
      <c r="P310" s="120"/>
      <c r="Q310" s="96"/>
      <c r="R310" s="96"/>
      <c r="S310" s="96"/>
      <c r="T310" s="96"/>
      <c r="U310" s="92"/>
      <c r="V310" s="172">
        <f t="shared" si="160"/>
        <v>1.0373789687007431</v>
      </c>
    </row>
    <row r="311" spans="1:22" hidden="1">
      <c r="A311" s="90" t="s">
        <v>131</v>
      </c>
      <c r="B311" s="91">
        <f>10/2</f>
        <v>5</v>
      </c>
      <c r="C311" s="91">
        <v>27.22</v>
      </c>
      <c r="D311" s="91">
        <f>B311</f>
        <v>5</v>
      </c>
      <c r="E311" s="91">
        <v>29</v>
      </c>
      <c r="F311" s="92">
        <f>(E311*D311)/(C311*B311)</f>
        <v>1.0653930933137399</v>
      </c>
      <c r="G311" s="99">
        <v>3.5</v>
      </c>
      <c r="H311" s="99">
        <v>27.22</v>
      </c>
      <c r="I311" s="99">
        <f>G311</f>
        <v>3.5</v>
      </c>
      <c r="J311" s="99">
        <v>29</v>
      </c>
      <c r="K311" s="92">
        <f>(J311*I311)/(H311*G311)</f>
        <v>1.0653930933137399</v>
      </c>
      <c r="L311" s="91">
        <f>8.5/2</f>
        <v>4.25</v>
      </c>
      <c r="M311" s="91">
        <v>48.98</v>
      </c>
      <c r="N311" s="91">
        <f>L311</f>
        <v>4.25</v>
      </c>
      <c r="O311" s="91">
        <v>48.98</v>
      </c>
      <c r="P311" s="120">
        <f>(O311*N311)/(M311*L311)</f>
        <v>1</v>
      </c>
      <c r="Q311" s="96">
        <v>2.75</v>
      </c>
      <c r="R311" s="96">
        <v>48.98</v>
      </c>
      <c r="S311" s="96">
        <f>Q311</f>
        <v>2.75</v>
      </c>
      <c r="T311" s="96">
        <v>48.98</v>
      </c>
      <c r="U311" s="92">
        <f>(T311*S311)/(R311*Q311)</f>
        <v>1</v>
      </c>
      <c r="V311" s="172">
        <f t="shared" si="160"/>
        <v>1.0233595800524935</v>
      </c>
    </row>
    <row r="312" spans="1:22" hidden="1">
      <c r="A312" s="90" t="s">
        <v>132</v>
      </c>
      <c r="B312" s="91">
        <f>SUM(B313:B322)</f>
        <v>342.76299999999998</v>
      </c>
      <c r="C312" s="91">
        <f>SUMPRODUCT(B313:B322,C313:C322)/B312</f>
        <v>57.695784798826018</v>
      </c>
      <c r="D312" s="91">
        <f>SUM(D313:D322)</f>
        <v>342.76299999999998</v>
      </c>
      <c r="E312" s="91">
        <f>SUMPRODUCT(D313:D322,E313:E322)/D312</f>
        <v>61.308387340523915</v>
      </c>
      <c r="F312" s="92">
        <f>E312/C312</f>
        <v>1.0626146702795418</v>
      </c>
      <c r="G312" s="91">
        <f>SUM(G313:G322)</f>
        <v>175.66</v>
      </c>
      <c r="H312" s="91">
        <f>SUMPRODUCT(G313:G322,H313:H322)/G312</f>
        <v>42.262778663326884</v>
      </c>
      <c r="I312" s="91">
        <f>SUM(I313:I322)</f>
        <v>175.66</v>
      </c>
      <c r="J312" s="91">
        <f>SUMPRODUCT(I313:I322,J313:J322)/I312</f>
        <v>44.093141864966412</v>
      </c>
      <c r="K312" s="92">
        <f>J312/H312</f>
        <v>1.0433091069619567</v>
      </c>
      <c r="L312" s="91">
        <f>SUM(L313:L322)</f>
        <v>239.70950000000002</v>
      </c>
      <c r="M312" s="91">
        <f>SUMPRODUCT(L313:L322,M313:M322)/L312</f>
        <v>59.084798850275014</v>
      </c>
      <c r="N312" s="91">
        <f>SUM(N313:N322)</f>
        <v>239.70950000000002</v>
      </c>
      <c r="O312" s="91">
        <f>SUMPRODUCT(N313:N322,O313:O322)/N312</f>
        <v>63.11635383662307</v>
      </c>
      <c r="P312" s="120">
        <f>O312/M312</f>
        <v>1.068233370761984</v>
      </c>
      <c r="Q312" s="91">
        <f>SUM(Q313:Q322)</f>
        <v>132.92049999999998</v>
      </c>
      <c r="R312" s="91">
        <f>SUMPRODUCT(Q313:Q322,R313:R322)/Q312</f>
        <v>48.468136517692912</v>
      </c>
      <c r="S312" s="91">
        <f>SUM(S313:S322)</f>
        <v>132.92049999999998</v>
      </c>
      <c r="T312" s="91">
        <f>SUMPRODUCT(S313:S322,T313:T322)/S312</f>
        <v>52.457575204727647</v>
      </c>
      <c r="U312" s="92">
        <f>T312/R312</f>
        <v>1.0823105440742171</v>
      </c>
      <c r="V312" s="172">
        <f t="shared" si="160"/>
        <v>1.0654574355529418</v>
      </c>
    </row>
    <row r="313" spans="1:22" ht="89.25" hidden="1">
      <c r="A313" s="93" t="s">
        <v>133</v>
      </c>
      <c r="B313" s="91">
        <f>217.298/2</f>
        <v>108.649</v>
      </c>
      <c r="C313" s="91">
        <v>43.02</v>
      </c>
      <c r="D313" s="91">
        <f>B313</f>
        <v>108.649</v>
      </c>
      <c r="E313" s="91">
        <v>43.46</v>
      </c>
      <c r="F313" s="92">
        <f>(E313*D313)/(C313*B313)</f>
        <v>1.0102278010227801</v>
      </c>
      <c r="G313" s="91">
        <v>30.9</v>
      </c>
      <c r="H313" s="91">
        <v>43.02</v>
      </c>
      <c r="I313" s="91">
        <f>G313</f>
        <v>30.9</v>
      </c>
      <c r="J313" s="99">
        <v>43.46</v>
      </c>
      <c r="K313" s="92">
        <f t="shared" ref="K313:K322" si="184">(J313*I313)/(H313*G313)</f>
        <v>1.0102278010227801</v>
      </c>
      <c r="L313" s="91">
        <f>122.645/2</f>
        <v>61.322499999999998</v>
      </c>
      <c r="M313" s="91">
        <v>68.87</v>
      </c>
      <c r="N313" s="91">
        <f>L313</f>
        <v>61.322499999999998</v>
      </c>
      <c r="O313" s="91">
        <v>71.14</v>
      </c>
      <c r="P313" s="120">
        <f>(O313*N313)/(M313*L313)</f>
        <v>1.0329606505009439</v>
      </c>
      <c r="Q313" s="91">
        <v>29.31</v>
      </c>
      <c r="R313" s="91">
        <v>68.87</v>
      </c>
      <c r="S313" s="91">
        <f>Q313</f>
        <v>29.31</v>
      </c>
      <c r="T313" s="96">
        <v>71.14</v>
      </c>
      <c r="U313" s="92">
        <f>(T313*S313)/(R313*Q313)</f>
        <v>1.0329606505009437</v>
      </c>
      <c r="V313" s="172">
        <f t="shared" si="160"/>
        <v>1.0242202162838501</v>
      </c>
    </row>
    <row r="314" spans="1:22" ht="102" hidden="1">
      <c r="A314" s="93" t="s">
        <v>134</v>
      </c>
      <c r="B314" s="91">
        <v>0</v>
      </c>
      <c r="C314" s="91">
        <v>0</v>
      </c>
      <c r="D314" s="91">
        <v>0</v>
      </c>
      <c r="E314" s="91">
        <v>0</v>
      </c>
      <c r="F314" s="92">
        <v>0</v>
      </c>
      <c r="G314" s="99">
        <v>0</v>
      </c>
      <c r="H314" s="99">
        <v>0</v>
      </c>
      <c r="I314" s="99">
        <v>0</v>
      </c>
      <c r="J314" s="99">
        <v>0</v>
      </c>
      <c r="K314" s="92">
        <v>0</v>
      </c>
      <c r="L314" s="91">
        <f>10.165/2</f>
        <v>5.0824999999999996</v>
      </c>
      <c r="M314" s="91">
        <v>51.78</v>
      </c>
      <c r="N314" s="91">
        <f>L314</f>
        <v>5.0824999999999996</v>
      </c>
      <c r="O314" s="91">
        <v>51.78</v>
      </c>
      <c r="P314" s="120">
        <f>(O314*N314)/(M314*L314)</f>
        <v>1</v>
      </c>
      <c r="Q314" s="112">
        <v>0</v>
      </c>
      <c r="R314" s="112">
        <v>0</v>
      </c>
      <c r="S314" s="112">
        <v>0</v>
      </c>
      <c r="T314" s="112">
        <v>0</v>
      </c>
      <c r="U314" s="92">
        <v>0</v>
      </c>
      <c r="V314" s="172">
        <f t="shared" si="160"/>
        <v>1</v>
      </c>
    </row>
    <row r="315" spans="1:22" ht="89.25" hidden="1">
      <c r="A315" s="93" t="s">
        <v>135</v>
      </c>
      <c r="B315" s="91">
        <f>25.234/2</f>
        <v>12.617000000000001</v>
      </c>
      <c r="C315" s="91">
        <v>116.64</v>
      </c>
      <c r="D315" s="91">
        <f>B315</f>
        <v>12.617000000000001</v>
      </c>
      <c r="E315" s="91">
        <v>117.23</v>
      </c>
      <c r="F315" s="92">
        <f>(E315*D315)/(C315*B315)</f>
        <v>1.0050582990397805</v>
      </c>
      <c r="G315" s="91">
        <v>9.8800000000000008</v>
      </c>
      <c r="H315" s="91">
        <v>70.739999999999995</v>
      </c>
      <c r="I315" s="91">
        <f>G315</f>
        <v>9.8800000000000008</v>
      </c>
      <c r="J315" s="99">
        <v>75.760000000000005</v>
      </c>
      <c r="K315" s="92">
        <f t="shared" si="184"/>
        <v>1.0709640938648572</v>
      </c>
      <c r="L315" s="91">
        <f>20.976/2</f>
        <v>10.488</v>
      </c>
      <c r="M315" s="91">
        <v>101</v>
      </c>
      <c r="N315" s="91">
        <f>L315</f>
        <v>10.488</v>
      </c>
      <c r="O315" s="91">
        <v>103.89</v>
      </c>
      <c r="P315" s="120">
        <f>(O315*N315)/(M315*L315)</f>
        <v>1.0286138613861386</v>
      </c>
      <c r="Q315" s="96">
        <v>9.6105</v>
      </c>
      <c r="R315" s="96">
        <v>84.08</v>
      </c>
      <c r="S315" s="96">
        <f>Q315</f>
        <v>9.6105</v>
      </c>
      <c r="T315" s="96">
        <v>90.05</v>
      </c>
      <c r="U315" s="92">
        <f t="shared" ref="U315" si="185">(T315*S315)/(R315*Q315)</f>
        <v>1.0710038058991436</v>
      </c>
      <c r="V315" s="172">
        <f t="shared" si="160"/>
        <v>1.0159897077743063</v>
      </c>
    </row>
    <row r="316" spans="1:22" hidden="1">
      <c r="A316" s="97" t="s">
        <v>141</v>
      </c>
      <c r="B316" s="91">
        <f>3.13/2</f>
        <v>1.5649999999999999</v>
      </c>
      <c r="C316" s="91">
        <v>291.20999999999998</v>
      </c>
      <c r="D316" s="91">
        <f>B316</f>
        <v>1.5649999999999999</v>
      </c>
      <c r="E316" s="91">
        <v>301.67</v>
      </c>
      <c r="F316" s="92">
        <f>(E316*D316)/(C316*B316)</f>
        <v>1.0359190961848839</v>
      </c>
      <c r="G316" s="91"/>
      <c r="H316" s="91"/>
      <c r="I316" s="91"/>
      <c r="J316" s="91"/>
      <c r="K316" s="92"/>
      <c r="L316" s="91"/>
      <c r="M316" s="91"/>
      <c r="N316" s="91"/>
      <c r="O316" s="91"/>
      <c r="P316" s="120"/>
      <c r="Q316" s="96"/>
      <c r="R316" s="96"/>
      <c r="S316" s="96"/>
      <c r="T316" s="96"/>
      <c r="U316" s="92"/>
      <c r="V316" s="172">
        <f t="shared" si="160"/>
        <v>1.0359190961848839</v>
      </c>
    </row>
    <row r="317" spans="1:22" hidden="1">
      <c r="A317" s="97" t="s">
        <v>142</v>
      </c>
      <c r="B317" s="91">
        <f>136.93/2</f>
        <v>68.465000000000003</v>
      </c>
      <c r="C317" s="91">
        <v>33.83</v>
      </c>
      <c r="D317" s="91">
        <f>B317</f>
        <v>68.465000000000003</v>
      </c>
      <c r="E317" s="91">
        <v>36.35</v>
      </c>
      <c r="F317" s="92">
        <f t="shared" ref="F317:F322" si="186">(E317*D317)/(C317*B317)</f>
        <v>1.0744900975465563</v>
      </c>
      <c r="G317" s="91">
        <f>66.76/2</f>
        <v>33.380000000000003</v>
      </c>
      <c r="H317" s="91">
        <v>19.420000000000002</v>
      </c>
      <c r="I317" s="91">
        <f>G317</f>
        <v>33.380000000000003</v>
      </c>
      <c r="J317" s="91">
        <v>20.8</v>
      </c>
      <c r="K317" s="92">
        <f t="shared" ref="K317" si="187">(J317*I317)/(H317*G317)</f>
        <v>1.0710607621009269</v>
      </c>
      <c r="L317" s="91">
        <f>109.73/2</f>
        <v>54.865000000000002</v>
      </c>
      <c r="M317" s="91">
        <v>30.5</v>
      </c>
      <c r="N317" s="91">
        <f>L317</f>
        <v>54.865000000000002</v>
      </c>
      <c r="O317" s="91">
        <v>32.479999999999997</v>
      </c>
      <c r="P317" s="120">
        <f t="shared" ref="P317" si="188">(O317*N317)/(M317*L317)</f>
        <v>1.064918032786885</v>
      </c>
      <c r="Q317" s="96">
        <f>66.9/2</f>
        <v>33.450000000000003</v>
      </c>
      <c r="R317" s="96">
        <v>21.27</v>
      </c>
      <c r="S317" s="96">
        <f>Q317</f>
        <v>33.450000000000003</v>
      </c>
      <c r="T317" s="96">
        <v>22.78</v>
      </c>
      <c r="U317" s="92">
        <f t="shared" ref="U317" si="189">T317/R317</f>
        <v>1.070992007522332</v>
      </c>
      <c r="V317" s="172">
        <f t="shared" si="160"/>
        <v>1.069951810974662</v>
      </c>
    </row>
    <row r="318" spans="1:22" hidden="1">
      <c r="A318" s="90" t="s">
        <v>136</v>
      </c>
      <c r="B318" s="91">
        <f>7.807/2</f>
        <v>3.9035000000000002</v>
      </c>
      <c r="C318" s="91">
        <v>118.97</v>
      </c>
      <c r="D318" s="91">
        <f t="shared" ref="D318:D322" si="190">B318</f>
        <v>3.9035000000000002</v>
      </c>
      <c r="E318" s="91">
        <v>118.97</v>
      </c>
      <c r="F318" s="92">
        <f t="shared" si="186"/>
        <v>1</v>
      </c>
      <c r="G318" s="99">
        <v>2.06</v>
      </c>
      <c r="H318" s="91">
        <v>74.45</v>
      </c>
      <c r="I318" s="99">
        <f>G318</f>
        <v>2.06</v>
      </c>
      <c r="J318" s="91">
        <v>80.78</v>
      </c>
      <c r="K318" s="92">
        <f t="shared" si="184"/>
        <v>1.0850235057085291</v>
      </c>
      <c r="L318" s="91">
        <v>0</v>
      </c>
      <c r="M318" s="91">
        <v>0</v>
      </c>
      <c r="N318" s="91">
        <v>0</v>
      </c>
      <c r="O318" s="91">
        <v>0</v>
      </c>
      <c r="P318" s="120"/>
      <c r="Q318" s="91">
        <f>L318</f>
        <v>0</v>
      </c>
      <c r="R318" s="96">
        <v>0</v>
      </c>
      <c r="S318" s="91">
        <f>Q318</f>
        <v>0</v>
      </c>
      <c r="T318" s="96">
        <v>0</v>
      </c>
      <c r="U318" s="92"/>
      <c r="V318" s="172">
        <f t="shared" si="160"/>
        <v>1</v>
      </c>
    </row>
    <row r="319" spans="1:22" hidden="1">
      <c r="A319" s="90" t="s">
        <v>137</v>
      </c>
      <c r="B319" s="91">
        <f>79.676/2</f>
        <v>39.838000000000001</v>
      </c>
      <c r="C319" s="91">
        <v>84.6</v>
      </c>
      <c r="D319" s="91">
        <f t="shared" si="190"/>
        <v>39.838000000000001</v>
      </c>
      <c r="E319" s="91">
        <v>87.97</v>
      </c>
      <c r="F319" s="92">
        <f t="shared" si="186"/>
        <v>1.0398345153664303</v>
      </c>
      <c r="G319" s="91">
        <v>21.58</v>
      </c>
      <c r="H319" s="91">
        <v>84.6</v>
      </c>
      <c r="I319" s="91">
        <f t="shared" ref="I319" si="191">G319</f>
        <v>21.58</v>
      </c>
      <c r="J319" s="99">
        <v>87.97</v>
      </c>
      <c r="K319" s="92">
        <f t="shared" si="184"/>
        <v>1.0398345153664303</v>
      </c>
      <c r="L319" s="91">
        <f>52.429/2</f>
        <v>26.214500000000001</v>
      </c>
      <c r="M319" s="91">
        <v>88.27</v>
      </c>
      <c r="N319" s="91">
        <f>L319</f>
        <v>26.214500000000001</v>
      </c>
      <c r="O319" s="91">
        <v>89.16</v>
      </c>
      <c r="P319" s="120">
        <f t="shared" ref="P319" si="192">(O319*N319)/(M319*L319)</f>
        <v>1.0100827008043503</v>
      </c>
      <c r="Q319" s="91">
        <v>0.2</v>
      </c>
      <c r="R319" s="91">
        <v>88.27</v>
      </c>
      <c r="S319" s="91">
        <f>Q319</f>
        <v>0.2</v>
      </c>
      <c r="T319" s="96">
        <v>89.16</v>
      </c>
      <c r="U319" s="92">
        <f t="shared" ref="U319" si="193">(T319*S319)/(R319*Q319)</f>
        <v>1.0100827008043503</v>
      </c>
      <c r="V319" s="172">
        <f t="shared" si="160"/>
        <v>1.024642795163996</v>
      </c>
    </row>
    <row r="320" spans="1:22" hidden="1">
      <c r="A320" s="90" t="s">
        <v>138</v>
      </c>
      <c r="B320" s="91">
        <f>6.025/2</f>
        <v>3.0125000000000002</v>
      </c>
      <c r="C320" s="91">
        <v>145</v>
      </c>
      <c r="D320" s="91">
        <f t="shared" si="190"/>
        <v>3.0125000000000002</v>
      </c>
      <c r="E320" s="91">
        <v>148.31</v>
      </c>
      <c r="F320" s="92">
        <f t="shared" si="186"/>
        <v>1.0228275862068965</v>
      </c>
      <c r="G320" s="99">
        <v>2.34</v>
      </c>
      <c r="H320" s="99">
        <v>93.96</v>
      </c>
      <c r="I320" s="99">
        <f>G320</f>
        <v>2.34</v>
      </c>
      <c r="J320" s="99">
        <v>93.96</v>
      </c>
      <c r="K320" s="92">
        <f t="shared" si="184"/>
        <v>1</v>
      </c>
      <c r="L320" s="91"/>
      <c r="M320" s="91"/>
      <c r="N320" s="91"/>
      <c r="O320" s="91"/>
      <c r="P320" s="120"/>
      <c r="Q320" s="96"/>
      <c r="R320" s="96"/>
      <c r="S320" s="96"/>
      <c r="T320" s="96"/>
      <c r="U320" s="92"/>
      <c r="V320" s="172">
        <f t="shared" si="160"/>
        <v>1.0228275862068965</v>
      </c>
    </row>
    <row r="321" spans="1:22" ht="63.75" hidden="1">
      <c r="A321" s="93" t="s">
        <v>139</v>
      </c>
      <c r="B321" s="91">
        <f>165.666/2</f>
        <v>82.832999999999998</v>
      </c>
      <c r="C321" s="91">
        <v>39.01</v>
      </c>
      <c r="D321" s="91">
        <f t="shared" si="190"/>
        <v>82.832999999999998</v>
      </c>
      <c r="E321" s="91">
        <v>44.13</v>
      </c>
      <c r="F321" s="92">
        <f t="shared" si="186"/>
        <v>1.1312483978467061</v>
      </c>
      <c r="G321" s="91">
        <v>61.75</v>
      </c>
      <c r="H321" s="91">
        <v>33.5</v>
      </c>
      <c r="I321" s="91">
        <f t="shared" ref="I321:I322" si="194">G321</f>
        <v>61.75</v>
      </c>
      <c r="J321" s="99">
        <v>35</v>
      </c>
      <c r="K321" s="92">
        <f t="shared" si="184"/>
        <v>1.044776119402985</v>
      </c>
      <c r="L321" s="91">
        <f>144.314/2</f>
        <v>72.156999999999996</v>
      </c>
      <c r="M321" s="91">
        <v>41.35</v>
      </c>
      <c r="N321" s="91">
        <f>L321</f>
        <v>72.156999999999996</v>
      </c>
      <c r="O321" s="91">
        <v>46.74</v>
      </c>
      <c r="P321" s="120">
        <f>(O321*N321)/(M321*L321)</f>
        <v>1.1303506650544135</v>
      </c>
      <c r="Q321" s="91">
        <v>51.87</v>
      </c>
      <c r="R321" s="91">
        <v>48.79</v>
      </c>
      <c r="S321" s="91">
        <f>Q321</f>
        <v>51.87</v>
      </c>
      <c r="T321" s="96">
        <v>55.16</v>
      </c>
      <c r="U321" s="92">
        <f>(T321*S321)/(R321*Q321)</f>
        <v>1.1305595408895266</v>
      </c>
      <c r="V321" s="172">
        <f t="shared" si="160"/>
        <v>1.1307864609258338</v>
      </c>
    </row>
    <row r="322" spans="1:22" ht="63.75" hidden="1">
      <c r="A322" s="93" t="s">
        <v>140</v>
      </c>
      <c r="B322" s="91">
        <f>43.76/2</f>
        <v>21.88</v>
      </c>
      <c r="C322" s="91">
        <v>153.36000000000001</v>
      </c>
      <c r="D322" s="91">
        <f t="shared" si="190"/>
        <v>21.88</v>
      </c>
      <c r="E322" s="91">
        <v>172.82</v>
      </c>
      <c r="F322" s="92">
        <f t="shared" si="186"/>
        <v>1.1268909754825247</v>
      </c>
      <c r="G322" s="91">
        <v>13.77</v>
      </c>
      <c r="H322" s="91">
        <v>34.85</v>
      </c>
      <c r="I322" s="91">
        <f t="shared" si="194"/>
        <v>13.77</v>
      </c>
      <c r="J322" s="99">
        <v>37.31</v>
      </c>
      <c r="K322" s="92">
        <f t="shared" si="184"/>
        <v>1.0705882352941176</v>
      </c>
      <c r="L322" s="91">
        <f>19.16/2</f>
        <v>9.58</v>
      </c>
      <c r="M322" s="91">
        <v>171.86</v>
      </c>
      <c r="N322" s="91">
        <f>L322</f>
        <v>9.58</v>
      </c>
      <c r="O322" s="91">
        <v>200.67</v>
      </c>
      <c r="P322" s="120">
        <f>(O322*N322)/(M322*L322)</f>
        <v>1.1676364482718491</v>
      </c>
      <c r="Q322" s="91">
        <v>8.48</v>
      </c>
      <c r="R322" s="91">
        <v>41.97</v>
      </c>
      <c r="S322" s="91">
        <f>Q322</f>
        <v>8.48</v>
      </c>
      <c r="T322" s="96">
        <v>44.95</v>
      </c>
      <c r="U322" s="92">
        <f>(T322*S322)/(R322*Q322)</f>
        <v>1.07100309745056</v>
      </c>
      <c r="V322" s="172">
        <f t="shared" si="160"/>
        <v>1.1484226062357787</v>
      </c>
    </row>
    <row r="323" spans="1:22" hidden="1">
      <c r="A323" s="90" t="s">
        <v>143</v>
      </c>
      <c r="B323" s="91">
        <f>SUM(B324:B329)</f>
        <v>433.26949999999999</v>
      </c>
      <c r="C323" s="91">
        <f>SUMPRODUCT(B324:B329,C324:C329)/B323</f>
        <v>47.107297663463505</v>
      </c>
      <c r="D323" s="91">
        <f>SUM(D324:D329)</f>
        <v>433.26949999999999</v>
      </c>
      <c r="E323" s="91">
        <f>SUMPRODUCT(D324:D329,E324:E329)/D323</f>
        <v>67.673509213087939</v>
      </c>
      <c r="F323" s="92">
        <f>E323/C323</f>
        <v>1.4365822827823898</v>
      </c>
      <c r="G323" s="91">
        <f>SUM(G324:G329)</f>
        <v>287.15900000000005</v>
      </c>
      <c r="H323" s="91">
        <f>SUMPRODUCT(G324:G329,H324:H329)/G323</f>
        <v>29.377964820883196</v>
      </c>
      <c r="I323" s="91">
        <f>SUM(I324:I329)</f>
        <v>381.65700000000004</v>
      </c>
      <c r="J323" s="91">
        <f>SUMPRODUCT(I324:I329,J324:J329)/I323</f>
        <v>34.702182470123695</v>
      </c>
      <c r="K323" s="92">
        <f>J323/H323</f>
        <v>1.1812316708016413</v>
      </c>
      <c r="L323" s="91">
        <f>SUM(L324:L329)</f>
        <v>392.23749999999995</v>
      </c>
      <c r="M323" s="91">
        <f>SUMPRODUCT(L324:L329,M324:M329)/L323</f>
        <v>35.808039937537842</v>
      </c>
      <c r="N323" s="91">
        <f>SUM(N324:N329)</f>
        <v>392.23749999999995</v>
      </c>
      <c r="O323" s="91">
        <f>SUMPRODUCT(N324:N329,O324:O329)/N323</f>
        <v>41.148639051595012</v>
      </c>
      <c r="P323" s="120">
        <f>O323/M323</f>
        <v>1.1491452512724267</v>
      </c>
      <c r="Q323" s="91">
        <f>SUM(Q324:Q329)</f>
        <v>234.03700000000001</v>
      </c>
      <c r="R323" s="91">
        <f>SUMPRODUCT(Q324:Q329,R324:R329)/Q323</f>
        <v>25.25054354653324</v>
      </c>
      <c r="S323" s="91">
        <f>SUM(S324:S329)</f>
        <v>234.03700000000001</v>
      </c>
      <c r="T323" s="91">
        <f>SUMPRODUCT(S324:S329,T324:T329)/S323</f>
        <v>31.69</v>
      </c>
      <c r="U323" s="92">
        <f>T323/R323</f>
        <v>1.2550224885891956</v>
      </c>
      <c r="V323" s="172">
        <f t="shared" si="160"/>
        <v>1.3124489559259631</v>
      </c>
    </row>
    <row r="324" spans="1:22" hidden="1">
      <c r="A324" s="90" t="s">
        <v>144</v>
      </c>
      <c r="B324" s="91">
        <f>430.581/2</f>
        <v>215.29050000000001</v>
      </c>
      <c r="C324" s="91">
        <v>55.17</v>
      </c>
      <c r="D324" s="91">
        <f>B324</f>
        <v>215.29050000000001</v>
      </c>
      <c r="E324" s="91">
        <v>95.72</v>
      </c>
      <c r="F324" s="92">
        <f>(E324*D324)/(C324*B324)</f>
        <v>1.7350009062896503</v>
      </c>
      <c r="G324" s="91">
        <v>164.86</v>
      </c>
      <c r="H324" s="91">
        <v>27.42</v>
      </c>
      <c r="I324" s="91">
        <f>G324</f>
        <v>164.86</v>
      </c>
      <c r="J324" s="91">
        <v>35.03</v>
      </c>
      <c r="K324" s="92">
        <f>(J324*I324)/(H324*G324)</f>
        <v>1.2775346462436177</v>
      </c>
      <c r="L324" s="91">
        <f>765.458/2</f>
        <v>382.72899999999998</v>
      </c>
      <c r="M324" s="91">
        <v>33.86</v>
      </c>
      <c r="N324" s="91">
        <f>L324</f>
        <v>382.72899999999998</v>
      </c>
      <c r="O324" s="91">
        <v>39.33</v>
      </c>
      <c r="P324" s="120">
        <f>(O324*N324)/(M324*L324)</f>
        <v>1.1615475487300648</v>
      </c>
      <c r="Q324" s="112">
        <v>225.18700000000001</v>
      </c>
      <c r="R324" s="96">
        <v>25.08</v>
      </c>
      <c r="S324" s="96">
        <f>Q324</f>
        <v>225.18700000000001</v>
      </c>
      <c r="T324" s="96">
        <v>31.69</v>
      </c>
      <c r="U324" s="92">
        <f>(T324*S324)/(R324*Q324)</f>
        <v>1.2635566188197769</v>
      </c>
      <c r="V324" s="172">
        <f t="shared" si="160"/>
        <v>1.5169044142423904</v>
      </c>
    </row>
    <row r="325" spans="1:22" hidden="1">
      <c r="A325" s="90" t="s">
        <v>145</v>
      </c>
      <c r="B325" s="91">
        <f>11.3/2</f>
        <v>5.65</v>
      </c>
      <c r="C325" s="91">
        <v>62.62</v>
      </c>
      <c r="D325" s="91">
        <f>B325</f>
        <v>5.65</v>
      </c>
      <c r="E325" s="91">
        <v>62.62</v>
      </c>
      <c r="F325" s="92">
        <f>(E325*D325)/(C325*B325)</f>
        <v>1</v>
      </c>
      <c r="G325" s="91">
        <v>4.71</v>
      </c>
      <c r="H325" s="91">
        <v>32.36</v>
      </c>
      <c r="I325" s="91">
        <f>G325</f>
        <v>4.71</v>
      </c>
      <c r="J325" s="91">
        <v>34.659999999999997</v>
      </c>
      <c r="K325" s="92">
        <f t="shared" ref="K325:K329" si="195">(J325*I325)/(H325*G325)</f>
        <v>1.0710754017305315</v>
      </c>
      <c r="L325" s="91">
        <f>5.8/2</f>
        <v>2.9</v>
      </c>
      <c r="M325" s="91">
        <v>54.9</v>
      </c>
      <c r="N325" s="91">
        <f t="shared" ref="N325:N326" si="196">L325</f>
        <v>2.9</v>
      </c>
      <c r="O325" s="91">
        <v>54.9</v>
      </c>
      <c r="P325" s="120">
        <f t="shared" ref="P325:P326" si="197">(O325*N325)/(M325*L325)</f>
        <v>1</v>
      </c>
      <c r="Q325" s="96">
        <v>2.42</v>
      </c>
      <c r="R325" s="96">
        <v>29.59</v>
      </c>
      <c r="S325" s="96">
        <f>Q325</f>
        <v>2.42</v>
      </c>
      <c r="T325" s="96">
        <v>31.69</v>
      </c>
      <c r="U325" s="92">
        <f>(T325*S325)/(R325*Q325)</f>
        <v>1.0709699222710376</v>
      </c>
      <c r="V325" s="172">
        <f t="shared" si="160"/>
        <v>1</v>
      </c>
    </row>
    <row r="326" spans="1:22" hidden="1">
      <c r="A326" s="90" t="s">
        <v>146</v>
      </c>
      <c r="B326" s="91">
        <f>410.776/2</f>
        <v>205.38800000000001</v>
      </c>
      <c r="C326" s="91">
        <v>34.270000000000003</v>
      </c>
      <c r="D326" s="91">
        <f>410.776/2</f>
        <v>205.38800000000001</v>
      </c>
      <c r="E326" s="91">
        <v>34.78</v>
      </c>
      <c r="F326" s="92">
        <f>(E326*D326)/(C326*B326)</f>
        <v>1.0148818208345491</v>
      </c>
      <c r="G326" s="91">
        <v>110.89</v>
      </c>
      <c r="H326" s="91">
        <v>32.36</v>
      </c>
      <c r="I326" s="91">
        <f>410.776/2</f>
        <v>205.38800000000001</v>
      </c>
      <c r="J326" s="91">
        <v>34.659999999999997</v>
      </c>
      <c r="K326" s="92">
        <f t="shared" si="195"/>
        <v>1.9838221175095174</v>
      </c>
      <c r="L326" s="91">
        <f>13.217/2</f>
        <v>6.6085000000000003</v>
      </c>
      <c r="M326" s="91">
        <v>140.25</v>
      </c>
      <c r="N326" s="91">
        <f t="shared" si="196"/>
        <v>6.6085000000000003</v>
      </c>
      <c r="O326" s="91">
        <v>140.44</v>
      </c>
      <c r="P326" s="120">
        <f t="shared" si="197"/>
        <v>1.001354723707665</v>
      </c>
      <c r="Q326" s="91">
        <v>6.43</v>
      </c>
      <c r="R326" s="96">
        <v>29.59</v>
      </c>
      <c r="S326" s="91">
        <f>Q326</f>
        <v>6.43</v>
      </c>
      <c r="T326" s="96">
        <v>31.69</v>
      </c>
      <c r="U326" s="92">
        <f>(T326*S326)/(R326*Q326)</f>
        <v>1.0709699222710374</v>
      </c>
      <c r="V326" s="172">
        <f t="shared" si="160"/>
        <v>1.0040110016044006</v>
      </c>
    </row>
    <row r="327" spans="1:22" hidden="1">
      <c r="A327" s="90" t="s">
        <v>147</v>
      </c>
      <c r="B327" s="91">
        <f>13.882/2</f>
        <v>6.9409999999999998</v>
      </c>
      <c r="C327" s="91">
        <v>164.26</v>
      </c>
      <c r="D327" s="91">
        <f>B327</f>
        <v>6.9409999999999998</v>
      </c>
      <c r="E327" s="91">
        <v>175.2</v>
      </c>
      <c r="F327" s="92">
        <f>(E327*D327)/(C327*B327)</f>
        <v>1.066601728966273</v>
      </c>
      <c r="G327" s="91">
        <f>1.553/2</f>
        <v>0.77649999999999997</v>
      </c>
      <c r="H327" s="91">
        <v>68.25</v>
      </c>
      <c r="I327" s="91">
        <f>G327</f>
        <v>0.77649999999999997</v>
      </c>
      <c r="J327" s="99">
        <v>73.099999999999994</v>
      </c>
      <c r="K327" s="92">
        <f t="shared" si="195"/>
        <v>1.0710622710622708</v>
      </c>
      <c r="L327" s="91"/>
      <c r="M327" s="91"/>
      <c r="N327" s="91"/>
      <c r="O327" s="91"/>
      <c r="P327" s="120"/>
      <c r="Q327" s="96"/>
      <c r="R327" s="96"/>
      <c r="S327" s="96"/>
      <c r="T327" s="96"/>
      <c r="U327" s="92"/>
      <c r="V327" s="172">
        <f t="shared" si="160"/>
        <v>1.066601728966273</v>
      </c>
    </row>
    <row r="328" spans="1:22" hidden="1">
      <c r="A328" s="90" t="s">
        <v>148</v>
      </c>
      <c r="B328" s="91"/>
      <c r="C328" s="91"/>
      <c r="D328" s="91"/>
      <c r="E328" s="91"/>
      <c r="F328" s="92"/>
      <c r="G328" s="91">
        <f>1.005/2</f>
        <v>0.50249999999999995</v>
      </c>
      <c r="H328" s="91">
        <v>57.23</v>
      </c>
      <c r="I328" s="91">
        <f>G328</f>
        <v>0.50249999999999995</v>
      </c>
      <c r="J328" s="99">
        <v>61.29</v>
      </c>
      <c r="K328" s="92">
        <f t="shared" si="195"/>
        <v>1.0709418137340556</v>
      </c>
      <c r="L328" s="91"/>
      <c r="M328" s="91"/>
      <c r="N328" s="91"/>
      <c r="O328" s="91"/>
      <c r="P328" s="120"/>
      <c r="Q328" s="96"/>
      <c r="R328" s="96"/>
      <c r="S328" s="96"/>
      <c r="T328" s="96"/>
      <c r="U328" s="92"/>
      <c r="V328" s="172" t="e">
        <f t="shared" si="160"/>
        <v>#DIV/0!</v>
      </c>
    </row>
    <row r="329" spans="1:22" hidden="1">
      <c r="A329" s="90" t="s">
        <v>149</v>
      </c>
      <c r="B329" s="91"/>
      <c r="C329" s="91"/>
      <c r="D329" s="91"/>
      <c r="E329" s="91"/>
      <c r="F329" s="92"/>
      <c r="G329" s="91">
        <v>5.42</v>
      </c>
      <c r="H329" s="91">
        <v>17.18</v>
      </c>
      <c r="I329" s="91">
        <f>G329</f>
        <v>5.42</v>
      </c>
      <c r="J329" s="99">
        <v>18.399999999999999</v>
      </c>
      <c r="K329" s="92">
        <f t="shared" si="195"/>
        <v>1.0710128055878929</v>
      </c>
      <c r="L329" s="91"/>
      <c r="M329" s="91"/>
      <c r="N329" s="91"/>
      <c r="O329" s="91"/>
      <c r="P329" s="120"/>
      <c r="Q329" s="96"/>
      <c r="R329" s="96"/>
      <c r="S329" s="96"/>
      <c r="T329" s="96"/>
      <c r="U329" s="92"/>
      <c r="V329" s="172" t="e">
        <f t="shared" ref="V329:V359" si="198">(E329+O329)/(C329+M329)</f>
        <v>#DIV/0!</v>
      </c>
    </row>
    <row r="330" spans="1:22" hidden="1">
      <c r="A330" s="97" t="s">
        <v>150</v>
      </c>
      <c r="B330" s="91">
        <f>SUM(B331:B342)</f>
        <v>751.49400000000014</v>
      </c>
      <c r="C330" s="91">
        <f>SUMPRODUCT(B331:B342,C331:C342)/B330</f>
        <v>37.520562013801829</v>
      </c>
      <c r="D330" s="91">
        <f>SUM(D331:D342)</f>
        <v>751.49400000000014</v>
      </c>
      <c r="E330" s="91">
        <f>SUMPRODUCT(D331:D342,E331:E342)/D330</f>
        <v>38.685019441272971</v>
      </c>
      <c r="F330" s="92">
        <f>E330/C330</f>
        <v>1.0310351808441143</v>
      </c>
      <c r="G330" s="91">
        <f>SUM(G331:G342)</f>
        <v>532.94249999999988</v>
      </c>
      <c r="H330" s="91">
        <f>SUMPRODUCT(G331:G342,H331:H342)/G330</f>
        <v>26.786138560914175</v>
      </c>
      <c r="I330" s="91">
        <f>SUM(I331:I342)</f>
        <v>532.94249999999988</v>
      </c>
      <c r="J330" s="91">
        <f>SUMPRODUCT(I331:I342,J331:J342)/I330</f>
        <v>28.615674861734625</v>
      </c>
      <c r="K330" s="92">
        <f>J330/H330</f>
        <v>1.0683016066933244</v>
      </c>
      <c r="L330" s="91">
        <f>SUM(L331:L342)</f>
        <v>541.51800000000003</v>
      </c>
      <c r="M330" s="91">
        <f>SUMPRODUCT(L331:L342,M331:M342)/L330</f>
        <v>34.442230156707623</v>
      </c>
      <c r="N330" s="91">
        <f>SUM(N331:N342)</f>
        <v>541.51800000000003</v>
      </c>
      <c r="O330" s="91">
        <f>SUMPRODUCT(N331:N342,O331:O342)/N330</f>
        <v>36.408307073818413</v>
      </c>
      <c r="P330" s="120">
        <f>O330/M330</f>
        <v>1.0570833220777343</v>
      </c>
      <c r="Q330" s="91">
        <f>SUM(Q331:Q342)</f>
        <v>421.09750000000003</v>
      </c>
      <c r="R330" s="91">
        <f>SUMPRODUCT(Q331:Q342,R331:R342)/Q330</f>
        <v>20.73313425038144</v>
      </c>
      <c r="S330" s="91">
        <f>SUM(S331:S342)</f>
        <v>421.09750000000003</v>
      </c>
      <c r="T330" s="91">
        <f>SUMPRODUCT(S331:S342,T331:T342)/S330</f>
        <v>22.111120464975446</v>
      </c>
      <c r="U330" s="92">
        <f>T330/R330</f>
        <v>1.0664629957995211</v>
      </c>
      <c r="V330" s="172">
        <f t="shared" si="198"/>
        <v>1.043502124502957</v>
      </c>
    </row>
    <row r="331" spans="1:22" ht="51.75" hidden="1">
      <c r="A331" s="104" t="s">
        <v>151</v>
      </c>
      <c r="B331" s="91">
        <f>35.93/2</f>
        <v>17.965</v>
      </c>
      <c r="C331" s="91">
        <v>9.75</v>
      </c>
      <c r="D331" s="91">
        <f t="shared" ref="D331:D342" si="199">B331</f>
        <v>17.965</v>
      </c>
      <c r="E331" s="91">
        <v>9.85</v>
      </c>
      <c r="F331" s="92">
        <f t="shared" ref="F331:F342" si="200">(E331*D331)/(C331*B331)</f>
        <v>1.0102564102564102</v>
      </c>
      <c r="G331" s="91">
        <f>1.58/2</f>
        <v>0.79</v>
      </c>
      <c r="H331" s="91">
        <v>9.75</v>
      </c>
      <c r="I331" s="91">
        <f t="shared" ref="I331:I342" si="201">G331</f>
        <v>0.79</v>
      </c>
      <c r="J331" s="91">
        <v>9.85</v>
      </c>
      <c r="K331" s="92">
        <f>(J331*I331)/(H331*G331)</f>
        <v>1.0102564102564102</v>
      </c>
      <c r="L331" s="91"/>
      <c r="M331" s="91"/>
      <c r="N331" s="91"/>
      <c r="O331" s="91"/>
      <c r="P331" s="120"/>
      <c r="Q331" s="112"/>
      <c r="R331" s="112"/>
      <c r="S331" s="112"/>
      <c r="T331" s="112"/>
      <c r="U331" s="98"/>
      <c r="V331" s="172">
        <f t="shared" si="198"/>
        <v>1.0102564102564102</v>
      </c>
    </row>
    <row r="332" spans="1:22" ht="51.75" hidden="1">
      <c r="A332" s="104" t="s">
        <v>152</v>
      </c>
      <c r="B332" s="91">
        <f>21.5/2-5.95/2</f>
        <v>7.7750000000000004</v>
      </c>
      <c r="C332" s="91">
        <v>31.1</v>
      </c>
      <c r="D332" s="91">
        <f t="shared" si="199"/>
        <v>7.7750000000000004</v>
      </c>
      <c r="E332" s="91">
        <v>32.130000000000003</v>
      </c>
      <c r="F332" s="92">
        <f t="shared" si="200"/>
        <v>1.0331189710610933</v>
      </c>
      <c r="G332" s="91"/>
      <c r="H332" s="91"/>
      <c r="I332" s="91"/>
      <c r="J332" s="91"/>
      <c r="K332" s="92"/>
      <c r="L332" s="91"/>
      <c r="M332" s="91"/>
      <c r="N332" s="91"/>
      <c r="O332" s="91"/>
      <c r="P332" s="120"/>
      <c r="Q332" s="112"/>
      <c r="R332" s="112"/>
      <c r="S332" s="112"/>
      <c r="T332" s="112"/>
      <c r="U332" s="98"/>
      <c r="V332" s="172">
        <f t="shared" si="198"/>
        <v>1.0331189710610933</v>
      </c>
    </row>
    <row r="333" spans="1:22" ht="51.75" hidden="1">
      <c r="A333" s="104" t="s">
        <v>153</v>
      </c>
      <c r="B333" s="91">
        <f>57.54/2</f>
        <v>28.77</v>
      </c>
      <c r="C333" s="91">
        <v>37.520000000000003</v>
      </c>
      <c r="D333" s="91">
        <f t="shared" si="199"/>
        <v>28.77</v>
      </c>
      <c r="E333" s="91">
        <v>38</v>
      </c>
      <c r="F333" s="92">
        <f t="shared" si="200"/>
        <v>1.0127931769722813</v>
      </c>
      <c r="G333" s="99">
        <f>4.54/2</f>
        <v>2.27</v>
      </c>
      <c r="H333" s="99">
        <v>24.14</v>
      </c>
      <c r="I333" s="91">
        <f t="shared" si="201"/>
        <v>2.27</v>
      </c>
      <c r="J333" s="99">
        <v>26.7</v>
      </c>
      <c r="K333" s="92">
        <f t="shared" ref="K333:K342" si="202">(J333*I333)/(H333*G333)</f>
        <v>1.1060480530240264</v>
      </c>
      <c r="L333" s="91"/>
      <c r="M333" s="91"/>
      <c r="N333" s="91"/>
      <c r="O333" s="91"/>
      <c r="P333" s="120"/>
      <c r="Q333" s="112"/>
      <c r="R333" s="112"/>
      <c r="S333" s="112"/>
      <c r="T333" s="112"/>
      <c r="U333" s="98"/>
      <c r="V333" s="172">
        <f t="shared" si="198"/>
        <v>1.0127931769722813</v>
      </c>
    </row>
    <row r="334" spans="1:22" ht="26.25" hidden="1">
      <c r="A334" s="104" t="s">
        <v>154</v>
      </c>
      <c r="B334" s="91">
        <f>229.28/2</f>
        <v>114.64</v>
      </c>
      <c r="C334" s="91">
        <v>19.170000000000002</v>
      </c>
      <c r="D334" s="91">
        <f t="shared" si="199"/>
        <v>114.64</v>
      </c>
      <c r="E334" s="91">
        <v>20.149999999999999</v>
      </c>
      <c r="F334" s="92">
        <f t="shared" si="200"/>
        <v>1.0511215440792903</v>
      </c>
      <c r="G334" s="112">
        <f>191/2</f>
        <v>95.5</v>
      </c>
      <c r="H334" s="112">
        <v>19.170000000000002</v>
      </c>
      <c r="I334" s="91">
        <f t="shared" si="201"/>
        <v>95.5</v>
      </c>
      <c r="J334" s="112">
        <v>20.149999999999999</v>
      </c>
      <c r="K334" s="92">
        <f t="shared" si="202"/>
        <v>1.0511215440792905</v>
      </c>
      <c r="L334" s="91">
        <f>356.276/2</f>
        <v>178.13800000000001</v>
      </c>
      <c r="M334" s="91">
        <v>20.68</v>
      </c>
      <c r="N334" s="91">
        <f>L334</f>
        <v>178.13800000000001</v>
      </c>
      <c r="O334" s="91">
        <v>21.86</v>
      </c>
      <c r="P334" s="120">
        <f t="shared" ref="P334:P340" si="203">(O334*N334)/(M334*L334)</f>
        <v>1.0570599613152805</v>
      </c>
      <c r="Q334" s="112">
        <f>281.7/2</f>
        <v>140.85</v>
      </c>
      <c r="R334" s="112">
        <v>20.68</v>
      </c>
      <c r="S334" s="112">
        <f t="shared" ref="S334:S340" si="204">Q334</f>
        <v>140.85</v>
      </c>
      <c r="T334" s="112">
        <v>21.86</v>
      </c>
      <c r="U334" s="92">
        <f t="shared" ref="U334:U340" si="205">(T334*S334)/(R334*Q334)</f>
        <v>1.0570599613152805</v>
      </c>
      <c r="V334" s="172">
        <f t="shared" si="198"/>
        <v>1.054203262233375</v>
      </c>
    </row>
    <row r="335" spans="1:22" ht="26.25" hidden="1">
      <c r="A335" s="104" t="s">
        <v>155</v>
      </c>
      <c r="B335" s="91">
        <f>29.434/2</f>
        <v>14.717000000000001</v>
      </c>
      <c r="C335" s="91">
        <v>79.73</v>
      </c>
      <c r="D335" s="91">
        <f t="shared" si="199"/>
        <v>14.717000000000001</v>
      </c>
      <c r="E335" s="91">
        <v>85.39</v>
      </c>
      <c r="F335" s="92">
        <f t="shared" si="200"/>
        <v>1.0709895898657971</v>
      </c>
      <c r="G335" s="112">
        <f>21.28/2</f>
        <v>10.64</v>
      </c>
      <c r="H335" s="112">
        <v>67.540000000000006</v>
      </c>
      <c r="I335" s="91">
        <f t="shared" si="201"/>
        <v>10.64</v>
      </c>
      <c r="J335" s="112">
        <v>72.34</v>
      </c>
      <c r="K335" s="92">
        <f t="shared" si="202"/>
        <v>1.0710689961504294</v>
      </c>
      <c r="L335" s="91"/>
      <c r="M335" s="91"/>
      <c r="N335" s="91"/>
      <c r="O335" s="91"/>
      <c r="P335" s="120"/>
      <c r="Q335" s="112"/>
      <c r="R335" s="112"/>
      <c r="S335" s="112"/>
      <c r="T335" s="112"/>
      <c r="U335" s="92"/>
      <c r="V335" s="172">
        <f t="shared" si="198"/>
        <v>1.0709895898657971</v>
      </c>
    </row>
    <row r="336" spans="1:22" ht="26.25" hidden="1">
      <c r="A336" s="104" t="s">
        <v>156</v>
      </c>
      <c r="B336" s="91">
        <f>4.944/2</f>
        <v>2.472</v>
      </c>
      <c r="C336" s="91">
        <v>83.81</v>
      </c>
      <c r="D336" s="91">
        <f t="shared" si="199"/>
        <v>2.472</v>
      </c>
      <c r="E336" s="91">
        <v>88.86</v>
      </c>
      <c r="F336" s="92">
        <f t="shared" si="200"/>
        <v>1.0602553394582985</v>
      </c>
      <c r="G336" s="99">
        <f>3.69/2</f>
        <v>1.845</v>
      </c>
      <c r="H336" s="99">
        <v>56.89</v>
      </c>
      <c r="I336" s="91">
        <f t="shared" si="201"/>
        <v>1.845</v>
      </c>
      <c r="J336" s="99">
        <v>60.93</v>
      </c>
      <c r="K336" s="92">
        <f t="shared" si="202"/>
        <v>1.071014238003164</v>
      </c>
      <c r="L336" s="91"/>
      <c r="M336" s="91"/>
      <c r="N336" s="91"/>
      <c r="O336" s="91"/>
      <c r="P336" s="120"/>
      <c r="Q336" s="112"/>
      <c r="R336" s="112"/>
      <c r="S336" s="112"/>
      <c r="T336" s="112"/>
      <c r="U336" s="92"/>
      <c r="V336" s="172">
        <f t="shared" si="198"/>
        <v>1.0602553394582985</v>
      </c>
    </row>
    <row r="337" spans="1:22" ht="39" hidden="1">
      <c r="A337" s="104" t="s">
        <v>157</v>
      </c>
      <c r="B337" s="91">
        <f>25.57/2</f>
        <v>12.785</v>
      </c>
      <c r="C337" s="91">
        <v>67.62</v>
      </c>
      <c r="D337" s="91">
        <f t="shared" si="199"/>
        <v>12.785</v>
      </c>
      <c r="E337" s="91">
        <v>68.67</v>
      </c>
      <c r="F337" s="92">
        <f t="shared" si="200"/>
        <v>1.015527950310559</v>
      </c>
      <c r="G337" s="112">
        <f>20.87/2</f>
        <v>10.435</v>
      </c>
      <c r="H337" s="112">
        <v>24.5</v>
      </c>
      <c r="I337" s="91">
        <f t="shared" si="201"/>
        <v>10.435</v>
      </c>
      <c r="J337" s="112">
        <v>26.24</v>
      </c>
      <c r="K337" s="92">
        <f t="shared" si="202"/>
        <v>1.0710204081632653</v>
      </c>
      <c r="L337" s="91"/>
      <c r="M337" s="91"/>
      <c r="N337" s="91"/>
      <c r="O337" s="91"/>
      <c r="P337" s="120"/>
      <c r="Q337" s="112"/>
      <c r="R337" s="112"/>
      <c r="S337" s="112"/>
      <c r="T337" s="112"/>
      <c r="U337" s="92"/>
      <c r="V337" s="172">
        <f t="shared" si="198"/>
        <v>1.015527950310559</v>
      </c>
    </row>
    <row r="338" spans="1:22" hidden="1">
      <c r="A338" s="104" t="s">
        <v>158</v>
      </c>
      <c r="B338" s="91">
        <f>95.72/2</f>
        <v>47.86</v>
      </c>
      <c r="C338" s="91">
        <v>55.58</v>
      </c>
      <c r="D338" s="91">
        <f t="shared" si="199"/>
        <v>47.86</v>
      </c>
      <c r="E338" s="91">
        <v>58.59</v>
      </c>
      <c r="F338" s="92">
        <f t="shared" si="200"/>
        <v>1.0541561712846348</v>
      </c>
      <c r="G338" s="112">
        <f>84.19/2</f>
        <v>42.094999999999999</v>
      </c>
      <c r="H338" s="112">
        <v>26.45</v>
      </c>
      <c r="I338" s="91">
        <f t="shared" si="201"/>
        <v>42.094999999999999</v>
      </c>
      <c r="J338" s="112">
        <v>28.33</v>
      </c>
      <c r="K338" s="92">
        <f t="shared" si="202"/>
        <v>1.071077504725898</v>
      </c>
      <c r="L338" s="91">
        <f>33.71/2</f>
        <v>16.855</v>
      </c>
      <c r="M338" s="91">
        <v>33.79</v>
      </c>
      <c r="N338" s="91">
        <f>L338</f>
        <v>16.855</v>
      </c>
      <c r="O338" s="91">
        <v>35.94</v>
      </c>
      <c r="P338" s="120">
        <f t="shared" si="203"/>
        <v>1.0636282923941995</v>
      </c>
      <c r="Q338" s="112">
        <f>31.915/2</f>
        <v>15.9575</v>
      </c>
      <c r="R338" s="112">
        <v>26.24</v>
      </c>
      <c r="S338" s="112">
        <f t="shared" si="204"/>
        <v>15.9575</v>
      </c>
      <c r="T338" s="112">
        <v>28.1</v>
      </c>
      <c r="U338" s="92">
        <f t="shared" si="205"/>
        <v>1.0708841463414636</v>
      </c>
      <c r="V338" s="172">
        <f t="shared" si="198"/>
        <v>1.0577374958039609</v>
      </c>
    </row>
    <row r="339" spans="1:22" hidden="1">
      <c r="A339" s="104" t="s">
        <v>159</v>
      </c>
      <c r="B339" s="91">
        <f>410.93/2</f>
        <v>205.465</v>
      </c>
      <c r="C339" s="91">
        <v>58.12</v>
      </c>
      <c r="D339" s="91">
        <f t="shared" si="199"/>
        <v>205.465</v>
      </c>
      <c r="E339" s="91">
        <v>60.11</v>
      </c>
      <c r="F339" s="92">
        <f t="shared" si="200"/>
        <v>1.0342395044735031</v>
      </c>
      <c r="G339" s="99">
        <f>325.43/2</f>
        <v>162.715</v>
      </c>
      <c r="H339" s="99">
        <v>36.729999999999997</v>
      </c>
      <c r="I339" s="91">
        <f t="shared" si="201"/>
        <v>162.715</v>
      </c>
      <c r="J339" s="99">
        <v>39.340000000000003</v>
      </c>
      <c r="K339" s="92">
        <f t="shared" si="202"/>
        <v>1.0710590797713044</v>
      </c>
      <c r="L339" s="91">
        <f>292.94/2</f>
        <v>146.47</v>
      </c>
      <c r="M339" s="91">
        <v>53.58</v>
      </c>
      <c r="N339" s="91">
        <f>L339</f>
        <v>146.47</v>
      </c>
      <c r="O339" s="91">
        <v>53.58</v>
      </c>
      <c r="P339" s="120">
        <f t="shared" si="203"/>
        <v>1</v>
      </c>
      <c r="Q339" s="112">
        <f>241.34/2</f>
        <v>120.67</v>
      </c>
      <c r="R339" s="112">
        <v>26.7</v>
      </c>
      <c r="S339" s="112">
        <f t="shared" si="204"/>
        <v>120.67</v>
      </c>
      <c r="T339" s="112">
        <v>28.6</v>
      </c>
      <c r="U339" s="92">
        <f t="shared" si="205"/>
        <v>1.0711610486891385</v>
      </c>
      <c r="V339" s="172">
        <f t="shared" si="198"/>
        <v>1.0178155774395703</v>
      </c>
    </row>
    <row r="340" spans="1:22" ht="26.25" hidden="1">
      <c r="A340" s="104" t="s">
        <v>160</v>
      </c>
      <c r="B340" s="91">
        <f>481.61/2</f>
        <v>240.80500000000001</v>
      </c>
      <c r="C340" s="91">
        <v>26.65</v>
      </c>
      <c r="D340" s="91">
        <f t="shared" si="199"/>
        <v>240.80500000000001</v>
      </c>
      <c r="E340" s="91">
        <v>26.65</v>
      </c>
      <c r="F340" s="92">
        <f t="shared" si="200"/>
        <v>1</v>
      </c>
      <c r="G340" s="99">
        <f>327.54/2</f>
        <v>163.77000000000001</v>
      </c>
      <c r="H340" s="99">
        <v>20.46</v>
      </c>
      <c r="I340" s="91">
        <f t="shared" si="201"/>
        <v>163.77000000000001</v>
      </c>
      <c r="J340" s="99">
        <v>21.91</v>
      </c>
      <c r="K340" s="92">
        <f t="shared" si="202"/>
        <v>1.0708699902248289</v>
      </c>
      <c r="L340" s="91">
        <f>400.11/2</f>
        <v>200.05500000000001</v>
      </c>
      <c r="M340" s="91">
        <v>32.74</v>
      </c>
      <c r="N340" s="91">
        <f>L340</f>
        <v>200.05500000000001</v>
      </c>
      <c r="O340" s="91">
        <v>36.83</v>
      </c>
      <c r="P340" s="120">
        <f t="shared" si="203"/>
        <v>1.124923640806353</v>
      </c>
      <c r="Q340" s="112">
        <f>287.24/2</f>
        <v>143.62</v>
      </c>
      <c r="R340" s="112">
        <v>15.16</v>
      </c>
      <c r="S340" s="112">
        <f t="shared" si="204"/>
        <v>143.62</v>
      </c>
      <c r="T340" s="112">
        <v>16.239999999999998</v>
      </c>
      <c r="U340" s="92">
        <f t="shared" si="205"/>
        <v>1.0712401055408971</v>
      </c>
      <c r="V340" s="172">
        <f t="shared" si="198"/>
        <v>1.0688668125947129</v>
      </c>
    </row>
    <row r="341" spans="1:22" ht="39" hidden="1">
      <c r="A341" s="104" t="s">
        <v>161</v>
      </c>
      <c r="B341" s="91">
        <f>111.26/2</f>
        <v>55.63</v>
      </c>
      <c r="C341" s="91">
        <v>19.84</v>
      </c>
      <c r="D341" s="91">
        <f t="shared" si="199"/>
        <v>55.63</v>
      </c>
      <c r="E341" s="91">
        <v>21.16</v>
      </c>
      <c r="F341" s="92">
        <f t="shared" si="200"/>
        <v>1.0665322580645162</v>
      </c>
      <c r="G341" s="99">
        <f>82.27/2</f>
        <v>41.134999999999998</v>
      </c>
      <c r="H341" s="99">
        <v>19.84</v>
      </c>
      <c r="I341" s="91">
        <f t="shared" si="201"/>
        <v>41.134999999999998</v>
      </c>
      <c r="J341" s="99">
        <v>21.16</v>
      </c>
      <c r="K341" s="92">
        <f t="shared" si="202"/>
        <v>1.0665322580645162</v>
      </c>
      <c r="L341" s="91"/>
      <c r="M341" s="91"/>
      <c r="N341" s="91"/>
      <c r="O341" s="91"/>
      <c r="P341" s="120"/>
      <c r="Q341" s="112"/>
      <c r="R341" s="112"/>
      <c r="S341" s="112"/>
      <c r="T341" s="112"/>
      <c r="U341" s="92"/>
      <c r="V341" s="172">
        <f t="shared" si="198"/>
        <v>1.0665322580645162</v>
      </c>
    </row>
    <row r="342" spans="1:22" ht="39" hidden="1">
      <c r="A342" s="104" t="s">
        <v>162</v>
      </c>
      <c r="B342" s="91">
        <f>5.22/2</f>
        <v>2.61</v>
      </c>
      <c r="C342" s="91">
        <v>51.53</v>
      </c>
      <c r="D342" s="91">
        <f t="shared" si="199"/>
        <v>2.61</v>
      </c>
      <c r="E342" s="91">
        <v>52.89</v>
      </c>
      <c r="F342" s="92">
        <f t="shared" si="200"/>
        <v>1.0263923927809042</v>
      </c>
      <c r="G342" s="99">
        <f>3.495/2</f>
        <v>1.7475000000000001</v>
      </c>
      <c r="H342" s="99">
        <v>26.44</v>
      </c>
      <c r="I342" s="91">
        <f t="shared" si="201"/>
        <v>1.7475000000000001</v>
      </c>
      <c r="J342" s="99">
        <v>28.32</v>
      </c>
      <c r="K342" s="92">
        <f t="shared" si="202"/>
        <v>1.0711043872919819</v>
      </c>
      <c r="L342" s="91"/>
      <c r="M342" s="91"/>
      <c r="N342" s="91"/>
      <c r="O342" s="91"/>
      <c r="P342" s="120"/>
      <c r="Q342" s="112"/>
      <c r="R342" s="112"/>
      <c r="S342" s="112"/>
      <c r="T342" s="112"/>
      <c r="U342" s="92"/>
      <c r="V342" s="172">
        <f t="shared" si="198"/>
        <v>1.0263923927809042</v>
      </c>
    </row>
    <row r="343" spans="1:22">
      <c r="A343" s="97" t="s">
        <v>243</v>
      </c>
      <c r="B343" s="91">
        <f>SUM(B344:B354)</f>
        <v>287.745</v>
      </c>
      <c r="C343" s="91">
        <f>SUMPRODUCT(B344:B354,C344:C354)/B343</f>
        <v>40.284724721541643</v>
      </c>
      <c r="D343" s="91">
        <f>SUM(D344:D354)</f>
        <v>287.745</v>
      </c>
      <c r="E343" s="91">
        <f>SUMPRODUCT(D344:D354,E344:E354)/D343</f>
        <v>42.439539939877321</v>
      </c>
      <c r="F343" s="92">
        <f>E343/C343</f>
        <v>1.0534896349231704</v>
      </c>
      <c r="G343" s="91">
        <f>SUM(G344:G354)</f>
        <v>215.15350000000001</v>
      </c>
      <c r="H343" s="91">
        <f>SUMPRODUCT(G344:G354,H344:H354)/G343</f>
        <v>25.083766008919213</v>
      </c>
      <c r="I343" s="91">
        <f>SUM(I344:I354)</f>
        <v>215.15350000000001</v>
      </c>
      <c r="J343" s="91">
        <f>SUMPRODUCT(I344:I354,J344:J354)/I343</f>
        <v>27.17914177552305</v>
      </c>
      <c r="K343" s="92">
        <f>J343/H343</f>
        <v>1.0835351344713855</v>
      </c>
      <c r="L343" s="91">
        <f>SUM(L344:L354)</f>
        <v>215.91449999999998</v>
      </c>
      <c r="M343" s="91">
        <f>SUMPRODUCT(L344:L354,M344:M354)/L343</f>
        <v>47.448413121860746</v>
      </c>
      <c r="N343" s="91">
        <f>SUM(N344:N354)</f>
        <v>215.91449999999998</v>
      </c>
      <c r="O343" s="91">
        <f>SUMPRODUCT(N344:N354,O344:O354)/N343</f>
        <v>50.254451044279108</v>
      </c>
      <c r="P343" s="120">
        <f>O343/M343</f>
        <v>1.0591387095541356</v>
      </c>
      <c r="Q343" s="91">
        <f>SUM(Q344:Q354)</f>
        <v>167.29050000000001</v>
      </c>
      <c r="R343" s="91">
        <f>SUMPRODUCT(Q344:Q354,R344:R354)/Q343</f>
        <v>25.110715731018793</v>
      </c>
      <c r="S343" s="91">
        <f>SUM(S344:S354)</f>
        <v>167.29050000000001</v>
      </c>
      <c r="T343" s="91">
        <f>SUMPRODUCT(S344:S354,T344:T354)/S343</f>
        <v>27.047838430753682</v>
      </c>
      <c r="U343" s="92">
        <f>T343/R343</f>
        <v>1.0771432690523433</v>
      </c>
      <c r="V343" s="172">
        <f t="shared" si="198"/>
        <v>1.0565448046507675</v>
      </c>
    </row>
    <row r="344" spans="1:22" ht="30" hidden="1">
      <c r="A344" s="6" t="s">
        <v>164</v>
      </c>
      <c r="B344" s="13">
        <f>16.111/2</f>
        <v>8.0555000000000003</v>
      </c>
      <c r="C344" s="13">
        <v>55.15</v>
      </c>
      <c r="D344" s="13">
        <f>B344</f>
        <v>8.0555000000000003</v>
      </c>
      <c r="E344" s="13">
        <v>59.56</v>
      </c>
      <c r="F344" s="14">
        <f>(E344*D344)/(C344*B344)</f>
        <v>1.0799637352674525</v>
      </c>
      <c r="G344" s="22">
        <f>13.222/2</f>
        <v>6.6109999999999998</v>
      </c>
      <c r="H344" s="22">
        <v>25.05</v>
      </c>
      <c r="I344" s="22">
        <f>G344</f>
        <v>6.6109999999999998</v>
      </c>
      <c r="J344" s="22">
        <v>27.18</v>
      </c>
      <c r="K344" s="14">
        <f t="shared" ref="K344:K354" si="206">J344/H344</f>
        <v>1.0850299401197605</v>
      </c>
      <c r="L344" s="13"/>
      <c r="M344" s="13"/>
      <c r="N344" s="13"/>
      <c r="O344" s="13"/>
      <c r="P344" s="14"/>
      <c r="Q344" s="28"/>
      <c r="R344" s="28"/>
      <c r="S344" s="28"/>
      <c r="T344" s="28"/>
      <c r="U344" s="45"/>
      <c r="V344" s="172">
        <f t="shared" si="198"/>
        <v>1.0799637352674525</v>
      </c>
    </row>
    <row r="345" spans="1:22" hidden="1">
      <c r="A345" s="6" t="s">
        <v>165</v>
      </c>
      <c r="B345" s="13">
        <f>9.752/2</f>
        <v>4.8760000000000003</v>
      </c>
      <c r="C345" s="13">
        <v>56.42</v>
      </c>
      <c r="D345" s="13">
        <f t="shared" ref="D345:D354" si="207">B345</f>
        <v>4.8760000000000003</v>
      </c>
      <c r="E345" s="13">
        <v>59.68</v>
      </c>
      <c r="F345" s="14">
        <f t="shared" ref="F345:F354" si="208">(E345*D345)/(C345*B345)</f>
        <v>1.0577809287486706</v>
      </c>
      <c r="G345" s="22">
        <f>6.022/2</f>
        <v>3.0110000000000001</v>
      </c>
      <c r="H345" s="22">
        <v>25.05</v>
      </c>
      <c r="I345" s="22">
        <f t="shared" ref="I345:I354" si="209">G345</f>
        <v>3.0110000000000001</v>
      </c>
      <c r="J345" s="22">
        <v>27.18</v>
      </c>
      <c r="K345" s="14">
        <f t="shared" si="206"/>
        <v>1.0850299401197605</v>
      </c>
      <c r="L345" s="13"/>
      <c r="M345" s="13"/>
      <c r="N345" s="13"/>
      <c r="O345" s="13"/>
      <c r="P345" s="14"/>
      <c r="Q345" s="13"/>
      <c r="R345" s="13"/>
      <c r="S345" s="13"/>
      <c r="T345" s="13"/>
      <c r="U345" s="45"/>
      <c r="V345" s="172">
        <f t="shared" si="198"/>
        <v>1.0577809287486706</v>
      </c>
    </row>
    <row r="346" spans="1:22" hidden="1">
      <c r="A346" s="6" t="s">
        <v>166</v>
      </c>
      <c r="B346" s="13">
        <f>14.85/2</f>
        <v>7.4249999999999998</v>
      </c>
      <c r="C346" s="13">
        <v>41.44</v>
      </c>
      <c r="D346" s="13">
        <f t="shared" si="207"/>
        <v>7.4249999999999998</v>
      </c>
      <c r="E346" s="13">
        <v>44.23</v>
      </c>
      <c r="F346" s="14">
        <f t="shared" si="208"/>
        <v>1.067326254826255</v>
      </c>
      <c r="G346" s="22">
        <f>12.82/2</f>
        <v>6.41</v>
      </c>
      <c r="H346" s="22">
        <v>25.05</v>
      </c>
      <c r="I346" s="22">
        <f t="shared" si="209"/>
        <v>6.41</v>
      </c>
      <c r="J346" s="22">
        <v>26.83</v>
      </c>
      <c r="K346" s="14">
        <f t="shared" si="206"/>
        <v>1.0710578842315368</v>
      </c>
      <c r="L346" s="13"/>
      <c r="M346" s="13"/>
      <c r="N346" s="13"/>
      <c r="O346" s="13"/>
      <c r="P346" s="14"/>
      <c r="Q346" s="13"/>
      <c r="R346" s="13"/>
      <c r="S346" s="13"/>
      <c r="T346" s="13"/>
      <c r="U346" s="45"/>
      <c r="V346" s="172">
        <f t="shared" si="198"/>
        <v>1.0673262548262548</v>
      </c>
    </row>
    <row r="347" spans="1:22" hidden="1">
      <c r="A347" s="6" t="s">
        <v>167</v>
      </c>
      <c r="B347" s="13">
        <f>74.3/2</f>
        <v>37.15</v>
      </c>
      <c r="C347" s="13">
        <v>43.06</v>
      </c>
      <c r="D347" s="13">
        <f t="shared" si="207"/>
        <v>37.15</v>
      </c>
      <c r="E347" s="13">
        <v>43.06</v>
      </c>
      <c r="F347" s="14">
        <f t="shared" si="208"/>
        <v>1</v>
      </c>
      <c r="G347" s="22">
        <f>63.28/2</f>
        <v>31.64</v>
      </c>
      <c r="H347" s="22">
        <v>25.05</v>
      </c>
      <c r="I347" s="22">
        <f t="shared" si="209"/>
        <v>31.64</v>
      </c>
      <c r="J347" s="22">
        <v>26.83</v>
      </c>
      <c r="K347" s="14">
        <f t="shared" si="206"/>
        <v>1.0710578842315368</v>
      </c>
      <c r="L347" s="13">
        <f>33.34/2</f>
        <v>16.670000000000002</v>
      </c>
      <c r="M347" s="13">
        <v>111.8</v>
      </c>
      <c r="N347" s="13">
        <f t="shared" ref="N347:N354" si="210">L347</f>
        <v>16.670000000000002</v>
      </c>
      <c r="O347" s="13">
        <v>119.65</v>
      </c>
      <c r="P347" s="14">
        <f t="shared" ref="P347:P354" si="211">(O347*N347)/(M347*L347)</f>
        <v>1.0702146690518786</v>
      </c>
      <c r="Q347" s="13">
        <f>29.19/2</f>
        <v>14.595000000000001</v>
      </c>
      <c r="R347" s="13">
        <v>25.05</v>
      </c>
      <c r="S347" s="13">
        <f t="shared" ref="S347:S354" si="212">Q347</f>
        <v>14.595000000000001</v>
      </c>
      <c r="T347" s="13">
        <v>26.83</v>
      </c>
      <c r="U347" s="14">
        <f t="shared" ref="U347:U354" si="213">(T347*S347)/(R347*Q347)</f>
        <v>1.0710578842315368</v>
      </c>
      <c r="V347" s="172">
        <f t="shared" si="198"/>
        <v>1.0506909466615006</v>
      </c>
    </row>
    <row r="348" spans="1:22" hidden="1">
      <c r="A348" s="6" t="s">
        <v>168</v>
      </c>
      <c r="B348" s="13">
        <f>6.91/2</f>
        <v>3.4550000000000001</v>
      </c>
      <c r="C348" s="13">
        <v>47.16</v>
      </c>
      <c r="D348" s="13">
        <f t="shared" si="207"/>
        <v>3.4550000000000001</v>
      </c>
      <c r="E348" s="13">
        <v>49.78</v>
      </c>
      <c r="F348" s="14">
        <f t="shared" si="208"/>
        <v>1.0555555555555558</v>
      </c>
      <c r="G348" s="22">
        <f>2.19/2</f>
        <v>1.095</v>
      </c>
      <c r="H348" s="22">
        <v>25.05</v>
      </c>
      <c r="I348" s="22">
        <f t="shared" si="209"/>
        <v>1.095</v>
      </c>
      <c r="J348" s="22">
        <v>26.83</v>
      </c>
      <c r="K348" s="14">
        <f t="shared" si="206"/>
        <v>1.0710578842315368</v>
      </c>
      <c r="L348" s="13"/>
      <c r="M348" s="13"/>
      <c r="N348" s="13"/>
      <c r="O348" s="13"/>
      <c r="P348" s="14"/>
      <c r="Q348" s="13"/>
      <c r="R348" s="13"/>
      <c r="S348" s="13"/>
      <c r="T348" s="13"/>
      <c r="U348" s="14"/>
      <c r="V348" s="172">
        <f t="shared" si="198"/>
        <v>1.0555555555555556</v>
      </c>
    </row>
    <row r="349" spans="1:22" hidden="1">
      <c r="A349" s="6" t="s">
        <v>169</v>
      </c>
      <c r="B349" s="13">
        <f>12.995/2</f>
        <v>6.4974999999999996</v>
      </c>
      <c r="C349" s="13">
        <v>48.36</v>
      </c>
      <c r="D349" s="13">
        <f t="shared" si="207"/>
        <v>6.4974999999999996</v>
      </c>
      <c r="E349" s="13">
        <v>48.36</v>
      </c>
      <c r="F349" s="14">
        <f t="shared" si="208"/>
        <v>1</v>
      </c>
      <c r="G349" s="22">
        <f>6.385/2</f>
        <v>3.1924999999999999</v>
      </c>
      <c r="H349" s="22">
        <v>25.05</v>
      </c>
      <c r="I349" s="22">
        <f t="shared" si="209"/>
        <v>3.1924999999999999</v>
      </c>
      <c r="J349" s="22">
        <v>26.83</v>
      </c>
      <c r="K349" s="14">
        <f t="shared" si="206"/>
        <v>1.0710578842315368</v>
      </c>
      <c r="L349" s="13"/>
      <c r="M349" s="13"/>
      <c r="N349" s="13"/>
      <c r="O349" s="13"/>
      <c r="P349" s="14"/>
      <c r="Q349" s="13"/>
      <c r="R349" s="13"/>
      <c r="S349" s="13"/>
      <c r="T349" s="13"/>
      <c r="U349" s="14"/>
      <c r="V349" s="172">
        <f t="shared" si="198"/>
        <v>1</v>
      </c>
    </row>
    <row r="350" spans="1:22" hidden="1">
      <c r="A350" s="6" t="s">
        <v>170</v>
      </c>
      <c r="B350" s="13">
        <f>347.5/2</f>
        <v>173.75</v>
      </c>
      <c r="C350" s="13">
        <v>36.14</v>
      </c>
      <c r="D350" s="13">
        <f t="shared" si="207"/>
        <v>173.75</v>
      </c>
      <c r="E350" s="13">
        <v>38.97</v>
      </c>
      <c r="F350" s="14">
        <f t="shared" si="208"/>
        <v>1.07830658550083</v>
      </c>
      <c r="G350" s="22">
        <f>254.2/2</f>
        <v>127.1</v>
      </c>
      <c r="H350" s="22">
        <v>24.58</v>
      </c>
      <c r="I350" s="22">
        <f t="shared" si="209"/>
        <v>127.1</v>
      </c>
      <c r="J350" s="22">
        <v>26.83</v>
      </c>
      <c r="K350" s="14">
        <f t="shared" si="206"/>
        <v>1.0915378356387306</v>
      </c>
      <c r="L350" s="13">
        <f>365.545/2</f>
        <v>182.77250000000001</v>
      </c>
      <c r="M350" s="13">
        <v>40.869999999999997</v>
      </c>
      <c r="N350" s="13">
        <f t="shared" si="210"/>
        <v>182.77250000000001</v>
      </c>
      <c r="O350" s="13">
        <v>43.44</v>
      </c>
      <c r="P350" s="14">
        <f t="shared" si="211"/>
        <v>1.0628823097626621</v>
      </c>
      <c r="Q350" s="13">
        <f>281.581/2</f>
        <v>140.79050000000001</v>
      </c>
      <c r="R350" s="13">
        <v>24.88</v>
      </c>
      <c r="S350" s="13">
        <f t="shared" si="212"/>
        <v>140.79050000000001</v>
      </c>
      <c r="T350" s="13">
        <v>26.83</v>
      </c>
      <c r="U350" s="14">
        <f t="shared" si="213"/>
        <v>1.0783762057877813</v>
      </c>
      <c r="V350" s="172">
        <f t="shared" si="198"/>
        <v>1.070120763537203</v>
      </c>
    </row>
    <row r="351" spans="1:22" ht="30" hidden="1">
      <c r="A351" s="6" t="s">
        <v>171</v>
      </c>
      <c r="B351" s="13">
        <f>15.444/2</f>
        <v>7.7220000000000004</v>
      </c>
      <c r="C351" s="13">
        <v>31.6</v>
      </c>
      <c r="D351" s="13">
        <f t="shared" si="207"/>
        <v>7.7220000000000004</v>
      </c>
      <c r="E351" s="13">
        <v>32.619999999999997</v>
      </c>
      <c r="F351" s="14">
        <f t="shared" si="208"/>
        <v>1.0322784810126582</v>
      </c>
      <c r="G351" s="22">
        <f>11.343/2</f>
        <v>5.6715</v>
      </c>
      <c r="H351" s="22">
        <v>25.05</v>
      </c>
      <c r="I351" s="22">
        <f t="shared" si="209"/>
        <v>5.6715</v>
      </c>
      <c r="J351" s="22">
        <v>26.83</v>
      </c>
      <c r="K351" s="14">
        <f t="shared" si="206"/>
        <v>1.0710578842315368</v>
      </c>
      <c r="L351" s="13">
        <f>9.599/2</f>
        <v>4.7995000000000001</v>
      </c>
      <c r="M351" s="13">
        <v>54.41</v>
      </c>
      <c r="N351" s="13">
        <f t="shared" si="210"/>
        <v>4.7995000000000001</v>
      </c>
      <c r="O351" s="13">
        <v>55.51</v>
      </c>
      <c r="P351" s="14">
        <f t="shared" si="211"/>
        <v>1.0202168718985483</v>
      </c>
      <c r="Q351" s="13">
        <f>6.425/2</f>
        <v>3.2124999999999999</v>
      </c>
      <c r="R351" s="13">
        <v>24</v>
      </c>
      <c r="S351" s="13">
        <f t="shared" si="212"/>
        <v>3.2124999999999999</v>
      </c>
      <c r="T351" s="13">
        <v>25.7</v>
      </c>
      <c r="U351" s="14">
        <f t="shared" si="213"/>
        <v>1.0708333333333335</v>
      </c>
      <c r="V351" s="172">
        <f t="shared" si="198"/>
        <v>1.024648296709685</v>
      </c>
    </row>
    <row r="352" spans="1:22" ht="30" hidden="1">
      <c r="A352" s="6" t="s">
        <v>172</v>
      </c>
      <c r="B352" s="13">
        <f>24.16/2</f>
        <v>12.08</v>
      </c>
      <c r="C352" s="13">
        <v>50</v>
      </c>
      <c r="D352" s="13">
        <f t="shared" si="207"/>
        <v>12.08</v>
      </c>
      <c r="E352" s="13">
        <v>53.25</v>
      </c>
      <c r="F352" s="14">
        <f t="shared" si="208"/>
        <v>1.0649999999999999</v>
      </c>
      <c r="G352" s="22">
        <f>22.38/2</f>
        <v>11.19</v>
      </c>
      <c r="H352" s="22">
        <v>25.05</v>
      </c>
      <c r="I352" s="22">
        <f t="shared" si="209"/>
        <v>11.19</v>
      </c>
      <c r="J352" s="22">
        <v>26.83</v>
      </c>
      <c r="K352" s="14">
        <f t="shared" si="206"/>
        <v>1.0710578842315368</v>
      </c>
      <c r="L352" s="13"/>
      <c r="M352" s="13"/>
      <c r="N352" s="13"/>
      <c r="O352" s="13"/>
      <c r="P352" s="14"/>
      <c r="Q352" s="13"/>
      <c r="R352" s="13"/>
      <c r="S352" s="13"/>
      <c r="T352" s="13"/>
      <c r="U352" s="14"/>
      <c r="V352" s="172">
        <f t="shared" si="198"/>
        <v>1.0649999999999999</v>
      </c>
    </row>
    <row r="353" spans="1:22" ht="30" hidden="1">
      <c r="A353" s="6" t="s">
        <v>173</v>
      </c>
      <c r="B353" s="13">
        <f>5.322/2</f>
        <v>2.661</v>
      </c>
      <c r="C353" s="13">
        <v>44.92</v>
      </c>
      <c r="D353" s="13">
        <f t="shared" si="207"/>
        <v>2.661</v>
      </c>
      <c r="E353" s="13">
        <v>44.92</v>
      </c>
      <c r="F353" s="14">
        <f t="shared" si="208"/>
        <v>1</v>
      </c>
      <c r="G353" s="22">
        <f>4.54/2</f>
        <v>2.27</v>
      </c>
      <c r="H353" s="22">
        <v>25.05</v>
      </c>
      <c r="I353" s="22">
        <f t="shared" si="209"/>
        <v>2.27</v>
      </c>
      <c r="J353" s="22">
        <v>26.83</v>
      </c>
      <c r="K353" s="14">
        <f t="shared" si="206"/>
        <v>1.0710578842315368</v>
      </c>
      <c r="L353" s="13"/>
      <c r="M353" s="13"/>
      <c r="N353" s="13"/>
      <c r="O353" s="13"/>
      <c r="P353" s="14"/>
      <c r="Q353" s="13"/>
      <c r="R353" s="13"/>
      <c r="S353" s="13"/>
      <c r="T353" s="13"/>
      <c r="U353" s="14"/>
      <c r="V353" s="172">
        <f t="shared" si="198"/>
        <v>1</v>
      </c>
    </row>
    <row r="354" spans="1:22" ht="30" hidden="1">
      <c r="A354" s="6" t="s">
        <v>174</v>
      </c>
      <c r="B354" s="13">
        <f>48.146/2</f>
        <v>24.073</v>
      </c>
      <c r="C354" s="13">
        <v>51.55</v>
      </c>
      <c r="D354" s="13">
        <f t="shared" si="207"/>
        <v>24.073</v>
      </c>
      <c r="E354" s="13">
        <v>51.55</v>
      </c>
      <c r="F354" s="14">
        <f t="shared" si="208"/>
        <v>1</v>
      </c>
      <c r="G354" s="22">
        <f>33.925/2</f>
        <v>16.962499999999999</v>
      </c>
      <c r="H354" s="22">
        <v>29</v>
      </c>
      <c r="I354" s="22">
        <f t="shared" si="209"/>
        <v>16.962499999999999</v>
      </c>
      <c r="J354" s="22">
        <v>31.06</v>
      </c>
      <c r="K354" s="14">
        <f t="shared" si="206"/>
        <v>1.0710344827586207</v>
      </c>
      <c r="L354" s="13">
        <f>23.345/2</f>
        <v>11.672499999999999</v>
      </c>
      <c r="M354" s="13">
        <v>55.69</v>
      </c>
      <c r="N354" s="13">
        <f t="shared" si="210"/>
        <v>11.672499999999999</v>
      </c>
      <c r="O354" s="13">
        <v>55.69</v>
      </c>
      <c r="P354" s="14">
        <f t="shared" si="211"/>
        <v>1</v>
      </c>
      <c r="Q354" s="13">
        <f>17.385/2</f>
        <v>8.6925000000000008</v>
      </c>
      <c r="R354" s="13">
        <v>29.36</v>
      </c>
      <c r="S354" s="13">
        <f t="shared" si="212"/>
        <v>8.6925000000000008</v>
      </c>
      <c r="T354" s="13">
        <v>31.44</v>
      </c>
      <c r="U354" s="14">
        <f t="shared" si="213"/>
        <v>1.0708446866485015</v>
      </c>
      <c r="V354" s="172">
        <f t="shared" si="198"/>
        <v>1</v>
      </c>
    </row>
    <row r="355" spans="1:22" ht="45" hidden="1">
      <c r="A355" s="25" t="s">
        <v>175</v>
      </c>
      <c r="B355" s="18">
        <f>SUM(B356:B359)</f>
        <v>55.34</v>
      </c>
      <c r="C355" s="18">
        <f>SUMPRODUCT(B356:B359,C356:C359)/B355</f>
        <v>45.424795807734007</v>
      </c>
      <c r="D355" s="18">
        <f>SUM(D356:D359)</f>
        <v>55.34</v>
      </c>
      <c r="E355" s="18">
        <f>SUMPRODUCT(D356:D359,E356:E359)/D355</f>
        <v>48.176331767256954</v>
      </c>
      <c r="F355" s="50">
        <f>E355/C355</f>
        <v>1.0605734359526713</v>
      </c>
      <c r="G355" s="18">
        <f>SUM(G356:G359)</f>
        <v>30.889000000000003</v>
      </c>
      <c r="H355" s="18">
        <f>SUMPRODUCT(G356:G359,H356:H359)/G355</f>
        <v>50.628265401923016</v>
      </c>
      <c r="I355" s="18">
        <f>SUM(I356:I359)</f>
        <v>30.889000000000003</v>
      </c>
      <c r="J355" s="18">
        <f>SUMPRODUCT(I356:I359,J356:J359)/I355</f>
        <v>52.912127618245968</v>
      </c>
      <c r="K355" s="50">
        <f>J355/H355</f>
        <v>1.0451104180281912</v>
      </c>
      <c r="L355" s="18">
        <f>SUM(L356:L359)</f>
        <v>31.89</v>
      </c>
      <c r="M355" s="18">
        <f>SUMPRODUCT(L356:L359,M356:M359)/L355</f>
        <v>63.360714957666971</v>
      </c>
      <c r="N355" s="18">
        <f>SUM(N356:N359)</f>
        <v>31.89</v>
      </c>
      <c r="O355" s="18">
        <f>SUMPRODUCT(N356:N359,O356:O359)/N355</f>
        <v>65.939818124804006</v>
      </c>
      <c r="P355" s="50">
        <f>O355/M355</f>
        <v>1.0407050830922631</v>
      </c>
      <c r="Q355" s="18">
        <f>SUM(Q356:Q359)</f>
        <v>27.05</v>
      </c>
      <c r="R355" s="18">
        <f>SUMPRODUCT(Q356:Q359,R356:R359)/Q355</f>
        <v>30</v>
      </c>
      <c r="S355" s="18">
        <f>SUM(S356:S359)</f>
        <v>27.05</v>
      </c>
      <c r="T355" s="18">
        <f>SUMPRODUCT(S356:S359,T356:T359)/S355</f>
        <v>32.130000000000003</v>
      </c>
      <c r="U355" s="49">
        <f>T355/R355</f>
        <v>1.0710000000000002</v>
      </c>
      <c r="V355" s="172">
        <f t="shared" si="198"/>
        <v>1.0490013705791728</v>
      </c>
    </row>
    <row r="356" spans="1:22" ht="30" hidden="1">
      <c r="A356" s="23" t="s">
        <v>176</v>
      </c>
      <c r="B356" s="13">
        <f>19.48/2</f>
        <v>9.74</v>
      </c>
      <c r="C356" s="13">
        <v>62.83</v>
      </c>
      <c r="D356" s="13">
        <f>B356</f>
        <v>9.74</v>
      </c>
      <c r="E356" s="13">
        <v>67.180000000000007</v>
      </c>
      <c r="F356" s="14">
        <f>(E356*D356)/(C356*B356)</f>
        <v>1.069234442145472</v>
      </c>
      <c r="G356" s="13"/>
      <c r="H356" s="13"/>
      <c r="I356" s="13"/>
      <c r="J356" s="13"/>
      <c r="K356" s="48"/>
      <c r="L356" s="13">
        <f>7/2</f>
        <v>3.5</v>
      </c>
      <c r="M356" s="13">
        <v>109.19</v>
      </c>
      <c r="N356" s="13">
        <f>L356</f>
        <v>3.5</v>
      </c>
      <c r="O356" s="13">
        <v>117.04</v>
      </c>
      <c r="P356" s="14">
        <f>(O356*N356)/(M356*L356)</f>
        <v>1.0718930304972984</v>
      </c>
      <c r="Q356" s="13">
        <f>7/2</f>
        <v>3.5</v>
      </c>
      <c r="R356" s="13">
        <v>30</v>
      </c>
      <c r="S356" s="13">
        <f>Q356</f>
        <v>3.5</v>
      </c>
      <c r="T356" s="13">
        <v>32.130000000000003</v>
      </c>
      <c r="U356" s="14">
        <f>(T356*S356)/(R356*Q356)</f>
        <v>1.0710000000000002</v>
      </c>
      <c r="V356" s="172">
        <f t="shared" si="198"/>
        <v>1.0709219858156032</v>
      </c>
    </row>
    <row r="357" spans="1:22" ht="30" hidden="1">
      <c r="A357" s="23" t="s">
        <v>177</v>
      </c>
      <c r="B357" s="13">
        <v>0</v>
      </c>
      <c r="C357" s="13"/>
      <c r="D357" s="13">
        <f>B357</f>
        <v>0</v>
      </c>
      <c r="E357" s="13"/>
      <c r="F357" s="14"/>
      <c r="G357" s="13">
        <f>3.378/2</f>
        <v>1.6890000000000001</v>
      </c>
      <c r="H357" s="13">
        <v>474.41</v>
      </c>
      <c r="I357" s="13">
        <f>G357</f>
        <v>1.6890000000000001</v>
      </c>
      <c r="J357" s="13">
        <v>476.39</v>
      </c>
      <c r="K357" s="14">
        <f t="shared" ref="K357:K359" si="214">(J357*I357)/(H357*G357)</f>
        <v>1.0041736051095045</v>
      </c>
      <c r="L357" s="13">
        <f>3.18/2</f>
        <v>1.59</v>
      </c>
      <c r="M357" s="13">
        <v>62.78</v>
      </c>
      <c r="N357" s="13">
        <f>L357</f>
        <v>1.59</v>
      </c>
      <c r="O357" s="13">
        <v>66.72</v>
      </c>
      <c r="P357" s="14">
        <f>(O357*N357)/(M357*L357)</f>
        <v>1.0627588403950303</v>
      </c>
      <c r="Q357" s="13"/>
      <c r="R357" s="13"/>
      <c r="S357" s="13"/>
      <c r="T357" s="13"/>
      <c r="U357" s="48"/>
      <c r="V357" s="172">
        <f t="shared" si="198"/>
        <v>1.0627588403950303</v>
      </c>
    </row>
    <row r="358" spans="1:22" ht="30" hidden="1">
      <c r="A358" s="23" t="s">
        <v>178</v>
      </c>
      <c r="B358" s="13">
        <f>13.4/2</f>
        <v>6.7</v>
      </c>
      <c r="C358" s="13">
        <v>53.07</v>
      </c>
      <c r="D358" s="13">
        <f>B358</f>
        <v>6.7</v>
      </c>
      <c r="E358" s="13">
        <v>56.7</v>
      </c>
      <c r="F358" s="14">
        <f>(E358*D358)/(C358*B358)</f>
        <v>1.06840022611645</v>
      </c>
      <c r="G358" s="13">
        <f>10.8/2</f>
        <v>5.4</v>
      </c>
      <c r="H358" s="13">
        <v>53.07</v>
      </c>
      <c r="I358" s="13">
        <f>G358</f>
        <v>5.4</v>
      </c>
      <c r="J358" s="13">
        <v>56.7</v>
      </c>
      <c r="K358" s="14">
        <f t="shared" si="214"/>
        <v>1.06840022611645</v>
      </c>
      <c r="L358" s="13"/>
      <c r="M358" s="13"/>
      <c r="N358" s="13"/>
      <c r="O358" s="13"/>
      <c r="P358" s="48"/>
      <c r="Q358" s="13"/>
      <c r="R358" s="13"/>
      <c r="S358" s="13"/>
      <c r="T358" s="13"/>
      <c r="U358" s="48"/>
      <c r="V358" s="172">
        <f t="shared" si="198"/>
        <v>1.06840022611645</v>
      </c>
    </row>
    <row r="359" spans="1:22" ht="30" hidden="1">
      <c r="A359" s="23" t="s">
        <v>179</v>
      </c>
      <c r="B359" s="13">
        <f>77.8/2</f>
        <v>38.9</v>
      </c>
      <c r="C359" s="13">
        <v>39.75</v>
      </c>
      <c r="D359" s="13">
        <f>B359</f>
        <v>38.9</v>
      </c>
      <c r="E359" s="13">
        <v>41.95</v>
      </c>
      <c r="F359" s="14">
        <f>(E359*D359)/(C359*B359)</f>
        <v>1.0553459119496857</v>
      </c>
      <c r="G359" s="13">
        <f>47.6/2</f>
        <v>23.8</v>
      </c>
      <c r="H359" s="13">
        <v>20</v>
      </c>
      <c r="I359" s="13">
        <f>G359</f>
        <v>23.8</v>
      </c>
      <c r="J359" s="13">
        <v>22</v>
      </c>
      <c r="K359" s="14">
        <f t="shared" si="214"/>
        <v>1.1000000000000001</v>
      </c>
      <c r="L359" s="13">
        <f>53.6/2</f>
        <v>26.8</v>
      </c>
      <c r="M359" s="13">
        <v>57.41</v>
      </c>
      <c r="N359" s="13">
        <f>L359</f>
        <v>26.8</v>
      </c>
      <c r="O359" s="13">
        <v>59.22</v>
      </c>
      <c r="P359" s="14">
        <f>(O359*N359)/(M359*L359)</f>
        <v>1.0315276084305871</v>
      </c>
      <c r="Q359" s="28">
        <f>47.1/2</f>
        <v>23.55</v>
      </c>
      <c r="R359" s="28">
        <v>30</v>
      </c>
      <c r="S359" s="28">
        <f>Q359</f>
        <v>23.55</v>
      </c>
      <c r="T359" s="28">
        <v>32.130000000000003</v>
      </c>
      <c r="U359" s="14">
        <f t="shared" ref="U359" si="215">(T359*S359)/(R359*Q359)</f>
        <v>1.0710000000000002</v>
      </c>
      <c r="V359" s="172">
        <f t="shared" si="198"/>
        <v>1.0412721284479209</v>
      </c>
    </row>
  </sheetData>
  <mergeCells count="20">
    <mergeCell ref="L4:P4"/>
    <mergeCell ref="Q4:U4"/>
    <mergeCell ref="B5:C5"/>
    <mergeCell ref="D5:E5"/>
    <mergeCell ref="F5:F6"/>
    <mergeCell ref="Q5:R5"/>
    <mergeCell ref="S5:T5"/>
    <mergeCell ref="U5:U6"/>
    <mergeCell ref="A1:U1"/>
    <mergeCell ref="G5:H5"/>
    <mergeCell ref="I5:J5"/>
    <mergeCell ref="K5:K6"/>
    <mergeCell ref="L5:M5"/>
    <mergeCell ref="N5:O5"/>
    <mergeCell ref="P5:P6"/>
    <mergeCell ref="A3:A6"/>
    <mergeCell ref="B3:K3"/>
    <mergeCell ref="L3:U3"/>
    <mergeCell ref="B4:F4"/>
    <mergeCell ref="G4:K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16"/>
  <sheetViews>
    <sheetView workbookViewId="0">
      <selection activeCell="F26" sqref="F26"/>
    </sheetView>
  </sheetViews>
  <sheetFormatPr defaultRowHeight="15"/>
  <cols>
    <col min="1" max="1" width="26.140625" customWidth="1"/>
    <col min="2" max="2" width="11.28515625" hidden="1" customWidth="1"/>
    <col min="3" max="3" width="12.140625" customWidth="1"/>
    <col min="4" max="4" width="10.7109375" hidden="1" customWidth="1"/>
    <col min="5" max="5" width="11.42578125" customWidth="1"/>
    <col min="7" max="7" width="0" hidden="1" customWidth="1"/>
    <col min="8" max="8" width="11.140625" customWidth="1"/>
    <col min="9" max="9" width="0" hidden="1" customWidth="1"/>
    <col min="10" max="10" width="11.85546875" customWidth="1"/>
    <col min="12" max="12" width="10.140625" hidden="1" customWidth="1"/>
    <col min="13" max="13" width="11.28515625" customWidth="1"/>
    <col min="14" max="14" width="10.85546875" hidden="1" customWidth="1"/>
    <col min="15" max="15" width="10.42578125" customWidth="1"/>
    <col min="17" max="17" width="0" hidden="1" customWidth="1"/>
    <col min="18" max="18" width="12.140625" customWidth="1"/>
    <col min="19" max="19" width="0" hidden="1" customWidth="1"/>
    <col min="20" max="20" width="11.7109375" customWidth="1"/>
  </cols>
  <sheetData>
    <row r="1" spans="1:21" ht="39" customHeight="1">
      <c r="A1" s="377" t="s">
        <v>254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</row>
    <row r="3" spans="1:21">
      <c r="A3" s="122"/>
      <c r="B3" s="374" t="s">
        <v>252</v>
      </c>
      <c r="C3" s="374"/>
      <c r="D3" s="374"/>
      <c r="E3" s="374"/>
      <c r="F3" s="374"/>
      <c r="G3" s="374"/>
      <c r="H3" s="374"/>
      <c r="I3" s="374"/>
      <c r="J3" s="374"/>
      <c r="K3" s="374"/>
      <c r="L3" s="374" t="s">
        <v>253</v>
      </c>
      <c r="M3" s="374"/>
      <c r="N3" s="374"/>
      <c r="O3" s="374"/>
      <c r="P3" s="374"/>
      <c r="Q3" s="374"/>
      <c r="R3" s="374"/>
      <c r="S3" s="374"/>
      <c r="T3" s="374"/>
      <c r="U3" s="374"/>
    </row>
    <row r="4" spans="1:21">
      <c r="A4" s="123"/>
      <c r="B4" s="374" t="s">
        <v>2</v>
      </c>
      <c r="C4" s="374"/>
      <c r="D4" s="374"/>
      <c r="E4" s="374"/>
      <c r="F4" s="374"/>
      <c r="G4" s="374" t="s">
        <v>3</v>
      </c>
      <c r="H4" s="374"/>
      <c r="I4" s="374"/>
      <c r="J4" s="374"/>
      <c r="K4" s="374"/>
      <c r="L4" s="374" t="s">
        <v>2</v>
      </c>
      <c r="M4" s="374"/>
      <c r="N4" s="374"/>
      <c r="O4" s="374"/>
      <c r="P4" s="374"/>
      <c r="Q4" s="374" t="s">
        <v>3</v>
      </c>
      <c r="R4" s="374"/>
      <c r="S4" s="374"/>
      <c r="T4" s="374"/>
      <c r="U4" s="374"/>
    </row>
    <row r="5" spans="1:21" ht="15" customHeight="1">
      <c r="A5" s="123"/>
      <c r="B5" s="372" t="s">
        <v>255</v>
      </c>
      <c r="C5" s="373"/>
      <c r="D5" s="372" t="s">
        <v>256</v>
      </c>
      <c r="E5" s="373"/>
      <c r="F5" s="71" t="s">
        <v>251</v>
      </c>
      <c r="G5" s="372" t="s">
        <v>255</v>
      </c>
      <c r="H5" s="373"/>
      <c r="I5" s="374" t="s">
        <v>257</v>
      </c>
      <c r="J5" s="374"/>
      <c r="K5" s="71" t="s">
        <v>251</v>
      </c>
      <c r="L5" s="372" t="s">
        <v>255</v>
      </c>
      <c r="M5" s="373"/>
      <c r="N5" s="372" t="s">
        <v>257</v>
      </c>
      <c r="O5" s="373"/>
      <c r="P5" s="71" t="s">
        <v>251</v>
      </c>
      <c r="Q5" s="372" t="s">
        <v>255</v>
      </c>
      <c r="R5" s="373"/>
      <c r="S5" s="374" t="s">
        <v>257</v>
      </c>
      <c r="T5" s="374"/>
      <c r="U5" s="71" t="s">
        <v>251</v>
      </c>
    </row>
    <row r="6" spans="1:21" ht="15" hidden="1" customHeight="1">
      <c r="A6" s="124" t="s">
        <v>193</v>
      </c>
      <c r="B6" s="73">
        <f>B7+B17+B23+B27+B31+B39+B44+B53+B59+B61+B64+B72+B86+B97+B110+B117+B122+B124+B146+B151+B157+B168+B175+B188+B200</f>
        <v>10847.223</v>
      </c>
      <c r="C6" s="74">
        <f>(B7*C7+B17*C17+B23*C23+B27*C27+B31*C31+B39*C39+B44+C44+B53*C53+B59*C59+B61*C61+B64*C64+B72*C72+B86*C86+B97*C97+B110*C110+B117*C117+B122*C122+B124*C124+B146*C146+B151*C151+B157*C157+B168*C168+B175*C175+B188*C188+B200*C200)/B6</f>
        <v>30.85451204239094</v>
      </c>
      <c r="D6" s="73">
        <f>D7+D17+D23+D27+D31+D39+D44+D53+D59+D61+D64+D72+D86+D97+D110+D117+D122+D124+D146+D151+D157+D168+D175+D188+D200</f>
        <v>10847.223</v>
      </c>
      <c r="E6" s="74">
        <f>(D7*E7+D17*E17+D23*E23+D27*E27+D31*E31+D39*E39+D44+E44+D53*E53+D59*E59+D61*E61+D64*E64+D72*E72+D86*E86+D97*E97+D110*E110+D117*E117+D122*E122+D124*E124+D146*E146+D151*E151+D157*E157+D168*E168+D175*E175+D188*E188+D200*E200)/D6</f>
        <v>32.957985309235369</v>
      </c>
      <c r="F6" s="75">
        <f>E6/C6</f>
        <v>1.0681739274941204</v>
      </c>
      <c r="G6" s="73">
        <f>G7+G17+G23+G27+G31+G39+G44+G53+G59+G61+G64+G72+G86+G97+G110+G117+G122+G124+G146+G151+G157+G168+G175+G188+G200</f>
        <v>8501.6435000000019</v>
      </c>
      <c r="H6" s="74">
        <f>(G7*H7+G17*H17+G23*H23+G27*H27+G31*H31+G39*H39+G44+H44+G53*H53+G59*H59+G61*H61+G64*H64+G72*H72+G86*H86+G97*H97+G110*H110+G117*H117+G122*H122+G124*H124+G146*H146+G151*H151+G157*H157+G168*H168+G175*H175+G188*H188+G200*H200)/G6</f>
        <v>21.569999999999993</v>
      </c>
      <c r="I6" s="73">
        <f>I7+I17+I23+I27+I31+I39+I44+I53+I59+I61+I64+I72+I86+I97+I110+I117+I122+I124+I146+I151+I157+I168+I175+I188+I200</f>
        <v>8501.6435000000019</v>
      </c>
      <c r="J6" s="74">
        <f>(I7*J7+I17*J17+I23*J23+I27*J27+I31*J31+I39*J39+I44+J44+I53*J53+I59*J59+I61*J61+I64*J64+I72*J72+I86*J86+I97*J97+I110*J110+I117*J117+I122*J122+I124*J124+I146*J146+I151*J151+I157*J157+I168*J168+I175*J175+I188*J188+I200*J200)/I6</f>
        <v>22.579999999999991</v>
      </c>
      <c r="K6" s="75">
        <f>J6/H6</f>
        <v>1.0468242929995364</v>
      </c>
      <c r="L6" s="73">
        <f>L7+L17+L23+L27+L31+L39+L44+L53+L59+L61+L64+L72+L86+L97+L110+L117+L122+L124+L146+L151+L157+L168+L175+L188+L200</f>
        <v>12070.099999999999</v>
      </c>
      <c r="M6" s="74">
        <f>(L7*M7+L17*M17+L23*M23+L27*M27+L31*M31+L39*M39+L44+M44+L53*M53+L59*M59+L61*M61+L64*M64+L72*M72+L86*M86+L97*M97+L110*M110+L117*M117+L122*M122+L124*M124+L146*M146+L151*M151+L157*M157+L168*M168+L175*M175+L188*M188+L200*M200)/L6</f>
        <v>24.118118872254584</v>
      </c>
      <c r="N6" s="73">
        <f>N7+N17+N23+N27+N31+N39+N44+N53+N59+N61+N64+N72+N86+N97+N110+N117+N122+N124+N146+N151+N157+N168+N175+N188+N200</f>
        <v>12070.099999999999</v>
      </c>
      <c r="O6" s="74">
        <f>(N7*O7+N17*O17+N23*O23+N27*O27+N31*O31+N39*O39+N44+O44+N53*O53+N59*O59+N61*O61+N64*O64+N72*O72+N86*O86+N97*O97+N110*O110+N117*O117+N122*O122+N124*O124+N146*O146+N151*O151+N157*O157+N168*O168+N175*O175+N188*O188+N200*O200)/N6</f>
        <v>28.350053860365694</v>
      </c>
      <c r="P6" s="75">
        <f>O6/M6</f>
        <v>1.1754670424557661</v>
      </c>
      <c r="Q6" s="73">
        <f>Q7+Q17+Q23+Q27+Q31+Q39+Q44+Q53+Q59+Q61+Q64+Q72+Q86+Q97+Q110+Q117+Q122+Q124+Q146+Q151+Q157+Q168+Q175+Q188+Q200</f>
        <v>8150.375</v>
      </c>
      <c r="R6" s="74">
        <f>(Q7*R7+Q17*R17+Q23*R23+Q27*R27+Q31*R31+Q39*R39+Q44+R44+Q53*R53+Q59*R59+Q61*R61+Q64*R64+Q72*R72+Q86*R86+Q97*R97+Q110*R110+Q117*R117+Q122*R122+Q124*R124+Q146*R146+Q151*R151+Q157*R157+Q168*R168+Q175*R175+Q188*R188+Q200*R200)/Q6</f>
        <v>19.760000000000002</v>
      </c>
      <c r="S6" s="73">
        <f>S7+S17+S23+S27+S31+S39+S44+S53+S59+S61+S64+S72+S86+S97+S110+S117+S122+S124+S146+S151+S157+S168+S175+S188+S200</f>
        <v>8150.375</v>
      </c>
      <c r="T6" s="74">
        <f>(S7*T7+S17*T17+S23*T23+S27*T27+S31*T31+S39*T39+S44+T44+S53*T53+S59*T59+S61*T61+S64*T64+S72*T72+S86*T86+S97*T97+S110*T110+S117*T117+S122*T122+S124*T124+S146*T146+S151*T151+S157*T157+S168*T168+S175*T175+S188*T188+S200*T200)/S6</f>
        <v>20.690000000000005</v>
      </c>
      <c r="U6" s="75">
        <f>T6/R6</f>
        <v>1.0470647773279353</v>
      </c>
    </row>
    <row r="7" spans="1:21">
      <c r="A7" s="125" t="s">
        <v>258</v>
      </c>
      <c r="B7" s="126">
        <f>SUM(B8:B16)</f>
        <v>10847.223</v>
      </c>
      <c r="C7" s="126">
        <f>SUMPRODUCT(B8:B16,C8:C16)/B7</f>
        <v>30.85451204239094</v>
      </c>
      <c r="D7" s="126">
        <f>SUM(D8:D16)</f>
        <v>10847.223</v>
      </c>
      <c r="E7" s="126">
        <f>SUMPRODUCT(D8:D16,E8:E16)/D7</f>
        <v>32.957985309235369</v>
      </c>
      <c r="F7" s="75">
        <f>E7/C7</f>
        <v>1.0681739274941204</v>
      </c>
      <c r="G7" s="126">
        <f>SUM(G8:G16)</f>
        <v>8501.6435000000019</v>
      </c>
      <c r="H7" s="126">
        <f>SUMPRODUCT(G8:G16,H8:H16)/G7</f>
        <v>21.569999999999993</v>
      </c>
      <c r="I7" s="126">
        <f>SUM(I8:I16)</f>
        <v>8501.6435000000019</v>
      </c>
      <c r="J7" s="126">
        <f>SUMPRODUCT(I8:I16,J8:J16)/I7</f>
        <v>22.579999999999991</v>
      </c>
      <c r="K7" s="75">
        <f>J7/H7</f>
        <v>1.0468242929995364</v>
      </c>
      <c r="L7" s="126">
        <f>SUM(L8:L16)</f>
        <v>12070.099999999999</v>
      </c>
      <c r="M7" s="126">
        <f>SUMPRODUCT(L8:L16,M8:M16)/L7</f>
        <v>24.118118872254584</v>
      </c>
      <c r="N7" s="126">
        <f>SUM(N8:N16)</f>
        <v>12070.099999999999</v>
      </c>
      <c r="O7" s="126">
        <f>SUMPRODUCT(N8:N16,O8:O16)/N7</f>
        <v>28.350053860365694</v>
      </c>
      <c r="P7" s="75">
        <f>O7/M7</f>
        <v>1.1754670424557661</v>
      </c>
      <c r="Q7" s="126">
        <f>SUM(Q8:Q16)</f>
        <v>8150.375</v>
      </c>
      <c r="R7" s="126">
        <f>SUMPRODUCT(Q8:Q16,R8:R16)/Q7</f>
        <v>19.760000000000002</v>
      </c>
      <c r="S7" s="126">
        <f>SUM(S8:S16)</f>
        <v>8150.375</v>
      </c>
      <c r="T7" s="126">
        <f>SUMPRODUCT(S8:S16,T8:T16)/S7</f>
        <v>20.690000000000005</v>
      </c>
      <c r="U7" s="75">
        <f>T7/R7</f>
        <v>1.0470647773279353</v>
      </c>
    </row>
    <row r="8" spans="1:21" ht="30">
      <c r="A8" s="127" t="s">
        <v>29</v>
      </c>
      <c r="B8" s="128">
        <f>18691.5/2</f>
        <v>9345.75</v>
      </c>
      <c r="C8" s="128">
        <v>23.89</v>
      </c>
      <c r="D8" s="128">
        <f t="shared" ref="D8:D16" si="0">B8</f>
        <v>9345.75</v>
      </c>
      <c r="E8" s="128">
        <v>25.3</v>
      </c>
      <c r="F8" s="129">
        <f t="shared" ref="F8:F16" si="1">(E8*D8)/(C8*B8)</f>
        <v>1.0590205106739221</v>
      </c>
      <c r="G8" s="130">
        <f>14951/2</f>
        <v>7475.5</v>
      </c>
      <c r="H8" s="130">
        <v>21.57</v>
      </c>
      <c r="I8" s="130">
        <f>G8</f>
        <v>7475.5</v>
      </c>
      <c r="J8" s="130">
        <v>22.58</v>
      </c>
      <c r="K8" s="129">
        <f>(J8*I8)/(H8*G8)</f>
        <v>1.0468242929995362</v>
      </c>
      <c r="L8" s="128">
        <f>21018.87/2</f>
        <v>10509.434999999999</v>
      </c>
      <c r="M8" s="128">
        <v>19.760000000000002</v>
      </c>
      <c r="N8" s="128">
        <f>L8</f>
        <v>10509.434999999999</v>
      </c>
      <c r="O8" s="128">
        <v>22.88</v>
      </c>
      <c r="P8" s="129">
        <f>(O8*N8)/(M8*L8)</f>
        <v>1.1578947368421051</v>
      </c>
      <c r="Q8" s="128">
        <f>14381.5/2</f>
        <v>7190.75</v>
      </c>
      <c r="R8" s="128">
        <v>19.760000000000002</v>
      </c>
      <c r="S8" s="128">
        <f>Q8</f>
        <v>7190.75</v>
      </c>
      <c r="T8" s="128">
        <v>20.69</v>
      </c>
      <c r="U8" s="129">
        <f>(T8*S8)/(R8*Q8)</f>
        <v>1.0470647773279353</v>
      </c>
    </row>
    <row r="9" spans="1:21" ht="30">
      <c r="A9" s="127" t="s">
        <v>30</v>
      </c>
      <c r="B9" s="128">
        <f>7.79/2</f>
        <v>3.895</v>
      </c>
      <c r="C9" s="128">
        <v>9.7200000000000006</v>
      </c>
      <c r="D9" s="128">
        <f t="shared" si="0"/>
        <v>3.895</v>
      </c>
      <c r="E9" s="128">
        <v>10.199999999999999</v>
      </c>
      <c r="F9" s="129">
        <f t="shared" si="1"/>
        <v>1.0493827160493827</v>
      </c>
      <c r="G9" s="130"/>
      <c r="H9" s="130"/>
      <c r="I9" s="130"/>
      <c r="J9" s="130"/>
      <c r="K9" s="129"/>
      <c r="L9" s="128"/>
      <c r="M9" s="128"/>
      <c r="N9" s="128"/>
      <c r="O9" s="128"/>
      <c r="P9" s="129"/>
      <c r="Q9" s="128"/>
      <c r="R9" s="128"/>
      <c r="S9" s="128"/>
      <c r="T9" s="128"/>
      <c r="U9" s="129"/>
    </row>
    <row r="10" spans="1:21" ht="30">
      <c r="A10" s="127" t="s">
        <v>27</v>
      </c>
      <c r="B10" s="128">
        <f>1117.41/2</f>
        <v>558.70500000000004</v>
      </c>
      <c r="C10" s="128">
        <v>135.32</v>
      </c>
      <c r="D10" s="128">
        <f t="shared" si="0"/>
        <v>558.70500000000004</v>
      </c>
      <c r="E10" s="128">
        <v>148.69</v>
      </c>
      <c r="F10" s="129">
        <f t="shared" si="1"/>
        <v>1.0988028377180019</v>
      </c>
      <c r="G10" s="130">
        <f>847.45/2</f>
        <v>423.72500000000002</v>
      </c>
      <c r="H10" s="130">
        <v>21.57</v>
      </c>
      <c r="I10" s="130">
        <f>G10</f>
        <v>423.72500000000002</v>
      </c>
      <c r="J10" s="130">
        <v>22.58</v>
      </c>
      <c r="K10" s="129">
        <f t="shared" ref="K10:K12" si="2">(J10*I10)/(H10*G10)</f>
        <v>1.0468242929995362</v>
      </c>
      <c r="L10" s="128">
        <f>906/2</f>
        <v>453</v>
      </c>
      <c r="M10" s="128">
        <v>111.34</v>
      </c>
      <c r="N10" s="128">
        <f>L10</f>
        <v>453</v>
      </c>
      <c r="O10" s="128">
        <v>148.13</v>
      </c>
      <c r="P10" s="129">
        <f t="shared" ref="P10" si="3">(O10*N10)/(M10*L10)</f>
        <v>1.3304293156098437</v>
      </c>
      <c r="Q10" s="128">
        <f>718.1/2</f>
        <v>359.05</v>
      </c>
      <c r="R10" s="128">
        <v>19.760000000000002</v>
      </c>
      <c r="S10" s="128">
        <f>Q10</f>
        <v>359.05</v>
      </c>
      <c r="T10" s="128">
        <v>20.69</v>
      </c>
      <c r="U10" s="129">
        <f t="shared" ref="U10:U12" si="4">(T10*S10)/(R10*Q10)</f>
        <v>1.0470647773279353</v>
      </c>
    </row>
    <row r="11" spans="1:21" ht="30">
      <c r="A11" s="127" t="s">
        <v>28</v>
      </c>
      <c r="B11" s="128">
        <f>5.8/2</f>
        <v>2.9</v>
      </c>
      <c r="C11" s="128">
        <v>57.32</v>
      </c>
      <c r="D11" s="128">
        <f t="shared" si="0"/>
        <v>2.9</v>
      </c>
      <c r="E11" s="128">
        <v>60</v>
      </c>
      <c r="F11" s="129">
        <f t="shared" si="1"/>
        <v>1.0467550593161199</v>
      </c>
      <c r="G11" s="130"/>
      <c r="H11" s="130"/>
      <c r="I11" s="130"/>
      <c r="J11" s="130"/>
      <c r="K11" s="129"/>
      <c r="L11" s="128"/>
      <c r="M11" s="128"/>
      <c r="N11" s="128"/>
      <c r="O11" s="128"/>
      <c r="P11" s="129"/>
      <c r="Q11" s="128"/>
      <c r="R11" s="128"/>
      <c r="S11" s="128"/>
      <c r="T11" s="128"/>
      <c r="U11" s="129"/>
    </row>
    <row r="12" spans="1:21">
      <c r="A12" s="131" t="s">
        <v>11</v>
      </c>
      <c r="B12" s="128">
        <f>1387.91/2</f>
        <v>693.95500000000004</v>
      </c>
      <c r="C12" s="128">
        <v>38.76</v>
      </c>
      <c r="D12" s="128">
        <f t="shared" si="0"/>
        <v>693.95500000000004</v>
      </c>
      <c r="E12" s="128">
        <v>40.57</v>
      </c>
      <c r="F12" s="129">
        <f t="shared" si="1"/>
        <v>1.0466976264189887</v>
      </c>
      <c r="G12" s="132">
        <f>1194.27/2</f>
        <v>597.13499999999999</v>
      </c>
      <c r="H12" s="132">
        <v>21.57</v>
      </c>
      <c r="I12" s="130">
        <f>G12</f>
        <v>597.13499999999999</v>
      </c>
      <c r="J12" s="132">
        <v>22.58</v>
      </c>
      <c r="K12" s="129">
        <f t="shared" si="2"/>
        <v>1.0468242929995362</v>
      </c>
      <c r="L12" s="128">
        <f>1827.73/2</f>
        <v>913.86500000000001</v>
      </c>
      <c r="M12" s="128">
        <v>26.12</v>
      </c>
      <c r="N12" s="128">
        <f>L12</f>
        <v>913.86500000000001</v>
      </c>
      <c r="O12" s="128">
        <v>27.36</v>
      </c>
      <c r="P12" s="129">
        <f>(O12*N12)/(M12*L12)</f>
        <v>1.0474732006125573</v>
      </c>
      <c r="Q12" s="128">
        <f>1194.27/2</f>
        <v>597.13499999999999</v>
      </c>
      <c r="R12" s="128">
        <v>19.760000000000002</v>
      </c>
      <c r="S12" s="128">
        <f>Q12</f>
        <v>597.13499999999999</v>
      </c>
      <c r="T12" s="128">
        <v>20.69</v>
      </c>
      <c r="U12" s="129">
        <f t="shared" si="4"/>
        <v>1.0470647773279351</v>
      </c>
    </row>
    <row r="13" spans="1:21" hidden="1">
      <c r="A13" s="8" t="s">
        <v>12</v>
      </c>
      <c r="B13" s="13">
        <f>62.1/2</f>
        <v>31.05</v>
      </c>
      <c r="C13" s="13">
        <v>18.079999999999998</v>
      </c>
      <c r="D13" s="13">
        <f t="shared" si="0"/>
        <v>31.05</v>
      </c>
      <c r="E13" s="13">
        <v>35.36</v>
      </c>
      <c r="F13" s="78">
        <f t="shared" si="1"/>
        <v>1.9557522123893807</v>
      </c>
      <c r="G13" s="15"/>
      <c r="H13" s="15"/>
      <c r="I13" s="15"/>
      <c r="J13" s="15"/>
      <c r="K13" s="78"/>
      <c r="L13" s="13"/>
      <c r="M13" s="13"/>
      <c r="N13" s="13">
        <f>L13</f>
        <v>0</v>
      </c>
      <c r="O13" s="13"/>
      <c r="P13" s="78"/>
      <c r="Q13" s="28"/>
      <c r="R13" s="28"/>
      <c r="S13" s="28"/>
      <c r="T13" s="28"/>
      <c r="U13" s="78"/>
    </row>
    <row r="14" spans="1:21" hidden="1">
      <c r="A14" s="8" t="s">
        <v>15</v>
      </c>
      <c r="B14" s="13">
        <f>(255.069+3.687)/2</f>
        <v>129.37799999999999</v>
      </c>
      <c r="C14" s="13">
        <v>32.71</v>
      </c>
      <c r="D14" s="13">
        <f t="shared" si="0"/>
        <v>129.37799999999999</v>
      </c>
      <c r="E14" s="13">
        <v>34.159999999999997</v>
      </c>
      <c r="F14" s="78">
        <f t="shared" si="1"/>
        <v>1.0443289513910119</v>
      </c>
      <c r="G14" s="15">
        <f>3.687/2</f>
        <v>1.8434999999999999</v>
      </c>
      <c r="H14" s="15">
        <v>21.57</v>
      </c>
      <c r="I14" s="15">
        <f>G14</f>
        <v>1.8434999999999999</v>
      </c>
      <c r="J14" s="15">
        <v>22.58</v>
      </c>
      <c r="K14" s="78">
        <f>(J14*I14)/(H14*G14)</f>
        <v>1.0468242929995364</v>
      </c>
      <c r="L14" s="13">
        <f>(184.8)/2</f>
        <v>92.4</v>
      </c>
      <c r="M14" s="13">
        <v>52.27</v>
      </c>
      <c r="N14" s="13">
        <f>L14</f>
        <v>92.4</v>
      </c>
      <c r="O14" s="13">
        <v>55.52</v>
      </c>
      <c r="P14" s="78">
        <f>(O14*N14)/(M14*L14)</f>
        <v>1.0621771570690646</v>
      </c>
      <c r="Q14" s="28">
        <v>0</v>
      </c>
      <c r="R14" s="28"/>
      <c r="S14" s="28">
        <f>Q14</f>
        <v>0</v>
      </c>
      <c r="T14" s="28"/>
      <c r="U14" s="78"/>
    </row>
    <row r="15" spans="1:21" hidden="1">
      <c r="A15" s="8" t="s">
        <v>53</v>
      </c>
      <c r="B15" s="13">
        <f>125.6/2</f>
        <v>62.8</v>
      </c>
      <c r="C15" s="13">
        <v>46.66</v>
      </c>
      <c r="D15" s="13">
        <f>B15</f>
        <v>62.8</v>
      </c>
      <c r="E15" s="13">
        <v>49.52</v>
      </c>
      <c r="F15" s="78">
        <f t="shared" si="1"/>
        <v>1.0612944706386629</v>
      </c>
      <c r="G15" s="13">
        <f>6.88/2</f>
        <v>3.44</v>
      </c>
      <c r="H15" s="13">
        <v>21.57</v>
      </c>
      <c r="I15" s="13">
        <f>G15</f>
        <v>3.44</v>
      </c>
      <c r="J15" s="13">
        <v>22.58</v>
      </c>
      <c r="K15" s="78">
        <f t="shared" ref="K15" si="5">(J15*I15)/(H15*G15)</f>
        <v>1.0468242929995362</v>
      </c>
      <c r="L15" s="13">
        <f>127.02/2</f>
        <v>63.51</v>
      </c>
      <c r="M15" s="13">
        <v>44.74</v>
      </c>
      <c r="N15" s="13">
        <f>L15</f>
        <v>63.51</v>
      </c>
      <c r="O15" s="13">
        <v>47.51</v>
      </c>
      <c r="P15" s="78">
        <f t="shared" ref="P15" si="6">(O15*N15)/(M15*L15)</f>
        <v>1.0619132767098791</v>
      </c>
      <c r="Q15" s="28">
        <f>6.88/2</f>
        <v>3.44</v>
      </c>
      <c r="R15" s="28">
        <v>19.760000000000002</v>
      </c>
      <c r="S15" s="28">
        <f>Q15</f>
        <v>3.44</v>
      </c>
      <c r="T15" s="28">
        <v>20.69</v>
      </c>
      <c r="U15" s="86">
        <f t="shared" ref="U15" si="7">T15/R15</f>
        <v>1.0470647773279351</v>
      </c>
    </row>
    <row r="16" spans="1:21" hidden="1">
      <c r="A16" s="8" t="s">
        <v>13</v>
      </c>
      <c r="B16" s="13">
        <f>37.58/2</f>
        <v>18.79</v>
      </c>
      <c r="C16" s="13">
        <v>52.5</v>
      </c>
      <c r="D16" s="13">
        <f t="shared" si="0"/>
        <v>18.79</v>
      </c>
      <c r="E16" s="13">
        <v>52.5</v>
      </c>
      <c r="F16" s="78">
        <f t="shared" si="1"/>
        <v>1</v>
      </c>
      <c r="G16" s="15"/>
      <c r="H16" s="15"/>
      <c r="I16" s="15"/>
      <c r="J16" s="15"/>
      <c r="K16" s="78"/>
      <c r="L16" s="13">
        <f>75.78/2</f>
        <v>37.89</v>
      </c>
      <c r="M16" s="13">
        <v>38.619999999999997</v>
      </c>
      <c r="N16" s="13">
        <f>L16</f>
        <v>37.89</v>
      </c>
      <c r="O16" s="13">
        <v>39.020000000000003</v>
      </c>
      <c r="P16" s="78">
        <f>(O16*N16)/(M16*L16)</f>
        <v>1.0103573278094253</v>
      </c>
      <c r="Q16" s="28"/>
      <c r="R16" s="28"/>
      <c r="S16" s="28"/>
      <c r="T16" s="28"/>
      <c r="U16" s="78"/>
    </row>
  </sheetData>
  <mergeCells count="15">
    <mergeCell ref="Q5:R5"/>
    <mergeCell ref="S5:T5"/>
    <mergeCell ref="A1:U1"/>
    <mergeCell ref="G5:H5"/>
    <mergeCell ref="I5:J5"/>
    <mergeCell ref="L5:M5"/>
    <mergeCell ref="N5:O5"/>
    <mergeCell ref="B3:K3"/>
    <mergeCell ref="L3:U3"/>
    <mergeCell ref="B4:F4"/>
    <mergeCell ref="G4:K4"/>
    <mergeCell ref="L4:P4"/>
    <mergeCell ref="Q4:U4"/>
    <mergeCell ref="B5:C5"/>
    <mergeCell ref="D5:E5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39"/>
  <sheetViews>
    <sheetView workbookViewId="0">
      <selection activeCell="J49" sqref="J49"/>
    </sheetView>
  </sheetViews>
  <sheetFormatPr defaultRowHeight="15"/>
  <cols>
    <col min="1" max="1" width="28" customWidth="1"/>
    <col min="2" max="2" width="10.5703125" hidden="1" customWidth="1"/>
    <col min="3" max="3" width="11.140625" customWidth="1"/>
    <col min="4" max="4" width="11.42578125" hidden="1" customWidth="1"/>
    <col min="5" max="5" width="10.42578125" customWidth="1"/>
    <col min="7" max="7" width="0" hidden="1" customWidth="1"/>
    <col min="8" max="8" width="10.5703125" customWidth="1"/>
    <col min="9" max="9" width="0" hidden="1" customWidth="1"/>
    <col min="10" max="10" width="10.7109375" customWidth="1"/>
    <col min="12" max="12" width="0" hidden="1" customWidth="1"/>
    <col min="13" max="13" width="12.7109375" customWidth="1"/>
    <col min="14" max="14" width="0" hidden="1" customWidth="1"/>
    <col min="15" max="15" width="11.42578125" customWidth="1"/>
    <col min="17" max="17" width="0" hidden="1" customWidth="1"/>
    <col min="18" max="18" width="11.28515625" customWidth="1"/>
    <col min="19" max="19" width="0" hidden="1" customWidth="1"/>
    <col min="20" max="20" width="11.7109375" customWidth="1"/>
  </cols>
  <sheetData>
    <row r="1" spans="1:21" ht="38.25" customHeight="1">
      <c r="A1" s="377" t="s">
        <v>260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</row>
    <row r="3" spans="1:21">
      <c r="A3" s="376"/>
      <c r="B3" s="374" t="s">
        <v>252</v>
      </c>
      <c r="C3" s="374"/>
      <c r="D3" s="374"/>
      <c r="E3" s="374"/>
      <c r="F3" s="374"/>
      <c r="G3" s="374"/>
      <c r="H3" s="374"/>
      <c r="I3" s="374"/>
      <c r="J3" s="374"/>
      <c r="K3" s="374"/>
      <c r="L3" s="374" t="s">
        <v>253</v>
      </c>
      <c r="M3" s="374"/>
      <c r="N3" s="374"/>
      <c r="O3" s="374"/>
      <c r="P3" s="374"/>
      <c r="Q3" s="374"/>
      <c r="R3" s="374"/>
      <c r="S3" s="374"/>
      <c r="T3" s="374"/>
      <c r="U3" s="374"/>
    </row>
    <row r="4" spans="1:21">
      <c r="A4" s="376"/>
      <c r="B4" s="374" t="s">
        <v>2</v>
      </c>
      <c r="C4" s="374"/>
      <c r="D4" s="374"/>
      <c r="E4" s="374"/>
      <c r="F4" s="374"/>
      <c r="G4" s="374" t="s">
        <v>3</v>
      </c>
      <c r="H4" s="374"/>
      <c r="I4" s="374"/>
      <c r="J4" s="374"/>
      <c r="K4" s="374"/>
      <c r="L4" s="374" t="s">
        <v>2</v>
      </c>
      <c r="M4" s="374"/>
      <c r="N4" s="374"/>
      <c r="O4" s="374"/>
      <c r="P4" s="374"/>
      <c r="Q4" s="374" t="s">
        <v>3</v>
      </c>
      <c r="R4" s="374"/>
      <c r="S4" s="374"/>
      <c r="T4" s="374"/>
      <c r="U4" s="374"/>
    </row>
    <row r="5" spans="1:21" ht="15" customHeight="1">
      <c r="A5" s="376"/>
      <c r="B5" s="372" t="s">
        <v>255</v>
      </c>
      <c r="C5" s="373"/>
      <c r="D5" s="372" t="s">
        <v>257</v>
      </c>
      <c r="E5" s="373"/>
      <c r="F5" s="370" t="s">
        <v>259</v>
      </c>
      <c r="G5" s="372" t="s">
        <v>255</v>
      </c>
      <c r="H5" s="373"/>
      <c r="I5" s="374" t="s">
        <v>257</v>
      </c>
      <c r="J5" s="374"/>
      <c r="K5" s="370" t="s">
        <v>259</v>
      </c>
      <c r="L5" s="372" t="s">
        <v>255</v>
      </c>
      <c r="M5" s="373"/>
      <c r="N5" s="372" t="s">
        <v>257</v>
      </c>
      <c r="O5" s="373"/>
      <c r="P5" s="370" t="s">
        <v>259</v>
      </c>
      <c r="Q5" s="372" t="s">
        <v>255</v>
      </c>
      <c r="R5" s="373"/>
      <c r="S5" s="374" t="s">
        <v>257</v>
      </c>
      <c r="T5" s="374"/>
      <c r="U5" s="370" t="s">
        <v>259</v>
      </c>
    </row>
    <row r="6" spans="1:21" ht="25.5" hidden="1" customHeight="1">
      <c r="A6" s="376"/>
      <c r="B6" s="72" t="s">
        <v>6</v>
      </c>
      <c r="C6" s="72" t="s">
        <v>7</v>
      </c>
      <c r="D6" s="72" t="s">
        <v>6</v>
      </c>
      <c r="E6" s="72" t="s">
        <v>7</v>
      </c>
      <c r="F6" s="371"/>
      <c r="G6" s="72" t="s">
        <v>8</v>
      </c>
      <c r="H6" s="72" t="s">
        <v>7</v>
      </c>
      <c r="I6" s="72" t="s">
        <v>8</v>
      </c>
      <c r="J6" s="72" t="s">
        <v>7</v>
      </c>
      <c r="K6" s="371"/>
      <c r="L6" s="72" t="s">
        <v>6</v>
      </c>
      <c r="M6" s="72" t="s">
        <v>7</v>
      </c>
      <c r="N6" s="72" t="s">
        <v>6</v>
      </c>
      <c r="O6" s="72" t="s">
        <v>7</v>
      </c>
      <c r="P6" s="371"/>
      <c r="Q6" s="72" t="s">
        <v>8</v>
      </c>
      <c r="R6" s="72" t="s">
        <v>7</v>
      </c>
      <c r="S6" s="72" t="s">
        <v>8</v>
      </c>
      <c r="T6" s="72" t="s">
        <v>7</v>
      </c>
      <c r="U6" s="371"/>
    </row>
    <row r="7" spans="1:21" hidden="1">
      <c r="A7" s="124" t="s">
        <v>193</v>
      </c>
      <c r="B7" s="73">
        <f>B8+B18+B24+B28+B32+B40+B45+B54+B60+B62+B65+B73+B87+B98+B111+B118+B123+B125+B147+B152+B158+B169+B176+B189+B201</f>
        <v>29950.388999999996</v>
      </c>
      <c r="C7" s="74">
        <f>(B8*C8+B18*C18+B24*C24+B28*C28+B32*C32+B40*C40+B45+C45+B54*C54+B60*C60+B62*C62+B65*C65+B73*C73+B87*C87+B98*C98+B111*C111+B118*C118+B123*C123+B125*C125+B147*C147+B152*C152+B158*C158+B169*C169+B176*C176+B189*C189+B201*C201)/B7</f>
        <v>25.589658129649006</v>
      </c>
      <c r="D7" s="73">
        <f>D8+D18+D24+D28+D32+D40+D45+D54+D60+D62+D65+D73+D87+D98+D111+D118+D123+D125+D147+D152+D158+D169+D176+D189+D201</f>
        <v>29950.388999999996</v>
      </c>
      <c r="E7" s="74">
        <f>(D8*E8+D18*E18+D24*E24+D28*E28+D32*E32+D40*E40+D45+E45+D54*E54+D60*E60+D62*E62+D65*E65+D73*E73+D87*E87+D98*E98+D111*E111+D118*E118+D123*E123+D125*E125+D147*E147+D152*E152+D158*E158+D169*E169+D176*E176+D189*E189+D201*E201)/D7</f>
        <v>27.133911162556188</v>
      </c>
      <c r="F7" s="75">
        <f>E7/C7</f>
        <v>1.0603467629416261</v>
      </c>
      <c r="G7" s="73">
        <f>G8+G18+G24+G28+G32+G40+G45+G54+G60+G62+G65+G73+G87+G98+G111+G118+G123+G125+G147+G152+G158+G169+G176+G189+G201</f>
        <v>14166.818500000001</v>
      </c>
      <c r="H7" s="74">
        <f>(G8*H8+G18*H18+G24*H24+G28*H28+G32*H32+G40*H40+G45+H45+G54*H54+G60*H60+G62*H62+G65*H65+G73*H73+G87*H87+G98*H98+G111*H111+G118*H118+G123*H123+G125*H125+G147*H147+G152*H152+G158*H158+G169*H169+G176*H176+G189*H189+G201*H201)/G7</f>
        <v>21.997803652598499</v>
      </c>
      <c r="I7" s="73">
        <f>I8+I18+I24+I28+I32+I40+I45+I54+I60+I62+I65+I73+I87+I98+I111+I118+I123+I125+I147+I152+I158+I169+I176+I189+I201</f>
        <v>14166.818500000001</v>
      </c>
      <c r="J7" s="74">
        <f>(I8*J8+I18*J18+I24*J24+I28*J28+I32*J32+I40*J40+I45+J45+I54*J54+I60*J60+I62*J62+I65*J65+I73*J73+I87*J87+I98*J98+I111*J111+I118*J118+I123*J123+I125*J125+I147*J147+I152*J152+I158*J158+I169*J169+I176*J176+I189*J189+I201*J201)/I7</f>
        <v>23.115556910678283</v>
      </c>
      <c r="K7" s="75">
        <f>J7/H7</f>
        <v>1.0508120390440774</v>
      </c>
      <c r="L7" s="73">
        <f>L8+L18+L24+L28+L32+L40+L45+L54+L60+L62+L65+L73+L87+L98+L111+L118+L123+L125+L147+L152+L158+L169+L176+L189+L201</f>
        <v>27760.675000000003</v>
      </c>
      <c r="M7" s="74">
        <f>(L8*M8+L18*M18+L24*M24+L28*M28+L32*M32+L40*M40+L45+M45+L54*M54+L60*M60+L62*M62+L65*M65+L73*M73+L87*M87+L98*M98+L111*M111+L118*M118+L123*M123+L125*M125+L147*M147+L152*M152+L158*M158+L169*M169+L176*M176+L189*M189+L201*M201)/L7</f>
        <v>22.480153444395715</v>
      </c>
      <c r="N7" s="73">
        <f>N8+N18+N24+N28+N32+N40+N45+N54+N60+N62+N65+N73+N87+N98+N111+N118+N123+N125+N147+N152+N158+N169+N176+N189+N201</f>
        <v>27760.675000000003</v>
      </c>
      <c r="O7" s="74">
        <f>(N8*O8+N18*O18+N24*O24+N28*O28+N32*O32+N40*O40+N45+O45+N54*O54+N60*O60+N62*O62+N65*O65+N73*O73+N87*O87+N98*O98+N111*O111+N118*O118+N123*O123+N125*O125+N147*O147+N152*O152+N158*O158+N169*O169+N176*O176+N189*O189+N201*O201)/N7</f>
        <v>25.049844917855921</v>
      </c>
      <c r="P7" s="75">
        <f>O7/M7</f>
        <v>1.1143093386713883</v>
      </c>
      <c r="Q7" s="73">
        <f>Q8+Q18+Q24+Q28+Q32+Q40+Q45+Q54+Q60+Q62+Q65+Q73+Q87+Q98+Q111+Q118+Q123+Q125+Q147+Q152+Q158+Q169+Q176+Q189+Q201</f>
        <v>16716.246500000001</v>
      </c>
      <c r="R7" s="74">
        <f>(Q8*R8+Q18*R18+Q24*R24+Q28*R28+Q32*R32+Q40*R40+Q45+R45+Q54*R54+Q60*R60+Q62*R62+Q65*R65+Q73*R73+Q87*R87+Q98*R98+Q111*R111+Q118*R118+Q123*R123+Q125*R125+Q147*R147+Q152*R152+Q158*R158+Q169*R169+Q176*R176+Q189*R189+Q201*R201)/Q7</f>
        <v>19.78713840275088</v>
      </c>
      <c r="S7" s="73">
        <f>S8+S18+S24+S28+S32+S40+S45+S54+S60+S62+S65+S73+S87+S98+S111+S118+S123+S125+S147+S152+S158+S169+S176+S189+S201</f>
        <v>16716.246500000001</v>
      </c>
      <c r="T7" s="74">
        <f>(S8*T8+S18*T18+S24*T24+S28*T28+S32*T32+S40*T40+S45+T45+S54*T54+S60*T60+S62*T62+S65*T65+S73*T73+S87*T87+S98*T98+S111*T111+S118*T118+S123*T123+S125*T125+S147*T147+S152*T152+S158*T158+S169*T169+S176*T176+S189*T189+S201*T201)/S7</f>
        <v>20.981400232402653</v>
      </c>
      <c r="U7" s="75">
        <f>T7/R7</f>
        <v>1.0603554594577325</v>
      </c>
    </row>
    <row r="8" spans="1:21" hidden="1">
      <c r="A8" s="125" t="s">
        <v>10</v>
      </c>
      <c r="B8" s="126">
        <f>SUM(B9:B17)</f>
        <v>10847.223</v>
      </c>
      <c r="C8" s="126">
        <f>SUMPRODUCT(B9:B17,C9:C17)/B8</f>
        <v>30.85451204239094</v>
      </c>
      <c r="D8" s="126">
        <f>SUM(D9:D17)</f>
        <v>10847.223</v>
      </c>
      <c r="E8" s="126">
        <f>SUMPRODUCT(D9:D17,E9:E17)/D8</f>
        <v>32.957985309235369</v>
      </c>
      <c r="F8" s="75">
        <f>E8/C8</f>
        <v>1.0681739274941204</v>
      </c>
      <c r="G8" s="126">
        <f>SUM(G9:G17)</f>
        <v>8501.6435000000019</v>
      </c>
      <c r="H8" s="126">
        <f>SUMPRODUCT(G9:G17,H9:H17)/G8</f>
        <v>21.569999999999993</v>
      </c>
      <c r="I8" s="126">
        <f>SUM(I9:I17)</f>
        <v>8501.6435000000019</v>
      </c>
      <c r="J8" s="126">
        <f>SUMPRODUCT(I9:I17,J9:J17)/I8</f>
        <v>22.579999999999991</v>
      </c>
      <c r="K8" s="75">
        <f>J8/H8</f>
        <v>1.0468242929995364</v>
      </c>
      <c r="L8" s="126">
        <f>SUM(L9:L17)</f>
        <v>12070.099999999999</v>
      </c>
      <c r="M8" s="126">
        <f>SUMPRODUCT(L9:L17,M9:M17)/L8</f>
        <v>24.118118872254584</v>
      </c>
      <c r="N8" s="126">
        <f>SUM(N9:N17)</f>
        <v>12070.099999999999</v>
      </c>
      <c r="O8" s="126">
        <f>SUMPRODUCT(N9:N17,O9:O17)/N8</f>
        <v>28.350053860365694</v>
      </c>
      <c r="P8" s="75">
        <f>O8/M8</f>
        <v>1.1754670424557661</v>
      </c>
      <c r="Q8" s="126">
        <f>SUM(Q9:Q17)</f>
        <v>8150.375</v>
      </c>
      <c r="R8" s="126">
        <f>SUMPRODUCT(Q9:Q17,R9:R17)/Q8</f>
        <v>19.760000000000002</v>
      </c>
      <c r="S8" s="126">
        <f>SUM(S9:S17)</f>
        <v>8150.375</v>
      </c>
      <c r="T8" s="126">
        <f>SUMPRODUCT(S9:S17,T9:T17)/S8</f>
        <v>20.690000000000005</v>
      </c>
      <c r="U8" s="75">
        <f>T8/R8</f>
        <v>1.0470647773279353</v>
      </c>
    </row>
    <row r="9" spans="1:21" ht="30" hidden="1">
      <c r="A9" s="127" t="s">
        <v>29</v>
      </c>
      <c r="B9" s="128">
        <f>18691.5/2</f>
        <v>9345.75</v>
      </c>
      <c r="C9" s="128">
        <v>23.89</v>
      </c>
      <c r="D9" s="128">
        <f t="shared" ref="D9:D17" si="0">B9</f>
        <v>9345.75</v>
      </c>
      <c r="E9" s="128">
        <v>25.3</v>
      </c>
      <c r="F9" s="129">
        <f t="shared" ref="F9:F17" si="1">(E9*D9)/(C9*B9)</f>
        <v>1.0590205106739221</v>
      </c>
      <c r="G9" s="130">
        <f>14951/2</f>
        <v>7475.5</v>
      </c>
      <c r="H9" s="130">
        <v>21.57</v>
      </c>
      <c r="I9" s="130">
        <f>G9</f>
        <v>7475.5</v>
      </c>
      <c r="J9" s="130">
        <v>22.58</v>
      </c>
      <c r="K9" s="129">
        <f>(J9*I9)/(H9*G9)</f>
        <v>1.0468242929995362</v>
      </c>
      <c r="L9" s="128">
        <f>21018.87/2</f>
        <v>10509.434999999999</v>
      </c>
      <c r="M9" s="128">
        <v>19.760000000000002</v>
      </c>
      <c r="N9" s="128">
        <f>L9</f>
        <v>10509.434999999999</v>
      </c>
      <c r="O9" s="128">
        <v>22.88</v>
      </c>
      <c r="P9" s="129">
        <f>(O9*N9)/(M9*L9)</f>
        <v>1.1578947368421051</v>
      </c>
      <c r="Q9" s="128">
        <f>14381.5/2</f>
        <v>7190.75</v>
      </c>
      <c r="R9" s="128">
        <v>19.760000000000002</v>
      </c>
      <c r="S9" s="128">
        <f>Q9</f>
        <v>7190.75</v>
      </c>
      <c r="T9" s="128">
        <v>20.69</v>
      </c>
      <c r="U9" s="129">
        <f>(T9*S9)/(R9*Q9)</f>
        <v>1.0470647773279353</v>
      </c>
    </row>
    <row r="10" spans="1:21" ht="30" hidden="1">
      <c r="A10" s="127" t="s">
        <v>30</v>
      </c>
      <c r="B10" s="128">
        <f>7.79/2</f>
        <v>3.895</v>
      </c>
      <c r="C10" s="128">
        <v>9.7200000000000006</v>
      </c>
      <c r="D10" s="128">
        <f t="shared" si="0"/>
        <v>3.895</v>
      </c>
      <c r="E10" s="128">
        <v>10.199999999999999</v>
      </c>
      <c r="F10" s="129">
        <f t="shared" si="1"/>
        <v>1.0493827160493827</v>
      </c>
      <c r="G10" s="130"/>
      <c r="H10" s="130"/>
      <c r="I10" s="130"/>
      <c r="J10" s="130"/>
      <c r="K10" s="129"/>
      <c r="L10" s="128"/>
      <c r="M10" s="128"/>
      <c r="N10" s="128"/>
      <c r="O10" s="128"/>
      <c r="P10" s="129"/>
      <c r="Q10" s="128"/>
      <c r="R10" s="128"/>
      <c r="S10" s="128"/>
      <c r="T10" s="128"/>
      <c r="U10" s="129"/>
    </row>
    <row r="11" spans="1:21" ht="30" hidden="1">
      <c r="A11" s="127" t="s">
        <v>27</v>
      </c>
      <c r="B11" s="128">
        <f>1117.41/2</f>
        <v>558.70500000000004</v>
      </c>
      <c r="C11" s="128">
        <v>135.32</v>
      </c>
      <c r="D11" s="128">
        <f t="shared" si="0"/>
        <v>558.70500000000004</v>
      </c>
      <c r="E11" s="128">
        <v>148.69</v>
      </c>
      <c r="F11" s="129">
        <f t="shared" si="1"/>
        <v>1.0988028377180019</v>
      </c>
      <c r="G11" s="130">
        <f>847.45/2</f>
        <v>423.72500000000002</v>
      </c>
      <c r="H11" s="130">
        <v>21.57</v>
      </c>
      <c r="I11" s="130">
        <f>G11</f>
        <v>423.72500000000002</v>
      </c>
      <c r="J11" s="130">
        <v>22.58</v>
      </c>
      <c r="K11" s="129">
        <f t="shared" ref="K11:K13" si="2">(J11*I11)/(H11*G11)</f>
        <v>1.0468242929995362</v>
      </c>
      <c r="L11" s="128">
        <f>906/2</f>
        <v>453</v>
      </c>
      <c r="M11" s="128">
        <v>111.34</v>
      </c>
      <c r="N11" s="128">
        <f>L11</f>
        <v>453</v>
      </c>
      <c r="O11" s="128">
        <v>148.13</v>
      </c>
      <c r="P11" s="129">
        <f t="shared" ref="P11" si="3">(O11*N11)/(M11*L11)</f>
        <v>1.3304293156098437</v>
      </c>
      <c r="Q11" s="128">
        <f>718.1/2</f>
        <v>359.05</v>
      </c>
      <c r="R11" s="128">
        <v>19.760000000000002</v>
      </c>
      <c r="S11" s="128">
        <f>Q11</f>
        <v>359.05</v>
      </c>
      <c r="T11" s="128">
        <v>20.69</v>
      </c>
      <c r="U11" s="129">
        <f t="shared" ref="U11:U13" si="4">(T11*S11)/(R11*Q11)</f>
        <v>1.0470647773279353</v>
      </c>
    </row>
    <row r="12" spans="1:21" ht="30" hidden="1">
      <c r="A12" s="127" t="s">
        <v>28</v>
      </c>
      <c r="B12" s="128">
        <f>5.8/2</f>
        <v>2.9</v>
      </c>
      <c r="C12" s="128">
        <v>57.32</v>
      </c>
      <c r="D12" s="128">
        <f t="shared" si="0"/>
        <v>2.9</v>
      </c>
      <c r="E12" s="128">
        <v>60</v>
      </c>
      <c r="F12" s="129">
        <f t="shared" si="1"/>
        <v>1.0467550593161199</v>
      </c>
      <c r="G12" s="130"/>
      <c r="H12" s="130"/>
      <c r="I12" s="130"/>
      <c r="J12" s="130"/>
      <c r="K12" s="129"/>
      <c r="L12" s="128"/>
      <c r="M12" s="128"/>
      <c r="N12" s="128"/>
      <c r="O12" s="128"/>
      <c r="P12" s="129"/>
      <c r="Q12" s="128"/>
      <c r="R12" s="128"/>
      <c r="S12" s="128"/>
      <c r="T12" s="128"/>
      <c r="U12" s="129"/>
    </row>
    <row r="13" spans="1:21" hidden="1">
      <c r="A13" s="131" t="s">
        <v>11</v>
      </c>
      <c r="B13" s="128">
        <f>1387.91/2</f>
        <v>693.95500000000004</v>
      </c>
      <c r="C13" s="128">
        <v>38.76</v>
      </c>
      <c r="D13" s="128">
        <f t="shared" si="0"/>
        <v>693.95500000000004</v>
      </c>
      <c r="E13" s="128">
        <v>40.57</v>
      </c>
      <c r="F13" s="129">
        <f t="shared" si="1"/>
        <v>1.0466976264189887</v>
      </c>
      <c r="G13" s="132">
        <f>1194.27/2</f>
        <v>597.13499999999999</v>
      </c>
      <c r="H13" s="132">
        <v>21.57</v>
      </c>
      <c r="I13" s="130">
        <f>G13</f>
        <v>597.13499999999999</v>
      </c>
      <c r="J13" s="132">
        <v>22.58</v>
      </c>
      <c r="K13" s="129">
        <f t="shared" si="2"/>
        <v>1.0468242929995362</v>
      </c>
      <c r="L13" s="128">
        <f>1827.73/2</f>
        <v>913.86500000000001</v>
      </c>
      <c r="M13" s="128">
        <v>26.12</v>
      </c>
      <c r="N13" s="128">
        <f>L13</f>
        <v>913.86500000000001</v>
      </c>
      <c r="O13" s="128">
        <v>27.36</v>
      </c>
      <c r="P13" s="129">
        <f>(O13*N13)/(M13*L13)</f>
        <v>1.0474732006125573</v>
      </c>
      <c r="Q13" s="128">
        <f>1194.27/2</f>
        <v>597.13499999999999</v>
      </c>
      <c r="R13" s="128">
        <v>19.760000000000002</v>
      </c>
      <c r="S13" s="128">
        <f>Q13</f>
        <v>597.13499999999999</v>
      </c>
      <c r="T13" s="128">
        <v>20.69</v>
      </c>
      <c r="U13" s="129">
        <f t="shared" si="4"/>
        <v>1.0470647773279351</v>
      </c>
    </row>
    <row r="14" spans="1:21" hidden="1">
      <c r="A14" s="131" t="s">
        <v>12</v>
      </c>
      <c r="B14" s="128">
        <f>62.1/2</f>
        <v>31.05</v>
      </c>
      <c r="C14" s="128">
        <v>18.079999999999998</v>
      </c>
      <c r="D14" s="128">
        <f t="shared" si="0"/>
        <v>31.05</v>
      </c>
      <c r="E14" s="128">
        <v>35.36</v>
      </c>
      <c r="F14" s="129">
        <f t="shared" si="1"/>
        <v>1.9557522123893807</v>
      </c>
      <c r="G14" s="130"/>
      <c r="H14" s="130"/>
      <c r="I14" s="130"/>
      <c r="J14" s="130"/>
      <c r="K14" s="129"/>
      <c r="L14" s="128"/>
      <c r="M14" s="128"/>
      <c r="N14" s="128">
        <f>L14</f>
        <v>0</v>
      </c>
      <c r="O14" s="128"/>
      <c r="P14" s="129"/>
      <c r="Q14" s="70"/>
      <c r="R14" s="70"/>
      <c r="S14" s="70"/>
      <c r="T14" s="70"/>
      <c r="U14" s="129"/>
    </row>
    <row r="15" spans="1:21" hidden="1">
      <c r="A15" s="131" t="s">
        <v>15</v>
      </c>
      <c r="B15" s="128">
        <f>(255.069+3.687)/2</f>
        <v>129.37799999999999</v>
      </c>
      <c r="C15" s="128">
        <v>32.71</v>
      </c>
      <c r="D15" s="128">
        <f t="shared" si="0"/>
        <v>129.37799999999999</v>
      </c>
      <c r="E15" s="128">
        <v>34.159999999999997</v>
      </c>
      <c r="F15" s="129">
        <f t="shared" si="1"/>
        <v>1.0443289513910119</v>
      </c>
      <c r="G15" s="130">
        <f>3.687/2</f>
        <v>1.8434999999999999</v>
      </c>
      <c r="H15" s="130">
        <v>21.57</v>
      </c>
      <c r="I15" s="130">
        <f>G15</f>
        <v>1.8434999999999999</v>
      </c>
      <c r="J15" s="130">
        <v>22.58</v>
      </c>
      <c r="K15" s="129">
        <f>(J15*I15)/(H15*G15)</f>
        <v>1.0468242929995364</v>
      </c>
      <c r="L15" s="128">
        <f>(184.8)/2</f>
        <v>92.4</v>
      </c>
      <c r="M15" s="128">
        <v>52.27</v>
      </c>
      <c r="N15" s="128">
        <f>L15</f>
        <v>92.4</v>
      </c>
      <c r="O15" s="128">
        <v>55.52</v>
      </c>
      <c r="P15" s="129">
        <f>(O15*N15)/(M15*L15)</f>
        <v>1.0621771570690646</v>
      </c>
      <c r="Q15" s="70">
        <v>0</v>
      </c>
      <c r="R15" s="70"/>
      <c r="S15" s="70">
        <f>Q15</f>
        <v>0</v>
      </c>
      <c r="T15" s="70"/>
      <c r="U15" s="129"/>
    </row>
    <row r="16" spans="1:21" hidden="1">
      <c r="A16" s="131" t="s">
        <v>53</v>
      </c>
      <c r="B16" s="128">
        <f>125.6/2</f>
        <v>62.8</v>
      </c>
      <c r="C16" s="128">
        <v>46.66</v>
      </c>
      <c r="D16" s="128">
        <f>B16</f>
        <v>62.8</v>
      </c>
      <c r="E16" s="128">
        <v>49.52</v>
      </c>
      <c r="F16" s="129">
        <f t="shared" si="1"/>
        <v>1.0612944706386629</v>
      </c>
      <c r="G16" s="128">
        <f>6.88/2</f>
        <v>3.44</v>
      </c>
      <c r="H16" s="128">
        <v>21.57</v>
      </c>
      <c r="I16" s="128">
        <f>G16</f>
        <v>3.44</v>
      </c>
      <c r="J16" s="128">
        <v>22.58</v>
      </c>
      <c r="K16" s="129">
        <f t="shared" ref="K16" si="5">(J16*I16)/(H16*G16)</f>
        <v>1.0468242929995362</v>
      </c>
      <c r="L16" s="128">
        <f>127.02/2</f>
        <v>63.51</v>
      </c>
      <c r="M16" s="128">
        <v>44.74</v>
      </c>
      <c r="N16" s="128">
        <f>L16</f>
        <v>63.51</v>
      </c>
      <c r="O16" s="128">
        <v>47.51</v>
      </c>
      <c r="P16" s="129">
        <f t="shared" ref="P16" si="6">(O16*N16)/(M16*L16)</f>
        <v>1.0619132767098791</v>
      </c>
      <c r="Q16" s="70">
        <f>6.88/2</f>
        <v>3.44</v>
      </c>
      <c r="R16" s="70">
        <v>19.760000000000002</v>
      </c>
      <c r="S16" s="70">
        <f>Q16</f>
        <v>3.44</v>
      </c>
      <c r="T16" s="70">
        <v>20.69</v>
      </c>
      <c r="U16" s="133">
        <f t="shared" ref="U16" si="7">T16/R16</f>
        <v>1.0470647773279351</v>
      </c>
    </row>
    <row r="17" spans="1:21" hidden="1">
      <c r="A17" s="131" t="s">
        <v>13</v>
      </c>
      <c r="B17" s="128">
        <f>37.58/2</f>
        <v>18.79</v>
      </c>
      <c r="C17" s="128">
        <v>52.5</v>
      </c>
      <c r="D17" s="128">
        <f t="shared" si="0"/>
        <v>18.79</v>
      </c>
      <c r="E17" s="128">
        <v>52.5</v>
      </c>
      <c r="F17" s="129">
        <f t="shared" si="1"/>
        <v>1</v>
      </c>
      <c r="G17" s="130"/>
      <c r="H17" s="130"/>
      <c r="I17" s="130"/>
      <c r="J17" s="130"/>
      <c r="K17" s="129"/>
      <c r="L17" s="128">
        <f>75.78/2</f>
        <v>37.89</v>
      </c>
      <c r="M17" s="128">
        <v>38.619999999999997</v>
      </c>
      <c r="N17" s="128">
        <f>L17</f>
        <v>37.89</v>
      </c>
      <c r="O17" s="128">
        <v>39.020000000000003</v>
      </c>
      <c r="P17" s="129">
        <f>(O17*N17)/(M17*L17)</f>
        <v>1.0103573278094253</v>
      </c>
      <c r="Q17" s="70"/>
      <c r="R17" s="70"/>
      <c r="S17" s="70"/>
      <c r="T17" s="70"/>
      <c r="U17" s="129"/>
    </row>
    <row r="18" spans="1:21" hidden="1">
      <c r="A18" s="134" t="s">
        <v>31</v>
      </c>
      <c r="B18" s="126">
        <f>SUM(B19:B23)</f>
        <v>1061.7099999999996</v>
      </c>
      <c r="C18" s="126">
        <f>SUMPRODUCT(B19:B23,C19:C23)/B18</f>
        <v>26.329244238068789</v>
      </c>
      <c r="D18" s="126">
        <f>SUM(D19:D23)</f>
        <v>1061.7099999999996</v>
      </c>
      <c r="E18" s="126">
        <f>SUMPRODUCT(D19:D23,E19:E23)/D18</f>
        <v>29.055365448192081</v>
      </c>
      <c r="F18" s="75">
        <f>E18/C18</f>
        <v>1.1035396681148053</v>
      </c>
      <c r="G18" s="126">
        <f>SUM(G19:G23)</f>
        <v>732.98</v>
      </c>
      <c r="H18" s="126">
        <f>SUMPRODUCT(G19:G23,H19:H23)/G18</f>
        <v>31.77</v>
      </c>
      <c r="I18" s="126">
        <f>SUM(I19:I23)</f>
        <v>732.98</v>
      </c>
      <c r="J18" s="126">
        <f>SUMPRODUCT(I19:I23,J19:J23)/I18</f>
        <v>35.03</v>
      </c>
      <c r="K18" s="75">
        <f>J18/H18</f>
        <v>1.102612527541706</v>
      </c>
      <c r="L18" s="126">
        <f>SUM(L19:L23)</f>
        <v>1684.7000000000003</v>
      </c>
      <c r="M18" s="126">
        <f>SUMPRODUCT(L19:L23,M19:M23)/L18</f>
        <v>13.503225381373538</v>
      </c>
      <c r="N18" s="126">
        <f>SUM(N19:N23)</f>
        <v>1684.7000000000003</v>
      </c>
      <c r="O18" s="126">
        <f>SUMPRODUCT(N19:N23,O19:O23)/N18</f>
        <v>15.252882293583429</v>
      </c>
      <c r="P18" s="75">
        <f>O18/M18</f>
        <v>1.1295732584470806</v>
      </c>
      <c r="Q18" s="126">
        <f>SUM(Q19:Q23)</f>
        <v>1106.665</v>
      </c>
      <c r="R18" s="126">
        <f>SUMPRODUCT(Q19:Q23,R19:R23)/Q18</f>
        <v>15.02</v>
      </c>
      <c r="S18" s="126">
        <f>SUM(S19:S23)</f>
        <v>1106.665</v>
      </c>
      <c r="T18" s="126">
        <f>SUMPRODUCT(S19:S23,T19:T23)/S18</f>
        <v>17.010000000000002</v>
      </c>
      <c r="U18" s="75">
        <f>T18/R18</f>
        <v>1.1324900133155793</v>
      </c>
    </row>
    <row r="19" spans="1:21" hidden="1">
      <c r="A19" s="131" t="s">
        <v>32</v>
      </c>
      <c r="B19" s="128">
        <f>1.5/2</f>
        <v>0.75</v>
      </c>
      <c r="C19" s="128">
        <v>17.579999999999998</v>
      </c>
      <c r="D19" s="128">
        <f>B19</f>
        <v>0.75</v>
      </c>
      <c r="E19" s="128">
        <v>18.09</v>
      </c>
      <c r="F19" s="129">
        <f>(E19*D19)/(C19*B19)</f>
        <v>1.0290102389078499</v>
      </c>
      <c r="G19" s="128"/>
      <c r="H19" s="128"/>
      <c r="I19" s="128"/>
      <c r="J19" s="128"/>
      <c r="K19" s="129"/>
      <c r="L19" s="128">
        <f>5285.17/2-3028.63/2-2147.25/2</f>
        <v>54.644999999999982</v>
      </c>
      <c r="M19" s="128">
        <v>7.52</v>
      </c>
      <c r="N19" s="128">
        <f>L19</f>
        <v>54.644999999999982</v>
      </c>
      <c r="O19" s="128">
        <v>7.77</v>
      </c>
      <c r="P19" s="129">
        <f>(O19*N19)/(M19*L19)</f>
        <v>1.0332446808510638</v>
      </c>
      <c r="Q19" s="128"/>
      <c r="R19" s="128"/>
      <c r="S19" s="128"/>
      <c r="T19" s="128"/>
      <c r="U19" s="135"/>
    </row>
    <row r="20" spans="1:21" hidden="1">
      <c r="A20" s="131" t="s">
        <v>33</v>
      </c>
      <c r="B20" s="128">
        <f>2194.46/2-31.2/2-2113.85/2</f>
        <v>24.705000000000155</v>
      </c>
      <c r="C20" s="128">
        <v>8.32</v>
      </c>
      <c r="D20" s="128">
        <f>B20</f>
        <v>24.705000000000155</v>
      </c>
      <c r="E20" s="128">
        <v>9.77</v>
      </c>
      <c r="F20" s="129">
        <f>(E20*D20)/(C20*B20)</f>
        <v>1.1742788461538463</v>
      </c>
      <c r="G20" s="128"/>
      <c r="H20" s="128"/>
      <c r="I20" s="128"/>
      <c r="J20" s="128"/>
      <c r="K20" s="129"/>
      <c r="L20" s="128">
        <f>183.61/2</f>
        <v>91.805000000000007</v>
      </c>
      <c r="M20" s="128">
        <v>1.26</v>
      </c>
      <c r="N20" s="128">
        <f>L20</f>
        <v>91.805000000000007</v>
      </c>
      <c r="O20" s="128">
        <v>1.33</v>
      </c>
      <c r="P20" s="129">
        <f>(O20*N20)/(M20*L20)</f>
        <v>1.0555555555555556</v>
      </c>
      <c r="Q20" s="128"/>
      <c r="R20" s="128"/>
      <c r="S20" s="128"/>
      <c r="T20" s="128"/>
      <c r="U20" s="135"/>
    </row>
    <row r="21" spans="1:21" hidden="1">
      <c r="A21" s="131" t="s">
        <v>34</v>
      </c>
      <c r="B21" s="128">
        <f>38081.57/2-37759/2</f>
        <v>161.28499999999985</v>
      </c>
      <c r="C21" s="128">
        <v>1.44</v>
      </c>
      <c r="D21" s="128">
        <f>B21</f>
        <v>161.28499999999985</v>
      </c>
      <c r="E21" s="128">
        <v>1.66</v>
      </c>
      <c r="F21" s="129">
        <f>(E21*D21)/(C21*B21)</f>
        <v>1.1527777777777777</v>
      </c>
      <c r="G21" s="128"/>
      <c r="H21" s="128"/>
      <c r="I21" s="128"/>
      <c r="J21" s="128"/>
      <c r="K21" s="129"/>
      <c r="L21" s="128">
        <f>188.11/2</f>
        <v>94.055000000000007</v>
      </c>
      <c r="M21" s="128">
        <v>5.64</v>
      </c>
      <c r="N21" s="128">
        <f>L21</f>
        <v>94.055000000000007</v>
      </c>
      <c r="O21" s="128">
        <v>6.21</v>
      </c>
      <c r="P21" s="129">
        <f>(O21*N21)/(M21*L21)</f>
        <v>1.1010638297872342</v>
      </c>
      <c r="Q21" s="128"/>
      <c r="R21" s="128"/>
      <c r="S21" s="128"/>
      <c r="T21" s="128"/>
      <c r="U21" s="135"/>
    </row>
    <row r="22" spans="1:21" hidden="1">
      <c r="A22" s="131" t="s">
        <v>35</v>
      </c>
      <c r="B22" s="128">
        <f>31590.53/2-31570.23/2</f>
        <v>10.149999999999636</v>
      </c>
      <c r="C22" s="128">
        <v>2.73</v>
      </c>
      <c r="D22" s="128">
        <f>B22</f>
        <v>10.149999999999636</v>
      </c>
      <c r="E22" s="128">
        <v>3.06</v>
      </c>
      <c r="F22" s="129">
        <f>(E22*D22)/(C22*B22)</f>
        <v>1.1208791208791209</v>
      </c>
      <c r="G22" s="128"/>
      <c r="H22" s="128"/>
      <c r="I22" s="128"/>
      <c r="J22" s="128"/>
      <c r="K22" s="129"/>
      <c r="L22" s="128"/>
      <c r="M22" s="128"/>
      <c r="N22" s="128"/>
      <c r="O22" s="128"/>
      <c r="P22" s="129"/>
      <c r="Q22" s="128"/>
      <c r="R22" s="128"/>
      <c r="S22" s="128"/>
      <c r="T22" s="128"/>
      <c r="U22" s="135"/>
    </row>
    <row r="23" spans="1:21" hidden="1">
      <c r="A23" s="131" t="s">
        <v>36</v>
      </c>
      <c r="B23" s="128">
        <f>1841.99/2-112.35/2</f>
        <v>864.82</v>
      </c>
      <c r="C23" s="128">
        <v>31.77</v>
      </c>
      <c r="D23" s="128">
        <f>B23</f>
        <v>864.82</v>
      </c>
      <c r="E23" s="128">
        <v>35.03</v>
      </c>
      <c r="F23" s="129">
        <f>(E23*D23)/(C23*B23)</f>
        <v>1.102612527541706</v>
      </c>
      <c r="G23" s="128">
        <f>1465.96/2</f>
        <v>732.98</v>
      </c>
      <c r="H23" s="128">
        <v>31.77</v>
      </c>
      <c r="I23" s="128">
        <f>G23</f>
        <v>732.98</v>
      </c>
      <c r="J23" s="128">
        <v>35.03</v>
      </c>
      <c r="K23" s="129">
        <f>(J23*I23)/(H23*G23)</f>
        <v>1.102612527541706</v>
      </c>
      <c r="L23" s="128">
        <f>3028.63/2-140.24/2</f>
        <v>1444.1950000000002</v>
      </c>
      <c r="M23" s="128">
        <v>15.02</v>
      </c>
      <c r="N23" s="128">
        <f>L23</f>
        <v>1444.1950000000002</v>
      </c>
      <c r="O23" s="128">
        <v>17.010000000000002</v>
      </c>
      <c r="P23" s="129">
        <f>(O23*N23)/(M23*L23)</f>
        <v>1.1324900133155793</v>
      </c>
      <c r="Q23" s="128">
        <f>2213.33/2</f>
        <v>1106.665</v>
      </c>
      <c r="R23" s="128">
        <v>15.02</v>
      </c>
      <c r="S23" s="128">
        <f>Q23</f>
        <v>1106.665</v>
      </c>
      <c r="T23" s="128">
        <v>17.010000000000002</v>
      </c>
      <c r="U23" s="129">
        <f>(T23*S23)/(R23*Q23)</f>
        <v>1.1324900133155793</v>
      </c>
    </row>
    <row r="24" spans="1:21" hidden="1">
      <c r="A24" s="134" t="s">
        <v>55</v>
      </c>
      <c r="B24" s="126">
        <f>SUM(B25:B27)</f>
        <v>2063.4050000000002</v>
      </c>
      <c r="C24" s="126">
        <f>SUMPRODUCT(B25:B27,C25:C27)/B24</f>
        <v>34.540719611515911</v>
      </c>
      <c r="D24" s="126">
        <f>SUM(D25:D27)</f>
        <v>2063.4050000000002</v>
      </c>
      <c r="E24" s="126">
        <f>SUMPRODUCT(D25:D27,E25:E27)/D24</f>
        <v>36.648427187100928</v>
      </c>
      <c r="F24" s="75">
        <f>E24/C24</f>
        <v>1.061020951482502</v>
      </c>
      <c r="G24" s="126">
        <f>SUM(G25:G27)</f>
        <v>950.94499999999994</v>
      </c>
      <c r="H24" s="126">
        <f>SUMPRODUCT(G25:G27,H25:H27)/G24</f>
        <v>20.93</v>
      </c>
      <c r="I24" s="126">
        <f>SUM(I25:I27)</f>
        <v>950.94499999999994</v>
      </c>
      <c r="J24" s="126">
        <f>SUMPRODUCT(I25:I27,J25:J27)/I24</f>
        <v>21.949328720378151</v>
      </c>
      <c r="K24" s="75">
        <f>J24/H24</f>
        <v>1.0487018022158696</v>
      </c>
      <c r="L24" s="126">
        <f>SUM(L25:L27)</f>
        <v>1945.2950000000001</v>
      </c>
      <c r="M24" s="126">
        <f>SUMPRODUCT(L25:L27,M25:M27)/L24</f>
        <v>27.691892052362235</v>
      </c>
      <c r="N24" s="126">
        <f>SUM(N25:N27)</f>
        <v>1945.2950000000001</v>
      </c>
      <c r="O24" s="126">
        <f>SUMPRODUCT(N25:N27,O25:O27)/N24</f>
        <v>29.914735271514086</v>
      </c>
      <c r="P24" s="75">
        <f>O24/M24</f>
        <v>1.0802705432676361</v>
      </c>
      <c r="Q24" s="126">
        <f>SUM(Q25:Q27)</f>
        <v>981.13499999999999</v>
      </c>
      <c r="R24" s="126">
        <f>SUMPRODUCT(Q25:Q27,R25:R27)/Q24</f>
        <v>18.59</v>
      </c>
      <c r="S24" s="126">
        <f>SUM(S25:S27)</f>
        <v>981.13499999999999</v>
      </c>
      <c r="T24" s="126">
        <f>SUMPRODUCT(S25:S27,T25:T27)/S24</f>
        <v>20.599652800073383</v>
      </c>
      <c r="U24" s="75">
        <f>T24/R24</f>
        <v>1.1081039698802251</v>
      </c>
    </row>
    <row r="25" spans="1:21" hidden="1">
      <c r="A25" s="136" t="s">
        <v>56</v>
      </c>
      <c r="B25" s="128">
        <f>2180.07/2</f>
        <v>1090.0350000000001</v>
      </c>
      <c r="C25" s="128">
        <v>20.93</v>
      </c>
      <c r="D25" s="128">
        <f>B25</f>
        <v>1090.0350000000001</v>
      </c>
      <c r="E25" s="128">
        <v>21.92</v>
      </c>
      <c r="F25" s="129">
        <f>(E25*D25)/(C25*B25)</f>
        <v>1.0473005255613952</v>
      </c>
      <c r="G25" s="137">
        <f>1790.33/2</f>
        <v>895.16499999999996</v>
      </c>
      <c r="H25" s="137">
        <v>20.93</v>
      </c>
      <c r="I25" s="137">
        <f>G25</f>
        <v>895.16499999999996</v>
      </c>
      <c r="J25" s="137">
        <v>21.92</v>
      </c>
      <c r="K25" s="129">
        <f t="shared" ref="K25:K26" si="8">(J25*I25)/(H25*G25)</f>
        <v>1.0473005255613952</v>
      </c>
      <c r="L25" s="128">
        <f>2024.78/2</f>
        <v>1012.39</v>
      </c>
      <c r="M25" s="128">
        <v>18.59</v>
      </c>
      <c r="N25" s="128">
        <f>L25</f>
        <v>1012.39</v>
      </c>
      <c r="O25" s="128">
        <v>20.66</v>
      </c>
      <c r="P25" s="129">
        <f>(O25*N25)/(M25*L25)</f>
        <v>1.1113501882732653</v>
      </c>
      <c r="Q25" s="70">
        <f>1804.38/2</f>
        <v>902.19</v>
      </c>
      <c r="R25" s="70">
        <v>18.59</v>
      </c>
      <c r="S25" s="70">
        <f>Q25</f>
        <v>902.19</v>
      </c>
      <c r="T25" s="70">
        <v>20.66</v>
      </c>
      <c r="U25" s="133">
        <f t="shared" ref="U25:U26" si="9">T25/R25</f>
        <v>1.1113501882732653</v>
      </c>
    </row>
    <row r="26" spans="1:21" hidden="1">
      <c r="A26" s="136" t="s">
        <v>57</v>
      </c>
      <c r="B26" s="128">
        <f>396.74/2</f>
        <v>198.37</v>
      </c>
      <c r="C26" s="128">
        <v>40.299999999999997</v>
      </c>
      <c r="D26" s="128">
        <f>B26</f>
        <v>198.37</v>
      </c>
      <c r="E26" s="128">
        <v>43.11</v>
      </c>
      <c r="F26" s="129">
        <f>(E26*D26)/(C26*B26)</f>
        <v>1.069727047146402</v>
      </c>
      <c r="G26" s="137">
        <f>111.56/2</f>
        <v>55.78</v>
      </c>
      <c r="H26" s="137">
        <v>20.93</v>
      </c>
      <c r="I26" s="137">
        <f t="shared" ref="I26" si="10">G26</f>
        <v>55.78</v>
      </c>
      <c r="J26" s="137">
        <v>22.42</v>
      </c>
      <c r="K26" s="129">
        <f t="shared" si="8"/>
        <v>1.071189679885332</v>
      </c>
      <c r="L26" s="128">
        <f>580.81/2</f>
        <v>290.40499999999997</v>
      </c>
      <c r="M26" s="128">
        <v>28.01</v>
      </c>
      <c r="N26" s="128">
        <f t="shared" ref="N26:N27" si="11">L26</f>
        <v>290.40499999999997</v>
      </c>
      <c r="O26" s="128">
        <v>29.71</v>
      </c>
      <c r="P26" s="129">
        <f t="shared" ref="P26:P27" si="12">(O26*N26)/(M26*L26)</f>
        <v>1.0606926097822207</v>
      </c>
      <c r="Q26" s="70">
        <f>157.89/2</f>
        <v>78.944999999999993</v>
      </c>
      <c r="R26" s="70">
        <v>18.59</v>
      </c>
      <c r="S26" s="70">
        <f t="shared" ref="S26" si="13">Q26</f>
        <v>78.944999999999993</v>
      </c>
      <c r="T26" s="70">
        <v>19.91</v>
      </c>
      <c r="U26" s="133">
        <f t="shared" si="9"/>
        <v>1.0710059171597632</v>
      </c>
    </row>
    <row r="27" spans="1:21" hidden="1">
      <c r="A27" s="136" t="s">
        <v>57</v>
      </c>
      <c r="B27" s="128">
        <v>775</v>
      </c>
      <c r="C27" s="128">
        <v>52.21</v>
      </c>
      <c r="D27" s="128">
        <f>B27</f>
        <v>775</v>
      </c>
      <c r="E27" s="128">
        <v>55.71</v>
      </c>
      <c r="F27" s="129">
        <f>(E27*D27)/(C27*B27)</f>
        <v>1.0670369660984487</v>
      </c>
      <c r="G27" s="137"/>
      <c r="H27" s="137"/>
      <c r="I27" s="137"/>
      <c r="J27" s="137"/>
      <c r="K27" s="129"/>
      <c r="L27" s="128">
        <f>1285/2</f>
        <v>642.5</v>
      </c>
      <c r="M27" s="128">
        <v>41.89</v>
      </c>
      <c r="N27" s="128">
        <f t="shared" si="11"/>
        <v>642.5</v>
      </c>
      <c r="O27" s="128">
        <v>44.59</v>
      </c>
      <c r="P27" s="129">
        <f t="shared" si="12"/>
        <v>1.0644545237526857</v>
      </c>
      <c r="Q27" s="70"/>
      <c r="R27" s="70"/>
      <c r="S27" s="70"/>
      <c r="T27" s="70"/>
      <c r="U27" s="133"/>
    </row>
    <row r="28" spans="1:21" hidden="1">
      <c r="A28" s="134" t="s">
        <v>14</v>
      </c>
      <c r="B28" s="138">
        <f>SUM(B29:B31)</f>
        <v>1920.192</v>
      </c>
      <c r="C28" s="138">
        <f>SUMPRODUCT(B29:B31,C29:C31)/B28</f>
        <v>10.247535871412859</v>
      </c>
      <c r="D28" s="138">
        <f>SUM(D29:D31)</f>
        <v>1920.192</v>
      </c>
      <c r="E28" s="138">
        <f>SUMPRODUCT(D29:D31,E29:E31)/D28</f>
        <v>10.308914108589143</v>
      </c>
      <c r="F28" s="139">
        <f>E28/C28</f>
        <v>1.0059895606072</v>
      </c>
      <c r="G28" s="138">
        <f>SUM(G29:G31)</f>
        <v>726.42499999999995</v>
      </c>
      <c r="H28" s="138">
        <f>SUMPRODUCT(G29:G31,H29:H31)/G28</f>
        <v>17.2</v>
      </c>
      <c r="I28" s="138">
        <f>SUM(I29:I31)</f>
        <v>726.42499999999995</v>
      </c>
      <c r="J28" s="138">
        <f>SUMPRODUCT(I29:I31,J29:J31)/I28</f>
        <v>17.3</v>
      </c>
      <c r="K28" s="139">
        <f>J28/H28</f>
        <v>1.0058139534883721</v>
      </c>
      <c r="L28" s="126">
        <f>SUM(L29:L31)</f>
        <v>1977.0435000000002</v>
      </c>
      <c r="M28" s="126">
        <f>SUMPRODUCT(L29:L31,M29:M31)/L28</f>
        <v>14.11663817715695</v>
      </c>
      <c r="N28" s="126">
        <f>SUM(N29:N31)</f>
        <v>1977.0435000000002</v>
      </c>
      <c r="O28" s="126">
        <f>SUMPRODUCT(N29:N31,O29:O31)/N28</f>
        <v>15.078327629108816</v>
      </c>
      <c r="P28" s="75">
        <f>O28/M28</f>
        <v>1.0681245378597319</v>
      </c>
      <c r="Q28" s="126">
        <f>SUM(Q29:Q31)</f>
        <v>1250.8565000000001</v>
      </c>
      <c r="R28" s="126">
        <f>SUMPRODUCT(Q29:Q31,R29:R31)/Q28</f>
        <v>17.18</v>
      </c>
      <c r="S28" s="126">
        <f>SUM(S29:S31)</f>
        <v>1250.8565000000001</v>
      </c>
      <c r="T28" s="126">
        <f>SUMPRODUCT(S29:S31,T29:T31)/S28</f>
        <v>18.7</v>
      </c>
      <c r="U28" s="75">
        <f>T28/R28</f>
        <v>1.0884749708963912</v>
      </c>
    </row>
    <row r="29" spans="1:21" hidden="1">
      <c r="A29" s="136" t="s">
        <v>16</v>
      </c>
      <c r="B29" s="128">
        <v>709.11199999999997</v>
      </c>
      <c r="C29" s="128">
        <v>5.45</v>
      </c>
      <c r="D29" s="128">
        <f>B29</f>
        <v>709.11199999999997</v>
      </c>
      <c r="E29" s="128">
        <v>5.45</v>
      </c>
      <c r="F29" s="129">
        <f>(E29*D29)/(C29*B29)</f>
        <v>1</v>
      </c>
      <c r="G29" s="132"/>
      <c r="H29" s="132"/>
      <c r="I29" s="132"/>
      <c r="J29" s="132"/>
      <c r="K29" s="129"/>
      <c r="L29" s="128">
        <v>726.18700000000001</v>
      </c>
      <c r="M29" s="128">
        <v>8.84</v>
      </c>
      <c r="N29" s="128">
        <f>L29</f>
        <v>726.18700000000001</v>
      </c>
      <c r="O29" s="128">
        <v>8.84</v>
      </c>
      <c r="P29" s="129">
        <f>(O29*N29)/(M29*L29)</f>
        <v>1</v>
      </c>
      <c r="Q29" s="70"/>
      <c r="R29" s="70"/>
      <c r="S29" s="70"/>
      <c r="T29" s="70"/>
      <c r="U29" s="135"/>
    </row>
    <row r="30" spans="1:21" hidden="1">
      <c r="A30" s="136" t="s">
        <v>16</v>
      </c>
      <c r="B30" s="128">
        <v>325</v>
      </c>
      <c r="C30" s="128">
        <v>1.76</v>
      </c>
      <c r="D30" s="128">
        <v>325</v>
      </c>
      <c r="E30" s="128">
        <v>1.85</v>
      </c>
      <c r="F30" s="129">
        <f>(E30*D30)/(C30*B30)</f>
        <v>1.0511363636363635</v>
      </c>
      <c r="G30" s="132"/>
      <c r="H30" s="132"/>
      <c r="I30" s="132"/>
      <c r="J30" s="132"/>
      <c r="K30" s="129"/>
      <c r="L30" s="128"/>
      <c r="M30" s="128"/>
      <c r="N30" s="128"/>
      <c r="O30" s="128"/>
      <c r="P30" s="129"/>
      <c r="Q30" s="70"/>
      <c r="R30" s="70"/>
      <c r="S30" s="70"/>
      <c r="T30" s="70"/>
      <c r="U30" s="135"/>
    </row>
    <row r="31" spans="1:21" hidden="1">
      <c r="A31" s="136" t="s">
        <v>17</v>
      </c>
      <c r="B31" s="128">
        <v>886.08</v>
      </c>
      <c r="C31" s="128">
        <v>17.2</v>
      </c>
      <c r="D31" s="128">
        <f>B31</f>
        <v>886.08</v>
      </c>
      <c r="E31" s="128">
        <v>17.3</v>
      </c>
      <c r="F31" s="129">
        <f>(E31*D31)/(C31*B31)</f>
        <v>1.0058139534883721</v>
      </c>
      <c r="G31" s="132">
        <v>726.42499999999995</v>
      </c>
      <c r="H31" s="132">
        <v>17.2</v>
      </c>
      <c r="I31" s="132">
        <f>G31</f>
        <v>726.42499999999995</v>
      </c>
      <c r="J31" s="132">
        <v>17.3</v>
      </c>
      <c r="K31" s="129">
        <f t="shared" ref="K31" si="14">(J31*I31)/(H31*G31)</f>
        <v>1.0058139534883723</v>
      </c>
      <c r="L31" s="128">
        <f>2501.713/2</f>
        <v>1250.8565000000001</v>
      </c>
      <c r="M31" s="128">
        <v>17.18</v>
      </c>
      <c r="N31" s="128">
        <f>L31</f>
        <v>1250.8565000000001</v>
      </c>
      <c r="O31" s="128">
        <v>18.7</v>
      </c>
      <c r="P31" s="129">
        <f>(O31*N31)/(M31*L31)</f>
        <v>1.088474970896391</v>
      </c>
      <c r="Q31" s="128">
        <f>2501.713/2</f>
        <v>1250.8565000000001</v>
      </c>
      <c r="R31" s="128">
        <v>17.18</v>
      </c>
      <c r="S31" s="128">
        <f>Q31</f>
        <v>1250.8565000000001</v>
      </c>
      <c r="T31" s="128">
        <v>18.7</v>
      </c>
      <c r="U31" s="129">
        <f>(T31*S31)/(R31*Q31)</f>
        <v>1.088474970896391</v>
      </c>
    </row>
    <row r="32" spans="1:21">
      <c r="A32" s="134" t="s">
        <v>180</v>
      </c>
      <c r="B32" s="140">
        <f>SUM(B33:B39)</f>
        <v>14057.858999999999</v>
      </c>
      <c r="C32" s="140">
        <f>SUMPRODUCT(B33:B39,C33:C39)/B32</f>
        <v>22.253153259682005</v>
      </c>
      <c r="D32" s="140">
        <f>SUM(D33:D39)</f>
        <v>14057.858999999999</v>
      </c>
      <c r="E32" s="140">
        <f>SUMPRODUCT(D33:D39,E33:E39)/D32</f>
        <v>23.396490445664597</v>
      </c>
      <c r="F32" s="141">
        <f>E32/C32</f>
        <v>1.0513786595832275</v>
      </c>
      <c r="G32" s="140">
        <f>SUM(G33:G39)</f>
        <v>3254.8249999999998</v>
      </c>
      <c r="H32" s="140">
        <f>SUMPRODUCT(G33:G39,H33:H39)/G32</f>
        <v>22.297321054127334</v>
      </c>
      <c r="I32" s="140">
        <f>SUM(I33:I39)</f>
        <v>3254.8249999999998</v>
      </c>
      <c r="J32" s="140">
        <f>SUMPRODUCT(I33:I39,J33:J39)/I32</f>
        <v>23.47</v>
      </c>
      <c r="K32" s="141">
        <f>J32/H32</f>
        <v>1.0525928179006776</v>
      </c>
      <c r="L32" s="140">
        <f>SUM(L33:L39)</f>
        <v>10083.5365</v>
      </c>
      <c r="M32" s="140">
        <f>SUMPRODUCT(L33:L39,M33:M39)/L32</f>
        <v>22.653672788311916</v>
      </c>
      <c r="N32" s="140">
        <f>SUM(N33:N39)</f>
        <v>10083.5365</v>
      </c>
      <c r="O32" s="140">
        <f>SUMPRODUCT(N33:N39,O33:O39)/N32</f>
        <v>23.752836426485885</v>
      </c>
      <c r="P32" s="141">
        <f>O32/M32</f>
        <v>1.048520328180121</v>
      </c>
      <c r="Q32" s="140">
        <f>SUM(Q33:Q39)</f>
        <v>5227.2150000000001</v>
      </c>
      <c r="R32" s="140">
        <f>SUMPRODUCT(Q33:Q39,R33:R39)/Q32</f>
        <v>21.687294371859583</v>
      </c>
      <c r="S32" s="140">
        <f>SUM(S33:S39)</f>
        <v>5227.2150000000001</v>
      </c>
      <c r="T32" s="140">
        <f>SUMPRODUCT(S33:S39,T33:T39)/S32</f>
        <v>22.894135959588422</v>
      </c>
      <c r="U32" s="141">
        <f>T32/R32</f>
        <v>1.0556474019781268</v>
      </c>
    </row>
    <row r="33" spans="1:21" ht="30">
      <c r="A33" s="142" t="s">
        <v>261</v>
      </c>
      <c r="B33" s="143">
        <f>25724.898/2-3100/2</f>
        <v>11312.449000000001</v>
      </c>
      <c r="C33" s="145">
        <v>22.27</v>
      </c>
      <c r="D33" s="145">
        <f>B33</f>
        <v>11312.449000000001</v>
      </c>
      <c r="E33" s="145">
        <v>23.47</v>
      </c>
      <c r="F33" s="146">
        <f>(E33*D33)/(C33*B33)</f>
        <v>1.053884149079479</v>
      </c>
      <c r="G33" s="145">
        <f>5323.98/2</f>
        <v>2661.99</v>
      </c>
      <c r="H33" s="145">
        <v>22.27</v>
      </c>
      <c r="I33" s="145">
        <f>G33</f>
        <v>2661.99</v>
      </c>
      <c r="J33" s="145">
        <v>23.47</v>
      </c>
      <c r="K33" s="146">
        <f>(J33*I33)/(H33*G33)</f>
        <v>1.053884149079479</v>
      </c>
      <c r="L33" s="145">
        <f>17258/2</f>
        <v>8629</v>
      </c>
      <c r="M33" s="145">
        <v>22.13</v>
      </c>
      <c r="N33" s="145">
        <f>L33</f>
        <v>8629</v>
      </c>
      <c r="O33" s="145">
        <v>23.24</v>
      </c>
      <c r="P33" s="146">
        <f>(O33*N33)/(M33*L33)</f>
        <v>1.0501581563488478</v>
      </c>
      <c r="Q33" s="147">
        <f>8520/2</f>
        <v>4260</v>
      </c>
      <c r="R33" s="147">
        <v>22.13</v>
      </c>
      <c r="S33" s="147">
        <f>Q33</f>
        <v>4260</v>
      </c>
      <c r="T33" s="147">
        <v>23.24</v>
      </c>
      <c r="U33" s="146">
        <f t="shared" ref="U33:U39" si="15">(T33*S33)/(R33*Q33)</f>
        <v>1.0501581563488476</v>
      </c>
    </row>
    <row r="34" spans="1:21" ht="30">
      <c r="A34" s="142" t="s">
        <v>262</v>
      </c>
      <c r="B34" s="143">
        <f>2510/2</f>
        <v>1255</v>
      </c>
      <c r="C34" s="143">
        <v>2.1</v>
      </c>
      <c r="D34" s="143">
        <f>B34</f>
        <v>1255</v>
      </c>
      <c r="E34" s="143">
        <v>2.96</v>
      </c>
      <c r="F34" s="144">
        <f>(E34*D34)/(C34*B34)</f>
        <v>1.4095238095238096</v>
      </c>
      <c r="G34" s="145"/>
      <c r="H34" s="145"/>
      <c r="I34" s="145"/>
      <c r="J34" s="145"/>
      <c r="K34" s="148"/>
      <c r="L34" s="145"/>
      <c r="M34" s="145"/>
      <c r="N34" s="145"/>
      <c r="O34" s="145"/>
      <c r="P34" s="148"/>
      <c r="Q34" s="145"/>
      <c r="R34" s="145"/>
      <c r="S34" s="145"/>
      <c r="T34" s="145"/>
      <c r="U34" s="148"/>
    </row>
    <row r="35" spans="1:21">
      <c r="A35" s="136" t="s">
        <v>188</v>
      </c>
      <c r="B35" s="149">
        <f>2.09/2</f>
        <v>1.0449999999999999</v>
      </c>
      <c r="C35" s="149">
        <v>5.62</v>
      </c>
      <c r="D35" s="149">
        <f>B35</f>
        <v>1.0449999999999999</v>
      </c>
      <c r="E35" s="149">
        <v>5.77</v>
      </c>
      <c r="F35" s="150">
        <f>(E35*D35)/(C35*B35)</f>
        <v>1.0266903914590746</v>
      </c>
      <c r="G35" s="128"/>
      <c r="H35" s="128"/>
      <c r="I35" s="128"/>
      <c r="J35" s="128"/>
      <c r="K35" s="129"/>
      <c r="L35" s="128"/>
      <c r="M35" s="128"/>
      <c r="N35" s="128"/>
      <c r="O35" s="128"/>
      <c r="P35" s="129"/>
      <c r="Q35" s="151"/>
      <c r="R35" s="151"/>
      <c r="S35" s="151"/>
      <c r="T35" s="151"/>
      <c r="U35" s="152"/>
    </row>
    <row r="36" spans="1:21">
      <c r="A36" s="136" t="s">
        <v>53</v>
      </c>
      <c r="B36" s="149">
        <f>136.84/2</f>
        <v>68.42</v>
      </c>
      <c r="C36" s="149">
        <v>75.14</v>
      </c>
      <c r="D36" s="149">
        <f>B36</f>
        <v>68.42</v>
      </c>
      <c r="E36" s="149">
        <v>76.77</v>
      </c>
      <c r="F36" s="150">
        <f t="shared" ref="F36:F38" si="16">(E36*D36)/(C36*B36)</f>
        <v>1.0216928400319403</v>
      </c>
      <c r="G36" s="128"/>
      <c r="H36" s="128"/>
      <c r="I36" s="128"/>
      <c r="J36" s="128"/>
      <c r="K36" s="129"/>
      <c r="L36" s="128">
        <f>136.84/2</f>
        <v>68.42</v>
      </c>
      <c r="M36" s="128">
        <v>72.7</v>
      </c>
      <c r="N36" s="128">
        <f>L36</f>
        <v>68.42</v>
      </c>
      <c r="O36" s="128">
        <v>76.040000000000006</v>
      </c>
      <c r="P36" s="129">
        <f t="shared" ref="P36:P38" si="17">(O36*N36)/(M36*L36)</f>
        <v>1.0459422283356259</v>
      </c>
      <c r="Q36" s="151"/>
      <c r="R36" s="151"/>
      <c r="S36" s="153"/>
      <c r="T36" s="151"/>
      <c r="U36" s="150"/>
    </row>
    <row r="37" spans="1:21">
      <c r="A37" s="136" t="s">
        <v>189</v>
      </c>
      <c r="B37" s="149">
        <f>98.19/2</f>
        <v>49.094999999999999</v>
      </c>
      <c r="C37" s="149">
        <v>87.02</v>
      </c>
      <c r="D37" s="149">
        <f t="shared" ref="D37:D38" si="18">B37</f>
        <v>49.094999999999999</v>
      </c>
      <c r="E37" s="149">
        <v>96.16</v>
      </c>
      <c r="F37" s="150">
        <f t="shared" si="16"/>
        <v>1.1050333256722591</v>
      </c>
      <c r="G37" s="128">
        <f>29.56/2</f>
        <v>14.78</v>
      </c>
      <c r="H37" s="128">
        <v>22.42</v>
      </c>
      <c r="I37" s="128">
        <f t="shared" ref="I37:I38" si="19">G37</f>
        <v>14.78</v>
      </c>
      <c r="J37" s="128">
        <v>23.47</v>
      </c>
      <c r="K37" s="129">
        <f t="shared" ref="K37:K39" si="20">(J37*I37)/(H37*G37)</f>
        <v>1.0468331846565564</v>
      </c>
      <c r="L37" s="128">
        <f>69.6/2</f>
        <v>34.799999999999997</v>
      </c>
      <c r="M37" s="128">
        <v>54.98</v>
      </c>
      <c r="N37" s="128">
        <f t="shared" ref="N37:N38" si="21">L37</f>
        <v>34.799999999999997</v>
      </c>
      <c r="O37" s="128">
        <v>59.27</v>
      </c>
      <c r="P37" s="129">
        <f t="shared" si="17"/>
        <v>1.0780283739541654</v>
      </c>
      <c r="Q37" s="151">
        <f>44.1/2</f>
        <v>22.05</v>
      </c>
      <c r="R37" s="154">
        <v>15.77</v>
      </c>
      <c r="S37" s="155">
        <f t="shared" ref="S37:S38" si="22">Q37</f>
        <v>22.05</v>
      </c>
      <c r="T37" s="154">
        <v>16.510000000000002</v>
      </c>
      <c r="U37" s="150">
        <f t="shared" ref="U37:U38" si="23">T37/R37</f>
        <v>1.0469245402663285</v>
      </c>
    </row>
    <row r="38" spans="1:21">
      <c r="A38" s="136" t="s">
        <v>190</v>
      </c>
      <c r="B38" s="149">
        <f>56.1/2</f>
        <v>28.05</v>
      </c>
      <c r="C38" s="149">
        <v>40.299999999999997</v>
      </c>
      <c r="D38" s="149">
        <f t="shared" si="18"/>
        <v>28.05</v>
      </c>
      <c r="E38" s="149">
        <v>43.11</v>
      </c>
      <c r="F38" s="150">
        <f t="shared" si="16"/>
        <v>1.069727047146402</v>
      </c>
      <c r="G38" s="128">
        <f>36.11/2</f>
        <v>18.055</v>
      </c>
      <c r="H38" s="128">
        <v>22.42</v>
      </c>
      <c r="I38" s="128">
        <f t="shared" si="19"/>
        <v>18.055</v>
      </c>
      <c r="J38" s="128">
        <v>23.47</v>
      </c>
      <c r="K38" s="129">
        <f t="shared" si="20"/>
        <v>1.0468331846565564</v>
      </c>
      <c r="L38" s="128">
        <f>73.9/2</f>
        <v>36.950000000000003</v>
      </c>
      <c r="M38" s="128">
        <v>28.01</v>
      </c>
      <c r="N38" s="128">
        <f t="shared" si="21"/>
        <v>36.950000000000003</v>
      </c>
      <c r="O38" s="128">
        <v>29.71</v>
      </c>
      <c r="P38" s="129">
        <f t="shared" si="17"/>
        <v>1.0606926097822207</v>
      </c>
      <c r="Q38" s="153">
        <f>40.33/2</f>
        <v>20.164999999999999</v>
      </c>
      <c r="R38" s="154">
        <v>19.829999999999998</v>
      </c>
      <c r="S38" s="155">
        <f t="shared" si="22"/>
        <v>20.164999999999999</v>
      </c>
      <c r="T38" s="154">
        <v>20.76</v>
      </c>
      <c r="U38" s="150">
        <f t="shared" si="23"/>
        <v>1.0468986384266266</v>
      </c>
    </row>
    <row r="39" spans="1:21" ht="30">
      <c r="A39" s="142" t="s">
        <v>263</v>
      </c>
      <c r="B39" s="143">
        <f>2687.6/2</f>
        <v>1343.8</v>
      </c>
      <c r="C39" s="145">
        <v>35.51</v>
      </c>
      <c r="D39" s="145">
        <f>B39</f>
        <v>1343.8</v>
      </c>
      <c r="E39" s="145">
        <v>36.090000000000003</v>
      </c>
      <c r="F39" s="146">
        <f>(E39*D39)/(C39*B39)</f>
        <v>1.0163334272036049</v>
      </c>
      <c r="G39" s="145">
        <f>1120/2</f>
        <v>560</v>
      </c>
      <c r="H39" s="145">
        <v>22.42</v>
      </c>
      <c r="I39" s="145">
        <f>G39</f>
        <v>560</v>
      </c>
      <c r="J39" s="145">
        <v>23.47</v>
      </c>
      <c r="K39" s="146">
        <f t="shared" si="20"/>
        <v>1.0468331846565564</v>
      </c>
      <c r="L39" s="145">
        <f>2628.733/2</f>
        <v>1314.3665000000001</v>
      </c>
      <c r="M39" s="145">
        <v>22.48</v>
      </c>
      <c r="N39" s="145">
        <f>L39</f>
        <v>1314.3665000000001</v>
      </c>
      <c r="O39" s="145">
        <v>23.29</v>
      </c>
      <c r="P39" s="146">
        <f>(O39*N39)/(M39*L39)</f>
        <v>1.0360320284697508</v>
      </c>
      <c r="Q39" s="145">
        <f>1850/2</f>
        <v>925</v>
      </c>
      <c r="R39" s="145">
        <v>19.829999999999998</v>
      </c>
      <c r="S39" s="145">
        <f>Q39</f>
        <v>925</v>
      </c>
      <c r="T39" s="145">
        <v>21.5</v>
      </c>
      <c r="U39" s="146">
        <f t="shared" si="15"/>
        <v>1.0842158345940494</v>
      </c>
    </row>
  </sheetData>
  <mergeCells count="20">
    <mergeCell ref="F5:F6"/>
    <mergeCell ref="Q5:R5"/>
    <mergeCell ref="S5:T5"/>
    <mergeCell ref="U5:U6"/>
    <mergeCell ref="A1:U1"/>
    <mergeCell ref="G5:H5"/>
    <mergeCell ref="I5:J5"/>
    <mergeCell ref="K5:K6"/>
    <mergeCell ref="L5:M5"/>
    <mergeCell ref="N5:O5"/>
    <mergeCell ref="P5:P6"/>
    <mergeCell ref="A3:A6"/>
    <mergeCell ref="B3:K3"/>
    <mergeCell ref="L3:U3"/>
    <mergeCell ref="B4:F4"/>
    <mergeCell ref="G4:K4"/>
    <mergeCell ref="L4:P4"/>
    <mergeCell ref="Q4:U4"/>
    <mergeCell ref="B5:C5"/>
    <mergeCell ref="D5:E5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5:R123"/>
  <sheetViews>
    <sheetView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G83" sqref="G83"/>
    </sheetView>
  </sheetViews>
  <sheetFormatPr defaultRowHeight="15"/>
  <cols>
    <col min="1" max="1" width="50.42578125" style="5" customWidth="1"/>
    <col min="2" max="2" width="13.5703125" style="5" hidden="1" customWidth="1"/>
    <col min="3" max="3" width="11" style="5" hidden="1" customWidth="1"/>
    <col min="4" max="4" width="13.140625" style="5" hidden="1" customWidth="1"/>
    <col min="5" max="5" width="9.42578125" style="5" hidden="1" customWidth="1"/>
    <col min="6" max="6" width="11" style="5" hidden="1" customWidth="1"/>
    <col min="7" max="7" width="29.42578125" style="5" customWidth="1"/>
    <col min="8" max="8" width="11" style="5" customWidth="1"/>
    <col min="9" max="9" width="9.42578125" style="5" customWidth="1"/>
    <col min="10" max="10" width="11.28515625" style="5" customWidth="1"/>
    <col min="11" max="11" width="10.7109375" style="5" customWidth="1"/>
    <col min="12" max="12" width="10.42578125" style="5" customWidth="1"/>
    <col min="13" max="13" width="11.140625" style="5" hidden="1" customWidth="1"/>
    <col min="14" max="14" width="10.85546875" style="5" hidden="1" customWidth="1"/>
    <col min="15" max="15" width="11.5703125" style="5" hidden="1" customWidth="1"/>
    <col min="16" max="16" width="11.7109375" style="5" hidden="1" customWidth="1"/>
    <col min="17" max="17" width="10.7109375" style="5" hidden="1" customWidth="1"/>
  </cols>
  <sheetData>
    <row r="5" spans="1:17" ht="38.25" customHeight="1">
      <c r="A5" s="361"/>
      <c r="C5" s="156"/>
      <c r="D5" s="156"/>
      <c r="E5" s="156"/>
      <c r="F5" s="156"/>
      <c r="G5" s="378" t="s">
        <v>264</v>
      </c>
      <c r="H5" s="381" t="s">
        <v>373</v>
      </c>
      <c r="I5" s="382"/>
      <c r="J5" s="382"/>
      <c r="K5" s="382"/>
      <c r="L5" s="383"/>
      <c r="M5" s="362" t="s">
        <v>5</v>
      </c>
      <c r="N5" s="362"/>
      <c r="O5" s="362"/>
      <c r="P5" s="362"/>
      <c r="Q5" s="362"/>
    </row>
    <row r="6" spans="1:17">
      <c r="A6" s="361"/>
      <c r="B6" s="381" t="s">
        <v>2</v>
      </c>
      <c r="C6" s="382"/>
      <c r="D6" s="382"/>
      <c r="E6" s="382"/>
      <c r="F6" s="383"/>
      <c r="G6" s="379"/>
      <c r="H6" s="362" t="s">
        <v>3</v>
      </c>
      <c r="I6" s="362"/>
      <c r="J6" s="362"/>
      <c r="K6" s="362"/>
      <c r="L6" s="362"/>
      <c r="M6" s="381" t="s">
        <v>2</v>
      </c>
      <c r="N6" s="382"/>
      <c r="O6" s="382"/>
      <c r="P6" s="382"/>
      <c r="Q6" s="383"/>
    </row>
    <row r="7" spans="1:17" ht="29.25" customHeight="1">
      <c r="A7" s="361"/>
      <c r="B7" s="363" t="s">
        <v>0</v>
      </c>
      <c r="C7" s="364"/>
      <c r="D7" s="363" t="s">
        <v>1</v>
      </c>
      <c r="E7" s="364"/>
      <c r="F7" s="365" t="s">
        <v>245</v>
      </c>
      <c r="G7" s="379"/>
      <c r="H7" s="363" t="s">
        <v>0</v>
      </c>
      <c r="I7" s="364"/>
      <c r="J7" s="362" t="s">
        <v>1</v>
      </c>
      <c r="K7" s="362"/>
      <c r="L7" s="365" t="s">
        <v>245</v>
      </c>
      <c r="M7" s="363" t="s">
        <v>0</v>
      </c>
      <c r="N7" s="364"/>
      <c r="O7" s="363" t="s">
        <v>1</v>
      </c>
      <c r="P7" s="364"/>
      <c r="Q7" s="365" t="s">
        <v>245</v>
      </c>
    </row>
    <row r="8" spans="1:17" ht="25.5">
      <c r="A8" s="361"/>
      <c r="B8" s="38" t="s">
        <v>6</v>
      </c>
      <c r="C8" s="38" t="s">
        <v>7</v>
      </c>
      <c r="D8" s="38" t="s">
        <v>6</v>
      </c>
      <c r="E8" s="38" t="s">
        <v>7</v>
      </c>
      <c r="F8" s="366"/>
      <c r="G8" s="380"/>
      <c r="H8" s="38" t="s">
        <v>8</v>
      </c>
      <c r="I8" s="38" t="s">
        <v>7</v>
      </c>
      <c r="J8" s="38" t="s">
        <v>8</v>
      </c>
      <c r="K8" s="38" t="s">
        <v>7</v>
      </c>
      <c r="L8" s="366"/>
      <c r="M8" s="38" t="s">
        <v>6</v>
      </c>
      <c r="N8" s="38" t="s">
        <v>7</v>
      </c>
      <c r="O8" s="38" t="s">
        <v>6</v>
      </c>
      <c r="P8" s="38" t="s">
        <v>7</v>
      </c>
      <c r="Q8" s="366"/>
    </row>
    <row r="9" spans="1:17">
      <c r="A9" s="60" t="s">
        <v>193</v>
      </c>
      <c r="B9" s="61" t="e">
        <f>B10+B20+B21+B25+B29+B37+B42+B51+B53+B55+B58+B66+B67+B70+B74+B76+B78+B79+B86+B91+B97+B108+B115+B116+B119</f>
        <v>#REF!</v>
      </c>
      <c r="C9" s="62" t="e">
        <f>(B10*C10+B20*C20+B21*C21+B25*C25+B29*C29+B37*C37+B42+C42+B51*C51+B53*C53+B55*C55+B58*C58+B66*C66+B67*C67+B70*C70+B74*C74+B76*C76+B78*C78+B79*C79+B86*C86+B91*C91+B97*C97+B108*C108+B115*C115+B116*C116+B119*C119)/B9</f>
        <v>#REF!</v>
      </c>
      <c r="D9" s="61" t="e">
        <f>D10+D20+D21+D25+D29+D37+D42+D51+D53+D55+D58+D66+D67+D70+D74+D76+D78+D79+D86+D91+D97+D108+D115+D116+D119</f>
        <v>#REF!</v>
      </c>
      <c r="E9" s="62" t="e">
        <f>(D10*E10+D20*E20+D21*E21+D25*E25+D29*E29+D37*E37+D42+E42+D51*E51+D53*E53+D55*E55+D58*E58+D66*E66+D67*E67+D70*E70+D74*E74+D76*E76+D78*E78+D79*E79+D86*E86+D91*E91+D97*E97+D108*E108+D115*E115+D116*E116+D119*E119)/D9</f>
        <v>#REF!</v>
      </c>
      <c r="F9" s="76" t="e">
        <f>E9/C9</f>
        <v>#REF!</v>
      </c>
      <c r="G9" s="76"/>
      <c r="H9" s="61">
        <f>H10+H20+H21+H25+H29+H37+H42+H51+H53+H55+H58+H66+H67+H70+H74+H76+H78+H79+H86+H91+H97+H108+H115+H116+H119</f>
        <v>6792.0554999999995</v>
      </c>
      <c r="I9" s="62" t="e">
        <f>(H10*I10+H20*I20+H21*I21+H25*I25+H29*I29+H37*I37+H42+I42+H51*I51+H53*I53+H55*I55+H58*I58+H66*I66+H67*I67+H70*I70+H74*I74+H76*I76+H78*I78+H79*I79+H86*I86+H91*I91+H97*I97+H108*I108+H115*I115+H116*I116+H119*I119)/H9</f>
        <v>#DIV/0!</v>
      </c>
      <c r="J9" s="61">
        <f>J10+J20+J21+J25+J29+J37+J42+J51+J53+J55+J58+J66+J67+J70+J74+J76+J78+J79+J86+J91+J97+J108+J115+J116+J119</f>
        <v>6886.5535</v>
      </c>
      <c r="K9" s="62" t="e">
        <f>(J10*K10+J20*K20+J21*K21+J25*K25+J29*K29+J37*K37+J42+K42+J51*K51+J53*K53+J55*K55+J58*K58+J66*K66+J67*K67+J70*K70+J74*K74+J76*K76+J78*K78+J79*K79+J86*K86+J91*K91+J97*K97+J108*K108+J115*K115+J116*K116+J119*K119)/J9</f>
        <v>#DIV/0!</v>
      </c>
      <c r="L9" s="76" t="e">
        <f>K9/I9</f>
        <v>#DIV/0!</v>
      </c>
      <c r="M9" s="61" t="e">
        <f>M10+M20+M21+M25+M29+M37+M42+M51+M53+M55+M58+M66+M67+M70+M74+M76+M78+M79+M86+M91+M97+M108+M115+M116+M119</f>
        <v>#REF!</v>
      </c>
      <c r="N9" s="62" t="e">
        <f>(M10*N10+M20*N20+M21*N21+M25*N25+M29*N29+M37*N37+M42+N42+M51*N51+M53*N53+M55*N55+M58*N58+M66*N66+M67*N67+M70*N70+M74*N74+M76*N76+M78*N78+M79*N79+M86*N86+M91*N91+M97*N97+M108*N108+M115*N115+M116*N116+M119*N119)/M9</f>
        <v>#REF!</v>
      </c>
      <c r="O9" s="61" t="e">
        <f>O10+O20+O21+O25+O29+O37+O42+O51+O53+O55+O58+O66+O67+O70+O74+O76+O78+O79+O86+O91+O97+O108+O115+O116+O119</f>
        <v>#REF!</v>
      </c>
      <c r="P9" s="62" t="e">
        <f>(O10*P10+O20*P20+O21*P21+O25*P25+O29*P29+O37*P37+O42+P42+O51*P51+O53*P53+O55*P55+O58*P58+O66*P66+O67*P67+O70*P70+O74*P74+O76*P76+O78*P78+O79*P79+O86*P86+O91*P91+O97*P97+O108*P108+O115*P115+O116*P116+O119*P119)/O9</f>
        <v>#REF!</v>
      </c>
      <c r="Q9" s="76" t="e">
        <f>P9/N9</f>
        <v>#REF!</v>
      </c>
    </row>
    <row r="10" spans="1:17" s="1" customFormat="1">
      <c r="A10" s="9" t="s">
        <v>10</v>
      </c>
      <c r="B10" s="18">
        <f>SUM(B11:B19)</f>
        <v>10847.223</v>
      </c>
      <c r="C10" s="18">
        <f>SUMPRODUCT(B11:B19,C11:C19)/B10</f>
        <v>30.85451204239094</v>
      </c>
      <c r="D10" s="18">
        <f>SUM(D11:D19)</f>
        <v>10847.223</v>
      </c>
      <c r="E10" s="18">
        <f>SUMPRODUCT(D11:D19,E11:E19)/D10</f>
        <v>32.957985309235369</v>
      </c>
      <c r="F10" s="77">
        <f>E10/C10</f>
        <v>1.0681739274941204</v>
      </c>
      <c r="G10" s="77"/>
      <c r="H10" s="18">
        <f>SUM(H11:H19)</f>
        <v>1059.278</v>
      </c>
      <c r="I10" s="18">
        <f>SUMPRODUCT(H11:H19,I11:I19)/H10</f>
        <v>21.57</v>
      </c>
      <c r="J10" s="18">
        <f>SUM(J11:J19)</f>
        <v>1059.278</v>
      </c>
      <c r="K10" s="18">
        <f>SUMPRODUCT(J11:J19,K11:K19)/J10</f>
        <v>22.580000000000002</v>
      </c>
      <c r="L10" s="77">
        <f>K10/I10</f>
        <v>1.0468242929995364</v>
      </c>
      <c r="M10" s="18">
        <f>SUM(M11:M19)</f>
        <v>12070.099999999999</v>
      </c>
      <c r="N10" s="18">
        <f>SUMPRODUCT(M11:M19,N11:N19)/M10</f>
        <v>24.118118872254584</v>
      </c>
      <c r="O10" s="18">
        <f>SUM(O11:O19)</f>
        <v>12070.099999999999</v>
      </c>
      <c r="P10" s="18">
        <f>SUMPRODUCT(O11:O19,P11:P19)/O10</f>
        <v>28.350053860365694</v>
      </c>
      <c r="Q10" s="77">
        <f>P10/N10</f>
        <v>1.1754670424557661</v>
      </c>
    </row>
    <row r="11" spans="1:17" s="1" customFormat="1">
      <c r="A11" s="166" t="s">
        <v>377</v>
      </c>
      <c r="B11" s="13">
        <f>18691.5/2</f>
        <v>9345.75</v>
      </c>
      <c r="C11" s="13">
        <v>23.89</v>
      </c>
      <c r="D11" s="13">
        <f t="shared" ref="D11:D19" si="0">B11</f>
        <v>9345.75</v>
      </c>
      <c r="E11" s="13">
        <v>25.3</v>
      </c>
      <c r="F11" s="78">
        <f t="shared" ref="F11:F19" si="1">(E11*D11)/(C11*B11)</f>
        <v>1.0590205106739221</v>
      </c>
      <c r="G11" s="78" t="s">
        <v>309</v>
      </c>
      <c r="H11" s="167">
        <f>66.269/2</f>
        <v>33.134500000000003</v>
      </c>
      <c r="I11" s="167">
        <v>21.57</v>
      </c>
      <c r="J11" s="167">
        <f>H11</f>
        <v>33.134500000000003</v>
      </c>
      <c r="K11" s="167">
        <v>22.58</v>
      </c>
      <c r="L11" s="78">
        <f>(K11*J11)/(I11*H11)</f>
        <v>1.0468242929995364</v>
      </c>
      <c r="M11" s="13">
        <f>21018.87/2</f>
        <v>10509.434999999999</v>
      </c>
      <c r="N11" s="13">
        <v>19.760000000000002</v>
      </c>
      <c r="O11" s="13">
        <f>M11</f>
        <v>10509.434999999999</v>
      </c>
      <c r="P11" s="13">
        <v>22.88</v>
      </c>
      <c r="Q11" s="78">
        <f>(P11*O11)/(N11*M11)</f>
        <v>1.1578947368421051</v>
      </c>
    </row>
    <row r="12" spans="1:17" s="1" customFormat="1">
      <c r="A12" s="7" t="s">
        <v>30</v>
      </c>
      <c r="B12" s="13">
        <f>7.79/2</f>
        <v>3.895</v>
      </c>
      <c r="C12" s="13">
        <v>9.7200000000000006</v>
      </c>
      <c r="D12" s="13">
        <f t="shared" si="0"/>
        <v>3.895</v>
      </c>
      <c r="E12" s="13">
        <v>10.199999999999999</v>
      </c>
      <c r="F12" s="78">
        <f t="shared" si="1"/>
        <v>1.0493827160493827</v>
      </c>
      <c r="G12" s="78" t="s">
        <v>309</v>
      </c>
      <c r="H12" s="15"/>
      <c r="I12" s="15"/>
      <c r="J12" s="15"/>
      <c r="K12" s="15"/>
      <c r="L12" s="78"/>
      <c r="M12" s="13"/>
      <c r="N12" s="13"/>
      <c r="O12" s="13"/>
      <c r="P12" s="13"/>
      <c r="Q12" s="78"/>
    </row>
    <row r="13" spans="1:17" s="1" customFormat="1">
      <c r="A13" s="7" t="s">
        <v>27</v>
      </c>
      <c r="B13" s="13">
        <f>1117.41/2</f>
        <v>558.70500000000004</v>
      </c>
      <c r="C13" s="13">
        <v>135.32</v>
      </c>
      <c r="D13" s="13">
        <f t="shared" si="0"/>
        <v>558.70500000000004</v>
      </c>
      <c r="E13" s="13">
        <v>148.69</v>
      </c>
      <c r="F13" s="78">
        <f t="shared" si="1"/>
        <v>1.0988028377180019</v>
      </c>
      <c r="G13" s="78" t="s">
        <v>309</v>
      </c>
      <c r="H13" s="15">
        <f>847.45/2</f>
        <v>423.72500000000002</v>
      </c>
      <c r="I13" s="15">
        <v>21.57</v>
      </c>
      <c r="J13" s="15">
        <f>H13</f>
        <v>423.72500000000002</v>
      </c>
      <c r="K13" s="15">
        <v>22.58</v>
      </c>
      <c r="L13" s="78">
        <f t="shared" ref="L13:L15" si="2">(K13*J13)/(I13*H13)</f>
        <v>1.0468242929995362</v>
      </c>
      <c r="M13" s="13">
        <f>906/2</f>
        <v>453</v>
      </c>
      <c r="N13" s="13">
        <v>111.34</v>
      </c>
      <c r="O13" s="13">
        <f>M13</f>
        <v>453</v>
      </c>
      <c r="P13" s="13">
        <v>148.13</v>
      </c>
      <c r="Q13" s="78">
        <f t="shared" ref="Q13" si="3">(P13*O13)/(N13*M13)</f>
        <v>1.3304293156098437</v>
      </c>
    </row>
    <row r="14" spans="1:17" s="1" customFormat="1">
      <c r="A14" s="7" t="s">
        <v>28</v>
      </c>
      <c r="B14" s="13">
        <f>5.8/2</f>
        <v>2.9</v>
      </c>
      <c r="C14" s="13">
        <v>57.32</v>
      </c>
      <c r="D14" s="13">
        <f t="shared" si="0"/>
        <v>2.9</v>
      </c>
      <c r="E14" s="13">
        <v>60</v>
      </c>
      <c r="F14" s="78">
        <f t="shared" si="1"/>
        <v>1.0467550593161199</v>
      </c>
      <c r="G14" s="78" t="s">
        <v>309</v>
      </c>
      <c r="H14" s="15"/>
      <c r="I14" s="15"/>
      <c r="J14" s="15"/>
      <c r="K14" s="15"/>
      <c r="L14" s="78"/>
      <c r="M14" s="13"/>
      <c r="N14" s="13"/>
      <c r="O14" s="13"/>
      <c r="P14" s="13"/>
      <c r="Q14" s="78"/>
    </row>
    <row r="15" spans="1:17" s="1" customFormat="1">
      <c r="A15" s="8" t="s">
        <v>11</v>
      </c>
      <c r="B15" s="13">
        <f>1387.91/2</f>
        <v>693.95500000000004</v>
      </c>
      <c r="C15" s="13">
        <v>38.76</v>
      </c>
      <c r="D15" s="13">
        <f t="shared" si="0"/>
        <v>693.95500000000004</v>
      </c>
      <c r="E15" s="13">
        <v>40.57</v>
      </c>
      <c r="F15" s="78">
        <f t="shared" si="1"/>
        <v>1.0466976264189887</v>
      </c>
      <c r="G15" s="78" t="s">
        <v>309</v>
      </c>
      <c r="H15" s="16">
        <f>1194.27/2</f>
        <v>597.13499999999999</v>
      </c>
      <c r="I15" s="16">
        <v>21.57</v>
      </c>
      <c r="J15" s="15">
        <f>H15</f>
        <v>597.13499999999999</v>
      </c>
      <c r="K15" s="16">
        <v>22.58</v>
      </c>
      <c r="L15" s="78">
        <f t="shared" si="2"/>
        <v>1.0468242929995362</v>
      </c>
      <c r="M15" s="13">
        <f>1827.73/2</f>
        <v>913.86500000000001</v>
      </c>
      <c r="N15" s="13">
        <v>26.12</v>
      </c>
      <c r="O15" s="13">
        <f>M15</f>
        <v>913.86500000000001</v>
      </c>
      <c r="P15" s="13">
        <v>27.36</v>
      </c>
      <c r="Q15" s="78">
        <f>(P15*O15)/(N15*M15)</f>
        <v>1.0474732006125573</v>
      </c>
    </row>
    <row r="16" spans="1:17">
      <c r="A16" s="8" t="s">
        <v>12</v>
      </c>
      <c r="B16" s="13">
        <f>62.1/2</f>
        <v>31.05</v>
      </c>
      <c r="C16" s="13">
        <v>18.079999999999998</v>
      </c>
      <c r="D16" s="13">
        <f t="shared" si="0"/>
        <v>31.05</v>
      </c>
      <c r="E16" s="13">
        <v>35.36</v>
      </c>
      <c r="F16" s="78">
        <f t="shared" si="1"/>
        <v>1.9557522123893807</v>
      </c>
      <c r="G16" s="78" t="s">
        <v>309</v>
      </c>
      <c r="H16" s="15"/>
      <c r="I16" s="15"/>
      <c r="J16" s="15"/>
      <c r="K16" s="15"/>
      <c r="L16" s="78"/>
      <c r="M16" s="13"/>
      <c r="N16" s="13"/>
      <c r="O16" s="13">
        <f>M16</f>
        <v>0</v>
      </c>
      <c r="P16" s="13"/>
      <c r="Q16" s="78"/>
    </row>
    <row r="17" spans="1:18">
      <c r="A17" s="8" t="s">
        <v>15</v>
      </c>
      <c r="B17" s="13">
        <f>(255.069+3.687)/2</f>
        <v>129.37799999999999</v>
      </c>
      <c r="C17" s="13">
        <v>32.71</v>
      </c>
      <c r="D17" s="13">
        <f t="shared" si="0"/>
        <v>129.37799999999999</v>
      </c>
      <c r="E17" s="13">
        <v>34.159999999999997</v>
      </c>
      <c r="F17" s="78">
        <f t="shared" si="1"/>
        <v>1.0443289513910119</v>
      </c>
      <c r="G17" s="78" t="s">
        <v>309</v>
      </c>
      <c r="H17" s="15">
        <f>3.687/2</f>
        <v>1.8434999999999999</v>
      </c>
      <c r="I17" s="15">
        <v>21.57</v>
      </c>
      <c r="J17" s="15">
        <f>H17</f>
        <v>1.8434999999999999</v>
      </c>
      <c r="K17" s="15">
        <v>22.58</v>
      </c>
      <c r="L17" s="78">
        <f>(K17*J17)/(I17*H17)</f>
        <v>1.0468242929995364</v>
      </c>
      <c r="M17" s="13">
        <f>(184.8)/2</f>
        <v>92.4</v>
      </c>
      <c r="N17" s="13">
        <v>52.27</v>
      </c>
      <c r="O17" s="13">
        <f>M17</f>
        <v>92.4</v>
      </c>
      <c r="P17" s="13">
        <v>55.52</v>
      </c>
      <c r="Q17" s="78">
        <f>(P17*O17)/(N17*M17)</f>
        <v>1.0621771570690646</v>
      </c>
    </row>
    <row r="18" spans="1:18">
      <c r="A18" s="8" t="s">
        <v>53</v>
      </c>
      <c r="B18" s="13">
        <f>125.6/2</f>
        <v>62.8</v>
      </c>
      <c r="C18" s="13">
        <v>46.66</v>
      </c>
      <c r="D18" s="13">
        <f>B18</f>
        <v>62.8</v>
      </c>
      <c r="E18" s="13">
        <v>49.52</v>
      </c>
      <c r="F18" s="78">
        <f t="shared" si="1"/>
        <v>1.0612944706386629</v>
      </c>
      <c r="G18" s="78" t="s">
        <v>309</v>
      </c>
      <c r="H18" s="13">
        <f>6.88/2</f>
        <v>3.44</v>
      </c>
      <c r="I18" s="13">
        <v>21.57</v>
      </c>
      <c r="J18" s="13">
        <f>H18</f>
        <v>3.44</v>
      </c>
      <c r="K18" s="13">
        <v>22.58</v>
      </c>
      <c r="L18" s="78">
        <f t="shared" ref="L18" si="4">(K18*J18)/(I18*H18)</f>
        <v>1.0468242929995362</v>
      </c>
      <c r="M18" s="13">
        <f>127.02/2</f>
        <v>63.51</v>
      </c>
      <c r="N18" s="13">
        <v>44.74</v>
      </c>
      <c r="O18" s="13">
        <f>M18</f>
        <v>63.51</v>
      </c>
      <c r="P18" s="13">
        <v>47.51</v>
      </c>
      <c r="Q18" s="78">
        <f t="shared" ref="Q18" si="5">(P18*O18)/(N18*M18)</f>
        <v>1.0619132767098791</v>
      </c>
      <c r="R18" t="s">
        <v>392</v>
      </c>
    </row>
    <row r="19" spans="1:18">
      <c r="A19" s="8" t="s">
        <v>13</v>
      </c>
      <c r="B19" s="13">
        <f>37.58/2</f>
        <v>18.79</v>
      </c>
      <c r="C19" s="13">
        <v>52.5</v>
      </c>
      <c r="D19" s="13">
        <f t="shared" si="0"/>
        <v>18.79</v>
      </c>
      <c r="E19" s="13">
        <v>52.5</v>
      </c>
      <c r="F19" s="78">
        <f t="shared" si="1"/>
        <v>1</v>
      </c>
      <c r="G19" s="78"/>
      <c r="H19" s="15"/>
      <c r="I19" s="15"/>
      <c r="J19" s="15"/>
      <c r="K19" s="15"/>
      <c r="L19" s="78"/>
      <c r="M19" s="13">
        <f>75.78/2</f>
        <v>37.89</v>
      </c>
      <c r="N19" s="13">
        <v>38.619999999999997</v>
      </c>
      <c r="O19" s="13">
        <f>M19</f>
        <v>37.89</v>
      </c>
      <c r="P19" s="13">
        <v>39.020000000000003</v>
      </c>
      <c r="Q19" s="78">
        <f>(P19*O19)/(N19*M19)</f>
        <v>1.0103573278094253</v>
      </c>
    </row>
    <row r="20" spans="1:18">
      <c r="A20" s="10" t="s">
        <v>31</v>
      </c>
      <c r="B20" s="18" t="e">
        <f>SUM(#REF!)</f>
        <v>#REF!</v>
      </c>
      <c r="C20" s="18" t="e">
        <f>SUMPRODUCT(#REF!,#REF!)/B20</f>
        <v>#REF!</v>
      </c>
      <c r="D20" s="18" t="e">
        <f>SUM(#REF!)</f>
        <v>#REF!</v>
      </c>
      <c r="E20" s="18" t="e">
        <f>SUMPRODUCT(#REF!,#REF!)/D20</f>
        <v>#REF!</v>
      </c>
      <c r="F20" s="77" t="e">
        <f>E20/C20</f>
        <v>#REF!</v>
      </c>
      <c r="G20" s="77"/>
      <c r="H20" s="18"/>
      <c r="I20" s="18"/>
      <c r="J20" s="18"/>
      <c r="K20" s="18"/>
      <c r="L20" s="77"/>
      <c r="M20" s="18" t="e">
        <f>SUM(#REF!)</f>
        <v>#REF!</v>
      </c>
      <c r="N20" s="18" t="e">
        <f>SUMPRODUCT(#REF!,#REF!)/M20</f>
        <v>#REF!</v>
      </c>
      <c r="O20" s="18" t="e">
        <f>SUM(#REF!)</f>
        <v>#REF!</v>
      </c>
      <c r="P20" s="18" t="e">
        <f>SUMPRODUCT(#REF!,#REF!)/O20</f>
        <v>#REF!</v>
      </c>
      <c r="Q20" s="77" t="e">
        <f>P20/N20</f>
        <v>#REF!</v>
      </c>
      <c r="R20" s="159"/>
    </row>
    <row r="21" spans="1:18">
      <c r="A21" s="10" t="s">
        <v>55</v>
      </c>
      <c r="B21" s="18">
        <f>SUM(B22:B24)</f>
        <v>2063.4050000000002</v>
      </c>
      <c r="C21" s="18">
        <f>SUMPRODUCT(B22:B24,C22:C24)/B21</f>
        <v>34.540719611515911</v>
      </c>
      <c r="D21" s="18">
        <f>SUM(D22:D24)</f>
        <v>2063.4050000000002</v>
      </c>
      <c r="E21" s="18">
        <f>SUMPRODUCT(D22:D24,E22:E24)/D21</f>
        <v>36.648427187100928</v>
      </c>
      <c r="F21" s="77">
        <f>E21/C21</f>
        <v>1.061020951482502</v>
      </c>
      <c r="G21" s="77"/>
      <c r="H21" s="18">
        <f>SUM(H22:H24)</f>
        <v>950.94499999999994</v>
      </c>
      <c r="I21" s="18">
        <f>SUMPRODUCT(H22:H24,I22:I24)/H21</f>
        <v>20.93</v>
      </c>
      <c r="J21" s="18">
        <f>SUM(J22:J24)</f>
        <v>950.94499999999994</v>
      </c>
      <c r="K21" s="18">
        <f>SUMPRODUCT(J22:J24,K22:K24)/J21</f>
        <v>21.949328720378151</v>
      </c>
      <c r="L21" s="77">
        <f>K21/I21</f>
        <v>1.0487018022158696</v>
      </c>
      <c r="M21" s="18">
        <f>SUM(M22:M24)</f>
        <v>1945.2950000000001</v>
      </c>
      <c r="N21" s="18">
        <f>SUMPRODUCT(M22:M24,N22:N24)/M21</f>
        <v>27.691892052362235</v>
      </c>
      <c r="O21" s="18">
        <f>SUM(O22:O24)</f>
        <v>1945.2950000000001</v>
      </c>
      <c r="P21" s="18">
        <f>SUMPRODUCT(O22:O24,P22:P24)/O21</f>
        <v>29.914735271514086</v>
      </c>
      <c r="Q21" s="77">
        <f>P21/N21</f>
        <v>1.0802705432676361</v>
      </c>
    </row>
    <row r="22" spans="1:18" hidden="1">
      <c r="A22" s="2" t="s">
        <v>56</v>
      </c>
      <c r="B22" s="13">
        <f>2180.07/2</f>
        <v>1090.0350000000001</v>
      </c>
      <c r="C22" s="13">
        <v>20.93</v>
      </c>
      <c r="D22" s="13">
        <f>B22</f>
        <v>1090.0350000000001</v>
      </c>
      <c r="E22" s="13">
        <v>21.92</v>
      </c>
      <c r="F22" s="78">
        <f>(E22*D22)/(C22*B22)</f>
        <v>1.0473005255613952</v>
      </c>
      <c r="G22" s="78" t="s">
        <v>226</v>
      </c>
      <c r="H22" s="22">
        <f>1790.33/2</f>
        <v>895.16499999999996</v>
      </c>
      <c r="I22" s="22">
        <v>20.93</v>
      </c>
      <c r="J22" s="22">
        <f>H22</f>
        <v>895.16499999999996</v>
      </c>
      <c r="K22" s="22">
        <v>21.92</v>
      </c>
      <c r="L22" s="78">
        <f t="shared" ref="L22:L23" si="6">(K22*J22)/(I22*H22)</f>
        <v>1.0473005255613952</v>
      </c>
      <c r="M22" s="13">
        <f>2024.78/2</f>
        <v>1012.39</v>
      </c>
      <c r="N22" s="13">
        <v>18.59</v>
      </c>
      <c r="O22" s="13">
        <f>M22</f>
        <v>1012.39</v>
      </c>
      <c r="P22" s="13">
        <v>20.66</v>
      </c>
      <c r="Q22" s="78">
        <f>(P22*O22)/(N22*M22)</f>
        <v>1.1113501882732653</v>
      </c>
    </row>
    <row r="23" spans="1:18" hidden="1">
      <c r="A23" s="2" t="s">
        <v>57</v>
      </c>
      <c r="B23" s="13">
        <f>396.74/2</f>
        <v>198.37</v>
      </c>
      <c r="C23" s="13">
        <v>40.299999999999997</v>
      </c>
      <c r="D23" s="13">
        <f>B23</f>
        <v>198.37</v>
      </c>
      <c r="E23" s="13">
        <v>43.11</v>
      </c>
      <c r="F23" s="78">
        <f>(E23*D23)/(C23*B23)</f>
        <v>1.069727047146402</v>
      </c>
      <c r="G23" s="78" t="s">
        <v>226</v>
      </c>
      <c r="H23" s="22">
        <f>111.56/2</f>
        <v>55.78</v>
      </c>
      <c r="I23" s="22">
        <v>20.93</v>
      </c>
      <c r="J23" s="22">
        <f t="shared" ref="J23" si="7">H23</f>
        <v>55.78</v>
      </c>
      <c r="K23" s="22">
        <v>22.42</v>
      </c>
      <c r="L23" s="78">
        <f t="shared" si="6"/>
        <v>1.071189679885332</v>
      </c>
      <c r="M23" s="13">
        <f>580.81/2</f>
        <v>290.40499999999997</v>
      </c>
      <c r="N23" s="13">
        <v>28.01</v>
      </c>
      <c r="O23" s="13">
        <f t="shared" ref="O23:O24" si="8">M23</f>
        <v>290.40499999999997</v>
      </c>
      <c r="P23" s="13">
        <v>29.71</v>
      </c>
      <c r="Q23" s="78">
        <f t="shared" ref="Q23:Q24" si="9">(P23*O23)/(N23*M23)</f>
        <v>1.0606926097822207</v>
      </c>
    </row>
    <row r="24" spans="1:18" hidden="1">
      <c r="A24" s="2" t="s">
        <v>57</v>
      </c>
      <c r="B24" s="13">
        <v>775</v>
      </c>
      <c r="C24" s="13">
        <v>52.21</v>
      </c>
      <c r="D24" s="13">
        <f>B24</f>
        <v>775</v>
      </c>
      <c r="E24" s="13">
        <v>55.71</v>
      </c>
      <c r="F24" s="78">
        <f>(E24*D24)/(C24*B24)</f>
        <v>1.0670369660984487</v>
      </c>
      <c r="G24" s="78"/>
      <c r="H24" s="22"/>
      <c r="I24" s="22"/>
      <c r="J24" s="22"/>
      <c r="K24" s="22"/>
      <c r="L24" s="78"/>
      <c r="M24" s="13">
        <f>1285/2</f>
        <v>642.5</v>
      </c>
      <c r="N24" s="13">
        <v>41.89</v>
      </c>
      <c r="O24" s="13">
        <f t="shared" si="8"/>
        <v>642.5</v>
      </c>
      <c r="P24" s="13">
        <v>44.59</v>
      </c>
      <c r="Q24" s="78">
        <f t="shared" si="9"/>
        <v>1.0644545237526857</v>
      </c>
    </row>
    <row r="25" spans="1:18" s="1" customFormat="1">
      <c r="A25" s="10" t="s">
        <v>14</v>
      </c>
      <c r="B25" s="20">
        <f>SUM(B26:B28)</f>
        <v>1920.192</v>
      </c>
      <c r="C25" s="20">
        <f>SUMPRODUCT(B26:B28,C26:C28)/B25</f>
        <v>10.247535871412859</v>
      </c>
      <c r="D25" s="20">
        <f>SUM(D26:D28)</f>
        <v>1920.192</v>
      </c>
      <c r="E25" s="20">
        <f>SUMPRODUCT(D26:D28,E26:E28)/D25</f>
        <v>10.308914108589143</v>
      </c>
      <c r="F25" s="79">
        <f>E25/C25</f>
        <v>1.0059895606072</v>
      </c>
      <c r="G25" s="79"/>
      <c r="H25" s="20">
        <f>SUM(H26:H28)</f>
        <v>726.42499999999995</v>
      </c>
      <c r="I25" s="20">
        <f>SUMPRODUCT(H26:H28,I26:I28)/H25</f>
        <v>17.2</v>
      </c>
      <c r="J25" s="20">
        <f>SUM(J26:J28)</f>
        <v>726.42499999999995</v>
      </c>
      <c r="K25" s="20">
        <f>SUMPRODUCT(J26:J28,K26:K28)/J25</f>
        <v>17.3</v>
      </c>
      <c r="L25" s="79">
        <f>K25/I25</f>
        <v>1.0058139534883721</v>
      </c>
      <c r="M25" s="18">
        <f>SUM(M26:M28)</f>
        <v>1977.0435000000002</v>
      </c>
      <c r="N25" s="18">
        <f>SUMPRODUCT(M26:M28,N26:N28)/M25</f>
        <v>14.11663817715695</v>
      </c>
      <c r="O25" s="18">
        <f>SUM(O26:O28)</f>
        <v>1977.0435000000002</v>
      </c>
      <c r="P25" s="18">
        <f>SUMPRODUCT(O26:O28,P26:P28)/O25</f>
        <v>15.078327629108816</v>
      </c>
      <c r="Q25" s="77">
        <f>P25/N25</f>
        <v>1.0681245378597319</v>
      </c>
    </row>
    <row r="26" spans="1:18">
      <c r="A26" s="2" t="s">
        <v>16</v>
      </c>
      <c r="B26" s="13">
        <v>709.11199999999997</v>
      </c>
      <c r="C26" s="13">
        <v>5.45</v>
      </c>
      <c r="D26" s="13">
        <f>B26</f>
        <v>709.11199999999997</v>
      </c>
      <c r="E26" s="13">
        <v>5.45</v>
      </c>
      <c r="F26" s="78">
        <f>(E26*D26)/(C26*B26)</f>
        <v>1</v>
      </c>
      <c r="G26" s="78"/>
      <c r="H26" s="16"/>
      <c r="I26" s="16"/>
      <c r="J26" s="16"/>
      <c r="K26" s="16"/>
      <c r="L26" s="78"/>
      <c r="M26" s="13">
        <v>726.18700000000001</v>
      </c>
      <c r="N26" s="13">
        <v>8.84</v>
      </c>
      <c r="O26" s="13">
        <f>M26</f>
        <v>726.18700000000001</v>
      </c>
      <c r="P26" s="13">
        <v>8.84</v>
      </c>
      <c r="Q26" s="78">
        <f>(P26*O26)/(N26*M26)</f>
        <v>1</v>
      </c>
    </row>
    <row r="27" spans="1:18">
      <c r="A27" s="2" t="s">
        <v>16</v>
      </c>
      <c r="B27" s="13">
        <v>325</v>
      </c>
      <c r="C27" s="13">
        <v>1.76</v>
      </c>
      <c r="D27" s="13">
        <v>325</v>
      </c>
      <c r="E27" s="13">
        <v>1.85</v>
      </c>
      <c r="F27" s="78">
        <f>(E27*D27)/(C27*B27)</f>
        <v>1.0511363636363635</v>
      </c>
      <c r="G27" s="78"/>
      <c r="H27" s="16"/>
      <c r="I27" s="16"/>
      <c r="J27" s="16"/>
      <c r="K27" s="16"/>
      <c r="L27" s="78"/>
      <c r="M27" s="13"/>
      <c r="N27" s="13"/>
      <c r="O27" s="13"/>
      <c r="P27" s="13"/>
      <c r="Q27" s="78"/>
    </row>
    <row r="28" spans="1:18">
      <c r="A28" s="2" t="s">
        <v>17</v>
      </c>
      <c r="B28" s="13">
        <v>886.08</v>
      </c>
      <c r="C28" s="13">
        <v>17.2</v>
      </c>
      <c r="D28" s="13">
        <f>B28</f>
        <v>886.08</v>
      </c>
      <c r="E28" s="13">
        <v>17.3</v>
      </c>
      <c r="F28" s="78">
        <f>(E28*D28)/(C28*B28)</f>
        <v>1.0058139534883721</v>
      </c>
      <c r="G28" s="78"/>
      <c r="H28" s="16">
        <v>726.42499999999995</v>
      </c>
      <c r="I28" s="16">
        <v>17.2</v>
      </c>
      <c r="J28" s="16">
        <f>H28</f>
        <v>726.42499999999995</v>
      </c>
      <c r="K28" s="16">
        <v>17.3</v>
      </c>
      <c r="L28" s="78">
        <f t="shared" ref="L28" si="10">(K28*J28)/(I28*H28)</f>
        <v>1.0058139534883723</v>
      </c>
      <c r="M28" s="13">
        <f>2501.713/2</f>
        <v>1250.8565000000001</v>
      </c>
      <c r="N28" s="13">
        <v>17.18</v>
      </c>
      <c r="O28" s="13">
        <f>M28</f>
        <v>1250.8565000000001</v>
      </c>
      <c r="P28" s="13">
        <v>18.7</v>
      </c>
      <c r="Q28" s="78">
        <f>(P28*O28)/(N28*M28)</f>
        <v>1.088474970896391</v>
      </c>
    </row>
    <row r="29" spans="1:18">
      <c r="A29" s="10" t="s">
        <v>180</v>
      </c>
      <c r="B29" s="53">
        <f>SUM(B30:B36)</f>
        <v>14057.858999999999</v>
      </c>
      <c r="C29" s="53">
        <f>SUMPRODUCT(B30:B36,C30:C36)/B29</f>
        <v>22.253153259682005</v>
      </c>
      <c r="D29" s="53">
        <f>SUM(D30:D36)</f>
        <v>14057.858999999999</v>
      </c>
      <c r="E29" s="53">
        <f>SUMPRODUCT(D30:D36,E30:E36)/D29</f>
        <v>23.396490445664597</v>
      </c>
      <c r="F29" s="80">
        <f>E29/C29</f>
        <v>1.0513786595832275</v>
      </c>
      <c r="G29" s="80"/>
      <c r="H29" s="53">
        <f>SUM(H30:H36)</f>
        <v>3254.8249999999998</v>
      </c>
      <c r="I29" s="53">
        <f>SUMPRODUCT(H30:H36,I30:I36)/H29</f>
        <v>22.297321054127334</v>
      </c>
      <c r="J29" s="53">
        <f>SUM(J30:J36)</f>
        <v>3254.8249999999998</v>
      </c>
      <c r="K29" s="53">
        <f>SUMPRODUCT(J30:J36,K30:K36)/J29</f>
        <v>23.47</v>
      </c>
      <c r="L29" s="80">
        <f>K29/I29</f>
        <v>1.0525928179006776</v>
      </c>
      <c r="M29" s="53">
        <f>SUM(M30:M36)</f>
        <v>10083.5365</v>
      </c>
      <c r="N29" s="53">
        <f>SUMPRODUCT(M30:M36,N30:N36)/M29</f>
        <v>22.653672788311916</v>
      </c>
      <c r="O29" s="53">
        <f>SUM(O30:O36)</f>
        <v>10083.5365</v>
      </c>
      <c r="P29" s="53">
        <f>SUMPRODUCT(O30:O36,P30:P36)/O29</f>
        <v>23.752836426485885</v>
      </c>
      <c r="Q29" s="80">
        <f>P29/N29</f>
        <v>1.048520328180121</v>
      </c>
    </row>
    <row r="30" spans="1:18">
      <c r="A30" s="6" t="s">
        <v>181</v>
      </c>
      <c r="B30" s="57">
        <f>25724.898/2-3100/2</f>
        <v>11312.449000000001</v>
      </c>
      <c r="C30" s="57">
        <v>22.27</v>
      </c>
      <c r="D30" s="57">
        <f>B30</f>
        <v>11312.449000000001</v>
      </c>
      <c r="E30" s="57">
        <v>23.47</v>
      </c>
      <c r="F30" s="81">
        <f>(E30*D30)/(C30*B30)</f>
        <v>1.053884149079479</v>
      </c>
      <c r="G30" s="81"/>
      <c r="H30" s="54">
        <f>5323.98/2</f>
        <v>2661.99</v>
      </c>
      <c r="I30" s="54">
        <v>22.27</v>
      </c>
      <c r="J30" s="54">
        <f>H30</f>
        <v>2661.99</v>
      </c>
      <c r="K30" s="54">
        <v>23.47</v>
      </c>
      <c r="L30" s="83">
        <f>(K30*J30)/(I30*H30)</f>
        <v>1.053884149079479</v>
      </c>
      <c r="M30" s="54">
        <f>17258/2</f>
        <v>8629</v>
      </c>
      <c r="N30" s="54">
        <v>22.13</v>
      </c>
      <c r="O30" s="54">
        <f>M30</f>
        <v>8629</v>
      </c>
      <c r="P30" s="54">
        <v>23.24</v>
      </c>
      <c r="Q30" s="83">
        <f>(P30*O30)/(N30*M30)</f>
        <v>1.0501581563488478</v>
      </c>
    </row>
    <row r="31" spans="1:18">
      <c r="A31" s="6" t="s">
        <v>182</v>
      </c>
      <c r="B31" s="57">
        <f>2510/2</f>
        <v>1255</v>
      </c>
      <c r="C31" s="57">
        <v>2.1</v>
      </c>
      <c r="D31" s="57">
        <f>B31</f>
        <v>1255</v>
      </c>
      <c r="E31" s="57">
        <v>2.96</v>
      </c>
      <c r="F31" s="81">
        <f>(E31*D31)/(C31*B31)</f>
        <v>1.4095238095238096</v>
      </c>
      <c r="G31" s="81"/>
      <c r="H31" s="54"/>
      <c r="I31" s="54"/>
      <c r="J31" s="54"/>
      <c r="K31" s="54"/>
      <c r="L31" s="85"/>
      <c r="M31" s="54"/>
      <c r="N31" s="54"/>
      <c r="O31" s="54"/>
      <c r="P31" s="54"/>
      <c r="Q31" s="85"/>
    </row>
    <row r="32" spans="1:18" hidden="1">
      <c r="A32" s="2" t="s">
        <v>188</v>
      </c>
      <c r="B32" s="11">
        <f>2.09/2</f>
        <v>1.0449999999999999</v>
      </c>
      <c r="C32" s="11">
        <v>5.62</v>
      </c>
      <c r="D32" s="11">
        <f>B32</f>
        <v>1.0449999999999999</v>
      </c>
      <c r="E32" s="11">
        <v>5.77</v>
      </c>
      <c r="F32" s="82">
        <f>(E32*D32)/(C32*B32)</f>
        <v>1.0266903914590746</v>
      </c>
      <c r="G32" s="82"/>
      <c r="H32" s="13"/>
      <c r="I32" s="13"/>
      <c r="J32" s="13"/>
      <c r="K32" s="13"/>
      <c r="L32" s="78"/>
      <c r="M32" s="13"/>
      <c r="N32" s="13"/>
      <c r="O32" s="13"/>
      <c r="P32" s="13"/>
      <c r="Q32" s="78"/>
    </row>
    <row r="33" spans="1:18" hidden="1">
      <c r="A33" s="2" t="s">
        <v>53</v>
      </c>
      <c r="B33" s="11">
        <f>136.84/2</f>
        <v>68.42</v>
      </c>
      <c r="C33" s="11">
        <v>75.14</v>
      </c>
      <c r="D33" s="11">
        <f>B33</f>
        <v>68.42</v>
      </c>
      <c r="E33" s="11">
        <v>76.77</v>
      </c>
      <c r="F33" s="82">
        <f t="shared" ref="F33:F35" si="11">(E33*D33)/(C33*B33)</f>
        <v>1.0216928400319403</v>
      </c>
      <c r="G33" s="82"/>
      <c r="H33" s="13"/>
      <c r="I33" s="13"/>
      <c r="J33" s="13"/>
      <c r="K33" s="13"/>
      <c r="L33" s="78"/>
      <c r="M33" s="13">
        <f>136.84/2</f>
        <v>68.42</v>
      </c>
      <c r="N33" s="13">
        <v>72.7</v>
      </c>
      <c r="O33" s="13">
        <f>M33</f>
        <v>68.42</v>
      </c>
      <c r="P33" s="13">
        <v>76.040000000000006</v>
      </c>
      <c r="Q33" s="78">
        <f t="shared" ref="Q33:Q35" si="12">(P33*O33)/(N33*M33)</f>
        <v>1.0459422283356259</v>
      </c>
    </row>
    <row r="34" spans="1:18">
      <c r="A34" s="2" t="s">
        <v>189</v>
      </c>
      <c r="B34" s="11">
        <f>98.19/2</f>
        <v>49.094999999999999</v>
      </c>
      <c r="C34" s="11">
        <v>87.02</v>
      </c>
      <c r="D34" s="11">
        <f t="shared" ref="D34:D35" si="13">B34</f>
        <v>49.094999999999999</v>
      </c>
      <c r="E34" s="11">
        <v>96.16</v>
      </c>
      <c r="F34" s="82">
        <f t="shared" si="11"/>
        <v>1.1050333256722591</v>
      </c>
      <c r="G34" s="82" t="s">
        <v>228</v>
      </c>
      <c r="H34" s="13">
        <f>29.56/2</f>
        <v>14.78</v>
      </c>
      <c r="I34" s="13">
        <v>22.42</v>
      </c>
      <c r="J34" s="13">
        <f t="shared" ref="J34:J35" si="14">H34</f>
        <v>14.78</v>
      </c>
      <c r="K34" s="13">
        <v>23.47</v>
      </c>
      <c r="L34" s="78">
        <f t="shared" ref="L34:L36" si="15">(K34*J34)/(I34*H34)</f>
        <v>1.0468331846565564</v>
      </c>
      <c r="M34" s="13">
        <f>69.6/2</f>
        <v>34.799999999999997</v>
      </c>
      <c r="N34" s="13">
        <v>54.98</v>
      </c>
      <c r="O34" s="13">
        <f t="shared" ref="O34:O35" si="16">M34</f>
        <v>34.799999999999997</v>
      </c>
      <c r="P34" s="13">
        <v>59.27</v>
      </c>
      <c r="Q34" s="78">
        <f t="shared" si="12"/>
        <v>1.0780283739541654</v>
      </c>
      <c r="R34" t="s">
        <v>392</v>
      </c>
    </row>
    <row r="35" spans="1:18" hidden="1">
      <c r="A35" s="2" t="s">
        <v>190</v>
      </c>
      <c r="B35" s="11">
        <f>56.1/2</f>
        <v>28.05</v>
      </c>
      <c r="C35" s="11">
        <v>40.299999999999997</v>
      </c>
      <c r="D35" s="11">
        <f t="shared" si="13"/>
        <v>28.05</v>
      </c>
      <c r="E35" s="11">
        <v>43.11</v>
      </c>
      <c r="F35" s="82">
        <f t="shared" si="11"/>
        <v>1.069727047146402</v>
      </c>
      <c r="G35" s="82" t="s">
        <v>228</v>
      </c>
      <c r="H35" s="13">
        <f>36.11/2</f>
        <v>18.055</v>
      </c>
      <c r="I35" s="13">
        <v>22.42</v>
      </c>
      <c r="J35" s="13">
        <f t="shared" si="14"/>
        <v>18.055</v>
      </c>
      <c r="K35" s="13">
        <v>23.47</v>
      </c>
      <c r="L35" s="78">
        <f t="shared" si="15"/>
        <v>1.0468331846565564</v>
      </c>
      <c r="M35" s="13">
        <f>73.9/2</f>
        <v>36.950000000000003</v>
      </c>
      <c r="N35" s="13">
        <v>28.01</v>
      </c>
      <c r="O35" s="13">
        <f t="shared" si="16"/>
        <v>36.950000000000003</v>
      </c>
      <c r="P35" s="13">
        <v>29.71</v>
      </c>
      <c r="Q35" s="78">
        <f t="shared" si="12"/>
        <v>1.0606926097822207</v>
      </c>
    </row>
    <row r="36" spans="1:18">
      <c r="A36" s="6" t="s">
        <v>359</v>
      </c>
      <c r="B36" s="57">
        <f>2687.6/2</f>
        <v>1343.8</v>
      </c>
      <c r="C36" s="57">
        <v>35.51</v>
      </c>
      <c r="D36" s="57">
        <f>B36</f>
        <v>1343.8</v>
      </c>
      <c r="E36" s="57">
        <v>36.090000000000003</v>
      </c>
      <c r="F36" s="81">
        <f>(E36*D36)/(C36*B36)</f>
        <v>1.0163334272036049</v>
      </c>
      <c r="G36" s="81" t="s">
        <v>228</v>
      </c>
      <c r="H36" s="54">
        <f>1120/2</f>
        <v>560</v>
      </c>
      <c r="I36" s="54">
        <v>22.42</v>
      </c>
      <c r="J36" s="54">
        <f>H36</f>
        <v>560</v>
      </c>
      <c r="K36" s="54">
        <v>23.47</v>
      </c>
      <c r="L36" s="83">
        <f t="shared" si="15"/>
        <v>1.0468331846565564</v>
      </c>
      <c r="M36" s="54">
        <f>2628.733/2</f>
        <v>1314.3665000000001</v>
      </c>
      <c r="N36" s="54">
        <v>22.48</v>
      </c>
      <c r="O36" s="54">
        <f>M36</f>
        <v>1314.3665000000001</v>
      </c>
      <c r="P36" s="54">
        <v>23.29</v>
      </c>
      <c r="Q36" s="83">
        <f>(P36*O36)/(N36*M36)</f>
        <v>1.0360320284697508</v>
      </c>
    </row>
    <row r="37" spans="1:18">
      <c r="A37" s="10" t="s">
        <v>184</v>
      </c>
      <c r="B37" s="53">
        <f>SUM(B38:B41)</f>
        <v>13.5</v>
      </c>
      <c r="C37" s="53">
        <f>SUMPRODUCT(B38:B41,C38:C41)/B37</f>
        <v>40.299999999999997</v>
      </c>
      <c r="D37" s="53">
        <f>SUM(D38:D41)</f>
        <v>13.5</v>
      </c>
      <c r="E37" s="53">
        <f>SUMPRODUCT(D38:D41,E38:E41)/D37</f>
        <v>43.11</v>
      </c>
      <c r="F37" s="80">
        <f>E37/C37</f>
        <v>1.069727047146402</v>
      </c>
      <c r="G37" s="80"/>
      <c r="H37" s="53">
        <f>SUM(H38:H41)</f>
        <v>253.64599999999999</v>
      </c>
      <c r="I37" s="53">
        <f>SUMPRODUCT(H38:H41,I38:I41)/H37</f>
        <v>25.761303233640586</v>
      </c>
      <c r="J37" s="53">
        <f>SUM(J38:J41)</f>
        <v>253.64599999999999</v>
      </c>
      <c r="K37" s="53">
        <f>SUMPRODUCT(J38:J41,K38:K41)/J37</f>
        <v>27.593134604921822</v>
      </c>
      <c r="L37" s="80">
        <f>K37/I37</f>
        <v>1.0711078688320832</v>
      </c>
      <c r="M37" s="53">
        <f>SUM(M38:M41)</f>
        <v>2313.84</v>
      </c>
      <c r="N37" s="53">
        <f>SUMPRODUCT(M38:M41,N38:N41)/M37</f>
        <v>28.00516375375998</v>
      </c>
      <c r="O37" s="53">
        <f>SUM(O38:O41)</f>
        <v>2313.84</v>
      </c>
      <c r="P37" s="53">
        <f>SUMPRODUCT(O38:O41,P38:P41)/O37</f>
        <v>29.100166951906786</v>
      </c>
      <c r="Q37" s="80">
        <f>P37/N37</f>
        <v>1.039100046254855</v>
      </c>
    </row>
    <row r="38" spans="1:18">
      <c r="A38" s="164" t="s">
        <v>374</v>
      </c>
      <c r="B38" s="164" t="s">
        <v>229</v>
      </c>
      <c r="C38" s="54">
        <v>31.52</v>
      </c>
      <c r="D38" s="54" t="str">
        <f>B38</f>
        <v>Котлас</v>
      </c>
      <c r="E38" s="54">
        <v>33.72</v>
      </c>
      <c r="F38" s="83" t="e">
        <f>(E38*D38)/(C38*B38)</f>
        <v>#VALUE!</v>
      </c>
      <c r="G38" s="83" t="s">
        <v>229</v>
      </c>
      <c r="H38" s="165">
        <f>307.26/2</f>
        <v>153.63</v>
      </c>
      <c r="I38" s="165">
        <v>25.95</v>
      </c>
      <c r="J38" s="165">
        <f>H38</f>
        <v>153.63</v>
      </c>
      <c r="K38" s="165">
        <v>27.8</v>
      </c>
      <c r="L38" s="83">
        <f>(K38*J38)/(I38*H38)</f>
        <v>1.071290944123314</v>
      </c>
      <c r="M38" s="54">
        <f>3445/2</f>
        <v>1722.5</v>
      </c>
      <c r="N38" s="54">
        <v>24.29</v>
      </c>
      <c r="O38" s="54">
        <f>M38</f>
        <v>1722.5</v>
      </c>
      <c r="P38" s="54">
        <v>25.13</v>
      </c>
      <c r="Q38" s="83">
        <f>(P38*O38)/(N38*M38)</f>
        <v>1.0345821325648414</v>
      </c>
    </row>
    <row r="39" spans="1:18">
      <c r="A39" s="164" t="s">
        <v>375</v>
      </c>
      <c r="B39" s="164" t="s">
        <v>229</v>
      </c>
      <c r="C39" s="54">
        <v>16.059999999999999</v>
      </c>
      <c r="D39" s="54" t="str">
        <f>B39</f>
        <v>Котлас</v>
      </c>
      <c r="E39" s="54">
        <v>16.059999999999999</v>
      </c>
      <c r="F39" s="83" t="e">
        <f>(E39*D39)/(C39*B39)</f>
        <v>#VALUE!</v>
      </c>
      <c r="G39" s="83" t="s">
        <v>229</v>
      </c>
      <c r="H39" s="165">
        <f>180.612/2</f>
        <v>90.305999999999997</v>
      </c>
      <c r="I39" s="165">
        <v>25.42</v>
      </c>
      <c r="J39" s="165">
        <f>H39</f>
        <v>90.305999999999997</v>
      </c>
      <c r="K39" s="165">
        <v>27.22</v>
      </c>
      <c r="L39" s="85"/>
      <c r="M39" s="54"/>
      <c r="N39" s="54"/>
      <c r="O39" s="54"/>
      <c r="P39" s="54"/>
      <c r="Q39" s="85"/>
    </row>
    <row r="40" spans="1:18" hidden="1">
      <c r="A40" s="2" t="s">
        <v>191</v>
      </c>
      <c r="B40" s="11">
        <f>27/2</f>
        <v>13.5</v>
      </c>
      <c r="C40" s="11">
        <v>40.299999999999997</v>
      </c>
      <c r="D40" s="11">
        <f>B40</f>
        <v>13.5</v>
      </c>
      <c r="E40" s="11">
        <v>43.11</v>
      </c>
      <c r="F40" s="78">
        <f t="shared" ref="F40" si="17">(E40*D40)/(C40*B40)</f>
        <v>1.0697270471464022</v>
      </c>
      <c r="G40" s="78" t="s">
        <v>229</v>
      </c>
      <c r="H40" s="13">
        <f>18.62/2</f>
        <v>9.31</v>
      </c>
      <c r="I40" s="13">
        <v>25.95</v>
      </c>
      <c r="J40" s="13">
        <f>H40</f>
        <v>9.31</v>
      </c>
      <c r="K40" s="13">
        <v>27.79</v>
      </c>
      <c r="L40" s="78">
        <f t="shared" ref="L40:L41" si="18">(K40*J40)/(I40*H40)</f>
        <v>1.0709055876685933</v>
      </c>
      <c r="M40" s="13">
        <f>18.62/2</f>
        <v>9.31</v>
      </c>
      <c r="N40" s="13">
        <v>28.01</v>
      </c>
      <c r="O40" s="13">
        <f>M40</f>
        <v>9.31</v>
      </c>
      <c r="P40" s="13">
        <v>29.71</v>
      </c>
      <c r="Q40" s="78">
        <f t="shared" ref="Q40:Q41" si="19">(P40*O40)/(N40*M40)</f>
        <v>1.0606926097822205</v>
      </c>
    </row>
    <row r="41" spans="1:18">
      <c r="A41" s="164" t="s">
        <v>376</v>
      </c>
      <c r="B41" s="164" t="s">
        <v>229</v>
      </c>
      <c r="C41" s="54">
        <v>41.75</v>
      </c>
      <c r="D41" s="54" t="str">
        <f>B41</f>
        <v>Котлас</v>
      </c>
      <c r="E41" s="54">
        <f>41.75</f>
        <v>41.75</v>
      </c>
      <c r="F41" s="83" t="e">
        <f>(E41*D41)/(C41*B41)</f>
        <v>#VALUE!</v>
      </c>
      <c r="G41" s="83" t="s">
        <v>229</v>
      </c>
      <c r="H41" s="165">
        <f>0.8/2</f>
        <v>0.4</v>
      </c>
      <c r="I41" s="165">
        <v>25.95</v>
      </c>
      <c r="J41" s="165">
        <f t="shared" ref="J41" si="20">H41</f>
        <v>0.4</v>
      </c>
      <c r="K41" s="165">
        <v>27.8</v>
      </c>
      <c r="L41" s="83">
        <f t="shared" si="18"/>
        <v>1.071290944123314</v>
      </c>
      <c r="M41" s="54">
        <f>1164.06/2</f>
        <v>582.03</v>
      </c>
      <c r="N41" s="54">
        <v>39</v>
      </c>
      <c r="O41" s="54">
        <f>M41</f>
        <v>582.03</v>
      </c>
      <c r="P41" s="54">
        <v>40.840000000000003</v>
      </c>
      <c r="Q41" s="83">
        <f t="shared" si="19"/>
        <v>1.0471794871794873</v>
      </c>
    </row>
    <row r="42" spans="1:18" s="24" customFormat="1" ht="29.25" customHeight="1">
      <c r="A42" s="25" t="s">
        <v>18</v>
      </c>
      <c r="B42" s="18">
        <f>SUM(B43:B50)</f>
        <v>116.78150000000001</v>
      </c>
      <c r="C42" s="18">
        <f>SUMPRODUCT(B43:B50,C43:C50)/B42</f>
        <v>57.438001395769021</v>
      </c>
      <c r="D42" s="18">
        <f>SUM(D43:D50)</f>
        <v>116.78150000000001</v>
      </c>
      <c r="E42" s="18">
        <f>SUMPRODUCT(D43:D50,E43:E50)/D42</f>
        <v>58.499699738400338</v>
      </c>
      <c r="F42" s="77">
        <f>E42/C42</f>
        <v>1.0184842493964201</v>
      </c>
      <c r="G42" s="77"/>
      <c r="H42" s="18">
        <f>SUM(H43:H50)</f>
        <v>71.305000000000007</v>
      </c>
      <c r="I42" s="18">
        <f>SUMPRODUCT(H43:H50,I43:I50)/H42</f>
        <v>50.704421849800148</v>
      </c>
      <c r="J42" s="18">
        <f>SUM(J43:J50)</f>
        <v>71.305000000000007</v>
      </c>
      <c r="K42" s="18">
        <f>SUMPRODUCT(J43:J50,K43:K50)/J42</f>
        <v>54.038694341210274</v>
      </c>
      <c r="L42" s="77">
        <f>K42/I42</f>
        <v>1.0657590081844759</v>
      </c>
      <c r="M42" s="18">
        <f>SUM(M43:M48)</f>
        <v>43.805</v>
      </c>
      <c r="N42" s="18">
        <f>SUMPRODUCT(M43:M48,N43:N48)/M42</f>
        <v>52.4</v>
      </c>
      <c r="O42" s="18">
        <f>SUM(O43:O48)</f>
        <v>43.805</v>
      </c>
      <c r="P42" s="18">
        <f>SUMPRODUCT(O43:O48,P43:P48)/O42</f>
        <v>59.69</v>
      </c>
      <c r="Q42" s="77">
        <f>P42/N42</f>
        <v>1.1391221374045801</v>
      </c>
    </row>
    <row r="43" spans="1:18" s="1" customFormat="1" ht="14.25" customHeight="1">
      <c r="A43" s="6" t="s">
        <v>19</v>
      </c>
      <c r="B43" s="13">
        <f>168.83/2</f>
        <v>84.415000000000006</v>
      </c>
      <c r="C43" s="13">
        <v>53.5</v>
      </c>
      <c r="D43" s="13">
        <f>B43</f>
        <v>84.415000000000006</v>
      </c>
      <c r="E43" s="13">
        <v>53.5</v>
      </c>
      <c r="F43" s="78">
        <f>(E43*D43)/(C43*B43)</f>
        <v>1</v>
      </c>
      <c r="G43" s="78"/>
      <c r="H43" s="15">
        <f>110.36/2</f>
        <v>55.18</v>
      </c>
      <c r="I43" s="15">
        <v>43</v>
      </c>
      <c r="J43" s="15">
        <f>H43</f>
        <v>55.18</v>
      </c>
      <c r="K43" s="15">
        <v>46.05</v>
      </c>
      <c r="L43" s="78">
        <f>(K43*J43)/(I43*H43)</f>
        <v>1.0709302325581396</v>
      </c>
      <c r="M43" s="13">
        <f>87.61/2</f>
        <v>43.805</v>
      </c>
      <c r="N43" s="13">
        <v>52.4</v>
      </c>
      <c r="O43" s="13">
        <f>M43</f>
        <v>43.805</v>
      </c>
      <c r="P43" s="13">
        <v>59.69</v>
      </c>
      <c r="Q43" s="78">
        <f>(P43*O43)/(N43*M43)</f>
        <v>1.1391221374045801</v>
      </c>
    </row>
    <row r="44" spans="1:18" s="1" customFormat="1" ht="15" customHeight="1">
      <c r="A44" s="6" t="s">
        <v>20</v>
      </c>
      <c r="B44" s="13">
        <f>13.06/2</f>
        <v>6.53</v>
      </c>
      <c r="C44" s="13">
        <v>91.26</v>
      </c>
      <c r="D44" s="13">
        <f>B44</f>
        <v>6.53</v>
      </c>
      <c r="E44" s="13">
        <v>94.88</v>
      </c>
      <c r="F44" s="78">
        <f>(E44*D44)/(C44*B44)</f>
        <v>1.0396668858207319</v>
      </c>
      <c r="G44" s="78"/>
      <c r="H44" s="15">
        <f>8.27/2</f>
        <v>4.1349999999999998</v>
      </c>
      <c r="I44" s="15">
        <v>91.26</v>
      </c>
      <c r="J44" s="15">
        <f t="shared" ref="J44:J50" si="21">H44</f>
        <v>4.1349999999999998</v>
      </c>
      <c r="K44" s="15">
        <v>94.88</v>
      </c>
      <c r="L44" s="78">
        <f>(K44*J44)/(I44*H44)</f>
        <v>1.0396668858207319</v>
      </c>
      <c r="M44" s="13"/>
      <c r="N44" s="13"/>
      <c r="O44" s="13"/>
      <c r="P44" s="13"/>
      <c r="Q44" s="78"/>
    </row>
    <row r="45" spans="1:18" s="1" customFormat="1" ht="14.25" customHeight="1">
      <c r="A45" s="6" t="s">
        <v>21</v>
      </c>
      <c r="B45" s="13">
        <f>13/2</f>
        <v>6.5</v>
      </c>
      <c r="C45" s="13">
        <v>81.069999999999993</v>
      </c>
      <c r="D45" s="13">
        <f>B45</f>
        <v>6.5</v>
      </c>
      <c r="E45" s="13">
        <v>84.59</v>
      </c>
      <c r="F45" s="78">
        <f>(E45*D45)/(C45*B45)</f>
        <v>1.0434192672998646</v>
      </c>
      <c r="G45" s="78"/>
      <c r="H45" s="15">
        <f>8.61/2</f>
        <v>4.3049999999999997</v>
      </c>
      <c r="I45" s="15">
        <v>81.069999999999993</v>
      </c>
      <c r="J45" s="15">
        <f t="shared" si="21"/>
        <v>4.3049999999999997</v>
      </c>
      <c r="K45" s="15">
        <v>84.59</v>
      </c>
      <c r="L45" s="78">
        <f>(K45*J45)/(I45*H45)</f>
        <v>1.0434192672998643</v>
      </c>
      <c r="M45" s="13"/>
      <c r="N45" s="13"/>
      <c r="O45" s="13"/>
      <c r="P45" s="13"/>
      <c r="Q45" s="78"/>
    </row>
    <row r="46" spans="1:18">
      <c r="A46" s="3" t="s">
        <v>22</v>
      </c>
      <c r="B46" s="13">
        <f>7.97/2</f>
        <v>3.9849999999999999</v>
      </c>
      <c r="C46" s="13">
        <v>87.3</v>
      </c>
      <c r="D46" s="13">
        <f>B46</f>
        <v>3.9849999999999999</v>
      </c>
      <c r="E46" s="13">
        <v>92.57</v>
      </c>
      <c r="F46" s="78">
        <f>(E46*D46)/(C46*B46)</f>
        <v>1.0603665521191294</v>
      </c>
      <c r="G46" s="78"/>
      <c r="H46" s="16">
        <f>3.23/2</f>
        <v>1.615</v>
      </c>
      <c r="I46" s="16">
        <v>87.3</v>
      </c>
      <c r="J46" s="15">
        <f t="shared" si="21"/>
        <v>1.615</v>
      </c>
      <c r="K46" s="16">
        <v>92.57</v>
      </c>
      <c r="L46" s="78">
        <f t="shared" ref="L46:L50" si="22">(K46*J46)/(I46*H46)</f>
        <v>1.0603665521191292</v>
      </c>
      <c r="M46" s="13"/>
      <c r="N46" s="13"/>
      <c r="O46" s="13"/>
      <c r="P46" s="13"/>
      <c r="Q46" s="78"/>
    </row>
    <row r="47" spans="1:18">
      <c r="A47" s="3" t="s">
        <v>23</v>
      </c>
      <c r="B47" s="13">
        <f>2.103/2</f>
        <v>1.0515000000000001</v>
      </c>
      <c r="C47" s="13">
        <v>99.44</v>
      </c>
      <c r="D47" s="13">
        <f>B47</f>
        <v>1.0515000000000001</v>
      </c>
      <c r="E47" s="13">
        <v>107.89</v>
      </c>
      <c r="F47" s="78">
        <f>(E47*D47)/(C47*B47)</f>
        <v>1.0849758648431216</v>
      </c>
      <c r="G47" s="78"/>
      <c r="H47" s="16">
        <f>0.55/2</f>
        <v>0.27500000000000002</v>
      </c>
      <c r="I47" s="16">
        <v>99.44</v>
      </c>
      <c r="J47" s="15">
        <f t="shared" si="21"/>
        <v>0.27500000000000002</v>
      </c>
      <c r="K47" s="16">
        <v>107.89</v>
      </c>
      <c r="L47" s="78">
        <f t="shared" si="22"/>
        <v>1.0849758648431216</v>
      </c>
      <c r="M47" s="13"/>
      <c r="N47" s="13"/>
      <c r="O47" s="13"/>
      <c r="P47" s="13"/>
      <c r="Q47" s="78"/>
    </row>
    <row r="48" spans="1:18">
      <c r="A48" s="3" t="s">
        <v>24</v>
      </c>
      <c r="B48" s="28">
        <f>7.4/2</f>
        <v>3.7</v>
      </c>
      <c r="C48" s="28">
        <v>73.23</v>
      </c>
      <c r="D48" s="13">
        <f t="shared" ref="D48:D50" si="23">B48</f>
        <v>3.7</v>
      </c>
      <c r="E48" s="28">
        <v>79.430000000000007</v>
      </c>
      <c r="F48" s="78">
        <f t="shared" ref="F48:F50" si="24">(E48*D48)/(C48*B48)</f>
        <v>1.0846647548818791</v>
      </c>
      <c r="G48" s="78"/>
      <c r="H48" s="15">
        <f>5.27/2</f>
        <v>2.6349999999999998</v>
      </c>
      <c r="I48" s="15">
        <v>73.23</v>
      </c>
      <c r="J48" s="15">
        <f t="shared" si="21"/>
        <v>2.6349999999999998</v>
      </c>
      <c r="K48" s="15">
        <v>79.430000000000007</v>
      </c>
      <c r="L48" s="78">
        <f t="shared" si="22"/>
        <v>1.0846647548818789</v>
      </c>
      <c r="M48" s="28"/>
      <c r="N48" s="28"/>
      <c r="O48" s="28"/>
      <c r="P48" s="28"/>
      <c r="Q48" s="87"/>
    </row>
    <row r="49" spans="1:18">
      <c r="A49" s="3" t="s">
        <v>25</v>
      </c>
      <c r="B49" s="28">
        <f>2.6/2</f>
        <v>1.3</v>
      </c>
      <c r="C49" s="28">
        <v>94.21</v>
      </c>
      <c r="D49" s="13">
        <f t="shared" si="23"/>
        <v>1.3</v>
      </c>
      <c r="E49" s="28">
        <v>102.22</v>
      </c>
      <c r="F49" s="78">
        <f t="shared" si="24"/>
        <v>1.0850228213565438</v>
      </c>
      <c r="G49" s="78"/>
      <c r="H49" s="15">
        <f>2.26/2</f>
        <v>1.1299999999999999</v>
      </c>
      <c r="I49" s="15">
        <v>94.21</v>
      </c>
      <c r="J49" s="15">
        <f t="shared" si="21"/>
        <v>1.1299999999999999</v>
      </c>
      <c r="K49" s="15">
        <v>102.22</v>
      </c>
      <c r="L49" s="78">
        <f t="shared" si="22"/>
        <v>1.0850228213565438</v>
      </c>
      <c r="M49" s="28"/>
      <c r="N49" s="28"/>
      <c r="O49" s="28"/>
      <c r="P49" s="28"/>
      <c r="Q49" s="87"/>
    </row>
    <row r="50" spans="1:18" ht="18" customHeight="1">
      <c r="A50" s="27" t="s">
        <v>26</v>
      </c>
      <c r="B50" s="28">
        <f>18.6/2</f>
        <v>9.3000000000000007</v>
      </c>
      <c r="C50" s="28">
        <v>23.95</v>
      </c>
      <c r="D50" s="13">
        <f t="shared" si="23"/>
        <v>9.3000000000000007</v>
      </c>
      <c r="E50" s="28">
        <v>25.48</v>
      </c>
      <c r="F50" s="78">
        <f t="shared" si="24"/>
        <v>1.0638830897703551</v>
      </c>
      <c r="G50" s="78"/>
      <c r="H50" s="15">
        <f>4.06/2</f>
        <v>2.0299999999999998</v>
      </c>
      <c r="I50" s="15">
        <v>23.95</v>
      </c>
      <c r="J50" s="15">
        <f t="shared" si="21"/>
        <v>2.0299999999999998</v>
      </c>
      <c r="K50" s="15">
        <v>25.48</v>
      </c>
      <c r="L50" s="78">
        <f t="shared" si="22"/>
        <v>1.0638830897703548</v>
      </c>
      <c r="M50" s="28"/>
      <c r="N50" s="28"/>
      <c r="O50" s="28"/>
      <c r="P50" s="28"/>
      <c r="Q50" s="87"/>
    </row>
    <row r="51" spans="1:18" s="29" customFormat="1" ht="18" customHeight="1">
      <c r="A51" s="9" t="s">
        <v>37</v>
      </c>
      <c r="B51" s="18">
        <f>SUM(B52:B52)</f>
        <v>80.944999999999993</v>
      </c>
      <c r="C51" s="18">
        <f>SUMPRODUCT(B52:B52,C52:C52)/B51</f>
        <v>36.25</v>
      </c>
      <c r="D51" s="18">
        <f>SUM(D52:D52)</f>
        <v>80.944999999999993</v>
      </c>
      <c r="E51" s="18">
        <f>SUMPRODUCT(D52:D52,E52:E52)/D51</f>
        <v>48.5</v>
      </c>
      <c r="F51" s="77">
        <f>E51/C51</f>
        <v>1.3379310344827586</v>
      </c>
      <c r="G51" s="77"/>
      <c r="H51" s="18">
        <f>SUM(H52:H52)</f>
        <v>3.53</v>
      </c>
      <c r="I51" s="18">
        <f>SUMPRODUCT(H52:H52,I52:I52)/H51</f>
        <v>16.61</v>
      </c>
      <c r="J51" s="18">
        <f>SUM(J52:J52)</f>
        <v>3.53</v>
      </c>
      <c r="K51" s="18">
        <f>SUMPRODUCT(J52:J52,K52:K52)/J51</f>
        <v>17.79</v>
      </c>
      <c r="L51" s="77">
        <f>K51/I51</f>
        <v>1.0710415412402168</v>
      </c>
      <c r="M51" s="18">
        <f>SUM(M52:M52)</f>
        <v>78.009999999999991</v>
      </c>
      <c r="N51" s="18">
        <f>SUMPRODUCT(M52:M52,N52:N52)/M51</f>
        <v>61.79</v>
      </c>
      <c r="O51" s="18">
        <f>SUM(O52:O52)</f>
        <v>78.009999999999991</v>
      </c>
      <c r="P51" s="18">
        <f>SUMPRODUCT(O52:O52,P52:P52)/O51</f>
        <v>71.33</v>
      </c>
      <c r="Q51" s="77">
        <f>P51/N51</f>
        <v>1.1543939148729567</v>
      </c>
      <c r="R51" s="162"/>
    </row>
    <row r="52" spans="1:18">
      <c r="A52" s="168" t="s">
        <v>38</v>
      </c>
      <c r="B52" s="13">
        <f>161.89/2</f>
        <v>80.944999999999993</v>
      </c>
      <c r="C52" s="13">
        <v>36.25</v>
      </c>
      <c r="D52" s="13">
        <f>B52</f>
        <v>80.944999999999993</v>
      </c>
      <c r="E52" s="13">
        <v>48.5</v>
      </c>
      <c r="F52" s="78">
        <f>(E52*D52)/(C52*B52)</f>
        <v>1.3379310344827584</v>
      </c>
      <c r="G52" s="78" t="s">
        <v>280</v>
      </c>
      <c r="H52" s="169">
        <v>3.53</v>
      </c>
      <c r="I52" s="169">
        <v>16.61</v>
      </c>
      <c r="J52" s="169">
        <f>H52</f>
        <v>3.53</v>
      </c>
      <c r="K52" s="169">
        <v>17.79</v>
      </c>
      <c r="L52" s="78">
        <f>(K52*J52)/(I52*H52)</f>
        <v>1.0710415412402168</v>
      </c>
      <c r="M52" s="13">
        <f>164.14/2-8.12/2</f>
        <v>78.009999999999991</v>
      </c>
      <c r="N52" s="13">
        <v>61.79</v>
      </c>
      <c r="O52" s="13">
        <f>M52</f>
        <v>78.009999999999991</v>
      </c>
      <c r="P52" s="13">
        <v>71.33</v>
      </c>
      <c r="Q52" s="78">
        <f>(P52*O52)/(N52*M52)</f>
        <v>1.1543939148729567</v>
      </c>
      <c r="R52" s="159"/>
    </row>
    <row r="53" spans="1:18" s="29" customFormat="1" ht="28.5" customHeight="1">
      <c r="A53" s="25" t="s">
        <v>66</v>
      </c>
      <c r="B53" s="18">
        <f>SUM(B54:B54)</f>
        <v>59.05</v>
      </c>
      <c r="C53" s="18">
        <f>SUMPRODUCT(B54:B54,C54:C54)/B53</f>
        <v>64.599999999999994</v>
      </c>
      <c r="D53" s="18">
        <f>SUM(D54:D54)</f>
        <v>59.05</v>
      </c>
      <c r="E53" s="18">
        <f>SUMPRODUCT(D54:D54,E54:E54)/D53</f>
        <v>97.08</v>
      </c>
      <c r="F53" s="77">
        <f>E53/C53</f>
        <v>1.5027863777089785</v>
      </c>
      <c r="G53" s="77"/>
      <c r="H53" s="18">
        <f>SUM(H54:H54)</f>
        <v>41</v>
      </c>
      <c r="I53" s="18">
        <f>SUMPRODUCT(H54:H54,I54:I54)/H53</f>
        <v>45.15</v>
      </c>
      <c r="J53" s="18">
        <f>SUM(J54:J54)</f>
        <v>41</v>
      </c>
      <c r="K53" s="18">
        <f>SUMPRODUCT(J54:J54,K54:K54)/J53</f>
        <v>48.36</v>
      </c>
      <c r="L53" s="77">
        <f>K53/I53</f>
        <v>1.0710963455149503</v>
      </c>
      <c r="M53" s="18"/>
      <c r="N53" s="18"/>
      <c r="O53" s="18"/>
      <c r="P53" s="18"/>
      <c r="Q53" s="77"/>
    </row>
    <row r="54" spans="1:18" ht="35.25" hidden="1" customHeight="1">
      <c r="A54" s="8" t="s">
        <v>58</v>
      </c>
      <c r="B54" s="13">
        <f>118.1/2</f>
        <v>59.05</v>
      </c>
      <c r="C54" s="13">
        <v>64.599999999999994</v>
      </c>
      <c r="D54" s="13">
        <f>B54</f>
        <v>59.05</v>
      </c>
      <c r="E54" s="13">
        <v>97.08</v>
      </c>
      <c r="F54" s="78">
        <f>(E54*D54)/(C54*B54)</f>
        <v>1.5027863777089783</v>
      </c>
      <c r="G54" s="157" t="s">
        <v>310</v>
      </c>
      <c r="H54" s="22">
        <f>82/2</f>
        <v>41</v>
      </c>
      <c r="I54" s="22">
        <v>45.15</v>
      </c>
      <c r="J54" s="22">
        <f>H54</f>
        <v>41</v>
      </c>
      <c r="K54" s="22">
        <v>48.36</v>
      </c>
      <c r="L54" s="78">
        <f t="shared" ref="L54" si="25">(K54*J54)/(I54*H54)</f>
        <v>1.0710963455149503</v>
      </c>
      <c r="M54" s="13"/>
      <c r="N54" s="13"/>
      <c r="O54" s="13"/>
      <c r="P54" s="13"/>
      <c r="Q54" s="78"/>
    </row>
    <row r="55" spans="1:18" ht="18" customHeight="1">
      <c r="A55" s="25" t="s">
        <v>67</v>
      </c>
      <c r="B55" s="18">
        <f>SUM(B56:B57)</f>
        <v>46.875</v>
      </c>
      <c r="C55" s="18">
        <f>SUMPRODUCT(B56:B57,C56:C57)/B55</f>
        <v>68.041276799999977</v>
      </c>
      <c r="D55" s="18">
        <f>SUM(D56:D57)</f>
        <v>46.875</v>
      </c>
      <c r="E55" s="18">
        <f>SUMPRODUCT(D56:D57,E56:E57)/D55</f>
        <v>119.19380266666664</v>
      </c>
      <c r="F55" s="77">
        <f>E55/C55</f>
        <v>1.7517866840891891</v>
      </c>
      <c r="G55" s="77"/>
      <c r="H55" s="18">
        <f>SUM(H56:H57)</f>
        <v>29.425000000000001</v>
      </c>
      <c r="I55" s="18">
        <f>SUMPRODUCT(H56:H57,I56:I57)/H55</f>
        <v>48.22</v>
      </c>
      <c r="J55" s="18">
        <f>SUM(J56:J57)</f>
        <v>29.425000000000001</v>
      </c>
      <c r="K55" s="18">
        <f>SUMPRODUCT(J56:J57,K56:K57)/J55</f>
        <v>51.640000000000008</v>
      </c>
      <c r="L55" s="77">
        <f>K55/I55</f>
        <v>1.0709249274160102</v>
      </c>
      <c r="M55" s="18"/>
      <c r="N55" s="18"/>
      <c r="O55" s="18"/>
      <c r="P55" s="18"/>
      <c r="Q55" s="77"/>
    </row>
    <row r="56" spans="1:18" ht="18" hidden="1" customHeight="1">
      <c r="A56" s="3" t="s">
        <v>58</v>
      </c>
      <c r="B56" s="11">
        <f>92.57/2</f>
        <v>46.284999999999997</v>
      </c>
      <c r="C56" s="11">
        <v>64.569999999999993</v>
      </c>
      <c r="D56" s="11">
        <f>B56</f>
        <v>46.284999999999997</v>
      </c>
      <c r="E56" s="11">
        <v>116.1</v>
      </c>
      <c r="F56" s="82">
        <f>(E56*D56)/(C56*B56)</f>
        <v>1.7980486293944558</v>
      </c>
      <c r="G56" s="82" t="s">
        <v>311</v>
      </c>
      <c r="H56" s="21">
        <f>58.56/2</f>
        <v>29.28</v>
      </c>
      <c r="I56" s="21">
        <v>48.22</v>
      </c>
      <c r="J56" s="21">
        <f>H56</f>
        <v>29.28</v>
      </c>
      <c r="K56" s="21">
        <v>51.64</v>
      </c>
      <c r="L56" s="82">
        <f t="shared" ref="L56:L57" si="26">(K56*J56)/(I56*H56)</f>
        <v>1.0709249274160102</v>
      </c>
      <c r="M56" s="13"/>
      <c r="N56" s="13"/>
      <c r="O56" s="13"/>
      <c r="P56" s="13"/>
      <c r="Q56" s="78"/>
    </row>
    <row r="57" spans="1:18" ht="18" hidden="1" customHeight="1">
      <c r="A57" s="3" t="s">
        <v>59</v>
      </c>
      <c r="B57" s="11">
        <f>1.18/2</f>
        <v>0.59</v>
      </c>
      <c r="C57" s="11">
        <v>340.36</v>
      </c>
      <c r="D57" s="11">
        <f>B57</f>
        <v>0.59</v>
      </c>
      <c r="E57" s="11">
        <v>361.9</v>
      </c>
      <c r="F57" s="82">
        <f>(E57*D57)/(C57*B57)</f>
        <v>1.0632859325420143</v>
      </c>
      <c r="G57" s="82" t="s">
        <v>312</v>
      </c>
      <c r="H57" s="21">
        <f>0.29/2</f>
        <v>0.14499999999999999</v>
      </c>
      <c r="I57" s="21">
        <v>48.22</v>
      </c>
      <c r="J57" s="21">
        <f>H57</f>
        <v>0.14499999999999999</v>
      </c>
      <c r="K57" s="21">
        <v>51.64</v>
      </c>
      <c r="L57" s="82">
        <f t="shared" si="26"/>
        <v>1.07092492741601</v>
      </c>
      <c r="M57" s="13"/>
      <c r="N57" s="13"/>
      <c r="O57" s="13"/>
      <c r="P57" s="13"/>
      <c r="Q57" s="78"/>
    </row>
    <row r="58" spans="1:18" ht="18" customHeight="1">
      <c r="A58" s="10" t="s">
        <v>68</v>
      </c>
      <c r="B58" s="18">
        <f>SUM(B59:B65)</f>
        <v>224.21950000000001</v>
      </c>
      <c r="C58" s="18">
        <f>SUMPRODUCT(B59:B65,C59:C65)/B58</f>
        <v>56.780515209426476</v>
      </c>
      <c r="D58" s="18">
        <f>SUM(D59:D65)</f>
        <v>224.21950000000001</v>
      </c>
      <c r="E58" s="18">
        <f>SUMPRODUCT(D59:D65,E59:E65)/D58</f>
        <v>60.769983453713877</v>
      </c>
      <c r="F58" s="77">
        <f>E58/C58</f>
        <v>1.0702612195323138</v>
      </c>
      <c r="G58" s="77"/>
      <c r="H58" s="18">
        <f>SUM(H59:H65)</f>
        <v>0</v>
      </c>
      <c r="I58" s="18" t="e">
        <f>SUMPRODUCT(H59:H65,I59:I65)/H58</f>
        <v>#DIV/0!</v>
      </c>
      <c r="J58" s="18">
        <f>SUM(J59:J65)</f>
        <v>0</v>
      </c>
      <c r="K58" s="18" t="e">
        <f>SUMPRODUCT(J59:J65,K59:K65)/J58</f>
        <v>#DIV/0!</v>
      </c>
      <c r="L58" s="77" t="e">
        <f>K58/I58</f>
        <v>#DIV/0!</v>
      </c>
      <c r="M58" s="18">
        <f>SUM(M59:M65)</f>
        <v>101.47499999999999</v>
      </c>
      <c r="N58" s="18">
        <f>SUMPRODUCT(M59:M65,N59:N65)/M58</f>
        <v>71.491924020694753</v>
      </c>
      <c r="O58" s="18">
        <f>SUM(O59:O65)</f>
        <v>101.47499999999999</v>
      </c>
      <c r="P58" s="18">
        <f>SUMPRODUCT(O59:O65,P59:P65)/O58</f>
        <v>76.236510667652141</v>
      </c>
      <c r="Q58" s="77">
        <f>P58/N58</f>
        <v>1.0663653512190268</v>
      </c>
    </row>
    <row r="59" spans="1:18" ht="34.5" hidden="1" customHeight="1">
      <c r="A59" s="2"/>
      <c r="B59" s="13">
        <f>8.41/2</f>
        <v>4.2050000000000001</v>
      </c>
      <c r="C59" s="13">
        <v>172.04</v>
      </c>
      <c r="D59" s="13">
        <f>B59</f>
        <v>4.2050000000000001</v>
      </c>
      <c r="E59" s="13">
        <v>185.25</v>
      </c>
      <c r="F59" s="78">
        <f>(E59*D59)/(C59*B59)</f>
        <v>1.0767844687282029</v>
      </c>
      <c r="G59" s="157"/>
      <c r="H59" s="13"/>
      <c r="I59" s="13"/>
      <c r="J59" s="13"/>
      <c r="K59" s="13"/>
      <c r="L59" s="78"/>
      <c r="M59" s="13"/>
      <c r="N59" s="13"/>
      <c r="O59" s="13"/>
      <c r="P59" s="13"/>
      <c r="Q59" s="78"/>
    </row>
    <row r="60" spans="1:18" ht="18" hidden="1" customHeight="1">
      <c r="A60" s="2"/>
      <c r="B60" s="13">
        <f>122.838/2</f>
        <v>61.418999999999997</v>
      </c>
      <c r="C60" s="13">
        <v>50.68</v>
      </c>
      <c r="D60" s="13">
        <f>B60</f>
        <v>61.418999999999997</v>
      </c>
      <c r="E60" s="13">
        <v>54.29</v>
      </c>
      <c r="F60" s="78">
        <f t="shared" ref="F60:F65" si="27">(E60*D60)/(C60*B60)</f>
        <v>1.0712312549329124</v>
      </c>
      <c r="G60" s="78"/>
      <c r="H60" s="13"/>
      <c r="I60" s="13"/>
      <c r="J60" s="13"/>
      <c r="K60" s="13"/>
      <c r="L60" s="78"/>
      <c r="M60" s="13">
        <f>22.89/2</f>
        <v>11.445</v>
      </c>
      <c r="N60" s="13">
        <v>100.72</v>
      </c>
      <c r="O60" s="13">
        <f>M60</f>
        <v>11.445</v>
      </c>
      <c r="P60" s="13">
        <v>107.98</v>
      </c>
      <c r="Q60" s="78">
        <f t="shared" ref="Q60:Q63" si="28">(P60*O60)/(N60*M60)</f>
        <v>1.0720810166799049</v>
      </c>
    </row>
    <row r="61" spans="1:18" ht="18" hidden="1" customHeight="1">
      <c r="A61" s="2"/>
      <c r="B61" s="13">
        <f>103.382/2</f>
        <v>51.691000000000003</v>
      </c>
      <c r="C61" s="13">
        <v>43.56</v>
      </c>
      <c r="D61" s="13">
        <f>103.382/2</f>
        <v>51.691000000000003</v>
      </c>
      <c r="E61" s="13">
        <v>46.65</v>
      </c>
      <c r="F61" s="78">
        <f t="shared" si="27"/>
        <v>1.0709366391184572</v>
      </c>
      <c r="G61" s="78"/>
      <c r="H61" s="13"/>
      <c r="I61" s="13"/>
      <c r="J61" s="13"/>
      <c r="K61" s="13"/>
      <c r="L61" s="78"/>
      <c r="M61" s="13">
        <f>74.838/2</f>
        <v>37.418999999999997</v>
      </c>
      <c r="N61" s="13">
        <v>60.3</v>
      </c>
      <c r="O61" s="13">
        <f>74.838/2</f>
        <v>37.418999999999997</v>
      </c>
      <c r="P61" s="13">
        <v>64.58</v>
      </c>
      <c r="Q61" s="78">
        <f t="shared" si="28"/>
        <v>1.0709784411276948</v>
      </c>
    </row>
    <row r="62" spans="1:18" ht="18" hidden="1" customHeight="1">
      <c r="A62" s="2"/>
      <c r="B62" s="13">
        <f>44.819/2</f>
        <v>22.409500000000001</v>
      </c>
      <c r="C62" s="13">
        <v>57.5</v>
      </c>
      <c r="D62" s="13">
        <f>44.819/2</f>
        <v>22.409500000000001</v>
      </c>
      <c r="E62" s="13">
        <v>60.11</v>
      </c>
      <c r="F62" s="78">
        <f t="shared" si="27"/>
        <v>1.045391304347826</v>
      </c>
      <c r="G62" s="78"/>
      <c r="H62" s="13"/>
      <c r="I62" s="13"/>
      <c r="J62" s="13"/>
      <c r="K62" s="13"/>
      <c r="L62" s="78"/>
      <c r="M62" s="13">
        <f>35.152/2</f>
        <v>17.576000000000001</v>
      </c>
      <c r="N62" s="13">
        <v>103.44</v>
      </c>
      <c r="O62" s="13">
        <f>35.152/2</f>
        <v>17.576000000000001</v>
      </c>
      <c r="P62" s="13">
        <v>109</v>
      </c>
      <c r="Q62" s="78">
        <f t="shared" si="28"/>
        <v>1.0537509667440064</v>
      </c>
    </row>
    <row r="63" spans="1:18" ht="18" hidden="1" customHeight="1">
      <c r="A63" s="2"/>
      <c r="B63" s="13">
        <f>117.29/2</f>
        <v>58.645000000000003</v>
      </c>
      <c r="C63" s="13">
        <v>52.32</v>
      </c>
      <c r="D63" s="13">
        <f>117.29/2</f>
        <v>58.645000000000003</v>
      </c>
      <c r="E63" s="13">
        <v>53.03</v>
      </c>
      <c r="F63" s="78">
        <f t="shared" si="27"/>
        <v>1.0135703363914372</v>
      </c>
      <c r="G63" s="78"/>
      <c r="H63" s="13"/>
      <c r="I63" s="13"/>
      <c r="J63" s="13"/>
      <c r="K63" s="13"/>
      <c r="L63" s="78"/>
      <c r="M63" s="13">
        <f>70.07/2</f>
        <v>35.034999999999997</v>
      </c>
      <c r="N63" s="13">
        <v>57.87</v>
      </c>
      <c r="O63" s="13">
        <f>70.07/2</f>
        <v>35.034999999999997</v>
      </c>
      <c r="P63" s="13">
        <v>61.88</v>
      </c>
      <c r="Q63" s="78">
        <f t="shared" si="28"/>
        <v>1.0692932434767584</v>
      </c>
    </row>
    <row r="64" spans="1:18" ht="18" hidden="1" customHeight="1">
      <c r="A64" s="4"/>
      <c r="B64" s="13">
        <f>1.8/2</f>
        <v>0.9</v>
      </c>
      <c r="C64" s="13">
        <v>224.8</v>
      </c>
      <c r="D64" s="13">
        <f>1.8/2</f>
        <v>0.9</v>
      </c>
      <c r="E64" s="13">
        <v>237.12</v>
      </c>
      <c r="F64" s="78">
        <f t="shared" si="27"/>
        <v>1.0548042704626335</v>
      </c>
      <c r="G64" s="78"/>
      <c r="H64" s="13"/>
      <c r="I64" s="13"/>
      <c r="J64" s="13"/>
      <c r="K64" s="13"/>
      <c r="L64" s="78"/>
      <c r="M64" s="13"/>
      <c r="N64" s="13"/>
      <c r="O64" s="13"/>
      <c r="P64" s="13"/>
      <c r="Q64" s="78"/>
    </row>
    <row r="65" spans="1:18" ht="18" hidden="1" customHeight="1">
      <c r="A65" s="2"/>
      <c r="B65" s="13">
        <f>49.9/2</f>
        <v>24.95</v>
      </c>
      <c r="C65" s="13">
        <v>83.54</v>
      </c>
      <c r="D65" s="13">
        <f>B65</f>
        <v>24.95</v>
      </c>
      <c r="E65" s="13">
        <v>97.42</v>
      </c>
      <c r="F65" s="78">
        <f t="shared" si="27"/>
        <v>1.1661479530763703</v>
      </c>
      <c r="G65" s="78"/>
      <c r="H65" s="22"/>
      <c r="I65" s="22"/>
      <c r="J65" s="13"/>
      <c r="K65" s="22"/>
      <c r="L65" s="78"/>
      <c r="M65" s="13"/>
      <c r="N65" s="13"/>
      <c r="O65" s="13"/>
      <c r="P65" s="13"/>
      <c r="Q65" s="78"/>
    </row>
    <row r="66" spans="1:18">
      <c r="A66" s="31" t="s">
        <v>42</v>
      </c>
      <c r="B66" s="18" t="e">
        <f>SUM(#REF!)</f>
        <v>#REF!</v>
      </c>
      <c r="C66" s="18" t="e">
        <f>SUMPRODUCT(#REF!,#REF!)/B66</f>
        <v>#REF!</v>
      </c>
      <c r="D66" s="18" t="e">
        <f>SUM(#REF!)</f>
        <v>#REF!</v>
      </c>
      <c r="E66" s="18" t="e">
        <f>SUMPRODUCT(#REF!,#REF!)/D66</f>
        <v>#REF!</v>
      </c>
      <c r="F66" s="77" t="e">
        <f>E66/C66</f>
        <v>#REF!</v>
      </c>
      <c r="G66" s="77"/>
      <c r="H66" s="18"/>
      <c r="I66" s="18"/>
      <c r="J66" s="18"/>
      <c r="K66" s="18"/>
      <c r="L66" s="77"/>
      <c r="M66" s="161" t="e">
        <f>SUM(#REF!)</f>
        <v>#REF!</v>
      </c>
      <c r="N66" s="161" t="e">
        <f>SUMPRODUCT(#REF!,#REF!)/M66</f>
        <v>#REF!</v>
      </c>
      <c r="O66" s="161" t="e">
        <f>SUM(#REF!)</f>
        <v>#REF!</v>
      </c>
      <c r="P66" s="161" t="e">
        <f>SUMPRODUCT(#REF!,#REF!)/O66</f>
        <v>#REF!</v>
      </c>
      <c r="Q66" s="160" t="e">
        <f>P66/N66</f>
        <v>#REF!</v>
      </c>
      <c r="R66" s="159"/>
    </row>
    <row r="67" spans="1:18">
      <c r="A67" s="10" t="s">
        <v>69</v>
      </c>
      <c r="B67" s="18">
        <f>SUM(B68:B69)</f>
        <v>546.65699999999993</v>
      </c>
      <c r="C67" s="18">
        <f>SUMPRODUCT(B68:B69,C68:C69)/B67</f>
        <v>27.846427613659024</v>
      </c>
      <c r="D67" s="18">
        <f>SUM(D68:D69)</f>
        <v>546.65699999999993</v>
      </c>
      <c r="E67" s="18">
        <f>SUMPRODUCT(D68:D69,E68:E69)/D67</f>
        <v>29.087963567648455</v>
      </c>
      <c r="F67" s="77">
        <f>E67/C67</f>
        <v>1.0445851069736658</v>
      </c>
      <c r="G67" s="77"/>
      <c r="H67" s="18">
        <f>SUM(H68:H69)</f>
        <v>11.095000000000001</v>
      </c>
      <c r="I67" s="18">
        <f>SUMPRODUCT(H68:H69,I68:I69)/H67</f>
        <v>27.514015322217215</v>
      </c>
      <c r="J67" s="18">
        <f>SUM(J68:J69)</f>
        <v>11.095000000000001</v>
      </c>
      <c r="K67" s="18">
        <f>SUMPRODUCT(J68:J69,K68:K69)/J67</f>
        <v>29.462924740874264</v>
      </c>
      <c r="L67" s="77">
        <f>K67/I67</f>
        <v>1.0708333333333333</v>
      </c>
      <c r="M67" s="18">
        <f>SUM(M68:M69)</f>
        <v>498.58</v>
      </c>
      <c r="N67" s="18">
        <f>SUMPRODUCT(M68:M69,N68:N69)/M67</f>
        <v>28.28</v>
      </c>
      <c r="O67" s="18">
        <f>SUM(O68:O69)</f>
        <v>498.58</v>
      </c>
      <c r="P67" s="18">
        <f>SUMPRODUCT(O68:O69,P68:P69)/O67</f>
        <v>30.39</v>
      </c>
      <c r="Q67" s="77">
        <f>P67/N67</f>
        <v>1.0746110325318246</v>
      </c>
    </row>
    <row r="68" spans="1:18" ht="18" customHeight="1">
      <c r="A68" s="8" t="s">
        <v>382</v>
      </c>
      <c r="B68" s="13">
        <f>1079.32/2</f>
        <v>539.66</v>
      </c>
      <c r="C68" s="13">
        <v>27.7</v>
      </c>
      <c r="D68" s="13">
        <f>B68</f>
        <v>539.66</v>
      </c>
      <c r="E68" s="13">
        <v>28.94</v>
      </c>
      <c r="F68" s="78">
        <f>(E68*D68)/(C68*B68)</f>
        <v>1.0447653429602888</v>
      </c>
      <c r="G68" s="158" t="s">
        <v>383</v>
      </c>
      <c r="H68" s="13">
        <f>[1]Лист1!$D$23</f>
        <v>9.0250000000000004</v>
      </c>
      <c r="I68" s="13">
        <f>[1]Лист1!$D$41</f>
        <v>28.32</v>
      </c>
      <c r="J68" s="13">
        <f>H68</f>
        <v>9.0250000000000004</v>
      </c>
      <c r="K68" s="13">
        <f>[1]Лист1!$D$44</f>
        <v>30.325999999999997</v>
      </c>
      <c r="L68" s="78">
        <f>(K68*J68)/(I68*H68)</f>
        <v>1.0708333333333331</v>
      </c>
      <c r="M68" s="13">
        <f>997.16/2</f>
        <v>498.58</v>
      </c>
      <c r="N68" s="13">
        <v>28.28</v>
      </c>
      <c r="O68" s="13">
        <f>M68</f>
        <v>498.58</v>
      </c>
      <c r="P68" s="13">
        <v>30.39</v>
      </c>
      <c r="Q68" s="78">
        <f>(P68*O68)/(N68*M68)</f>
        <v>1.0746110325318246</v>
      </c>
    </row>
    <row r="69" spans="1:18" ht="18" customHeight="1">
      <c r="A69" s="8" t="s">
        <v>384</v>
      </c>
      <c r="B69" s="13">
        <f>13.994/2</f>
        <v>6.9969999999999999</v>
      </c>
      <c r="C69" s="13">
        <v>39.14</v>
      </c>
      <c r="D69" s="13">
        <f>B69</f>
        <v>6.9969999999999999</v>
      </c>
      <c r="E69" s="13">
        <v>40.5</v>
      </c>
      <c r="F69" s="78">
        <f t="shared" ref="F69" si="29">(E69*D69)/(C69*B69)</f>
        <v>1.0347470618293306</v>
      </c>
      <c r="G69" s="158" t="s">
        <v>383</v>
      </c>
      <c r="H69" s="13">
        <f>[2]Лист1!$D$23</f>
        <v>2.0699999999999998</v>
      </c>
      <c r="I69" s="13">
        <f>[2]Лист1!$D$41</f>
        <v>24</v>
      </c>
      <c r="J69" s="13">
        <f>H69</f>
        <v>2.0699999999999998</v>
      </c>
      <c r="K69" s="13">
        <f>[2]Лист1!$D$44</f>
        <v>25.7</v>
      </c>
      <c r="L69" s="78">
        <f t="shared" ref="L69" si="30">(K69*J69)/(I69*H69)</f>
        <v>1.0708333333333333</v>
      </c>
      <c r="M69" s="13"/>
      <c r="N69" s="13"/>
      <c r="O69" s="13"/>
      <c r="P69" s="13"/>
      <c r="Q69" s="78"/>
    </row>
    <row r="70" spans="1:18">
      <c r="A70" s="9" t="s">
        <v>80</v>
      </c>
      <c r="B70" s="18">
        <f>SUM(B71:B73)</f>
        <v>173.11584500000004</v>
      </c>
      <c r="C70" s="18">
        <f>SUMPRODUCT(B71:B73,C71:C73)/B70</f>
        <v>44.718935336335036</v>
      </c>
      <c r="D70" s="18">
        <f>SUM(D71:D73)</f>
        <v>173.11584500000004</v>
      </c>
      <c r="E70" s="18">
        <f>SUMPRODUCT(D71:D73,E71:E73)/D70</f>
        <v>44.734433836197944</v>
      </c>
      <c r="F70" s="77">
        <f>E70/C70</f>
        <v>1.0003465757792833</v>
      </c>
      <c r="G70" s="77"/>
      <c r="H70" s="18">
        <f>SUM(H71:H73)</f>
        <v>10.907</v>
      </c>
      <c r="I70" s="18">
        <f>SUMPRODUCT(H71:H73,I71:I73)/H70</f>
        <v>46.742571192811958</v>
      </c>
      <c r="J70" s="18">
        <f>SUM(J71:J73)</f>
        <v>10.907</v>
      </c>
      <c r="K70" s="18">
        <f>SUMPRODUCT(J71:J73,K71:K73)/J70</f>
        <v>46.742571192811958</v>
      </c>
      <c r="L70" s="77">
        <f>K70/I70</f>
        <v>1</v>
      </c>
      <c r="M70" s="18">
        <f>SUM(M71:M73)</f>
        <v>97.366</v>
      </c>
      <c r="N70" s="18">
        <f>SUMPRODUCT(M71:M73,N71:N73)/M70</f>
        <v>73.709999999999994</v>
      </c>
      <c r="O70" s="18">
        <f>SUM(O71:O73)</f>
        <v>97.366</v>
      </c>
      <c r="P70" s="18">
        <f>SUMPRODUCT(O71:O73,P71:P73)/O70</f>
        <v>75.459999999999994</v>
      </c>
      <c r="Q70" s="77">
        <f>P70/N70</f>
        <v>1.0237416904083572</v>
      </c>
    </row>
    <row r="71" spans="1:18">
      <c r="A71" s="2" t="s">
        <v>81</v>
      </c>
      <c r="B71" s="13">
        <f>0.98369/2</f>
        <v>0.49184499999999998</v>
      </c>
      <c r="C71" s="13">
        <v>34.85</v>
      </c>
      <c r="D71" s="13">
        <f>B71</f>
        <v>0.49184499999999998</v>
      </c>
      <c r="E71" s="13">
        <v>37.07</v>
      </c>
      <c r="F71" s="78">
        <f>(E71*D71)/(C71*B71)</f>
        <v>1.0637015781922525</v>
      </c>
      <c r="G71" s="78"/>
      <c r="H71" s="13"/>
      <c r="I71" s="13"/>
      <c r="J71" s="13"/>
      <c r="K71" s="13"/>
      <c r="L71" s="78"/>
      <c r="M71" s="13"/>
      <c r="N71" s="13"/>
      <c r="O71" s="13"/>
      <c r="P71" s="13"/>
      <c r="Q71" s="78"/>
    </row>
    <row r="72" spans="1:18">
      <c r="A72" s="2" t="s">
        <v>380</v>
      </c>
      <c r="B72" s="13">
        <f>340.636/2</f>
        <v>170.31800000000001</v>
      </c>
      <c r="C72" s="13">
        <v>44.4</v>
      </c>
      <c r="D72" s="13">
        <f t="shared" ref="D72:D73" si="31">B72</f>
        <v>170.31800000000001</v>
      </c>
      <c r="E72" s="13">
        <v>44.4</v>
      </c>
      <c r="F72" s="78">
        <f t="shared" ref="F72:F73" si="32">(E72*D72)/(C72*B72)</f>
        <v>1</v>
      </c>
      <c r="G72" s="158" t="s">
        <v>319</v>
      </c>
      <c r="H72" s="13">
        <f>[3]Лист1!$D$23</f>
        <v>7.71</v>
      </c>
      <c r="I72" s="13">
        <f>[3]Лист1!$D$20</f>
        <v>44.4</v>
      </c>
      <c r="J72" s="13">
        <f t="shared" ref="J72:J73" si="33">H72</f>
        <v>7.71</v>
      </c>
      <c r="K72" s="13">
        <f>I72</f>
        <v>44.4</v>
      </c>
      <c r="L72" s="78">
        <f t="shared" ref="L72:L73" si="34">(K72*J72)/(I72*H72)</f>
        <v>1</v>
      </c>
      <c r="M72" s="13">
        <f>194.732/2</f>
        <v>97.366</v>
      </c>
      <c r="N72" s="13">
        <v>73.709999999999994</v>
      </c>
      <c r="O72" s="13">
        <f t="shared" ref="O72" si="35">M72</f>
        <v>97.366</v>
      </c>
      <c r="P72" s="13">
        <v>75.459999999999994</v>
      </c>
      <c r="Q72" s="78">
        <f t="shared" ref="Q72" si="36">(P72*O72)/(N72*M72)</f>
        <v>1.0237416904083572</v>
      </c>
    </row>
    <row r="73" spans="1:18">
      <c r="A73" s="2" t="s">
        <v>381</v>
      </c>
      <c r="B73" s="13">
        <f>4.612/2</f>
        <v>2.306</v>
      </c>
      <c r="C73" s="13">
        <v>70.38</v>
      </c>
      <c r="D73" s="13">
        <f t="shared" si="31"/>
        <v>2.306</v>
      </c>
      <c r="E73" s="13">
        <v>71.069999999999993</v>
      </c>
      <c r="F73" s="78">
        <f t="shared" si="32"/>
        <v>1.0098039215686274</v>
      </c>
      <c r="G73" s="158" t="s">
        <v>319</v>
      </c>
      <c r="H73" s="13">
        <f>'[4]ЭЗ-13-14-15-6'!$U$16/2</f>
        <v>3.1970000000000001</v>
      </c>
      <c r="I73" s="13">
        <f>'[4]ЭЗ-13-14-15-6'!$U$75</f>
        <v>52.391999999999996</v>
      </c>
      <c r="J73" s="13">
        <f t="shared" si="33"/>
        <v>3.1970000000000001</v>
      </c>
      <c r="K73" s="13">
        <f>I73</f>
        <v>52.391999999999996</v>
      </c>
      <c r="L73" s="78">
        <f t="shared" si="34"/>
        <v>1</v>
      </c>
      <c r="M73" s="13"/>
      <c r="N73" s="13"/>
      <c r="O73" s="13"/>
      <c r="P73" s="13"/>
      <c r="Q73" s="78"/>
    </row>
    <row r="74" spans="1:18">
      <c r="A74" s="9" t="s">
        <v>93</v>
      </c>
      <c r="B74" s="18">
        <f>SUM(B75:B75)</f>
        <v>6.0374999999999996</v>
      </c>
      <c r="C74" s="18">
        <f>SUMPRODUCT(B75:B75,C75:C75)/B74</f>
        <v>19.920000000000002</v>
      </c>
      <c r="D74" s="18">
        <f>SUM(D75:D75)</f>
        <v>6.0374999999999996</v>
      </c>
      <c r="E74" s="18">
        <f>SUMPRODUCT(D75:D75,E75:E75)/D74</f>
        <v>21.319999999999997</v>
      </c>
      <c r="F74" s="77">
        <f>E74/C74</f>
        <v>1.0702811244979917</v>
      </c>
      <c r="G74" s="77"/>
      <c r="H74" s="18">
        <f>SUM(H75:H75)</f>
        <v>7.1369999999999996</v>
      </c>
      <c r="I74" s="18">
        <f>SUMPRODUCT(H75:H75,I75:I75)/H74</f>
        <v>32.71</v>
      </c>
      <c r="J74" s="18">
        <f>SUM(J75:J75)</f>
        <v>7.1369999999999996</v>
      </c>
      <c r="K74" s="18">
        <f>SUMPRODUCT(J75:J75,K75:K75)/J74</f>
        <v>34.159999999999997</v>
      </c>
      <c r="L74" s="77">
        <f>K74/I74</f>
        <v>1.0443289513910119</v>
      </c>
      <c r="M74" s="18">
        <f>SUM(M75:M75)</f>
        <v>0</v>
      </c>
      <c r="N74" s="18" t="e">
        <f>SUMPRODUCT(M75:M75,N75:N75)/M74</f>
        <v>#VALUE!</v>
      </c>
      <c r="O74" s="18">
        <f>SUM(O75:O75)</f>
        <v>0</v>
      </c>
      <c r="P74" s="18" t="e">
        <f>SUMPRODUCT(O75:O75,P75:P75)/O74</f>
        <v>#VALUE!</v>
      </c>
      <c r="Q74" s="77" t="e">
        <f>P74/N74</f>
        <v>#VALUE!</v>
      </c>
    </row>
    <row r="75" spans="1:18">
      <c r="A75" s="2" t="s">
        <v>378</v>
      </c>
      <c r="B75" s="13">
        <f>12.075/2</f>
        <v>6.0374999999999996</v>
      </c>
      <c r="C75" s="13">
        <v>19.920000000000002</v>
      </c>
      <c r="D75" s="13">
        <f>B75</f>
        <v>6.0374999999999996</v>
      </c>
      <c r="E75" s="13">
        <v>21.32</v>
      </c>
      <c r="F75" s="78">
        <f>(E75*D75)/(C75*B75)</f>
        <v>1.0702811244979917</v>
      </c>
      <c r="G75" s="158" t="s">
        <v>379</v>
      </c>
      <c r="H75" s="13">
        <f>'[5]ЭЗ-15'!$I$18</f>
        <v>7.1369999999999996</v>
      </c>
      <c r="I75" s="13">
        <f>'[5]ЭЗ-15'!$I$20</f>
        <v>32.71</v>
      </c>
      <c r="J75" s="13">
        <f>H75</f>
        <v>7.1369999999999996</v>
      </c>
      <c r="K75" s="13">
        <f>'[5]ЭЗ-15'!$I$21</f>
        <v>34.159999999999997</v>
      </c>
      <c r="L75" s="86">
        <f>K75/I75</f>
        <v>1.0443289513910119</v>
      </c>
      <c r="M75" s="13"/>
      <c r="N75" s="13"/>
      <c r="O75" s="13"/>
      <c r="P75" s="13"/>
      <c r="Q75" s="78"/>
    </row>
    <row r="76" spans="1:18">
      <c r="A76" s="10" t="s">
        <v>104</v>
      </c>
      <c r="B76" s="18" t="e">
        <f>SUM(#REF!)</f>
        <v>#REF!</v>
      </c>
      <c r="C76" s="18" t="e">
        <f>SUMPRODUCT(#REF!,#REF!)/B76</f>
        <v>#REF!</v>
      </c>
      <c r="D76" s="18" t="e">
        <f>SUM(#REF!)</f>
        <v>#REF!</v>
      </c>
      <c r="E76" s="18" t="e">
        <f>SUMPRODUCT(#REF!,#REF!)/D76</f>
        <v>#REF!</v>
      </c>
      <c r="F76" s="77" t="e">
        <f>E76/C76</f>
        <v>#REF!</v>
      </c>
      <c r="G76" s="77"/>
      <c r="H76" s="18">
        <v>0</v>
      </c>
      <c r="I76" s="18"/>
      <c r="J76" s="18">
        <v>0</v>
      </c>
      <c r="K76" s="18"/>
      <c r="L76" s="77"/>
      <c r="M76" s="18" t="e">
        <f>SUM(#REF!)</f>
        <v>#REF!</v>
      </c>
      <c r="N76" s="18" t="e">
        <f>SUMPRODUCT(#REF!,#REF!)/M76</f>
        <v>#REF!</v>
      </c>
      <c r="O76" s="18" t="e">
        <f>SUM(#REF!)</f>
        <v>#REF!</v>
      </c>
      <c r="P76" s="18" t="e">
        <f>SUMPRODUCT(#REF!,#REF!)/O76</f>
        <v>#REF!</v>
      </c>
      <c r="Q76" s="77" t="e">
        <f>P76/N76</f>
        <v>#REF!</v>
      </c>
    </row>
    <row r="77" spans="1:18">
      <c r="A77" s="4"/>
      <c r="B77" s="170"/>
      <c r="C77" s="170"/>
      <c r="D77" s="170"/>
      <c r="E77" s="170"/>
      <c r="F77" s="88"/>
      <c r="G77" s="78" t="s">
        <v>289</v>
      </c>
      <c r="H77" s="170"/>
      <c r="I77" s="170"/>
      <c r="J77" s="170"/>
      <c r="K77" s="170"/>
      <c r="L77" s="88"/>
      <c r="M77" s="18"/>
      <c r="N77" s="18"/>
      <c r="O77" s="18"/>
      <c r="P77" s="18"/>
      <c r="Q77" s="77"/>
    </row>
    <row r="78" spans="1:18">
      <c r="A78" s="9" t="s">
        <v>105</v>
      </c>
      <c r="B78" s="18" t="e">
        <f>SUM(#REF!)</f>
        <v>#REF!</v>
      </c>
      <c r="C78" s="18" t="e">
        <f>SUMPRODUCT(#REF!,#REF!)/B78</f>
        <v>#REF!</v>
      </c>
      <c r="D78" s="18" t="e">
        <f>SUM(#REF!)</f>
        <v>#REF!</v>
      </c>
      <c r="E78" s="18" t="e">
        <f>SUMPRODUCT(#REF!,#REF!)/D78</f>
        <v>#REF!</v>
      </c>
      <c r="F78" s="77" t="e">
        <f>E78/C78</f>
        <v>#REF!</v>
      </c>
      <c r="G78" s="77"/>
      <c r="H78" s="18">
        <v>0</v>
      </c>
      <c r="I78" s="18"/>
      <c r="J78" s="18">
        <v>0</v>
      </c>
      <c r="K78" s="18"/>
      <c r="L78" s="77"/>
      <c r="M78" s="18" t="e">
        <f>SUM(#REF!)</f>
        <v>#REF!</v>
      </c>
      <c r="N78" s="18" t="e">
        <f>SUMPRODUCT(#REF!,#REF!)/M78</f>
        <v>#REF!</v>
      </c>
      <c r="O78" s="18" t="e">
        <f>SUM(#REF!)</f>
        <v>#REF!</v>
      </c>
      <c r="P78" s="18" t="e">
        <f>SUMPRODUCT(#REF!,#REF!)/O78</f>
        <v>#REF!</v>
      </c>
      <c r="Q78" s="77" t="e">
        <f>P78/N78</f>
        <v>#REF!</v>
      </c>
    </row>
    <row r="79" spans="1:18" ht="15.75">
      <c r="A79" s="43" t="s">
        <v>117</v>
      </c>
      <c r="B79" s="42">
        <f>SUM(B80:B85)</f>
        <v>48.677</v>
      </c>
      <c r="C79" s="42">
        <f>SUMPRODUCT(B80:B85,C80:C85)/B79</f>
        <v>30.525178421020193</v>
      </c>
      <c r="D79" s="42">
        <f>SUM(D80:D85)</f>
        <v>48.677</v>
      </c>
      <c r="E79" s="42">
        <f>SUMPRODUCT(D80:D85,E80:E85)/D79</f>
        <v>32.423021036629208</v>
      </c>
      <c r="F79" s="84">
        <f>E79/C79</f>
        <v>1.0621730228545405</v>
      </c>
      <c r="G79" s="84"/>
      <c r="H79" s="42">
        <f>SUM(H80:H85)</f>
        <v>2.5984999999999996</v>
      </c>
      <c r="I79" s="42">
        <f>SUMPRODUCT(H80:H85,I80:I85)/H79</f>
        <v>23.315466615355017</v>
      </c>
      <c r="J79" s="42">
        <f>SUM(J80:J85)</f>
        <v>2.5984999999999996</v>
      </c>
      <c r="K79" s="42">
        <f>SUMPRODUCT(J80:J85,K80:K85)/J79</f>
        <v>25.297487011737541</v>
      </c>
      <c r="L79" s="84">
        <f>K79/I79</f>
        <v>1.0850088239313731</v>
      </c>
      <c r="M79" s="42">
        <f>SUM(M80:M85)</f>
        <v>76.995999999999995</v>
      </c>
      <c r="N79" s="42">
        <f>SUMPRODUCT(M80:M85,N80:N85)/M79</f>
        <v>35.435673931113307</v>
      </c>
      <c r="O79" s="42">
        <f>SUM(O80:O85)</f>
        <v>76.995999999999995</v>
      </c>
      <c r="P79" s="42">
        <f>SUMPRODUCT(O80:O85,P80:P85)/O79</f>
        <v>37.4462659099174</v>
      </c>
      <c r="Q79" s="84">
        <f>P79/N79</f>
        <v>1.0567392053192686</v>
      </c>
    </row>
    <row r="80" spans="1:18">
      <c r="A80" s="3"/>
      <c r="B80" s="11"/>
      <c r="C80" s="11"/>
      <c r="D80" s="11"/>
      <c r="E80" s="11"/>
      <c r="F80" s="82"/>
      <c r="G80" s="82"/>
      <c r="H80" s="21"/>
      <c r="I80" s="21"/>
      <c r="J80" s="21"/>
      <c r="K80" s="21"/>
      <c r="L80" s="82"/>
      <c r="M80" s="11">
        <f>28.19/2</f>
        <v>14.095000000000001</v>
      </c>
      <c r="N80" s="11">
        <v>43.07</v>
      </c>
      <c r="O80" s="11">
        <f>M80</f>
        <v>14.095000000000001</v>
      </c>
      <c r="P80" s="11">
        <v>46.2</v>
      </c>
      <c r="Q80" s="82">
        <f>(P80*O80)/(N80*M80)</f>
        <v>1.0726723937775715</v>
      </c>
    </row>
    <row r="81" spans="1:17">
      <c r="A81" s="2" t="s">
        <v>111</v>
      </c>
      <c r="B81" s="11">
        <f>9.587/2</f>
        <v>4.7934999999999999</v>
      </c>
      <c r="C81" s="11">
        <v>59.48</v>
      </c>
      <c r="D81" s="11">
        <f t="shared" ref="D81:D82" si="37">B81</f>
        <v>4.7934999999999999</v>
      </c>
      <c r="E81" s="11">
        <v>63.77</v>
      </c>
      <c r="F81" s="82">
        <f t="shared" ref="F81:F82" si="38">(E81*D81)/(C81*B81)</f>
        <v>1.0721250840618697</v>
      </c>
      <c r="G81" s="82" t="s">
        <v>272</v>
      </c>
      <c r="H81" s="163">
        <f>4.225/2</f>
        <v>2.1124999999999998</v>
      </c>
      <c r="I81" s="163">
        <v>24</v>
      </c>
      <c r="J81" s="163">
        <f t="shared" ref="J81:J82" si="39">H81</f>
        <v>2.1124999999999998</v>
      </c>
      <c r="K81" s="163">
        <v>26.04</v>
      </c>
      <c r="L81" s="82">
        <f t="shared" ref="L81:L82" si="40">(K81*J81)/(I81*H81)</f>
        <v>1.085</v>
      </c>
      <c r="M81" s="11">
        <f>14.824/2</f>
        <v>7.4119999999999999</v>
      </c>
      <c r="N81" s="11">
        <v>44.67</v>
      </c>
      <c r="O81" s="11">
        <f t="shared" ref="O81:O82" si="41">M81</f>
        <v>7.4119999999999999</v>
      </c>
      <c r="P81" s="11">
        <v>48.32</v>
      </c>
      <c r="Q81" s="82">
        <f t="shared" ref="Q81:Q82" si="42">(P81*O81)/(N81*M81)</f>
        <v>1.0817103201253637</v>
      </c>
    </row>
    <row r="82" spans="1:17">
      <c r="A82" s="2" t="s">
        <v>112</v>
      </c>
      <c r="B82" s="11">
        <f>86.547/2</f>
        <v>43.273499999999999</v>
      </c>
      <c r="C82" s="11">
        <v>27.18</v>
      </c>
      <c r="D82" s="11">
        <f t="shared" si="37"/>
        <v>43.273499999999999</v>
      </c>
      <c r="E82" s="11">
        <v>28.8</v>
      </c>
      <c r="F82" s="82">
        <f t="shared" si="38"/>
        <v>1.0596026490066226</v>
      </c>
      <c r="G82" s="82" t="s">
        <v>272</v>
      </c>
      <c r="H82" s="163">
        <f>0.972/2</f>
        <v>0.48599999999999999</v>
      </c>
      <c r="I82" s="163">
        <v>20.34</v>
      </c>
      <c r="J82" s="163">
        <f t="shared" si="39"/>
        <v>0.48599999999999999</v>
      </c>
      <c r="K82" s="163">
        <v>22.07</v>
      </c>
      <c r="L82" s="82">
        <f t="shared" si="40"/>
        <v>1.0850540806293019</v>
      </c>
      <c r="M82" s="11">
        <f>84.508/2</f>
        <v>42.253999999999998</v>
      </c>
      <c r="N82" s="11">
        <v>21.94</v>
      </c>
      <c r="O82" s="11">
        <f t="shared" si="41"/>
        <v>42.253999999999998</v>
      </c>
      <c r="P82" s="11">
        <v>22.3</v>
      </c>
      <c r="Q82" s="82">
        <f t="shared" si="42"/>
        <v>1.0164083865086599</v>
      </c>
    </row>
    <row r="83" spans="1:17">
      <c r="A83" s="2" t="s">
        <v>118</v>
      </c>
      <c r="B83" s="11">
        <f>1.22/2</f>
        <v>0.61</v>
      </c>
      <c r="C83" s="11">
        <v>40.299999999999997</v>
      </c>
      <c r="D83" s="11">
        <f>B83</f>
        <v>0.61</v>
      </c>
      <c r="E83" s="11">
        <v>43.11</v>
      </c>
      <c r="F83" s="82">
        <f>(E83*D83)/(C83*B83)</f>
        <v>1.069727047146402</v>
      </c>
      <c r="G83" s="82"/>
      <c r="H83" s="11"/>
      <c r="I83" s="11"/>
      <c r="J83" s="11"/>
      <c r="K83" s="11"/>
      <c r="L83" s="82"/>
      <c r="M83" s="11"/>
      <c r="N83" s="11"/>
      <c r="O83" s="11"/>
      <c r="P83" s="11"/>
      <c r="Q83" s="82"/>
    </row>
    <row r="84" spans="1:17">
      <c r="A84" s="2"/>
      <c r="B84" s="11"/>
      <c r="C84" s="11"/>
      <c r="D84" s="11"/>
      <c r="E84" s="11"/>
      <c r="F84" s="82"/>
      <c r="G84" s="82"/>
      <c r="H84" s="11"/>
      <c r="I84" s="11"/>
      <c r="J84" s="11"/>
      <c r="K84" s="11"/>
      <c r="L84" s="82"/>
      <c r="M84" s="11"/>
      <c r="N84" s="11"/>
      <c r="O84" s="11"/>
      <c r="P84" s="11"/>
      <c r="Q84" s="82"/>
    </row>
    <row r="85" spans="1:17">
      <c r="A85" s="2"/>
      <c r="B85" s="11"/>
      <c r="C85" s="11"/>
      <c r="D85" s="11"/>
      <c r="E85" s="11"/>
      <c r="F85" s="82"/>
      <c r="G85" s="82"/>
      <c r="H85" s="11"/>
      <c r="I85" s="11"/>
      <c r="J85" s="11"/>
      <c r="K85" s="11"/>
      <c r="L85" s="82"/>
      <c r="M85" s="11">
        <f>26.47/2</f>
        <v>13.234999999999999</v>
      </c>
      <c r="N85" s="11">
        <v>65.22</v>
      </c>
      <c r="O85" s="11">
        <f t="shared" ref="O85" si="43">M85</f>
        <v>13.234999999999999</v>
      </c>
      <c r="P85" s="11">
        <v>70.39</v>
      </c>
      <c r="Q85" s="82">
        <f t="shared" ref="Q85" si="44">(P85*O85)/(N85*M85)</f>
        <v>1.0792701625268322</v>
      </c>
    </row>
    <row r="86" spans="1:17">
      <c r="A86" s="31" t="s">
        <v>121</v>
      </c>
      <c r="B86" s="18">
        <f>SUM(B87:B90)</f>
        <v>36.3705</v>
      </c>
      <c r="C86" s="18">
        <f>SUMPRODUCT(B87:B90,C87:C90)/B86</f>
        <v>37.440717339602145</v>
      </c>
      <c r="D86" s="18">
        <f>SUM(D87:D90)</f>
        <v>36.3705</v>
      </c>
      <c r="E86" s="18">
        <f>SUMPRODUCT(D87:D90,E87:E90)/D86</f>
        <v>39.593072545057119</v>
      </c>
      <c r="F86" s="77">
        <f>E86/C86</f>
        <v>1.0574870183691263</v>
      </c>
      <c r="G86" s="77"/>
      <c r="H86" s="18">
        <f>SUM(H87:H90)</f>
        <v>0</v>
      </c>
      <c r="I86" s="18" t="e">
        <f>SUMPRODUCT(H87:H90,I87:I90)/H86</f>
        <v>#DIV/0!</v>
      </c>
      <c r="J86" s="18">
        <f>SUM(J87:J90)</f>
        <v>0</v>
      </c>
      <c r="K86" s="18" t="e">
        <f>SUMPRODUCT(J87:J90,K87:K90)/J86</f>
        <v>#DIV/0!</v>
      </c>
      <c r="L86" s="77" t="e">
        <f>K86/I86</f>
        <v>#DIV/0!</v>
      </c>
      <c r="M86" s="18">
        <f>SUM(M87:M90)</f>
        <v>10.040000000000001</v>
      </c>
      <c r="N86" s="18">
        <f>SUMPRODUCT(M87:M90,N87:N90)/M86</f>
        <v>63.349203187251</v>
      </c>
      <c r="O86" s="18">
        <f>SUM(O87:O90)</f>
        <v>10.040000000000001</v>
      </c>
      <c r="P86" s="18">
        <f>SUMPRODUCT(O87:O90,P87:P90)/O86</f>
        <v>66.314780876494027</v>
      </c>
      <c r="Q86" s="77">
        <f>P86/N86</f>
        <v>1.0468131805932461</v>
      </c>
    </row>
    <row r="87" spans="1:17">
      <c r="A87" s="23"/>
      <c r="B87" s="13"/>
      <c r="C87" s="13"/>
      <c r="D87" s="13"/>
      <c r="E87" s="13"/>
      <c r="F87" s="78"/>
      <c r="G87" s="78"/>
      <c r="H87" s="28"/>
      <c r="I87" s="28"/>
      <c r="J87" s="28"/>
      <c r="K87" s="28"/>
      <c r="L87" s="78"/>
      <c r="M87" s="13">
        <f>7.28/2</f>
        <v>3.64</v>
      </c>
      <c r="N87" s="13">
        <v>69.150000000000006</v>
      </c>
      <c r="O87" s="13">
        <f>M87</f>
        <v>3.64</v>
      </c>
      <c r="P87" s="13">
        <v>73.11</v>
      </c>
      <c r="Q87" s="78">
        <f>(P87*O87)/(N87*M87)</f>
        <v>1.0572668112798265</v>
      </c>
    </row>
    <row r="88" spans="1:17">
      <c r="A88" s="23"/>
      <c r="B88" s="13">
        <f>39.5/2</f>
        <v>19.75</v>
      </c>
      <c r="C88" s="13">
        <v>38.21</v>
      </c>
      <c r="D88" s="13">
        <f>B88</f>
        <v>19.75</v>
      </c>
      <c r="E88" s="13">
        <v>40.229999999999997</v>
      </c>
      <c r="F88" s="78">
        <f t="shared" ref="F88:F90" si="45">(E88*D88)/(C88*B88)</f>
        <v>1.0528657419523684</v>
      </c>
      <c r="G88" s="78"/>
      <c r="H88" s="13"/>
      <c r="I88" s="13"/>
      <c r="J88" s="13"/>
      <c r="K88" s="22"/>
      <c r="L88" s="78" t="e">
        <f t="shared" ref="L88:L90" si="46">(K88*J88)/(I88*H88)</f>
        <v>#DIV/0!</v>
      </c>
      <c r="M88" s="13">
        <f>12.8/2</f>
        <v>6.4</v>
      </c>
      <c r="N88" s="13">
        <v>60.05</v>
      </c>
      <c r="O88" s="13">
        <f>M88</f>
        <v>6.4</v>
      </c>
      <c r="P88" s="13">
        <v>62.45</v>
      </c>
      <c r="Q88" s="78">
        <f>(P88*O88)/(N88*M88)</f>
        <v>1.0399666944213157</v>
      </c>
    </row>
    <row r="89" spans="1:17">
      <c r="A89" s="3"/>
      <c r="B89" s="13">
        <f>14/2</f>
        <v>7</v>
      </c>
      <c r="C89" s="13">
        <v>32.549999999999997</v>
      </c>
      <c r="D89" s="13">
        <f>B89</f>
        <v>7</v>
      </c>
      <c r="E89" s="13">
        <v>32.99</v>
      </c>
      <c r="F89" s="78">
        <f t="shared" si="45"/>
        <v>1.0135176651305686</v>
      </c>
      <c r="G89" s="78"/>
      <c r="H89" s="13"/>
      <c r="I89" s="13"/>
      <c r="J89" s="13"/>
      <c r="K89" s="22"/>
      <c r="L89" s="78" t="e">
        <f t="shared" si="46"/>
        <v>#DIV/0!</v>
      </c>
      <c r="M89" s="13"/>
      <c r="N89" s="13"/>
      <c r="O89" s="13"/>
      <c r="P89" s="13"/>
      <c r="Q89" s="78"/>
    </row>
    <row r="90" spans="1:17">
      <c r="A90" s="3"/>
      <c r="B90" s="37">
        <f>19.241/2</f>
        <v>9.6204999999999998</v>
      </c>
      <c r="C90" s="37">
        <v>39.42</v>
      </c>
      <c r="D90" s="37">
        <f>19.241/2</f>
        <v>9.6204999999999998</v>
      </c>
      <c r="E90" s="28">
        <v>43.09</v>
      </c>
      <c r="F90" s="78">
        <f t="shared" si="45"/>
        <v>1.0930999492643327</v>
      </c>
      <c r="G90" s="78"/>
      <c r="H90" s="37"/>
      <c r="I90" s="37"/>
      <c r="J90" s="13"/>
      <c r="K90" s="37"/>
      <c r="L90" s="78" t="e">
        <f t="shared" si="46"/>
        <v>#DIV/0!</v>
      </c>
      <c r="M90" s="28"/>
      <c r="N90" s="28"/>
      <c r="O90" s="28"/>
      <c r="P90" s="28"/>
      <c r="Q90" s="78"/>
    </row>
    <row r="91" spans="1:17">
      <c r="A91" s="25" t="s">
        <v>126</v>
      </c>
      <c r="B91" s="18">
        <f>SUM(B92:B96)</f>
        <v>104.1095</v>
      </c>
      <c r="C91" s="18">
        <f>SUMPRODUCT(B92:B96,C92:C96)/B91</f>
        <v>40.088333965680363</v>
      </c>
      <c r="D91" s="18">
        <f>SUM(D92:D96)</f>
        <v>104.1095</v>
      </c>
      <c r="E91" s="18">
        <f>SUMPRODUCT(D92:D96,E92:E96)/D91</f>
        <v>41.994961506874979</v>
      </c>
      <c r="F91" s="77">
        <f>E91/C91</f>
        <v>1.0475606579915964</v>
      </c>
      <c r="G91" s="77"/>
      <c r="H91" s="18">
        <f>SUM(H92:H96)</f>
        <v>0</v>
      </c>
      <c r="I91" s="18" t="e">
        <f>SUMPRODUCT(H92:H96,I92:I96)/H91</f>
        <v>#DIV/0!</v>
      </c>
      <c r="J91" s="18">
        <f>SUM(J92:J96)</f>
        <v>0</v>
      </c>
      <c r="K91" s="18" t="e">
        <f>SUMPRODUCT(J92:J96,K92:K96)/J91</f>
        <v>#DIV/0!</v>
      </c>
      <c r="L91" s="77" t="e">
        <f>K91/I91</f>
        <v>#DIV/0!</v>
      </c>
      <c r="M91" s="18">
        <f>SUM(M92:M96)</f>
        <v>73.930499999999995</v>
      </c>
      <c r="N91" s="18">
        <f>SUMPRODUCT(M92:M96,N92:N96)/M91</f>
        <v>33.067474519988373</v>
      </c>
      <c r="O91" s="18">
        <f>SUM(O92:O96)</f>
        <v>73.930499999999995</v>
      </c>
      <c r="P91" s="18">
        <f>SUMPRODUCT(O92:O96,P92:P96)/O91</f>
        <v>35.153448576703795</v>
      </c>
      <c r="Q91" s="77">
        <f>P91/N91</f>
        <v>1.0630823516762524</v>
      </c>
    </row>
    <row r="92" spans="1:17">
      <c r="A92" s="7"/>
      <c r="B92" s="13">
        <f>11.18/2</f>
        <v>5.59</v>
      </c>
      <c r="C92" s="13">
        <v>33.020000000000003</v>
      </c>
      <c r="D92" s="13">
        <f>B92</f>
        <v>5.59</v>
      </c>
      <c r="E92" s="13">
        <v>34.04</v>
      </c>
      <c r="F92" s="78">
        <f>(E92*D92)/(C92*B92)</f>
        <v>1.0308903694730465</v>
      </c>
      <c r="G92" s="78"/>
      <c r="H92" s="13"/>
      <c r="I92" s="13"/>
      <c r="J92" s="13"/>
      <c r="K92" s="22"/>
      <c r="L92" s="78" t="e">
        <f>(K92*J92)/(I92*H92)</f>
        <v>#DIV/0!</v>
      </c>
      <c r="M92" s="13">
        <f>6.54/2</f>
        <v>3.27</v>
      </c>
      <c r="N92" s="13">
        <v>78.03</v>
      </c>
      <c r="O92" s="13">
        <f>M92</f>
        <v>3.27</v>
      </c>
      <c r="P92" s="13">
        <v>81.98</v>
      </c>
      <c r="Q92" s="78">
        <f>(P92*O92)/(N92*M92)</f>
        <v>1.0506215558118672</v>
      </c>
    </row>
    <row r="93" spans="1:17">
      <c r="A93" s="7"/>
      <c r="B93" s="13">
        <f>35.646/2</f>
        <v>17.823</v>
      </c>
      <c r="C93" s="13">
        <v>30.78</v>
      </c>
      <c r="D93" s="13">
        <f>B93</f>
        <v>17.823</v>
      </c>
      <c r="E93" s="13">
        <v>32.83</v>
      </c>
      <c r="F93" s="78">
        <f>(E93*D93)/(C93*B93)</f>
        <v>1.0666016894087069</v>
      </c>
      <c r="G93" s="78"/>
      <c r="H93" s="13"/>
      <c r="I93" s="13"/>
      <c r="J93" s="13"/>
      <c r="K93" s="22"/>
      <c r="L93" s="78" t="e">
        <f>(K93*J93)/(I93*H93)</f>
        <v>#DIV/0!</v>
      </c>
      <c r="M93" s="13">
        <f>10.78/2</f>
        <v>5.39</v>
      </c>
      <c r="N93" s="13">
        <v>52.31</v>
      </c>
      <c r="O93" s="13">
        <f>M93</f>
        <v>5.39</v>
      </c>
      <c r="P93" s="13">
        <v>55.77</v>
      </c>
      <c r="Q93" s="78">
        <f>(P93*O93)/(N93*M93)</f>
        <v>1.066144140699675</v>
      </c>
    </row>
    <row r="94" spans="1:17">
      <c r="A94" s="7"/>
      <c r="B94" s="13">
        <f>(59.46)/2</f>
        <v>29.73</v>
      </c>
      <c r="C94" s="13">
        <v>42.48</v>
      </c>
      <c r="D94" s="13">
        <f>B94</f>
        <v>29.73</v>
      </c>
      <c r="E94" s="13">
        <v>44.87</v>
      </c>
      <c r="F94" s="78">
        <f>(E94*D94)/(C94*B94)</f>
        <v>1.0562617702448209</v>
      </c>
      <c r="G94" s="78"/>
      <c r="H94" s="13"/>
      <c r="I94" s="13"/>
      <c r="J94" s="13"/>
      <c r="K94" s="22"/>
      <c r="L94" s="78" t="e">
        <f>(K94*J94)/(I94*H94)</f>
        <v>#DIV/0!</v>
      </c>
      <c r="M94" s="13">
        <f>122.041/2</f>
        <v>61.020499999999998</v>
      </c>
      <c r="N94" s="13">
        <v>27.85</v>
      </c>
      <c r="O94" s="13">
        <f>M94</f>
        <v>61.020499999999998</v>
      </c>
      <c r="P94" s="13">
        <v>29.86</v>
      </c>
      <c r="Q94" s="78">
        <f>(P94*O94)/(N94*M94)</f>
        <v>1.0721723518850987</v>
      </c>
    </row>
    <row r="95" spans="1:17">
      <c r="A95" s="7"/>
      <c r="B95" s="13">
        <f>91.933/2</f>
        <v>45.966500000000003</v>
      </c>
      <c r="C95" s="13">
        <v>44.41</v>
      </c>
      <c r="D95" s="13">
        <f>B95</f>
        <v>45.966500000000003</v>
      </c>
      <c r="E95" s="13">
        <v>46.07</v>
      </c>
      <c r="F95" s="78">
        <f>(E95*D95)/(C95*B95)</f>
        <v>1.0373789687007431</v>
      </c>
      <c r="G95" s="78"/>
      <c r="H95" s="13"/>
      <c r="I95" s="13"/>
      <c r="J95" s="13"/>
      <c r="K95" s="22"/>
      <c r="L95" s="78" t="e">
        <f>(K95*J95)/(I95*H95)</f>
        <v>#DIV/0!</v>
      </c>
      <c r="M95" s="13"/>
      <c r="N95" s="13"/>
      <c r="O95" s="13"/>
      <c r="P95" s="13"/>
      <c r="Q95" s="78"/>
    </row>
    <row r="96" spans="1:17">
      <c r="A96" s="8"/>
      <c r="B96" s="13">
        <f>10/2</f>
        <v>5</v>
      </c>
      <c r="C96" s="13">
        <v>27.22</v>
      </c>
      <c r="D96" s="13">
        <f>B96</f>
        <v>5</v>
      </c>
      <c r="E96" s="13">
        <v>29</v>
      </c>
      <c r="F96" s="78">
        <f>(E96*D96)/(C96*B96)</f>
        <v>1.0653930933137399</v>
      </c>
      <c r="G96" s="78"/>
      <c r="H96" s="22"/>
      <c r="I96" s="22"/>
      <c r="J96" s="22"/>
      <c r="K96" s="22"/>
      <c r="L96" s="78" t="e">
        <f>(K96*J96)/(I96*H96)</f>
        <v>#DIV/0!</v>
      </c>
      <c r="M96" s="13">
        <f>8.5/2</f>
        <v>4.25</v>
      </c>
      <c r="N96" s="13">
        <v>48.98</v>
      </c>
      <c r="O96" s="13">
        <f>M96</f>
        <v>4.25</v>
      </c>
      <c r="P96" s="13">
        <v>48.98</v>
      </c>
      <c r="Q96" s="78">
        <f>(P96*O96)/(N96*M96)</f>
        <v>1</v>
      </c>
    </row>
    <row r="97" spans="1:17">
      <c r="A97" s="9" t="s">
        <v>132</v>
      </c>
      <c r="B97" s="18">
        <f>SUM(B98:B107)</f>
        <v>70.03</v>
      </c>
      <c r="C97" s="18">
        <f>SUMPRODUCT(B98:B107,C98:C107)/B97</f>
        <v>39.581816364415253</v>
      </c>
      <c r="D97" s="18">
        <f>SUM(D98:D107)</f>
        <v>70.03</v>
      </c>
      <c r="E97" s="18">
        <f>SUMPRODUCT(D98:D107,E98:E107)/D97</f>
        <v>42.279256033128661</v>
      </c>
      <c r="F97" s="77">
        <f>E97/C97</f>
        <v>1.068148455944494</v>
      </c>
      <c r="G97" s="77"/>
      <c r="H97" s="18">
        <f>SUM(H98:H107)</f>
        <v>33.380000000000003</v>
      </c>
      <c r="I97" s="18">
        <f>SUMPRODUCT(H98:H107,I98:I107)/H97</f>
        <v>19.420000000000002</v>
      </c>
      <c r="J97" s="18">
        <f>SUM(J98:J107)</f>
        <v>33.380000000000003</v>
      </c>
      <c r="K97" s="18">
        <f>SUMPRODUCT(J98:J107,K98:K107)/J97</f>
        <v>20.8</v>
      </c>
      <c r="L97" s="77">
        <f>K97/I97</f>
        <v>1.0710607621009269</v>
      </c>
      <c r="M97" s="18">
        <f>SUM(M98:M107)</f>
        <v>239.70950000000002</v>
      </c>
      <c r="N97" s="18">
        <f>SUMPRODUCT(M98:M107,N98:N107)/M97</f>
        <v>59.084798850275014</v>
      </c>
      <c r="O97" s="18">
        <f>SUM(O98:O107)</f>
        <v>239.70950000000002</v>
      </c>
      <c r="P97" s="18">
        <f>SUMPRODUCT(O98:O107,P98:P107)/O97</f>
        <v>63.11635383662307</v>
      </c>
      <c r="Q97" s="77">
        <f>P97/N97</f>
        <v>1.068233370761984</v>
      </c>
    </row>
    <row r="98" spans="1:17">
      <c r="A98" s="7"/>
      <c r="B98" s="13"/>
      <c r="C98" s="13"/>
      <c r="D98" s="13"/>
      <c r="E98" s="13"/>
      <c r="F98" s="78"/>
      <c r="G98" s="78"/>
      <c r="H98" s="13"/>
      <c r="I98" s="13"/>
      <c r="J98" s="13"/>
      <c r="K98" s="22"/>
      <c r="L98" s="78"/>
      <c r="M98" s="13">
        <f>122.645/2</f>
        <v>61.322499999999998</v>
      </c>
      <c r="N98" s="13">
        <v>68.87</v>
      </c>
      <c r="O98" s="13">
        <f>M98</f>
        <v>61.322499999999998</v>
      </c>
      <c r="P98" s="13">
        <v>71.14</v>
      </c>
      <c r="Q98" s="78">
        <f>(P98*O98)/(N98*M98)</f>
        <v>1.0329606505009439</v>
      </c>
    </row>
    <row r="99" spans="1:17">
      <c r="A99" s="7"/>
      <c r="B99" s="13"/>
      <c r="C99" s="13"/>
      <c r="D99" s="13"/>
      <c r="E99" s="13"/>
      <c r="F99" s="78"/>
      <c r="G99" s="78"/>
      <c r="H99" s="22"/>
      <c r="I99" s="22"/>
      <c r="J99" s="22"/>
      <c r="K99" s="22"/>
      <c r="L99" s="78"/>
      <c r="M99" s="13">
        <f>10.165/2</f>
        <v>5.0824999999999996</v>
      </c>
      <c r="N99" s="13">
        <v>51.78</v>
      </c>
      <c r="O99" s="13">
        <f>M99</f>
        <v>5.0824999999999996</v>
      </c>
      <c r="P99" s="13">
        <v>51.78</v>
      </c>
      <c r="Q99" s="78">
        <f>(P99*O99)/(N99*M99)</f>
        <v>1</v>
      </c>
    </row>
    <row r="100" spans="1:17">
      <c r="A100" s="7"/>
      <c r="B100" s="13"/>
      <c r="C100" s="13"/>
      <c r="D100" s="13"/>
      <c r="E100" s="13"/>
      <c r="F100" s="78"/>
      <c r="G100" s="78"/>
      <c r="H100" s="13"/>
      <c r="I100" s="13"/>
      <c r="J100" s="13"/>
      <c r="K100" s="22"/>
      <c r="L100" s="78"/>
      <c r="M100" s="13">
        <f>20.976/2</f>
        <v>10.488</v>
      </c>
      <c r="N100" s="13">
        <v>101</v>
      </c>
      <c r="O100" s="13">
        <f>M100</f>
        <v>10.488</v>
      </c>
      <c r="P100" s="13">
        <v>103.89</v>
      </c>
      <c r="Q100" s="78">
        <f>(P100*O100)/(N100*M100)</f>
        <v>1.0286138613861386</v>
      </c>
    </row>
    <row r="101" spans="1:17">
      <c r="A101" s="2"/>
      <c r="B101" s="13">
        <f>3.13/2</f>
        <v>1.5649999999999999</v>
      </c>
      <c r="C101" s="13">
        <v>291.20999999999998</v>
      </c>
      <c r="D101" s="13">
        <f>B101</f>
        <v>1.5649999999999999</v>
      </c>
      <c r="E101" s="13">
        <v>301.67</v>
      </c>
      <c r="F101" s="78">
        <f>(E101*D101)/(C101*B101)</f>
        <v>1.0359190961848839</v>
      </c>
      <c r="G101" s="78"/>
      <c r="H101" s="13"/>
      <c r="I101" s="13"/>
      <c r="J101" s="13"/>
      <c r="K101" s="13"/>
      <c r="L101" s="78"/>
      <c r="M101" s="13"/>
      <c r="N101" s="13"/>
      <c r="O101" s="13"/>
      <c r="P101" s="13"/>
      <c r="Q101" s="78"/>
    </row>
    <row r="102" spans="1:17">
      <c r="A102" s="2" t="s">
        <v>142</v>
      </c>
      <c r="B102" s="13">
        <f>136.93/2</f>
        <v>68.465000000000003</v>
      </c>
      <c r="C102" s="13">
        <v>33.83</v>
      </c>
      <c r="D102" s="13">
        <f>B102</f>
        <v>68.465000000000003</v>
      </c>
      <c r="E102" s="13">
        <v>36.35</v>
      </c>
      <c r="F102" s="78">
        <f t="shared" ref="F102" si="47">(E102*D102)/(C102*B102)</f>
        <v>1.0744900975465563</v>
      </c>
      <c r="G102" s="78" t="s">
        <v>323</v>
      </c>
      <c r="H102" s="13">
        <f>66.76/2</f>
        <v>33.380000000000003</v>
      </c>
      <c r="I102" s="13">
        <v>19.420000000000002</v>
      </c>
      <c r="J102" s="13">
        <f>H102</f>
        <v>33.380000000000003</v>
      </c>
      <c r="K102" s="13">
        <v>20.8</v>
      </c>
      <c r="L102" s="78">
        <f t="shared" ref="L102" si="48">(K102*J102)/(I102*H102)</f>
        <v>1.0710607621009269</v>
      </c>
      <c r="M102" s="13">
        <f>109.73/2</f>
        <v>54.865000000000002</v>
      </c>
      <c r="N102" s="13">
        <v>30.5</v>
      </c>
      <c r="O102" s="13">
        <f>M102</f>
        <v>54.865000000000002</v>
      </c>
      <c r="P102" s="13">
        <v>32.479999999999997</v>
      </c>
      <c r="Q102" s="78">
        <f t="shared" ref="Q102" si="49">(P102*O102)/(N102*M102)</f>
        <v>1.064918032786885</v>
      </c>
    </row>
    <row r="103" spans="1:17">
      <c r="A103" s="8"/>
      <c r="B103" s="13"/>
      <c r="C103" s="13"/>
      <c r="D103" s="13"/>
      <c r="E103" s="13"/>
      <c r="F103" s="78"/>
      <c r="G103" s="78"/>
      <c r="H103" s="22"/>
      <c r="I103" s="13"/>
      <c r="J103" s="22"/>
      <c r="K103" s="13"/>
      <c r="L103" s="78"/>
      <c r="M103" s="13">
        <v>0</v>
      </c>
      <c r="N103" s="13">
        <v>0</v>
      </c>
      <c r="O103" s="13">
        <v>0</v>
      </c>
      <c r="P103" s="13">
        <v>0</v>
      </c>
      <c r="Q103" s="78"/>
    </row>
    <row r="104" spans="1:17">
      <c r="A104" s="8"/>
      <c r="B104" s="13"/>
      <c r="C104" s="13"/>
      <c r="D104" s="13"/>
      <c r="E104" s="13"/>
      <c r="F104" s="78"/>
      <c r="G104" s="78"/>
      <c r="H104" s="13"/>
      <c r="I104" s="13"/>
      <c r="J104" s="13"/>
      <c r="K104" s="22"/>
      <c r="L104" s="78"/>
      <c r="M104" s="13">
        <f>52.429/2</f>
        <v>26.214500000000001</v>
      </c>
      <c r="N104" s="13">
        <v>88.27</v>
      </c>
      <c r="O104" s="13">
        <f>M104</f>
        <v>26.214500000000001</v>
      </c>
      <c r="P104" s="13">
        <v>89.16</v>
      </c>
      <c r="Q104" s="78">
        <f t="shared" ref="Q104" si="50">(P104*O104)/(N104*M104)</f>
        <v>1.0100827008043503</v>
      </c>
    </row>
    <row r="105" spans="1:17">
      <c r="A105" s="8"/>
      <c r="B105" s="13"/>
      <c r="C105" s="13"/>
      <c r="D105" s="13"/>
      <c r="E105" s="13"/>
      <c r="F105" s="78"/>
      <c r="G105" s="78"/>
      <c r="H105" s="22"/>
      <c r="I105" s="22"/>
      <c r="J105" s="22"/>
      <c r="K105" s="22"/>
      <c r="L105" s="78"/>
      <c r="M105" s="13"/>
      <c r="N105" s="13"/>
      <c r="O105" s="13"/>
      <c r="P105" s="13"/>
      <c r="Q105" s="78"/>
    </row>
    <row r="106" spans="1:17">
      <c r="A106" s="7"/>
      <c r="B106" s="13"/>
      <c r="C106" s="13"/>
      <c r="D106" s="13"/>
      <c r="E106" s="13"/>
      <c r="F106" s="78"/>
      <c r="G106" s="78"/>
      <c r="H106" s="13"/>
      <c r="I106" s="13"/>
      <c r="J106" s="13"/>
      <c r="K106" s="22"/>
      <c r="L106" s="78"/>
      <c r="M106" s="13">
        <f>144.314/2</f>
        <v>72.156999999999996</v>
      </c>
      <c r="N106" s="13">
        <v>41.35</v>
      </c>
      <c r="O106" s="13">
        <f>M106</f>
        <v>72.156999999999996</v>
      </c>
      <c r="P106" s="13">
        <v>46.74</v>
      </c>
      <c r="Q106" s="78">
        <f>(P106*O106)/(N106*M106)</f>
        <v>1.1303506650544135</v>
      </c>
    </row>
    <row r="107" spans="1:17">
      <c r="A107" s="7"/>
      <c r="B107" s="13"/>
      <c r="C107" s="13"/>
      <c r="D107" s="13"/>
      <c r="E107" s="13"/>
      <c r="F107" s="78"/>
      <c r="G107" s="78"/>
      <c r="H107" s="13"/>
      <c r="I107" s="13"/>
      <c r="J107" s="13"/>
      <c r="K107" s="22"/>
      <c r="L107" s="78"/>
      <c r="M107" s="13">
        <f>19.16/2</f>
        <v>9.58</v>
      </c>
      <c r="N107" s="13">
        <v>171.86</v>
      </c>
      <c r="O107" s="13">
        <f>M107</f>
        <v>9.58</v>
      </c>
      <c r="P107" s="13">
        <v>200.67</v>
      </c>
      <c r="Q107" s="78">
        <f>(P107*O107)/(N107*M107)</f>
        <v>1.1676364482718491</v>
      </c>
    </row>
    <row r="108" spans="1:17">
      <c r="A108" s="9" t="s">
        <v>143</v>
      </c>
      <c r="B108" s="18">
        <f>SUM(B109:B114)</f>
        <v>433.26949999999999</v>
      </c>
      <c r="C108" s="18">
        <f>SUMPRODUCT(B109:B114,C109:C114)/B108</f>
        <v>47.107297663463505</v>
      </c>
      <c r="D108" s="18">
        <f>SUM(D109:D114)</f>
        <v>433.26949999999999</v>
      </c>
      <c r="E108" s="18">
        <f>SUMPRODUCT(D109:D114,E109:E114)/D108</f>
        <v>67.673509213087939</v>
      </c>
      <c r="F108" s="77">
        <f>E108/C108</f>
        <v>1.4365822827823898</v>
      </c>
      <c r="G108" s="77"/>
      <c r="H108" s="18">
        <f>SUM(H109:H114)</f>
        <v>287.15900000000005</v>
      </c>
      <c r="I108" s="18">
        <f>SUMPRODUCT(H109:H114,I109:I114)/H108</f>
        <v>29.377964820883196</v>
      </c>
      <c r="J108" s="18">
        <f>SUM(J109:J114)</f>
        <v>381.65700000000004</v>
      </c>
      <c r="K108" s="18">
        <f>SUMPRODUCT(J109:J114,K109:K114)/J108</f>
        <v>34.702182470123695</v>
      </c>
      <c r="L108" s="77">
        <f>K108/I108</f>
        <v>1.1812316708016413</v>
      </c>
      <c r="M108" s="18">
        <f>SUM(M109:M114)</f>
        <v>392.23749999999995</v>
      </c>
      <c r="N108" s="18">
        <f>SUMPRODUCT(M109:M114,N109:N114)/M108</f>
        <v>35.808039937537842</v>
      </c>
      <c r="O108" s="18">
        <f>SUM(O109:O114)</f>
        <v>392.23749999999995</v>
      </c>
      <c r="P108" s="18">
        <f>SUMPRODUCT(O109:O114,P109:P114)/O108</f>
        <v>41.148639051595012</v>
      </c>
      <c r="Q108" s="77">
        <f>P108/N108</f>
        <v>1.1491452512724267</v>
      </c>
    </row>
    <row r="109" spans="1:17">
      <c r="A109" s="8" t="s">
        <v>144</v>
      </c>
      <c r="B109" s="13">
        <f>430.581/2</f>
        <v>215.29050000000001</v>
      </c>
      <c r="C109" s="13">
        <v>55.17</v>
      </c>
      <c r="D109" s="13">
        <f>B109</f>
        <v>215.29050000000001</v>
      </c>
      <c r="E109" s="13">
        <v>95.72</v>
      </c>
      <c r="F109" s="78">
        <f>(E109*D109)/(C109*B109)</f>
        <v>1.7350009062896503</v>
      </c>
      <c r="G109" s="78" t="s">
        <v>326</v>
      </c>
      <c r="H109" s="13">
        <v>164.86</v>
      </c>
      <c r="I109" s="13">
        <v>27.42</v>
      </c>
      <c r="J109" s="13">
        <f>H109</f>
        <v>164.86</v>
      </c>
      <c r="K109" s="13">
        <v>35.03</v>
      </c>
      <c r="L109" s="78">
        <f>(K109*J109)/(I109*H109)</f>
        <v>1.2775346462436177</v>
      </c>
      <c r="M109" s="13">
        <f>765.458/2</f>
        <v>382.72899999999998</v>
      </c>
      <c r="N109" s="13">
        <v>33.86</v>
      </c>
      <c r="O109" s="13">
        <f>M109</f>
        <v>382.72899999999998</v>
      </c>
      <c r="P109" s="13">
        <v>39.33</v>
      </c>
      <c r="Q109" s="78">
        <f>(P109*O109)/(N109*M109)</f>
        <v>1.1615475487300648</v>
      </c>
    </row>
    <row r="110" spans="1:17">
      <c r="A110" s="8" t="s">
        <v>145</v>
      </c>
      <c r="B110" s="13">
        <f>11.3/2</f>
        <v>5.65</v>
      </c>
      <c r="C110" s="13">
        <v>62.62</v>
      </c>
      <c r="D110" s="13">
        <f>B110</f>
        <v>5.65</v>
      </c>
      <c r="E110" s="13">
        <v>62.62</v>
      </c>
      <c r="F110" s="78">
        <f>(E110*D110)/(C110*B110)</f>
        <v>1</v>
      </c>
      <c r="G110" s="78" t="s">
        <v>327</v>
      </c>
      <c r="H110" s="13">
        <v>4.71</v>
      </c>
      <c r="I110" s="13">
        <v>32.36</v>
      </c>
      <c r="J110" s="13">
        <f>H110</f>
        <v>4.71</v>
      </c>
      <c r="K110" s="13">
        <v>34.659999999999997</v>
      </c>
      <c r="L110" s="78">
        <f t="shared" ref="L110:L114" si="51">(K110*J110)/(I110*H110)</f>
        <v>1.0710754017305315</v>
      </c>
      <c r="M110" s="13">
        <f>5.8/2</f>
        <v>2.9</v>
      </c>
      <c r="N110" s="13">
        <v>54.9</v>
      </c>
      <c r="O110" s="13">
        <f t="shared" ref="O110:O111" si="52">M110</f>
        <v>2.9</v>
      </c>
      <c r="P110" s="13">
        <v>54.9</v>
      </c>
      <c r="Q110" s="78">
        <f t="shared" ref="Q110:Q111" si="53">(P110*O110)/(N110*M110)</f>
        <v>1</v>
      </c>
    </row>
    <row r="111" spans="1:17">
      <c r="A111" s="8" t="s">
        <v>146</v>
      </c>
      <c r="B111" s="13">
        <f>410.776/2</f>
        <v>205.38800000000001</v>
      </c>
      <c r="C111" s="13">
        <v>34.270000000000003</v>
      </c>
      <c r="D111" s="13">
        <f>410.776/2</f>
        <v>205.38800000000001</v>
      </c>
      <c r="E111" s="13">
        <v>34.78</v>
      </c>
      <c r="F111" s="78">
        <f>(E111*D111)/(C111*B111)</f>
        <v>1.0148818208345491</v>
      </c>
      <c r="G111" s="78" t="s">
        <v>326</v>
      </c>
      <c r="H111" s="13">
        <v>110.89</v>
      </c>
      <c r="I111" s="13">
        <v>32.36</v>
      </c>
      <c r="J111" s="13">
        <f>410.776/2</f>
        <v>205.38800000000001</v>
      </c>
      <c r="K111" s="13">
        <v>34.659999999999997</v>
      </c>
      <c r="L111" s="78">
        <f t="shared" si="51"/>
        <v>1.9838221175095174</v>
      </c>
      <c r="M111" s="13">
        <f>13.217/2</f>
        <v>6.6085000000000003</v>
      </c>
      <c r="N111" s="13">
        <v>140.25</v>
      </c>
      <c r="O111" s="13">
        <f t="shared" si="52"/>
        <v>6.6085000000000003</v>
      </c>
      <c r="P111" s="13">
        <v>140.44</v>
      </c>
      <c r="Q111" s="78">
        <f t="shared" si="53"/>
        <v>1.001354723707665</v>
      </c>
    </row>
    <row r="112" spans="1:17">
      <c r="A112" s="8" t="s">
        <v>147</v>
      </c>
      <c r="B112" s="13">
        <f>13.882/2</f>
        <v>6.9409999999999998</v>
      </c>
      <c r="C112" s="13">
        <v>164.26</v>
      </c>
      <c r="D112" s="13">
        <f>B112</f>
        <v>6.9409999999999998</v>
      </c>
      <c r="E112" s="13">
        <v>175.2</v>
      </c>
      <c r="F112" s="78">
        <f>(E112*D112)/(C112*B112)</f>
        <v>1.066601728966273</v>
      </c>
      <c r="G112" s="78" t="s">
        <v>328</v>
      </c>
      <c r="H112" s="13">
        <f>1.553/2</f>
        <v>0.77649999999999997</v>
      </c>
      <c r="I112" s="13">
        <v>68.25</v>
      </c>
      <c r="J112" s="13">
        <f>H112</f>
        <v>0.77649999999999997</v>
      </c>
      <c r="K112" s="22">
        <v>73.099999999999994</v>
      </c>
      <c r="L112" s="78">
        <f t="shared" si="51"/>
        <v>1.0710622710622708</v>
      </c>
      <c r="M112" s="13"/>
      <c r="N112" s="13"/>
      <c r="O112" s="13"/>
      <c r="P112" s="13"/>
      <c r="Q112" s="78"/>
    </row>
    <row r="113" spans="1:18">
      <c r="A113" s="8" t="s">
        <v>148</v>
      </c>
      <c r="B113" s="13"/>
      <c r="C113" s="13"/>
      <c r="D113" s="13"/>
      <c r="E113" s="13"/>
      <c r="F113" s="78"/>
      <c r="G113" s="78" t="s">
        <v>328</v>
      </c>
      <c r="H113" s="13">
        <f>1.005/2</f>
        <v>0.50249999999999995</v>
      </c>
      <c r="I113" s="13">
        <v>57.23</v>
      </c>
      <c r="J113" s="13">
        <f>H113</f>
        <v>0.50249999999999995</v>
      </c>
      <c r="K113" s="22">
        <v>61.29</v>
      </c>
      <c r="L113" s="78">
        <f t="shared" si="51"/>
        <v>1.0709418137340556</v>
      </c>
      <c r="M113" s="13"/>
      <c r="N113" s="13"/>
      <c r="O113" s="13"/>
      <c r="P113" s="13"/>
      <c r="Q113" s="78"/>
    </row>
    <row r="114" spans="1:18">
      <c r="A114" s="8" t="s">
        <v>149</v>
      </c>
      <c r="B114" s="13"/>
      <c r="C114" s="13"/>
      <c r="D114" s="13"/>
      <c r="E114" s="13"/>
      <c r="F114" s="78"/>
      <c r="G114" s="78" t="s">
        <v>328</v>
      </c>
      <c r="H114" s="13">
        <v>5.42</v>
      </c>
      <c r="I114" s="13">
        <v>17.18</v>
      </c>
      <c r="J114" s="13">
        <f>H114</f>
        <v>5.42</v>
      </c>
      <c r="K114" s="22">
        <v>18.399999999999999</v>
      </c>
      <c r="L114" s="78">
        <f t="shared" si="51"/>
        <v>1.0710128055878929</v>
      </c>
      <c r="M114" s="13"/>
      <c r="N114" s="13"/>
      <c r="O114" s="13"/>
      <c r="P114" s="13"/>
      <c r="Q114" s="78"/>
    </row>
    <row r="115" spans="1:18" ht="17.25" customHeight="1">
      <c r="A115" s="10" t="s">
        <v>150</v>
      </c>
      <c r="B115" s="18" t="e">
        <f>SUM(#REF!)</f>
        <v>#REF!</v>
      </c>
      <c r="C115" s="18" t="e">
        <f>SUMPRODUCT(#REF!,#REF!)/B115</f>
        <v>#REF!</v>
      </c>
      <c r="D115" s="18" t="e">
        <f>SUM(#REF!)</f>
        <v>#REF!</v>
      </c>
      <c r="E115" s="18" t="e">
        <f>SUMPRODUCT(#REF!,#REF!)/D115</f>
        <v>#REF!</v>
      </c>
      <c r="F115" s="77" t="e">
        <f>E115/C115</f>
        <v>#REF!</v>
      </c>
      <c r="G115" s="77"/>
      <c r="H115" s="18"/>
      <c r="I115" s="18"/>
      <c r="J115" s="18"/>
      <c r="K115" s="18"/>
      <c r="L115" s="77"/>
      <c r="M115" s="18" t="e">
        <f>SUM(#REF!)</f>
        <v>#REF!</v>
      </c>
      <c r="N115" s="18" t="e">
        <f>SUMPRODUCT(#REF!,#REF!)/M115</f>
        <v>#REF!</v>
      </c>
      <c r="O115" s="18" t="e">
        <f>SUM(#REF!)</f>
        <v>#REF!</v>
      </c>
      <c r="P115" s="18" t="e">
        <f>SUMPRODUCT(#REF!,#REF!)/O115</f>
        <v>#REF!</v>
      </c>
      <c r="Q115" s="77" t="e">
        <f>P115/N115</f>
        <v>#REF!</v>
      </c>
    </row>
    <row r="116" spans="1:18">
      <c r="A116" s="10" t="s">
        <v>163</v>
      </c>
      <c r="B116" s="18">
        <f>SUM(B117:B118)</f>
        <v>197.82300000000001</v>
      </c>
      <c r="C116" s="18">
        <f>SUMPRODUCT(B117:B118,C117:C118)/B116</f>
        <v>38.015236600395305</v>
      </c>
      <c r="D116" s="18">
        <f>SUM(D117:D118)</f>
        <v>197.82300000000001</v>
      </c>
      <c r="E116" s="18">
        <f>SUMPRODUCT(D117:D118,E117:E118)/D116</f>
        <v>40.500855057298693</v>
      </c>
      <c r="F116" s="77">
        <f>E116/C116</f>
        <v>1.06538479512916</v>
      </c>
      <c r="G116" s="77"/>
      <c r="H116" s="18">
        <f>H117</f>
        <v>49.4</v>
      </c>
      <c r="I116" s="18">
        <f>I117</f>
        <v>17</v>
      </c>
      <c r="J116" s="18">
        <f t="shared" ref="J116:K116" si="54">J117</f>
        <v>49.4</v>
      </c>
      <c r="K116" s="18">
        <f t="shared" si="54"/>
        <v>18.21</v>
      </c>
      <c r="L116" s="77">
        <f>K116/I116</f>
        <v>1.0711764705882354</v>
      </c>
      <c r="M116" s="18">
        <f>SUM(M117:M118)</f>
        <v>194.44499999999999</v>
      </c>
      <c r="N116" s="18">
        <f>SUMPRODUCT(M117:M118,N117:N118)/M116</f>
        <v>41.759642058165547</v>
      </c>
      <c r="O116" s="18">
        <f>SUM(O117:O118)</f>
        <v>194.44499999999999</v>
      </c>
      <c r="P116" s="18">
        <f>SUMPRODUCT(O117:O118,P117:P118)/O116</f>
        <v>44.175365398956004</v>
      </c>
      <c r="Q116" s="77">
        <f>P116/N116</f>
        <v>1.0578482769901543</v>
      </c>
    </row>
    <row r="117" spans="1:18">
      <c r="A117" s="6" t="s">
        <v>170</v>
      </c>
      <c r="B117" s="48">
        <f>347.5/2</f>
        <v>173.75</v>
      </c>
      <c r="C117" s="48">
        <v>36.14</v>
      </c>
      <c r="D117" s="48">
        <f t="shared" ref="D117:D118" si="55">B117</f>
        <v>173.75</v>
      </c>
      <c r="E117" s="48">
        <v>38.97</v>
      </c>
      <c r="F117" s="78">
        <f t="shared" ref="F117:F118" si="56">(E117*D117)/(C117*B117)</f>
        <v>1.07830658550083</v>
      </c>
      <c r="G117" s="78" t="s">
        <v>305</v>
      </c>
      <c r="H117" s="44">
        <v>49.4</v>
      </c>
      <c r="I117" s="44">
        <v>17</v>
      </c>
      <c r="J117" s="44">
        <f t="shared" ref="J117" si="57">H117</f>
        <v>49.4</v>
      </c>
      <c r="K117" s="44">
        <v>18.21</v>
      </c>
      <c r="L117" s="78">
        <f t="shared" ref="L117:L118" si="58">K117/I117</f>
        <v>1.0711764705882354</v>
      </c>
      <c r="M117" s="13">
        <f>365.545/2</f>
        <v>182.77250000000001</v>
      </c>
      <c r="N117" s="13">
        <v>40.869999999999997</v>
      </c>
      <c r="O117" s="13">
        <f t="shared" ref="O117:O118" si="59">M117</f>
        <v>182.77250000000001</v>
      </c>
      <c r="P117" s="13">
        <v>43.44</v>
      </c>
      <c r="Q117" s="78">
        <f t="shared" ref="Q117:Q118" si="60">(P117*O117)/(N117*M117)</f>
        <v>1.0628823097626621</v>
      </c>
      <c r="R117" t="s">
        <v>391</v>
      </c>
    </row>
    <row r="118" spans="1:18">
      <c r="A118" s="6" t="s">
        <v>174</v>
      </c>
      <c r="B118" s="13">
        <f>48.146/2</f>
        <v>24.073</v>
      </c>
      <c r="C118" s="13">
        <v>51.55</v>
      </c>
      <c r="D118" s="13">
        <f t="shared" si="55"/>
        <v>24.073</v>
      </c>
      <c r="E118" s="13">
        <v>51.55</v>
      </c>
      <c r="F118" s="78">
        <f t="shared" si="56"/>
        <v>1</v>
      </c>
      <c r="G118" s="78" t="s">
        <v>308</v>
      </c>
      <c r="H118" s="22">
        <f>33.925/2</f>
        <v>16.962499999999999</v>
      </c>
      <c r="I118" s="22">
        <v>29</v>
      </c>
      <c r="J118" s="22">
        <f t="shared" ref="J118" si="61">H118</f>
        <v>16.962499999999999</v>
      </c>
      <c r="K118" s="22">
        <v>31.06</v>
      </c>
      <c r="L118" s="78">
        <f t="shared" si="58"/>
        <v>1.0710344827586207</v>
      </c>
      <c r="M118" s="13">
        <f>23.345/2</f>
        <v>11.672499999999999</v>
      </c>
      <c r="N118" s="13">
        <v>55.69</v>
      </c>
      <c r="O118" s="13">
        <f t="shared" si="59"/>
        <v>11.672499999999999</v>
      </c>
      <c r="P118" s="13">
        <v>55.69</v>
      </c>
      <c r="Q118" s="78">
        <f t="shared" si="60"/>
        <v>1</v>
      </c>
    </row>
    <row r="119" spans="1:18">
      <c r="A119" s="25" t="s">
        <v>175</v>
      </c>
      <c r="B119" s="18">
        <f>SUM(B120:B123)</f>
        <v>55.34</v>
      </c>
      <c r="C119" s="18">
        <f>SUMPRODUCT(B120:B123,C120:C123)/B119</f>
        <v>45.424795807734007</v>
      </c>
      <c r="D119" s="18">
        <f>SUM(D120:D123)</f>
        <v>55.34</v>
      </c>
      <c r="E119" s="18">
        <f>SUMPRODUCT(D120:D123,E120:E123)/D119</f>
        <v>48.176331767256954</v>
      </c>
      <c r="F119" s="80">
        <f>E119/C119</f>
        <v>1.0605734359526713</v>
      </c>
      <c r="G119" s="80"/>
      <c r="H119" s="18">
        <f>SUM(H120:H123)</f>
        <v>0</v>
      </c>
      <c r="I119" s="18" t="e">
        <f>SUMPRODUCT(H120:H123,I120:I123)/H119</f>
        <v>#DIV/0!</v>
      </c>
      <c r="J119" s="18">
        <f>SUM(J120:J123)</f>
        <v>0</v>
      </c>
      <c r="K119" s="18" t="e">
        <f>SUMPRODUCT(J120:J123,K120:K123)/J119</f>
        <v>#DIV/0!</v>
      </c>
      <c r="L119" s="80" t="e">
        <f>K119/I119</f>
        <v>#DIV/0!</v>
      </c>
      <c r="M119" s="18">
        <f>SUM(M120:M123)</f>
        <v>31.89</v>
      </c>
      <c r="N119" s="18">
        <f>SUMPRODUCT(M120:M123,N120:N123)/M119</f>
        <v>63.360714957666971</v>
      </c>
      <c r="O119" s="18">
        <f>SUM(O120:O123)</f>
        <v>31.89</v>
      </c>
      <c r="P119" s="18">
        <f>SUMPRODUCT(O120:O123,P120:P123)/O119</f>
        <v>65.939818124804006</v>
      </c>
      <c r="Q119" s="80">
        <f>P119/N119</f>
        <v>1.0407050830922631</v>
      </c>
    </row>
    <row r="120" spans="1:18">
      <c r="A120" s="23"/>
      <c r="B120" s="13">
        <f>19.48/2</f>
        <v>9.74</v>
      </c>
      <c r="C120" s="13">
        <v>62.83</v>
      </c>
      <c r="D120" s="13">
        <f>B120</f>
        <v>9.74</v>
      </c>
      <c r="E120" s="13">
        <v>67.180000000000007</v>
      </c>
      <c r="F120" s="78">
        <f>(E120*D120)/(C120*B120)</f>
        <v>1.069234442145472</v>
      </c>
      <c r="G120" s="78"/>
      <c r="H120" s="13"/>
      <c r="I120" s="13"/>
      <c r="J120" s="13"/>
      <c r="K120" s="13"/>
      <c r="L120" s="87"/>
      <c r="M120" s="13">
        <f>7/2</f>
        <v>3.5</v>
      </c>
      <c r="N120" s="13">
        <v>109.19</v>
      </c>
      <c r="O120" s="13">
        <f>M120</f>
        <v>3.5</v>
      </c>
      <c r="P120" s="13">
        <v>117.04</v>
      </c>
      <c r="Q120" s="78">
        <f>(P120*O120)/(N120*M120)</f>
        <v>1.0718930304972984</v>
      </c>
    </row>
    <row r="121" spans="1:18">
      <c r="A121" s="23"/>
      <c r="B121" s="13">
        <v>0</v>
      </c>
      <c r="C121" s="13"/>
      <c r="D121" s="13">
        <f>B121</f>
        <v>0</v>
      </c>
      <c r="E121" s="13"/>
      <c r="F121" s="78"/>
      <c r="G121" s="78"/>
      <c r="H121" s="13"/>
      <c r="I121" s="13"/>
      <c r="J121" s="13"/>
      <c r="K121" s="13"/>
      <c r="L121" s="78"/>
      <c r="M121" s="13">
        <f>3.18/2</f>
        <v>1.59</v>
      </c>
      <c r="N121" s="13">
        <v>62.78</v>
      </c>
      <c r="O121" s="13">
        <f>M121</f>
        <v>1.59</v>
      </c>
      <c r="P121" s="13">
        <v>66.72</v>
      </c>
      <c r="Q121" s="78">
        <f>(P121*O121)/(N121*M121)</f>
        <v>1.0627588403950303</v>
      </c>
    </row>
    <row r="122" spans="1:18">
      <c r="A122" s="23"/>
      <c r="B122" s="13">
        <f>13.4/2</f>
        <v>6.7</v>
      </c>
      <c r="C122" s="13">
        <v>53.07</v>
      </c>
      <c r="D122" s="13">
        <f>B122</f>
        <v>6.7</v>
      </c>
      <c r="E122" s="13">
        <v>56.7</v>
      </c>
      <c r="F122" s="78">
        <f>(E122*D122)/(C122*B122)</f>
        <v>1.06840022611645</v>
      </c>
      <c r="G122" s="78"/>
      <c r="H122" s="13"/>
      <c r="I122" s="13"/>
      <c r="J122" s="13"/>
      <c r="K122" s="13"/>
      <c r="L122" s="78"/>
      <c r="M122" s="13"/>
      <c r="N122" s="13"/>
      <c r="O122" s="13"/>
      <c r="P122" s="13"/>
      <c r="Q122" s="87"/>
    </row>
    <row r="123" spans="1:18">
      <c r="A123" s="23"/>
      <c r="B123" s="13">
        <f>77.8/2</f>
        <v>38.9</v>
      </c>
      <c r="C123" s="13">
        <v>39.75</v>
      </c>
      <c r="D123" s="13">
        <f>B123</f>
        <v>38.9</v>
      </c>
      <c r="E123" s="13">
        <v>41.95</v>
      </c>
      <c r="F123" s="78">
        <f>(E123*D123)/(C123*B123)</f>
        <v>1.0553459119496857</v>
      </c>
      <c r="G123" s="78"/>
      <c r="H123" s="13"/>
      <c r="I123" s="13"/>
      <c r="J123" s="13"/>
      <c r="K123" s="13"/>
      <c r="L123" s="78"/>
      <c r="M123" s="13">
        <f>53.6/2</f>
        <v>26.8</v>
      </c>
      <c r="N123" s="13">
        <v>57.41</v>
      </c>
      <c r="O123" s="13">
        <f>M123</f>
        <v>26.8</v>
      </c>
      <c r="P123" s="13">
        <v>59.22</v>
      </c>
      <c r="Q123" s="78">
        <f>(P123*O123)/(N123*M123)</f>
        <v>1.0315276084305871</v>
      </c>
    </row>
  </sheetData>
  <mergeCells count="16">
    <mergeCell ref="A5:A8"/>
    <mergeCell ref="G5:G8"/>
    <mergeCell ref="H5:L5"/>
    <mergeCell ref="M5:Q5"/>
    <mergeCell ref="B6:F6"/>
    <mergeCell ref="H6:L6"/>
    <mergeCell ref="M6:Q6"/>
    <mergeCell ref="B7:C7"/>
    <mergeCell ref="D7:E7"/>
    <mergeCell ref="Q7:Q8"/>
    <mergeCell ref="F7:F8"/>
    <mergeCell ref="H7:I7"/>
    <mergeCell ref="J7:K7"/>
    <mergeCell ref="L7:L8"/>
    <mergeCell ref="M7:N7"/>
    <mergeCell ref="O7:P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CC"/>
    <pageSetUpPr fitToPage="1"/>
  </sheetPr>
  <dimension ref="A1:O33"/>
  <sheetViews>
    <sheetView tabSelected="1" view="pageLayout" topLeftCell="A3" zoomScaleNormal="80" workbookViewId="0">
      <selection activeCell="H14" sqref="H14"/>
    </sheetView>
  </sheetViews>
  <sheetFormatPr defaultRowHeight="15"/>
  <cols>
    <col min="1" max="1" width="26.140625" style="321" customWidth="1"/>
    <col min="2" max="2" width="13.28515625" style="5" customWidth="1"/>
    <col min="3" max="3" width="13" style="5" customWidth="1"/>
    <col min="4" max="4" width="11.7109375" style="5" customWidth="1"/>
    <col min="5" max="5" width="13.85546875" style="5" customWidth="1"/>
    <col min="6" max="6" width="14.28515625" style="5" customWidth="1"/>
    <col min="7" max="7" width="11.7109375" style="5" customWidth="1"/>
    <col min="8" max="8" width="12.42578125" style="5" customWidth="1"/>
    <col min="9" max="9" width="13.85546875" style="5" customWidth="1"/>
    <col min="10" max="10" width="13.7109375" style="5" customWidth="1"/>
    <col min="11" max="11" width="11.7109375" style="5" customWidth="1"/>
    <col min="12" max="12" width="16" style="5" customWidth="1"/>
    <col min="13" max="14" width="14.42578125" style="5" customWidth="1"/>
    <col min="15" max="15" width="14" style="5" customWidth="1"/>
    <col min="16" max="16" width="15.5703125" customWidth="1"/>
  </cols>
  <sheetData>
    <row r="1" spans="1:15" hidden="1"/>
    <row r="2" spans="1:15" ht="18.75" hidden="1">
      <c r="A2" s="338" t="s">
        <v>429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282"/>
      <c r="O2"/>
    </row>
    <row r="3" spans="1:15" ht="18.75">
      <c r="A3" s="338" t="s">
        <v>479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</row>
    <row r="4" spans="1:15" ht="18.75">
      <c r="A4" s="294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/>
    </row>
    <row r="5" spans="1:15" s="280" customFormat="1" ht="25.5" customHeight="1">
      <c r="A5" s="320"/>
      <c r="B5" s="390" t="s">
        <v>430</v>
      </c>
      <c r="C5" s="390"/>
      <c r="D5" s="390"/>
      <c r="E5" s="390"/>
      <c r="F5" s="390"/>
      <c r="G5" s="390"/>
      <c r="H5" s="390"/>
      <c r="I5" s="390" t="s">
        <v>438</v>
      </c>
      <c r="J5" s="390"/>
      <c r="K5" s="390"/>
      <c r="L5" s="390"/>
      <c r="M5" s="390"/>
      <c r="N5" s="390"/>
      <c r="O5" s="390"/>
    </row>
    <row r="6" spans="1:15" s="280" customFormat="1" ht="40.5" customHeight="1">
      <c r="A6" s="384" t="s">
        <v>483</v>
      </c>
      <c r="B6" s="386" t="s">
        <v>477</v>
      </c>
      <c r="C6" s="386"/>
      <c r="D6" s="386"/>
      <c r="E6" s="387" t="s">
        <v>476</v>
      </c>
      <c r="F6" s="387"/>
      <c r="G6" s="387"/>
      <c r="H6" s="388" t="s">
        <v>480</v>
      </c>
      <c r="I6" s="386" t="s">
        <v>477</v>
      </c>
      <c r="J6" s="386"/>
      <c r="K6" s="386"/>
      <c r="L6" s="390" t="s">
        <v>478</v>
      </c>
      <c r="M6" s="390"/>
      <c r="N6" s="390"/>
      <c r="O6" s="387" t="s">
        <v>481</v>
      </c>
    </row>
    <row r="7" spans="1:15" s="280" customFormat="1" ht="25.5" customHeight="1">
      <c r="A7" s="385"/>
      <c r="B7" s="302" t="s">
        <v>475</v>
      </c>
      <c r="C7" s="302" t="s">
        <v>256</v>
      </c>
      <c r="D7" s="302" t="s">
        <v>251</v>
      </c>
      <c r="E7" s="302" t="s">
        <v>475</v>
      </c>
      <c r="F7" s="302" t="s">
        <v>256</v>
      </c>
      <c r="G7" s="302" t="s">
        <v>251</v>
      </c>
      <c r="H7" s="389"/>
      <c r="I7" s="302" t="s">
        <v>475</v>
      </c>
      <c r="J7" s="302" t="s">
        <v>256</v>
      </c>
      <c r="K7" s="302" t="s">
        <v>251</v>
      </c>
      <c r="L7" s="302" t="s">
        <v>475</v>
      </c>
      <c r="M7" s="302" t="s">
        <v>256</v>
      </c>
      <c r="N7" s="302" t="s">
        <v>251</v>
      </c>
      <c r="O7" s="387"/>
    </row>
    <row r="8" spans="1:15" s="303" customFormat="1" ht="26.25" customHeight="1">
      <c r="A8" s="306" t="s">
        <v>474</v>
      </c>
      <c r="B8" s="331">
        <v>64.278746755793264</v>
      </c>
      <c r="C8" s="300">
        <v>70.378409043051462</v>
      </c>
      <c r="D8" s="309">
        <v>1.0948939205431607</v>
      </c>
      <c r="E8" s="298">
        <v>31.334211247625422</v>
      </c>
      <c r="F8" s="298">
        <v>35.175799999999995</v>
      </c>
      <c r="G8" s="309">
        <v>1.1226004612663003</v>
      </c>
      <c r="H8" s="311">
        <v>490396.10914239992</v>
      </c>
      <c r="I8" s="332">
        <v>43.105929868992582</v>
      </c>
      <c r="J8" s="299">
        <v>46.613597879427871</v>
      </c>
      <c r="K8" s="309">
        <v>1.0813732129453137</v>
      </c>
      <c r="L8" s="298">
        <v>28.749912050471643</v>
      </c>
      <c r="M8" s="298">
        <v>32.2258</v>
      </c>
      <c r="N8" s="315">
        <v>1.120900820267773</v>
      </c>
      <c r="O8" s="317">
        <v>189474.13727916661</v>
      </c>
    </row>
    <row r="9" spans="1:15" s="301" customFormat="1" ht="20.25" customHeight="1">
      <c r="A9" s="308" t="s">
        <v>473</v>
      </c>
      <c r="B9" s="322">
        <v>32.804192499704342</v>
      </c>
      <c r="C9" s="297">
        <v>34.587289006468289</v>
      </c>
      <c r="D9" s="310">
        <v>1.0543557506187666</v>
      </c>
      <c r="E9" s="295">
        <v>41.3354</v>
      </c>
      <c r="F9" s="295">
        <v>43.541999999999994</v>
      </c>
      <c r="G9" s="310">
        <v>1.0533828147302311</v>
      </c>
      <c r="H9" s="312">
        <v>0</v>
      </c>
      <c r="I9" s="323">
        <v>17.919161015757066</v>
      </c>
      <c r="J9" s="296">
        <v>18.699187200621889</v>
      </c>
      <c r="K9" s="310">
        <v>1.0435302849379451</v>
      </c>
      <c r="L9" s="295">
        <v>20.0718</v>
      </c>
      <c r="M9" s="295">
        <v>20.921399999999998</v>
      </c>
      <c r="N9" s="316">
        <v>1.0423280423280423</v>
      </c>
      <c r="O9" s="318">
        <v>0</v>
      </c>
    </row>
    <row r="10" spans="1:15" s="301" customFormat="1" ht="19.5" customHeight="1">
      <c r="A10" s="308" t="s">
        <v>223</v>
      </c>
      <c r="B10" s="322">
        <v>43.248530320345267</v>
      </c>
      <c r="C10" s="297">
        <v>45.651557713816793</v>
      </c>
      <c r="D10" s="310">
        <v>1.0555632151120999</v>
      </c>
      <c r="E10" s="295">
        <v>25.901341653815244</v>
      </c>
      <c r="F10" s="295">
        <v>27.196130159212842</v>
      </c>
      <c r="G10" s="310">
        <v>1.0499892446770949</v>
      </c>
      <c r="H10" s="312">
        <v>2295.9047999999998</v>
      </c>
      <c r="I10" s="323">
        <v>34.454957554356078</v>
      </c>
      <c r="J10" s="296">
        <v>36.556061361178571</v>
      </c>
      <c r="K10" s="310">
        <v>1.060981175307147</v>
      </c>
      <c r="L10" s="295">
        <v>24.658084209355419</v>
      </c>
      <c r="M10" s="295">
        <v>25.691552824539563</v>
      </c>
      <c r="N10" s="316">
        <v>1.041911959031758</v>
      </c>
      <c r="O10" s="318">
        <v>1177.1015279999997</v>
      </c>
    </row>
    <row r="11" spans="1:15" s="303" customFormat="1" ht="21.75" customHeight="1">
      <c r="A11" s="308" t="s">
        <v>472</v>
      </c>
      <c r="B11" s="322">
        <v>12.191498130166826</v>
      </c>
      <c r="C11" s="297">
        <v>13.616117920106626</v>
      </c>
      <c r="D11" s="310">
        <v>1.1168535461950078</v>
      </c>
      <c r="E11" s="295">
        <v>20.414000000000001</v>
      </c>
      <c r="F11" s="295">
        <v>22.762199999999996</v>
      </c>
      <c r="G11" s="310">
        <v>1.1150289017341037</v>
      </c>
      <c r="H11" s="312">
        <v>0</v>
      </c>
      <c r="I11" s="323">
        <v>19.291426733580952</v>
      </c>
      <c r="J11" s="296">
        <v>20.975826073889252</v>
      </c>
      <c r="K11" s="310">
        <v>1.0873133627476206</v>
      </c>
      <c r="L11" s="295">
        <v>22.065999999999999</v>
      </c>
      <c r="M11" s="295">
        <v>23.871399999999998</v>
      </c>
      <c r="N11" s="316">
        <v>1.0818181818181818</v>
      </c>
      <c r="O11" s="318">
        <v>0</v>
      </c>
    </row>
    <row r="12" spans="1:15" s="301" customFormat="1" ht="21" customHeight="1">
      <c r="A12" s="308" t="s">
        <v>228</v>
      </c>
      <c r="B12" s="322">
        <v>27.600174375948203</v>
      </c>
      <c r="C12" s="297">
        <v>30.217423956406751</v>
      </c>
      <c r="D12" s="310">
        <v>1.0948272842340923</v>
      </c>
      <c r="E12" s="295">
        <v>27.694599999999998</v>
      </c>
      <c r="F12" s="295">
        <v>30.112319688486863</v>
      </c>
      <c r="G12" s="310">
        <v>1.087299317862936</v>
      </c>
      <c r="H12" s="312">
        <v>18499.736748800002</v>
      </c>
      <c r="I12" s="323">
        <v>28.020456004659508</v>
      </c>
      <c r="J12" s="296">
        <v>29.923670581170782</v>
      </c>
      <c r="K12" s="310">
        <v>1.0679223270383176</v>
      </c>
      <c r="L12" s="295">
        <v>27.009947596639087</v>
      </c>
      <c r="M12" s="295">
        <v>28.694429791202019</v>
      </c>
      <c r="N12" s="316">
        <v>1.0623652522292393</v>
      </c>
      <c r="O12" s="318">
        <v>6582.4089548000011</v>
      </c>
    </row>
    <row r="13" spans="1:15" s="301" customFormat="1" ht="22.5" customHeight="1">
      <c r="A13" s="308" t="s">
        <v>229</v>
      </c>
      <c r="B13" s="322">
        <v>42.043571644813262</v>
      </c>
      <c r="C13" s="297">
        <v>44.992484248046722</v>
      </c>
      <c r="D13" s="310">
        <v>1.070139440772208</v>
      </c>
      <c r="E13" s="295">
        <v>32.701539689990639</v>
      </c>
      <c r="F13" s="295">
        <v>34.068262883966305</v>
      </c>
      <c r="G13" s="310">
        <v>1.0417938484527687</v>
      </c>
      <c r="H13" s="312">
        <v>21871.292569999998</v>
      </c>
      <c r="I13" s="323">
        <v>34.389676325794483</v>
      </c>
      <c r="J13" s="296">
        <v>38.197138589988171</v>
      </c>
      <c r="K13" s="310">
        <v>1.1107152689697706</v>
      </c>
      <c r="L13" s="295">
        <v>29.277514726173475</v>
      </c>
      <c r="M13" s="295">
        <v>30.530851272959303</v>
      </c>
      <c r="N13" s="316">
        <v>1.0428088435274656</v>
      </c>
      <c r="O13" s="318">
        <v>10924.827500000001</v>
      </c>
    </row>
    <row r="14" spans="1:15" s="304" customFormat="1" ht="23.25" customHeight="1">
      <c r="A14" s="307" t="s">
        <v>233</v>
      </c>
      <c r="B14" s="322">
        <v>58.48173905219727</v>
      </c>
      <c r="C14" s="297">
        <v>62.009340196998338</v>
      </c>
      <c r="D14" s="310">
        <v>1.0603197032436491</v>
      </c>
      <c r="E14" s="295">
        <v>54.037466200106579</v>
      </c>
      <c r="F14" s="295">
        <v>56.230771296737814</v>
      </c>
      <c r="G14" s="310">
        <v>1.0405885999263769</v>
      </c>
      <c r="H14" s="312">
        <v>930.7762400000006</v>
      </c>
      <c r="I14" s="323">
        <v>59.39</v>
      </c>
      <c r="J14" s="296">
        <v>59.39</v>
      </c>
      <c r="K14" s="310">
        <v>1</v>
      </c>
      <c r="L14" s="295">
        <v>43.91</v>
      </c>
      <c r="M14" s="295">
        <v>45.67</v>
      </c>
      <c r="N14" s="316">
        <v>1.0400819858802097</v>
      </c>
      <c r="O14" s="318">
        <v>701.53</v>
      </c>
    </row>
    <row r="15" spans="1:15" s="305" customFormat="1" ht="24" customHeight="1">
      <c r="A15" s="308" t="s">
        <v>236</v>
      </c>
      <c r="B15" s="322">
        <v>56.801507875898395</v>
      </c>
      <c r="C15" s="297">
        <v>59.530538401695807</v>
      </c>
      <c r="D15" s="310">
        <v>1.0480450366169836</v>
      </c>
      <c r="E15" s="295">
        <v>27.953695218726324</v>
      </c>
      <c r="F15" s="295">
        <v>29.324573845888004</v>
      </c>
      <c r="G15" s="310">
        <v>1.0490410522270888</v>
      </c>
      <c r="H15" s="312">
        <v>4017.7424713999999</v>
      </c>
      <c r="I15" s="323">
        <v>82.61063737642182</v>
      </c>
      <c r="J15" s="296">
        <v>92.817689422770272</v>
      </c>
      <c r="K15" s="310">
        <v>1.123556146889888</v>
      </c>
      <c r="L15" s="295">
        <v>32.780367146957389</v>
      </c>
      <c r="M15" s="295">
        <v>34.186974064016013</v>
      </c>
      <c r="N15" s="316">
        <v>1.0429100415731367</v>
      </c>
      <c r="O15" s="318">
        <v>4194.3061239600001</v>
      </c>
    </row>
    <row r="16" spans="1:15" s="305" customFormat="1" ht="21.75" customHeight="1">
      <c r="A16" s="307" t="s">
        <v>237</v>
      </c>
      <c r="B16" s="322">
        <v>99.438599999999994</v>
      </c>
      <c r="C16" s="297">
        <v>99.438599999999994</v>
      </c>
      <c r="D16" s="310">
        <v>1</v>
      </c>
      <c r="E16" s="295">
        <v>57.064799999999991</v>
      </c>
      <c r="F16" s="295">
        <v>60.488687999999989</v>
      </c>
      <c r="G16" s="310">
        <v>1.06</v>
      </c>
      <c r="H16" s="312">
        <v>2803.9678811999997</v>
      </c>
      <c r="I16" s="323">
        <v>0</v>
      </c>
      <c r="J16" s="296">
        <v>0</v>
      </c>
      <c r="K16" s="310">
        <v>0</v>
      </c>
      <c r="L16" s="295">
        <v>0</v>
      </c>
      <c r="M16" s="295">
        <v>0</v>
      </c>
      <c r="N16" s="316">
        <v>0</v>
      </c>
      <c r="O16" s="318">
        <v>0</v>
      </c>
    </row>
    <row r="17" spans="1:15" s="301" customFormat="1" ht="21.75" customHeight="1">
      <c r="A17" s="307" t="s">
        <v>238</v>
      </c>
      <c r="B17" s="322">
        <v>115.51028453767189</v>
      </c>
      <c r="C17" s="297">
        <v>115.99340829098578</v>
      </c>
      <c r="D17" s="310">
        <v>1.0041825172126237</v>
      </c>
      <c r="E17" s="295">
        <v>58.159735451954447</v>
      </c>
      <c r="F17" s="295">
        <v>61.56935792069703</v>
      </c>
      <c r="G17" s="310">
        <v>1.0586251371717339</v>
      </c>
      <c r="H17" s="312">
        <v>2968.2779779999996</v>
      </c>
      <c r="I17" s="323">
        <v>0</v>
      </c>
      <c r="J17" s="296">
        <v>0</v>
      </c>
      <c r="K17" s="314">
        <v>0</v>
      </c>
      <c r="L17" s="295">
        <v>0</v>
      </c>
      <c r="M17" s="295">
        <v>0</v>
      </c>
      <c r="N17" s="316">
        <v>0</v>
      </c>
      <c r="O17" s="318">
        <v>0</v>
      </c>
    </row>
    <row r="18" spans="1:15" s="301" customFormat="1" ht="19.5" customHeight="1">
      <c r="A18" s="308" t="s">
        <v>207</v>
      </c>
      <c r="B18" s="322">
        <v>69.592596767822229</v>
      </c>
      <c r="C18" s="297">
        <v>76.523516836250323</v>
      </c>
      <c r="D18" s="310">
        <v>1.0995927784035897</v>
      </c>
      <c r="E18" s="295">
        <v>66.021392138445705</v>
      </c>
      <c r="F18" s="295">
        <v>70.305988547238385</v>
      </c>
      <c r="G18" s="310">
        <v>1.0648970927454537</v>
      </c>
      <c r="H18" s="312">
        <v>900.52350439999998</v>
      </c>
      <c r="I18" s="323">
        <v>76.138474442158227</v>
      </c>
      <c r="J18" s="296">
        <v>86.494165334385215</v>
      </c>
      <c r="K18" s="310">
        <v>1.1360112737758374</v>
      </c>
      <c r="L18" s="295">
        <v>69.207109891114541</v>
      </c>
      <c r="M18" s="295">
        <v>79.308586418116491</v>
      </c>
      <c r="N18" s="316">
        <v>1.1459600977832318</v>
      </c>
      <c r="O18" s="318">
        <v>1315.7125560000002</v>
      </c>
    </row>
    <row r="19" spans="1:15" s="301" customFormat="1" ht="22.5" customHeight="1">
      <c r="A19" s="307" t="s">
        <v>242</v>
      </c>
      <c r="B19" s="322">
        <v>64.059100058441004</v>
      </c>
      <c r="C19" s="297">
        <v>66.980854040510806</v>
      </c>
      <c r="D19" s="310">
        <v>1.0456102876781643</v>
      </c>
      <c r="E19" s="295">
        <v>58.534888646942321</v>
      </c>
      <c r="F19" s="295">
        <v>61.768403359728879</v>
      </c>
      <c r="G19" s="310">
        <v>1.0552408108656317</v>
      </c>
      <c r="H19" s="312">
        <v>2264.0718850000012</v>
      </c>
      <c r="I19" s="323">
        <v>84.544901250463283</v>
      </c>
      <c r="J19" s="296">
        <v>91.130680485960426</v>
      </c>
      <c r="K19" s="310">
        <v>1.077896823322164</v>
      </c>
      <c r="L19" s="295">
        <v>76.75126608572711</v>
      </c>
      <c r="M19" s="295">
        <v>81.160768955532319</v>
      </c>
      <c r="N19" s="316">
        <v>1.0574518583821149</v>
      </c>
      <c r="O19" s="318">
        <v>3168.8108349999993</v>
      </c>
    </row>
    <row r="20" spans="1:15" s="301" customFormat="1" ht="21.75" customHeight="1">
      <c r="A20" s="308" t="s">
        <v>439</v>
      </c>
      <c r="B20" s="322">
        <v>35.232105187913305</v>
      </c>
      <c r="C20" s="297">
        <v>38.082854415853468</v>
      </c>
      <c r="D20" s="310">
        <v>1.0809133945512328</v>
      </c>
      <c r="E20" s="295">
        <v>26.435710841733066</v>
      </c>
      <c r="F20" s="295">
        <v>28.225632912299222</v>
      </c>
      <c r="G20" s="310">
        <v>1.0677084902797649</v>
      </c>
      <c r="H20" s="312">
        <v>8318.2959313016945</v>
      </c>
      <c r="I20" s="323">
        <v>37.984775712127956</v>
      </c>
      <c r="J20" s="296">
        <v>42.377473954480607</v>
      </c>
      <c r="K20" s="310">
        <v>1.115643653542757</v>
      </c>
      <c r="L20" s="295">
        <v>27.842388129678184</v>
      </c>
      <c r="M20" s="295">
        <v>29.076039681440193</v>
      </c>
      <c r="N20" s="316">
        <v>1.044308395745946</v>
      </c>
      <c r="O20" s="318">
        <v>7598.6437389999983</v>
      </c>
    </row>
    <row r="21" spans="1:15" s="301" customFormat="1" ht="20.25" customHeight="1">
      <c r="A21" s="308" t="s">
        <v>484</v>
      </c>
      <c r="B21" s="322">
        <v>48.583389173758455</v>
      </c>
      <c r="C21" s="297">
        <v>52.644224696488287</v>
      </c>
      <c r="D21" s="310">
        <v>1.083584854654875</v>
      </c>
      <c r="E21" s="295">
        <v>44.382467856715955</v>
      </c>
      <c r="F21" s="295">
        <v>47.009086936218928</v>
      </c>
      <c r="G21" s="310">
        <v>1.0591814562449013</v>
      </c>
      <c r="H21" s="313">
        <v>3150.971215</v>
      </c>
      <c r="I21" s="323">
        <v>86.393266607340394</v>
      </c>
      <c r="J21" s="296">
        <v>94.652396445309904</v>
      </c>
      <c r="K21" s="310">
        <v>1.0955992308463975</v>
      </c>
      <c r="L21" s="295">
        <v>64.951016776547334</v>
      </c>
      <c r="M21" s="295">
        <v>68.794070542397407</v>
      </c>
      <c r="N21" s="316">
        <v>1.0591684927592655</v>
      </c>
      <c r="O21" s="318">
        <v>4543.4148999999989</v>
      </c>
    </row>
    <row r="22" spans="1:15" s="301" customFormat="1" ht="22.5" customHeight="1">
      <c r="A22" s="308" t="s">
        <v>485</v>
      </c>
      <c r="B22" s="322">
        <v>42.292832146694508</v>
      </c>
      <c r="C22" s="297">
        <v>47.443617466209552</v>
      </c>
      <c r="D22" s="310">
        <v>1.121788611877524</v>
      </c>
      <c r="E22" s="295">
        <v>33.486210478183743</v>
      </c>
      <c r="F22" s="295">
        <v>34.886403813676068</v>
      </c>
      <c r="G22" s="310">
        <v>1.0418140277892762</v>
      </c>
      <c r="H22" s="312">
        <v>7197.4789503999955</v>
      </c>
      <c r="I22" s="323">
        <v>53.224633805731422</v>
      </c>
      <c r="J22" s="296">
        <v>59.164995286513289</v>
      </c>
      <c r="K22" s="310">
        <v>1.1116092503795147</v>
      </c>
      <c r="L22" s="295">
        <v>43.767989165653837</v>
      </c>
      <c r="M22" s="295">
        <v>45.674536870830607</v>
      </c>
      <c r="N22" s="316">
        <v>1.0435603220874698</v>
      </c>
      <c r="O22" s="318">
        <v>4122.0166499999987</v>
      </c>
    </row>
    <row r="23" spans="1:15" s="301" customFormat="1" ht="20.25" customHeight="1">
      <c r="A23" s="308" t="s">
        <v>486</v>
      </c>
      <c r="B23" s="322">
        <v>45.2136927750241</v>
      </c>
      <c r="C23" s="297">
        <v>47.392770721464956</v>
      </c>
      <c r="D23" s="310">
        <v>1.0481950889807561</v>
      </c>
      <c r="E23" s="295">
        <v>32.129999999999995</v>
      </c>
      <c r="F23" s="295">
        <v>34.06</v>
      </c>
      <c r="G23" s="310">
        <v>1.0600684718331779</v>
      </c>
      <c r="H23" s="312">
        <v>1537.5224600000001</v>
      </c>
      <c r="I23" s="323">
        <v>50.71</v>
      </c>
      <c r="J23" s="296">
        <v>56.45000000000001</v>
      </c>
      <c r="K23" s="310">
        <v>1.1131926641688032</v>
      </c>
      <c r="L23" s="295">
        <v>37.49</v>
      </c>
      <c r="M23" s="295">
        <v>39.739400000000003</v>
      </c>
      <c r="N23" s="316">
        <v>1.06</v>
      </c>
      <c r="O23" s="318">
        <v>735.02070950000007</v>
      </c>
    </row>
    <row r="24" spans="1:15" s="301" customFormat="1" ht="20.25" customHeight="1">
      <c r="A24" s="308" t="s">
        <v>487</v>
      </c>
      <c r="B24" s="322">
        <v>48.06</v>
      </c>
      <c r="C24" s="297">
        <v>50.38</v>
      </c>
      <c r="D24" s="310">
        <v>1.0482729920932168</v>
      </c>
      <c r="E24" s="295">
        <v>30.52</v>
      </c>
      <c r="F24" s="295">
        <v>32.351199999999999</v>
      </c>
      <c r="G24" s="310">
        <v>1.06</v>
      </c>
      <c r="H24" s="312">
        <v>339.94880599999999</v>
      </c>
      <c r="I24" s="323">
        <v>42.64</v>
      </c>
      <c r="J24" s="296">
        <v>45.5</v>
      </c>
      <c r="K24" s="310">
        <v>1.0670731707317074</v>
      </c>
      <c r="L24" s="295">
        <v>34.270000000000003</v>
      </c>
      <c r="M24" s="295">
        <v>36.326200000000007</v>
      </c>
      <c r="N24" s="316">
        <v>1.06</v>
      </c>
      <c r="O24" s="318">
        <v>117.84170459999993</v>
      </c>
    </row>
    <row r="25" spans="1:15" s="301" customFormat="1" ht="22.5" customHeight="1">
      <c r="A25" s="308" t="s">
        <v>241</v>
      </c>
      <c r="B25" s="322">
        <v>56.068963306030817</v>
      </c>
      <c r="C25" s="297">
        <v>64.159158826391376</v>
      </c>
      <c r="D25" s="310">
        <v>1.144290085696847</v>
      </c>
      <c r="E25" s="295">
        <v>29.364729773745058</v>
      </c>
      <c r="F25" s="295">
        <v>30.797406714481529</v>
      </c>
      <c r="G25" s="310">
        <v>1.0487890388154508</v>
      </c>
      <c r="H25" s="312">
        <v>43491.114918599997</v>
      </c>
      <c r="I25" s="323">
        <v>42.500842397199278</v>
      </c>
      <c r="J25" s="296">
        <v>46.217044566375314</v>
      </c>
      <c r="K25" s="310">
        <v>1.0874383179148686</v>
      </c>
      <c r="L25" s="295">
        <v>25.787046294767233</v>
      </c>
      <c r="M25" s="295">
        <v>27.287547138202164</v>
      </c>
      <c r="N25" s="316">
        <v>1.0581881626256442</v>
      </c>
      <c r="O25" s="318">
        <v>16798.3440133</v>
      </c>
    </row>
    <row r="26" spans="1:15" s="301" customFormat="1" ht="21.75" customHeight="1">
      <c r="A26" s="307" t="s">
        <v>235</v>
      </c>
      <c r="B26" s="322">
        <v>39.506263965398212</v>
      </c>
      <c r="C26" s="297">
        <v>40.903860014933997</v>
      </c>
      <c r="D26" s="310">
        <v>1.0353765684034277</v>
      </c>
      <c r="E26" s="295">
        <v>17.825721406225142</v>
      </c>
      <c r="F26" s="295">
        <v>18.89532832069569</v>
      </c>
      <c r="G26" s="310">
        <v>1.0600035695664478</v>
      </c>
      <c r="H26" s="312">
        <v>866.35791319999998</v>
      </c>
      <c r="I26" s="323">
        <v>64.748565737051806</v>
      </c>
      <c r="J26" s="296">
        <v>67.19</v>
      </c>
      <c r="K26" s="310">
        <v>1.0377063836882969</v>
      </c>
      <c r="L26" s="295">
        <v>61.228864468864472</v>
      </c>
      <c r="M26" s="295">
        <v>64.980427838827836</v>
      </c>
      <c r="N26" s="316">
        <v>1.0612711570352751</v>
      </c>
      <c r="O26" s="319">
        <v>20.96508</v>
      </c>
    </row>
    <row r="27" spans="1:15" s="301" customFormat="1" ht="21.75" customHeight="1">
      <c r="A27" s="307" t="s">
        <v>231</v>
      </c>
      <c r="B27" s="322">
        <v>42.436994858885804</v>
      </c>
      <c r="C27" s="297">
        <v>43.101518836372499</v>
      </c>
      <c r="D27" s="310">
        <v>1.0156590724601591</v>
      </c>
      <c r="E27" s="295">
        <v>43.491081537811581</v>
      </c>
      <c r="F27" s="295">
        <v>44.123872693986769</v>
      </c>
      <c r="G27" s="310">
        <v>1.014549906183065</v>
      </c>
      <c r="H27" s="312">
        <v>0</v>
      </c>
      <c r="I27" s="323">
        <v>31.70833902958513</v>
      </c>
      <c r="J27" s="296">
        <v>32.111490719709025</v>
      </c>
      <c r="K27" s="310">
        <v>1.012714374276992</v>
      </c>
      <c r="L27" s="295">
        <v>31.182757108042246</v>
      </c>
      <c r="M27" s="295">
        <v>31.508887083671816</v>
      </c>
      <c r="N27" s="316">
        <v>1.0104586638859288</v>
      </c>
      <c r="O27" s="318">
        <v>0</v>
      </c>
    </row>
    <row r="28" spans="1:15" s="301" customFormat="1" ht="22.5" customHeight="1">
      <c r="A28" s="308" t="s">
        <v>234</v>
      </c>
      <c r="B28" s="322">
        <v>62.612974120144827</v>
      </c>
      <c r="C28" s="297">
        <v>69.030346734775378</v>
      </c>
      <c r="D28" s="310">
        <v>1.1024926974769891</v>
      </c>
      <c r="E28" s="295">
        <v>46.190036369080531</v>
      </c>
      <c r="F28" s="295">
        <v>48.759027147825691</v>
      </c>
      <c r="G28" s="310">
        <v>1.055617855725804</v>
      </c>
      <c r="H28" s="312">
        <v>8016.3646583728814</v>
      </c>
      <c r="I28" s="323">
        <v>65.243548685753453</v>
      </c>
      <c r="J28" s="296">
        <v>70.315028054698615</v>
      </c>
      <c r="K28" s="310">
        <v>1.0777315071160831</v>
      </c>
      <c r="L28" s="295">
        <v>54.588868071906553</v>
      </c>
      <c r="M28" s="295">
        <v>57.719008698825533</v>
      </c>
      <c r="N28" s="316">
        <v>1.0573402735296844</v>
      </c>
      <c r="O28" s="319">
        <v>4058.3139349999997</v>
      </c>
    </row>
    <row r="29" spans="1:15" s="301" customFormat="1" ht="22.5" customHeight="1">
      <c r="A29" s="308" t="s">
        <v>239</v>
      </c>
      <c r="B29" s="322">
        <v>60.315694680688452</v>
      </c>
      <c r="C29" s="297">
        <v>66.274596420446372</v>
      </c>
      <c r="D29" s="310">
        <v>1.0987952102898653</v>
      </c>
      <c r="E29" s="295">
        <v>41.736812991822248</v>
      </c>
      <c r="F29" s="295">
        <v>44.204330815717739</v>
      </c>
      <c r="G29" s="310">
        <v>1.0591208970454684</v>
      </c>
      <c r="H29" s="312">
        <v>11708.097896999998</v>
      </c>
      <c r="I29" s="323">
        <v>42.51</v>
      </c>
      <c r="J29" s="296">
        <v>47.52</v>
      </c>
      <c r="K29" s="310">
        <v>1.1178546224417785</v>
      </c>
      <c r="L29" s="295">
        <v>37.39</v>
      </c>
      <c r="M29" s="295">
        <v>39.633400000000002</v>
      </c>
      <c r="N29" s="316">
        <v>1.06</v>
      </c>
      <c r="O29" s="319">
        <v>2928.9172342000002</v>
      </c>
    </row>
    <row r="30" spans="1:15" s="301" customFormat="1" ht="21.75" customHeight="1">
      <c r="A30" s="308" t="s">
        <v>240</v>
      </c>
      <c r="B30" s="322">
        <v>44.126666543733691</v>
      </c>
      <c r="C30" s="297">
        <v>47.610971869496822</v>
      </c>
      <c r="D30" s="310">
        <v>1.078961444375361</v>
      </c>
      <c r="E30" s="295">
        <v>31.616061444574541</v>
      </c>
      <c r="F30" s="295">
        <v>32.877977244136957</v>
      </c>
      <c r="G30" s="310">
        <v>1.0399137571823946</v>
      </c>
      <c r="H30" s="312">
        <v>15425.003096</v>
      </c>
      <c r="I30" s="323">
        <v>41.498110100688663</v>
      </c>
      <c r="J30" s="296">
        <v>45.816419580050741</v>
      </c>
      <c r="K30" s="310">
        <v>1.1040603889884233</v>
      </c>
      <c r="L30" s="295">
        <v>24.499584723351848</v>
      </c>
      <c r="M30" s="295">
        <v>25.484410720516813</v>
      </c>
      <c r="N30" s="316">
        <v>1.0401976608291763</v>
      </c>
      <c r="O30" s="319">
        <v>14160.165248000001</v>
      </c>
    </row>
    <row r="31" spans="1:15" s="301" customFormat="1" ht="22.5" customHeight="1">
      <c r="A31" s="308" t="s">
        <v>243</v>
      </c>
      <c r="B31" s="322">
        <v>48.194724614690678</v>
      </c>
      <c r="C31" s="297">
        <v>53.228057374076144</v>
      </c>
      <c r="D31" s="310">
        <v>1.104437421307543</v>
      </c>
      <c r="E31" s="295">
        <v>30.092633908326533</v>
      </c>
      <c r="F31" s="295">
        <v>31.412973603376106</v>
      </c>
      <c r="G31" s="310">
        <v>1.0438758434729185</v>
      </c>
      <c r="H31" s="312">
        <v>7317.9168389999995</v>
      </c>
      <c r="I31" s="323">
        <v>58.423912308052259</v>
      </c>
      <c r="J31" s="296">
        <v>66.513668915241297</v>
      </c>
      <c r="K31" s="310">
        <v>1.1384665334381256</v>
      </c>
      <c r="L31" s="295">
        <v>31.313462139699382</v>
      </c>
      <c r="M31" s="295">
        <v>32.599706373626375</v>
      </c>
      <c r="N31" s="316">
        <v>1.04107639801018</v>
      </c>
      <c r="O31" s="319">
        <v>10018.985786000001</v>
      </c>
    </row>
    <row r="32" spans="1:15" s="301" customFormat="1" ht="22.5" customHeight="1">
      <c r="A32" s="307" t="s">
        <v>232</v>
      </c>
      <c r="B32" s="322">
        <v>71.299059211905259</v>
      </c>
      <c r="C32" s="297">
        <v>78.299061622301409</v>
      </c>
      <c r="D32" s="310">
        <v>1.0981780473370863</v>
      </c>
      <c r="E32" s="295">
        <v>66.525653218495009</v>
      </c>
      <c r="F32" s="295">
        <v>70.250737987307332</v>
      </c>
      <c r="G32" s="310">
        <v>1.0559947116427066</v>
      </c>
      <c r="H32" s="312">
        <v>1995.3160400000002</v>
      </c>
      <c r="I32" s="323">
        <v>87.714951720722965</v>
      </c>
      <c r="J32" s="296">
        <v>88.840487744491213</v>
      </c>
      <c r="K32" s="310">
        <v>1.0128317464889209</v>
      </c>
      <c r="L32" s="295">
        <v>32.13000000000001</v>
      </c>
      <c r="M32" s="295">
        <v>33.55930109204369</v>
      </c>
      <c r="N32" s="316">
        <v>1.0444849390614279</v>
      </c>
      <c r="O32" s="318">
        <v>1864.9404500000001</v>
      </c>
    </row>
    <row r="33" spans="1:15" s="301" customFormat="1" ht="47.25">
      <c r="A33" s="324" t="s">
        <v>482</v>
      </c>
      <c r="B33" s="325">
        <v>42.170155962420772</v>
      </c>
      <c r="C33" s="326">
        <v>46.02171298846627</v>
      </c>
      <c r="D33" s="327">
        <v>1.0913337154711438</v>
      </c>
      <c r="E33" s="326">
        <v>31.226088777556413</v>
      </c>
      <c r="F33" s="326">
        <v>34.026916595909171</v>
      </c>
      <c r="G33" s="327">
        <v>1.0896951212271528</v>
      </c>
      <c r="H33" s="330">
        <v>656312.79194607434</v>
      </c>
      <c r="I33" s="325">
        <v>35.946748526025189</v>
      </c>
      <c r="J33" s="326">
        <v>38.885666155019308</v>
      </c>
      <c r="K33" s="327">
        <v>1.0817575371765924</v>
      </c>
      <c r="L33" s="326">
        <v>28.372358937775896</v>
      </c>
      <c r="M33" s="326">
        <v>30.697520215557013</v>
      </c>
      <c r="N33" s="328">
        <v>1.0819516376090013</v>
      </c>
      <c r="O33" s="329">
        <v>284506.40422652662</v>
      </c>
    </row>
  </sheetData>
  <mergeCells count="11">
    <mergeCell ref="A2:M2"/>
    <mergeCell ref="A6:A7"/>
    <mergeCell ref="A3:O3"/>
    <mergeCell ref="B6:D6"/>
    <mergeCell ref="E6:G6"/>
    <mergeCell ref="H6:H7"/>
    <mergeCell ref="I6:K6"/>
    <mergeCell ref="L6:N6"/>
    <mergeCell ref="O6:O7"/>
    <mergeCell ref="B5:H5"/>
    <mergeCell ref="I5:O5"/>
  </mergeCells>
  <pageMargins left="0.23622047244094491" right="0.23622047244094491" top="0.98425196850393704" bottom="0.74803149606299213" header="0.31496062992125984" footer="0.31496062992125984"/>
  <pageSetup paperSize="9" scale="66" orientation="landscape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по предприятиям</vt:lpstr>
      <vt:lpstr>Лист2</vt:lpstr>
      <vt:lpstr>количество</vt:lpstr>
      <vt:lpstr>по МО</vt:lpstr>
      <vt:lpstr>архангельск</vt:lpstr>
      <vt:lpstr>Северодвинск</vt:lpstr>
      <vt:lpstr>ГВС</vt:lpstr>
      <vt:lpstr>ХВС и ВО</vt:lpstr>
      <vt:lpstr>'ХВС и ВО'!Область_печати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Берденникова Светлана Николаевна</dc:creator>
  <cp:lastModifiedBy>Цуркан</cp:lastModifiedBy>
  <cp:lastPrinted>2017-01-19T08:33:09Z</cp:lastPrinted>
  <dcterms:created xsi:type="dcterms:W3CDTF">2015-12-23T13:37:08Z</dcterms:created>
  <dcterms:modified xsi:type="dcterms:W3CDTF">2017-01-24T06:46:32Z</dcterms:modified>
</cp:coreProperties>
</file>