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50" windowWidth="27795" windowHeight="1227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Лист1!$A$1:$Q$58</definedName>
  </definedNames>
  <calcPr calcId="152511"/>
</workbook>
</file>

<file path=xl/calcChain.xml><?xml version="1.0" encoding="utf-8"?>
<calcChain xmlns="http://schemas.openxmlformats.org/spreadsheetml/2006/main">
  <c r="F54" i="1"/>
  <c r="I55"/>
  <c r="N52"/>
  <c r="F52"/>
  <c r="B52"/>
  <c r="I27"/>
  <c r="F19" l="1"/>
  <c r="F44" l="1"/>
  <c r="J52" l="1"/>
  <c r="F47"/>
  <c r="H42"/>
  <c r="N31"/>
  <c r="N30"/>
  <c r="O26"/>
  <c r="N28" s="1"/>
  <c r="G26"/>
  <c r="F28" s="1"/>
  <c r="F31"/>
  <c r="F30"/>
  <c r="J36"/>
  <c r="N36"/>
  <c r="J31"/>
  <c r="J30"/>
  <c r="K26"/>
  <c r="B31"/>
  <c r="B30"/>
  <c r="C26"/>
  <c r="N19"/>
  <c r="N13"/>
  <c r="N12"/>
  <c r="F13"/>
  <c r="F12"/>
  <c r="G7"/>
  <c r="F10" s="1"/>
  <c r="J13"/>
  <c r="J12"/>
  <c r="K7"/>
  <c r="J10" s="1"/>
  <c r="B13"/>
  <c r="B12"/>
  <c r="C7"/>
  <c r="B10" s="1"/>
  <c r="D7" l="1"/>
  <c r="B11" s="1"/>
  <c r="L7"/>
  <c r="L26"/>
  <c r="J28"/>
  <c r="P26"/>
  <c r="H6"/>
  <c r="D26"/>
  <c r="B28"/>
  <c r="H26"/>
  <c r="J11"/>
  <c r="G11" l="1"/>
  <c r="F11"/>
  <c r="Q50"/>
  <c r="M50"/>
  <c r="I50"/>
  <c r="E50"/>
  <c r="Q49"/>
  <c r="M49"/>
  <c r="E49"/>
  <c r="N45"/>
  <c r="J45"/>
  <c r="B45"/>
  <c r="I42" l="1"/>
  <c r="F45"/>
  <c r="N29"/>
  <c r="J29"/>
  <c r="F29"/>
  <c r="B29"/>
  <c r="Q43"/>
  <c r="M43"/>
  <c r="I43"/>
  <c r="E43"/>
  <c r="Q42"/>
  <c r="O7"/>
  <c r="P7" l="1"/>
  <c r="N11" s="1"/>
  <c r="N10"/>
  <c r="M55"/>
  <c r="Q54"/>
  <c r="Q55"/>
  <c r="E55"/>
  <c r="Q34" l="1"/>
  <c r="Q33"/>
  <c r="Q27"/>
  <c r="Q26"/>
  <c r="N39"/>
  <c r="N38"/>
  <c r="J39"/>
  <c r="J38"/>
  <c r="F39"/>
  <c r="F38"/>
  <c r="B39"/>
  <c r="B38"/>
  <c r="N22"/>
  <c r="N21"/>
  <c r="J22"/>
  <c r="J23"/>
  <c r="J21"/>
  <c r="F22"/>
  <c r="F21"/>
  <c r="B22"/>
  <c r="B23"/>
  <c r="E23" s="1"/>
  <c r="B21"/>
  <c r="Q8"/>
  <c r="Q16"/>
  <c r="Q15"/>
  <c r="Q7"/>
  <c r="M22" l="1"/>
  <c r="M23"/>
  <c r="I22"/>
  <c r="Q21"/>
  <c r="Q38"/>
  <c r="Q39"/>
  <c r="E39"/>
  <c r="I21"/>
  <c r="M39"/>
  <c r="I39"/>
  <c r="Q22"/>
  <c r="E22"/>
  <c r="M34" l="1"/>
  <c r="I34"/>
  <c r="E34"/>
  <c r="M33"/>
  <c r="E33"/>
  <c r="M27"/>
  <c r="E27"/>
  <c r="M17"/>
  <c r="M21" s="1"/>
  <c r="M16"/>
  <c r="M15"/>
  <c r="M9"/>
  <c r="M8"/>
  <c r="E17"/>
  <c r="E21" s="1"/>
  <c r="E16"/>
  <c r="E15"/>
  <c r="E9"/>
  <c r="E8"/>
  <c r="I16"/>
  <c r="I15"/>
  <c r="I8"/>
  <c r="I7"/>
</calcChain>
</file>

<file path=xl/sharedStrings.xml><?xml version="1.0" encoding="utf-8"?>
<sst xmlns="http://schemas.openxmlformats.org/spreadsheetml/2006/main" count="62" uniqueCount="23">
  <si>
    <t>2016 год</t>
  </si>
  <si>
    <t>2017 год</t>
  </si>
  <si>
    <t>с 01 января</t>
  </si>
  <si>
    <t>с 01 июля</t>
  </si>
  <si>
    <t>Субсидия, тыс. руб.</t>
  </si>
  <si>
    <t>с 27 декабря</t>
  </si>
  <si>
    <t xml:space="preserve">Объем реализации населению, тыс. куб.м </t>
  </si>
  <si>
    <t xml:space="preserve"> МУП "Водоканал" МО "Город Архангельск"</t>
  </si>
  <si>
    <t>ООО "РОСА"</t>
  </si>
  <si>
    <t>_______________</t>
  </si>
  <si>
    <t>за счет амортизации</t>
  </si>
  <si>
    <t>за счет прибыли</t>
  </si>
  <si>
    <t>МУП "Водоочистка" МО "Город Архангельск"</t>
  </si>
  <si>
    <t>2. Информация о результатах тарифного регулирования для  
МУП "Водоканал" МО "Город Архангельск", МУП "Водоочистка" МО "Город Архангельск", 
ООО "Роса" на 2016-2017 годы</t>
  </si>
  <si>
    <t>ЭОТ без НДС, руб./куб. м</t>
  </si>
  <si>
    <t>Водоснабжение</t>
  </si>
  <si>
    <t xml:space="preserve">Водоотведение </t>
  </si>
  <si>
    <t>Сумма инвестиций, тыс. руб.</t>
  </si>
  <si>
    <t>Тариф для населения без НДС, руб./куб. м</t>
  </si>
  <si>
    <t>Инвестиционная составляющая, руб./куб. м, в т.ч.</t>
  </si>
  <si>
    <t xml:space="preserve">Объем реализации населению, тыс. куб. м </t>
  </si>
  <si>
    <r>
      <t xml:space="preserve">МУП "Водоочистка" 
</t>
    </r>
    <r>
      <rPr>
        <b/>
        <sz val="10"/>
        <color theme="1"/>
        <rFont val="Times New Roman"/>
        <family val="1"/>
        <charset val="204"/>
      </rPr>
      <t>(Северный ТО, тарифы установлены с 13.01.2017)</t>
    </r>
  </si>
  <si>
    <t>Тариф для населения с НДС, руб./куб. м</t>
  </si>
</sst>
</file>

<file path=xl/styles.xml><?xml version="1.0" encoding="utf-8"?>
<styleSheet xmlns="http://schemas.openxmlformats.org/spreadsheetml/2006/main">
  <numFmts count="5">
    <numFmt numFmtId="164" formatCode="_-* #,##0.00_р_._-;\-* #,##0.00_р_._-;_-* &quot;-&quot;??_р_._-;_-@_-"/>
    <numFmt numFmtId="165" formatCode="#,##0.0"/>
    <numFmt numFmtId="166" formatCode="_(* #,##0.00_);_(* \(#,##0.00\);_(* &quot;-&quot;??_);_(@_)"/>
    <numFmt numFmtId="167" formatCode="0.0%"/>
    <numFmt numFmtId="168" formatCode="#,##0.000"/>
  </numFmts>
  <fonts count="1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5" fillId="0" borderId="0"/>
    <xf numFmtId="164" fontId="5" fillId="0" borderId="0" applyFill="0" applyBorder="0" applyAlignment="0" applyProtection="0"/>
    <xf numFmtId="166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ill="0" applyBorder="0" applyAlignment="0" applyProtection="0"/>
    <xf numFmtId="9" fontId="6" fillId="0" borderId="0" applyFont="0" applyFill="0" applyBorder="0" applyAlignment="0" applyProtection="0"/>
  </cellStyleXfs>
  <cellXfs count="227">
    <xf numFmtId="0" fontId="0" fillId="0" borderId="0" xfId="0"/>
    <xf numFmtId="0" fontId="1" fillId="0" borderId="0" xfId="0" applyFont="1"/>
    <xf numFmtId="0" fontId="2" fillId="0" borderId="0" xfId="0" applyFont="1"/>
    <xf numFmtId="4" fontId="7" fillId="3" borderId="7" xfId="0" applyNumberFormat="1" applyFont="1" applyFill="1" applyBorder="1" applyAlignment="1">
      <alignment vertical="center" wrapText="1"/>
    </xf>
    <xf numFmtId="4" fontId="7" fillId="3" borderId="8" xfId="0" applyNumberFormat="1" applyFont="1" applyFill="1" applyBorder="1" applyAlignment="1">
      <alignment vertical="center" wrapText="1"/>
    </xf>
    <xf numFmtId="0" fontId="12" fillId="3" borderId="9" xfId="0" applyFont="1" applyFill="1" applyBorder="1" applyAlignment="1">
      <alignment horizontal="center"/>
    </xf>
    <xf numFmtId="4" fontId="9" fillId="3" borderId="10" xfId="0" applyNumberFormat="1" applyFont="1" applyFill="1" applyBorder="1" applyAlignment="1">
      <alignment horizontal="center" vertical="center" wrapText="1"/>
    </xf>
    <xf numFmtId="167" fontId="12" fillId="3" borderId="12" xfId="11" applyNumberFormat="1" applyFont="1" applyFill="1" applyBorder="1" applyAlignment="1">
      <alignment horizontal="center"/>
    </xf>
    <xf numFmtId="4" fontId="9" fillId="3" borderId="13" xfId="0" applyNumberFormat="1" applyFont="1" applyFill="1" applyBorder="1" applyAlignment="1">
      <alignment horizontal="center" vertical="center" wrapText="1"/>
    </xf>
    <xf numFmtId="167" fontId="12" fillId="3" borderId="15" xfId="11" applyNumberFormat="1" applyFont="1" applyFill="1" applyBorder="1" applyAlignment="1">
      <alignment horizontal="center"/>
    </xf>
    <xf numFmtId="4" fontId="9" fillId="6" borderId="11" xfId="0" applyNumberFormat="1" applyFont="1" applyFill="1" applyBorder="1" applyAlignment="1">
      <alignment horizontal="center" vertical="center" wrapText="1"/>
    </xf>
    <xf numFmtId="167" fontId="12" fillId="6" borderId="12" xfId="11" applyNumberFormat="1" applyFont="1" applyFill="1" applyBorder="1" applyAlignment="1">
      <alignment horizontal="center"/>
    </xf>
    <xf numFmtId="4" fontId="7" fillId="6" borderId="11" xfId="0" applyNumberFormat="1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167" fontId="10" fillId="2" borderId="11" xfId="0" applyNumberFormat="1" applyFont="1" applyFill="1" applyBorder="1" applyAlignment="1">
      <alignment horizontal="center" vertical="center" wrapText="1"/>
    </xf>
    <xf numFmtId="167" fontId="12" fillId="2" borderId="12" xfId="11" applyNumberFormat="1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 vertical="center" wrapText="1"/>
    </xf>
    <xf numFmtId="2" fontId="9" fillId="2" borderId="11" xfId="0" applyNumberFormat="1" applyFont="1" applyFill="1" applyBorder="1" applyAlignment="1">
      <alignment horizontal="center" vertical="center" wrapText="1"/>
    </xf>
    <xf numFmtId="4" fontId="8" fillId="2" borderId="11" xfId="0" applyNumberFormat="1" applyFont="1" applyFill="1" applyBorder="1" applyAlignment="1">
      <alignment horizontal="center" vertical="center" wrapText="1"/>
    </xf>
    <xf numFmtId="2" fontId="9" fillId="2" borderId="10" xfId="0" applyNumberFormat="1" applyFont="1" applyFill="1" applyBorder="1" applyAlignment="1">
      <alignment horizontal="center" vertical="center" wrapText="1"/>
    </xf>
    <xf numFmtId="168" fontId="7" fillId="4" borderId="11" xfId="5" applyNumberFormat="1" applyFont="1" applyFill="1" applyBorder="1" applyAlignment="1">
      <alignment horizontal="center" vertical="center" wrapText="1"/>
    </xf>
    <xf numFmtId="165" fontId="7" fillId="4" borderId="11" xfId="5" applyNumberFormat="1" applyFont="1" applyFill="1" applyBorder="1" applyAlignment="1">
      <alignment horizontal="center" vertical="center" wrapText="1"/>
    </xf>
    <xf numFmtId="167" fontId="12" fillId="4" borderId="12" xfId="11" applyNumberFormat="1" applyFont="1" applyFill="1" applyBorder="1" applyAlignment="1">
      <alignment horizontal="center"/>
    </xf>
    <xf numFmtId="0" fontId="9" fillId="5" borderId="11" xfId="0" applyFont="1" applyFill="1" applyBorder="1" applyAlignment="1">
      <alignment horizontal="center" vertical="center" wrapText="1"/>
    </xf>
    <xf numFmtId="167" fontId="12" fillId="5" borderId="12" xfId="11" applyNumberFormat="1" applyFont="1" applyFill="1" applyBorder="1" applyAlignment="1">
      <alignment horizontal="center"/>
    </xf>
    <xf numFmtId="2" fontId="9" fillId="5" borderId="11" xfId="0" applyNumberFormat="1" applyFont="1" applyFill="1" applyBorder="1" applyAlignment="1">
      <alignment horizontal="center" vertical="center" wrapText="1"/>
    </xf>
    <xf numFmtId="4" fontId="8" fillId="5" borderId="11" xfId="0" applyNumberFormat="1" applyFont="1" applyFill="1" applyBorder="1" applyAlignment="1">
      <alignment horizontal="center" vertical="center" wrapText="1"/>
    </xf>
    <xf numFmtId="2" fontId="9" fillId="5" borderId="10" xfId="0" applyNumberFormat="1" applyFont="1" applyFill="1" applyBorder="1" applyAlignment="1">
      <alignment horizontal="center" vertical="center" wrapText="1"/>
    </xf>
    <xf numFmtId="4" fontId="7" fillId="2" borderId="11" xfId="0" applyNumberFormat="1" applyFont="1" applyFill="1" applyBorder="1" applyAlignment="1">
      <alignment horizontal="center" vertical="center" wrapText="1"/>
    </xf>
    <xf numFmtId="4" fontId="7" fillId="4" borderId="11" xfId="5" applyNumberFormat="1" applyFont="1" applyFill="1" applyBorder="1" applyAlignment="1">
      <alignment horizontal="center" vertical="center" wrapText="1"/>
    </xf>
    <xf numFmtId="4" fontId="7" fillId="5" borderId="11" xfId="0" applyNumberFormat="1" applyFont="1" applyFill="1" applyBorder="1" applyAlignment="1">
      <alignment horizontal="center" vertical="center" wrapText="1"/>
    </xf>
    <xf numFmtId="168" fontId="12" fillId="4" borderId="12" xfId="11" applyNumberFormat="1" applyFont="1" applyFill="1" applyBorder="1" applyAlignment="1">
      <alignment horizontal="center"/>
    </xf>
    <xf numFmtId="2" fontId="9" fillId="5" borderId="13" xfId="0" applyNumberFormat="1" applyFont="1" applyFill="1" applyBorder="1" applyAlignment="1">
      <alignment horizontal="center" vertical="center" wrapText="1"/>
    </xf>
    <xf numFmtId="2" fontId="9" fillId="5" borderId="14" xfId="0" applyNumberFormat="1" applyFont="1" applyFill="1" applyBorder="1" applyAlignment="1">
      <alignment horizontal="center" vertical="center" wrapText="1"/>
    </xf>
    <xf numFmtId="4" fontId="7" fillId="5" borderId="14" xfId="0" applyNumberFormat="1" applyFont="1" applyFill="1" applyBorder="1" applyAlignment="1">
      <alignment horizontal="center" vertical="center" wrapText="1"/>
    </xf>
    <xf numFmtId="167" fontId="12" fillId="5" borderId="15" xfId="11" applyNumberFormat="1" applyFont="1" applyFill="1" applyBorder="1" applyAlignment="1">
      <alignment horizontal="center"/>
    </xf>
    <xf numFmtId="4" fontId="9" fillId="6" borderId="17" xfId="0" applyNumberFormat="1" applyFont="1" applyFill="1" applyBorder="1" applyAlignment="1">
      <alignment horizontal="center" vertical="center" wrapText="1"/>
    </xf>
    <xf numFmtId="167" fontId="12" fillId="6" borderId="18" xfId="11" applyNumberFormat="1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 vertical="center" wrapText="1"/>
    </xf>
    <xf numFmtId="167" fontId="12" fillId="2" borderId="18" xfId="11" applyNumberFormat="1" applyFont="1" applyFill="1" applyBorder="1" applyAlignment="1">
      <alignment horizontal="center"/>
    </xf>
    <xf numFmtId="4" fontId="9" fillId="6" borderId="8" xfId="0" applyNumberFormat="1" applyFont="1" applyFill="1" applyBorder="1" applyAlignment="1">
      <alignment horizontal="center" vertical="center" wrapText="1"/>
    </xf>
    <xf numFmtId="167" fontId="12" fillId="6" borderId="9" xfId="11" applyNumberFormat="1" applyFont="1" applyFill="1" applyBorder="1" applyAlignment="1">
      <alignment horizontal="center"/>
    </xf>
    <xf numFmtId="4" fontId="9" fillId="6" borderId="14" xfId="0" applyNumberFormat="1" applyFont="1" applyFill="1" applyBorder="1" applyAlignment="1">
      <alignment horizontal="center" vertical="center" wrapText="1"/>
    </xf>
    <xf numFmtId="4" fontId="7" fillId="6" borderId="14" xfId="0" applyNumberFormat="1" applyFont="1" applyFill="1" applyBorder="1" applyAlignment="1">
      <alignment horizontal="center" vertical="center" wrapText="1"/>
    </xf>
    <xf numFmtId="167" fontId="12" fillId="6" borderId="15" xfId="11" applyNumberFormat="1" applyFont="1" applyFill="1" applyBorder="1" applyAlignment="1">
      <alignment horizontal="center"/>
    </xf>
    <xf numFmtId="0" fontId="9" fillId="5" borderId="17" xfId="0" applyFont="1" applyFill="1" applyBorder="1" applyAlignment="1">
      <alignment horizontal="center" vertical="center" wrapText="1"/>
    </xf>
    <xf numFmtId="167" fontId="12" fillId="5" borderId="18" xfId="11" applyNumberFormat="1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vertical="center" wrapText="1"/>
    </xf>
    <xf numFmtId="4" fontId="10" fillId="2" borderId="8" xfId="0" applyNumberFormat="1" applyFont="1" applyFill="1" applyBorder="1" applyAlignment="1">
      <alignment horizontal="center" vertical="center" wrapText="1"/>
    </xf>
    <xf numFmtId="167" fontId="12" fillId="2" borderId="9" xfId="11" applyNumberFormat="1" applyFont="1" applyFill="1" applyBorder="1" applyAlignment="1">
      <alignment horizontal="center"/>
    </xf>
    <xf numFmtId="3" fontId="9" fillId="2" borderId="14" xfId="0" applyNumberFormat="1" applyFont="1" applyFill="1" applyBorder="1" applyAlignment="1">
      <alignment horizontal="center" vertical="center" wrapText="1"/>
    </xf>
    <xf numFmtId="0" fontId="11" fillId="2" borderId="15" xfId="0" applyFont="1" applyFill="1" applyBorder="1"/>
    <xf numFmtId="0" fontId="9" fillId="5" borderId="8" xfId="0" applyFont="1" applyFill="1" applyBorder="1" applyAlignment="1">
      <alignment horizontal="center" vertical="center" wrapText="1"/>
    </xf>
    <xf numFmtId="4" fontId="10" fillId="5" borderId="8" xfId="0" applyNumberFormat="1" applyFont="1" applyFill="1" applyBorder="1" applyAlignment="1">
      <alignment horizontal="center" vertical="center" wrapText="1"/>
    </xf>
    <xf numFmtId="167" fontId="12" fillId="5" borderId="9" xfId="11" applyNumberFormat="1" applyFont="1" applyFill="1" applyBorder="1" applyAlignment="1">
      <alignment horizontal="center"/>
    </xf>
    <xf numFmtId="167" fontId="10" fillId="5" borderId="14" xfId="0" applyNumberFormat="1" applyFont="1" applyFill="1" applyBorder="1" applyAlignment="1">
      <alignment horizontal="center" vertical="center" wrapText="1"/>
    </xf>
    <xf numFmtId="167" fontId="12" fillId="3" borderId="9" xfId="11" applyNumberFormat="1" applyFont="1" applyFill="1" applyBorder="1" applyAlignment="1">
      <alignment horizontal="center"/>
    </xf>
    <xf numFmtId="4" fontId="9" fillId="6" borderId="23" xfId="0" applyNumberFormat="1" applyFont="1" applyFill="1" applyBorder="1" applyAlignment="1">
      <alignment horizontal="center" vertical="center" wrapText="1"/>
    </xf>
    <xf numFmtId="4" fontId="7" fillId="6" borderId="23" xfId="0" applyNumberFormat="1" applyFont="1" applyFill="1" applyBorder="1" applyAlignment="1">
      <alignment horizontal="center" vertical="center" wrapText="1"/>
    </xf>
    <xf numFmtId="167" fontId="12" fillId="6" borderId="24" xfId="11" applyNumberFormat="1" applyFont="1" applyFill="1" applyBorder="1" applyAlignment="1">
      <alignment horizontal="center"/>
    </xf>
    <xf numFmtId="4" fontId="9" fillId="5" borderId="17" xfId="0" applyNumberFormat="1" applyFont="1" applyFill="1" applyBorder="1" applyAlignment="1">
      <alignment horizontal="center" vertical="center" wrapText="1"/>
    </xf>
    <xf numFmtId="4" fontId="9" fillId="2" borderId="8" xfId="0" applyNumberFormat="1" applyFont="1" applyFill="1" applyBorder="1" applyAlignment="1">
      <alignment horizontal="center" vertical="center" wrapText="1"/>
    </xf>
    <xf numFmtId="4" fontId="9" fillId="2" borderId="14" xfId="0" applyNumberFormat="1" applyFont="1" applyFill="1" applyBorder="1" applyAlignment="1">
      <alignment horizontal="center" vertical="center" wrapText="1"/>
    </xf>
    <xf numFmtId="167" fontId="12" fillId="2" borderId="15" xfId="11" applyNumberFormat="1" applyFont="1" applyFill="1" applyBorder="1" applyAlignment="1">
      <alignment horizontal="center"/>
    </xf>
    <xf numFmtId="2" fontId="9" fillId="5" borderId="22" xfId="0" applyNumberFormat="1" applyFont="1" applyFill="1" applyBorder="1" applyAlignment="1">
      <alignment horizontal="center" vertical="center" wrapText="1"/>
    </xf>
    <xf numFmtId="2" fontId="9" fillId="5" borderId="23" xfId="0" applyNumberFormat="1" applyFont="1" applyFill="1" applyBorder="1" applyAlignment="1">
      <alignment horizontal="center" vertical="center" wrapText="1"/>
    </xf>
    <xf numFmtId="4" fontId="7" fillId="5" borderId="23" xfId="0" applyNumberFormat="1" applyFont="1" applyFill="1" applyBorder="1" applyAlignment="1">
      <alignment horizontal="center" vertical="center" wrapText="1"/>
    </xf>
    <xf numFmtId="167" fontId="12" fillId="5" borderId="24" xfId="11" applyNumberFormat="1" applyFont="1" applyFill="1" applyBorder="1" applyAlignment="1">
      <alignment horizontal="center"/>
    </xf>
    <xf numFmtId="4" fontId="7" fillId="3" borderId="16" xfId="0" applyNumberFormat="1" applyFont="1" applyFill="1" applyBorder="1" applyAlignment="1">
      <alignment vertical="center" wrapText="1"/>
    </xf>
    <xf numFmtId="4" fontId="7" fillId="3" borderId="17" xfId="0" applyNumberFormat="1" applyFont="1" applyFill="1" applyBorder="1" applyAlignment="1">
      <alignment vertical="center" wrapText="1"/>
    </xf>
    <xf numFmtId="167" fontId="12" fillId="3" borderId="18" xfId="11" applyNumberFormat="1" applyFont="1" applyFill="1" applyBorder="1" applyAlignment="1">
      <alignment horizontal="center"/>
    </xf>
    <xf numFmtId="4" fontId="9" fillId="3" borderId="22" xfId="0" applyNumberFormat="1" applyFont="1" applyFill="1" applyBorder="1" applyAlignment="1">
      <alignment horizontal="center" vertical="center" wrapText="1"/>
    </xf>
    <xf numFmtId="167" fontId="12" fillId="3" borderId="24" xfId="11" applyNumberFormat="1" applyFont="1" applyFill="1" applyBorder="1" applyAlignment="1">
      <alignment horizontal="center"/>
    </xf>
    <xf numFmtId="4" fontId="9" fillId="2" borderId="17" xfId="0" applyNumberFormat="1" applyFont="1" applyFill="1" applyBorder="1" applyAlignment="1">
      <alignment horizontal="center" vertical="center" wrapText="1"/>
    </xf>
    <xf numFmtId="4" fontId="7" fillId="6" borderId="8" xfId="0" applyNumberFormat="1" applyFont="1" applyFill="1" applyBorder="1" applyAlignment="1">
      <alignment horizontal="center" vertical="center" wrapText="1"/>
    </xf>
    <xf numFmtId="3" fontId="9" fillId="2" borderId="23" xfId="0" applyNumberFormat="1" applyFont="1" applyFill="1" applyBorder="1" applyAlignment="1">
      <alignment horizontal="center" vertical="center" wrapText="1"/>
    </xf>
    <xf numFmtId="4" fontId="9" fillId="2" borderId="23" xfId="0" applyNumberFormat="1" applyFont="1" applyFill="1" applyBorder="1" applyAlignment="1">
      <alignment horizontal="center" vertical="center" wrapText="1"/>
    </xf>
    <xf numFmtId="167" fontId="12" fillId="2" borderId="24" xfId="11" applyNumberFormat="1" applyFont="1" applyFill="1" applyBorder="1" applyAlignment="1">
      <alignment horizontal="center"/>
    </xf>
    <xf numFmtId="4" fontId="9" fillId="5" borderId="8" xfId="0" applyNumberFormat="1" applyFont="1" applyFill="1" applyBorder="1" applyAlignment="1">
      <alignment horizontal="center" vertical="center" wrapText="1"/>
    </xf>
    <xf numFmtId="4" fontId="7" fillId="3" borderId="28" xfId="0" applyNumberFormat="1" applyFont="1" applyFill="1" applyBorder="1" applyAlignment="1">
      <alignment vertical="center" wrapText="1"/>
    </xf>
    <xf numFmtId="4" fontId="9" fillId="3" borderId="29" xfId="0" applyNumberFormat="1" applyFont="1" applyFill="1" applyBorder="1" applyAlignment="1">
      <alignment horizontal="center" vertical="center" wrapText="1"/>
    </xf>
    <xf numFmtId="4" fontId="9" fillId="3" borderId="30" xfId="0" applyNumberFormat="1" applyFont="1" applyFill="1" applyBorder="1" applyAlignment="1">
      <alignment horizontal="center" vertical="center" wrapText="1"/>
    </xf>
    <xf numFmtId="4" fontId="7" fillId="3" borderId="31" xfId="0" applyNumberFormat="1" applyFont="1" applyFill="1" applyBorder="1" applyAlignment="1">
      <alignment vertical="center" wrapText="1"/>
    </xf>
    <xf numFmtId="4" fontId="9" fillId="3" borderId="32" xfId="0" applyNumberFormat="1" applyFont="1" applyFill="1" applyBorder="1" applyAlignment="1">
      <alignment horizontal="center" vertical="center" wrapText="1"/>
    </xf>
    <xf numFmtId="4" fontId="9" fillId="3" borderId="33" xfId="0" applyNumberFormat="1" applyFont="1" applyFill="1" applyBorder="1" applyAlignment="1">
      <alignment horizontal="center" vertical="center" wrapText="1"/>
    </xf>
    <xf numFmtId="167" fontId="8" fillId="3" borderId="34" xfId="11" applyNumberFormat="1" applyFont="1" applyFill="1" applyBorder="1" applyAlignment="1">
      <alignment horizontal="center" vertical="center" wrapText="1"/>
    </xf>
    <xf numFmtId="167" fontId="8" fillId="3" borderId="35" xfId="11" applyNumberFormat="1" applyFont="1" applyFill="1" applyBorder="1" applyAlignment="1">
      <alignment horizontal="center" vertical="center" wrapText="1"/>
    </xf>
    <xf numFmtId="167" fontId="8" fillId="3" borderId="36" xfId="11" applyNumberFormat="1" applyFont="1" applyFill="1" applyBorder="1" applyAlignment="1">
      <alignment horizontal="center" vertical="center" wrapText="1"/>
    </xf>
    <xf numFmtId="4" fontId="7" fillId="3" borderId="9" xfId="0" applyNumberFormat="1" applyFont="1" applyFill="1" applyBorder="1" applyAlignment="1">
      <alignment horizontal="center" vertical="center" wrapText="1"/>
    </xf>
    <xf numFmtId="167" fontId="8" fillId="3" borderId="12" xfId="0" applyNumberFormat="1" applyFont="1" applyFill="1" applyBorder="1" applyAlignment="1">
      <alignment horizontal="center" vertical="center" wrapText="1"/>
    </xf>
    <xf numFmtId="167" fontId="10" fillId="3" borderId="15" xfId="0" applyNumberFormat="1" applyFont="1" applyFill="1" applyBorder="1" applyAlignment="1">
      <alignment horizontal="center" vertical="center" wrapText="1"/>
    </xf>
    <xf numFmtId="4" fontId="7" fillId="3" borderId="34" xfId="0" applyNumberFormat="1" applyFont="1" applyFill="1" applyBorder="1" applyAlignment="1">
      <alignment vertical="center" wrapText="1"/>
    </xf>
    <xf numFmtId="167" fontId="8" fillId="3" borderId="35" xfId="0" applyNumberFormat="1" applyFont="1" applyFill="1" applyBorder="1" applyAlignment="1">
      <alignment horizontal="center" vertical="center" wrapText="1"/>
    </xf>
    <xf numFmtId="167" fontId="8" fillId="3" borderId="36" xfId="0" applyNumberFormat="1" applyFont="1" applyFill="1" applyBorder="1" applyAlignment="1">
      <alignment horizontal="center" vertical="center" wrapText="1"/>
    </xf>
    <xf numFmtId="167" fontId="8" fillId="6" borderId="34" xfId="0" applyNumberFormat="1" applyFont="1" applyFill="1" applyBorder="1" applyAlignment="1">
      <alignment horizontal="center" vertical="center" wrapText="1"/>
    </xf>
    <xf numFmtId="167" fontId="8" fillId="6" borderId="35" xfId="0" applyNumberFormat="1" applyFont="1" applyFill="1" applyBorder="1" applyAlignment="1">
      <alignment horizontal="center" vertical="center" wrapText="1"/>
    </xf>
    <xf numFmtId="167" fontId="8" fillId="6" borderId="36" xfId="0" applyNumberFormat="1" applyFont="1" applyFill="1" applyBorder="1" applyAlignment="1">
      <alignment horizontal="center" vertical="center" wrapText="1"/>
    </xf>
    <xf numFmtId="167" fontId="10" fillId="2" borderId="34" xfId="0" applyNumberFormat="1" applyFont="1" applyFill="1" applyBorder="1" applyAlignment="1">
      <alignment horizontal="center" vertical="center" wrapText="1"/>
    </xf>
    <xf numFmtId="167" fontId="8" fillId="2" borderId="35" xfId="0" applyNumberFormat="1" applyFont="1" applyFill="1" applyBorder="1" applyAlignment="1">
      <alignment horizontal="center" vertical="center" wrapText="1"/>
    </xf>
    <xf numFmtId="168" fontId="8" fillId="4" borderId="35" xfId="5" applyNumberFormat="1" applyFont="1" applyFill="1" applyBorder="1" applyAlignment="1">
      <alignment horizontal="center" vertical="center" wrapText="1"/>
    </xf>
    <xf numFmtId="3" fontId="9" fillId="2" borderId="36" xfId="0" applyNumberFormat="1" applyFont="1" applyFill="1" applyBorder="1" applyAlignment="1">
      <alignment horizontal="center" vertical="center" wrapText="1"/>
    </xf>
    <xf numFmtId="167" fontId="10" fillId="5" borderId="34" xfId="0" applyNumberFormat="1" applyFont="1" applyFill="1" applyBorder="1" applyAlignment="1">
      <alignment horizontal="center" vertical="center" wrapText="1"/>
    </xf>
    <xf numFmtId="167" fontId="8" fillId="5" borderId="35" xfId="0" applyNumberFormat="1" applyFont="1" applyFill="1" applyBorder="1" applyAlignment="1">
      <alignment horizontal="center" vertical="center" wrapText="1"/>
    </xf>
    <xf numFmtId="167" fontId="8" fillId="5" borderId="36" xfId="0" applyNumberFormat="1" applyFont="1" applyFill="1" applyBorder="1" applyAlignment="1">
      <alignment horizontal="center" vertical="center" wrapText="1"/>
    </xf>
    <xf numFmtId="4" fontId="9" fillId="6" borderId="7" xfId="0" applyNumberFormat="1" applyFont="1" applyFill="1" applyBorder="1" applyAlignment="1">
      <alignment horizontal="center" vertical="center" wrapText="1"/>
    </xf>
    <xf numFmtId="4" fontId="9" fillId="6" borderId="10" xfId="0" applyNumberFormat="1" applyFont="1" applyFill="1" applyBorder="1" applyAlignment="1">
      <alignment horizontal="center" vertical="center" wrapText="1"/>
    </xf>
    <xf numFmtId="4" fontId="9" fillId="6" borderId="13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168" fontId="7" fillId="4" borderId="10" xfId="5" applyNumberFormat="1" applyFont="1" applyFill="1" applyBorder="1" applyAlignment="1">
      <alignment horizontal="center" vertical="center" wrapText="1"/>
    </xf>
    <xf numFmtId="3" fontId="9" fillId="2" borderId="13" xfId="0" applyNumberFormat="1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167" fontId="8" fillId="6" borderId="34" xfId="11" applyNumberFormat="1" applyFont="1" applyFill="1" applyBorder="1" applyAlignment="1">
      <alignment horizontal="center" vertical="center" wrapText="1"/>
    </xf>
    <xf numFmtId="167" fontId="8" fillId="6" borderId="35" xfId="11" applyNumberFormat="1" applyFont="1" applyFill="1" applyBorder="1" applyAlignment="1">
      <alignment horizontal="center" vertical="center" wrapText="1"/>
    </xf>
    <xf numFmtId="167" fontId="8" fillId="6" borderId="36" xfId="11" applyNumberFormat="1" applyFont="1" applyFill="1" applyBorder="1" applyAlignment="1">
      <alignment horizontal="center" vertical="center" wrapText="1"/>
    </xf>
    <xf numFmtId="167" fontId="10" fillId="2" borderId="34" xfId="11" applyNumberFormat="1" applyFont="1" applyFill="1" applyBorder="1" applyAlignment="1">
      <alignment horizontal="center" vertical="center" wrapText="1"/>
    </xf>
    <xf numFmtId="167" fontId="8" fillId="2" borderId="35" xfId="11" applyNumberFormat="1" applyFont="1" applyFill="1" applyBorder="1" applyAlignment="1">
      <alignment horizontal="center" vertical="center" wrapText="1"/>
    </xf>
    <xf numFmtId="168" fontId="7" fillId="4" borderId="35" xfId="5" applyNumberFormat="1" applyFont="1" applyFill="1" applyBorder="1" applyAlignment="1">
      <alignment horizontal="center" vertical="center" wrapText="1"/>
    </xf>
    <xf numFmtId="167" fontId="10" fillId="5" borderId="34" xfId="11" applyNumberFormat="1" applyFont="1" applyFill="1" applyBorder="1" applyAlignment="1">
      <alignment horizontal="center" vertical="center" wrapText="1"/>
    </xf>
    <xf numFmtId="167" fontId="8" fillId="5" borderId="35" xfId="11" applyNumberFormat="1" applyFont="1" applyFill="1" applyBorder="1" applyAlignment="1">
      <alignment horizontal="center" vertical="center" wrapText="1"/>
    </xf>
    <xf numFmtId="167" fontId="8" fillId="5" borderId="36" xfId="11" applyNumberFormat="1" applyFont="1" applyFill="1" applyBorder="1" applyAlignment="1">
      <alignment horizontal="center" vertical="center" wrapText="1"/>
    </xf>
    <xf numFmtId="4" fontId="9" fillId="6" borderId="28" xfId="0" applyNumberFormat="1" applyFont="1" applyFill="1" applyBorder="1" applyAlignment="1">
      <alignment horizontal="center" vertical="center" wrapText="1"/>
    </xf>
    <xf numFmtId="4" fontId="9" fillId="6" borderId="29" xfId="0" applyNumberFormat="1" applyFont="1" applyFill="1" applyBorder="1" applyAlignment="1">
      <alignment horizontal="center" vertical="center" wrapText="1"/>
    </xf>
    <xf numFmtId="4" fontId="9" fillId="6" borderId="30" xfId="0" applyNumberFormat="1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2" fontId="9" fillId="2" borderId="29" xfId="0" applyNumberFormat="1" applyFont="1" applyFill="1" applyBorder="1" applyAlignment="1">
      <alignment horizontal="center" vertical="center" wrapText="1"/>
    </xf>
    <xf numFmtId="168" fontId="7" fillId="4" borderId="29" xfId="5" applyNumberFormat="1" applyFont="1" applyFill="1" applyBorder="1" applyAlignment="1">
      <alignment horizontal="center" vertical="center" wrapText="1"/>
    </xf>
    <xf numFmtId="3" fontId="9" fillId="2" borderId="30" xfId="0" applyNumberFormat="1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2" fontId="9" fillId="5" borderId="29" xfId="0" applyNumberFormat="1" applyFont="1" applyFill="1" applyBorder="1" applyAlignment="1">
      <alignment horizontal="center" vertical="center" wrapText="1"/>
    </xf>
    <xf numFmtId="2" fontId="9" fillId="5" borderId="30" xfId="0" applyNumberFormat="1" applyFont="1" applyFill="1" applyBorder="1" applyAlignment="1">
      <alignment horizontal="center" vertical="center" wrapText="1"/>
    </xf>
    <xf numFmtId="167" fontId="10" fillId="6" borderId="9" xfId="0" applyNumberFormat="1" applyFont="1" applyFill="1" applyBorder="1" applyAlignment="1">
      <alignment horizontal="center" vertical="center" wrapText="1"/>
    </xf>
    <xf numFmtId="167" fontId="10" fillId="6" borderId="12" xfId="0" applyNumberFormat="1" applyFont="1" applyFill="1" applyBorder="1" applyAlignment="1">
      <alignment horizontal="center" vertical="center" wrapText="1"/>
    </xf>
    <xf numFmtId="167" fontId="10" fillId="6" borderId="15" xfId="0" applyNumberFormat="1" applyFont="1" applyFill="1" applyBorder="1" applyAlignment="1">
      <alignment horizontal="center" vertical="center" wrapText="1"/>
    </xf>
    <xf numFmtId="167" fontId="10" fillId="2" borderId="9" xfId="0" applyNumberFormat="1" applyFont="1" applyFill="1" applyBorder="1" applyAlignment="1">
      <alignment horizontal="center" vertical="center" wrapText="1"/>
    </xf>
    <xf numFmtId="167" fontId="8" fillId="2" borderId="12" xfId="0" applyNumberFormat="1" applyFont="1" applyFill="1" applyBorder="1" applyAlignment="1">
      <alignment horizontal="center" vertical="center" wrapText="1"/>
    </xf>
    <xf numFmtId="167" fontId="10" fillId="2" borderId="12" xfId="0" applyNumberFormat="1" applyFont="1" applyFill="1" applyBorder="1" applyAlignment="1">
      <alignment horizontal="center" vertical="center" wrapText="1"/>
    </xf>
    <xf numFmtId="168" fontId="7" fillId="4" borderId="12" xfId="5" applyNumberFormat="1" applyFont="1" applyFill="1" applyBorder="1" applyAlignment="1">
      <alignment horizontal="center" vertical="center" wrapText="1"/>
    </xf>
    <xf numFmtId="3" fontId="9" fillId="2" borderId="15" xfId="0" applyNumberFormat="1" applyFont="1" applyFill="1" applyBorder="1" applyAlignment="1">
      <alignment horizontal="center" vertical="center" wrapText="1"/>
    </xf>
    <xf numFmtId="167" fontId="10" fillId="5" borderId="9" xfId="0" applyNumberFormat="1" applyFont="1" applyFill="1" applyBorder="1" applyAlignment="1">
      <alignment horizontal="center" vertical="center" wrapText="1"/>
    </xf>
    <xf numFmtId="167" fontId="8" fillId="5" borderId="12" xfId="0" applyNumberFormat="1" applyFont="1" applyFill="1" applyBorder="1" applyAlignment="1">
      <alignment horizontal="center" vertical="center" wrapText="1"/>
    </xf>
    <xf numFmtId="167" fontId="10" fillId="5" borderId="15" xfId="0" applyNumberFormat="1" applyFont="1" applyFill="1" applyBorder="1" applyAlignment="1">
      <alignment horizontal="center" vertical="center" wrapText="1"/>
    </xf>
    <xf numFmtId="4" fontId="9" fillId="6" borderId="31" xfId="0" applyNumberFormat="1" applyFont="1" applyFill="1" applyBorder="1" applyAlignment="1">
      <alignment horizontal="left" vertical="center" wrapText="1"/>
    </xf>
    <xf numFmtId="4" fontId="7" fillId="6" borderId="32" xfId="0" applyNumberFormat="1" applyFont="1" applyFill="1" applyBorder="1" applyAlignment="1">
      <alignment horizontal="left" vertical="center" wrapText="1"/>
    </xf>
    <xf numFmtId="4" fontId="10" fillId="6" borderId="32" xfId="0" applyNumberFormat="1" applyFont="1" applyFill="1" applyBorder="1" applyAlignment="1">
      <alignment horizontal="left" vertical="center" wrapText="1"/>
    </xf>
    <xf numFmtId="4" fontId="10" fillId="6" borderId="33" xfId="0" applyNumberFormat="1" applyFont="1" applyFill="1" applyBorder="1" applyAlignment="1">
      <alignment horizontal="left" vertical="center" wrapText="1"/>
    </xf>
    <xf numFmtId="0" fontId="7" fillId="2" borderId="31" xfId="0" applyFont="1" applyFill="1" applyBorder="1" applyAlignment="1">
      <alignment horizontal="left" vertical="center" wrapText="1"/>
    </xf>
    <xf numFmtId="0" fontId="9" fillId="2" borderId="32" xfId="0" applyFont="1" applyFill="1" applyBorder="1" applyAlignment="1">
      <alignment horizontal="center" vertical="center" wrapText="1"/>
    </xf>
    <xf numFmtId="2" fontId="9" fillId="2" borderId="32" xfId="0" applyNumberFormat="1" applyFont="1" applyFill="1" applyBorder="1" applyAlignment="1">
      <alignment horizontal="center" vertical="center" wrapText="1"/>
    </xf>
    <xf numFmtId="4" fontId="7" fillId="4" borderId="32" xfId="5" applyNumberFormat="1" applyFont="1" applyFill="1" applyBorder="1" applyAlignment="1">
      <alignment horizontal="left" vertical="center" wrapText="1"/>
    </xf>
    <xf numFmtId="2" fontId="9" fillId="2" borderId="33" xfId="0" applyNumberFormat="1" applyFont="1" applyFill="1" applyBorder="1" applyAlignment="1">
      <alignment horizontal="left" vertical="center" wrapText="1"/>
    </xf>
    <xf numFmtId="0" fontId="7" fillId="5" borderId="31" xfId="0" applyFont="1" applyFill="1" applyBorder="1" applyAlignment="1">
      <alignment horizontal="left" vertical="center" wrapText="1"/>
    </xf>
    <xf numFmtId="0" fontId="9" fillId="5" borderId="32" xfId="0" applyFont="1" applyFill="1" applyBorder="1" applyAlignment="1">
      <alignment horizontal="center" vertical="center" wrapText="1"/>
    </xf>
    <xf numFmtId="2" fontId="9" fillId="5" borderId="33" xfId="0" applyNumberFormat="1" applyFont="1" applyFill="1" applyBorder="1" applyAlignment="1">
      <alignment horizontal="center" vertical="center" wrapText="1"/>
    </xf>
    <xf numFmtId="4" fontId="9" fillId="6" borderId="37" xfId="0" applyNumberFormat="1" applyFont="1" applyFill="1" applyBorder="1" applyAlignment="1">
      <alignment horizontal="center" vertical="center" wrapText="1"/>
    </xf>
    <xf numFmtId="4" fontId="9" fillId="6" borderId="38" xfId="0" applyNumberFormat="1" applyFont="1" applyFill="1" applyBorder="1" applyAlignment="1">
      <alignment horizontal="center" vertical="center" wrapText="1"/>
    </xf>
    <xf numFmtId="0" fontId="9" fillId="5" borderId="37" xfId="0" applyFont="1" applyFill="1" applyBorder="1" applyAlignment="1">
      <alignment horizontal="center" vertical="center" wrapText="1"/>
    </xf>
    <xf numFmtId="2" fontId="9" fillId="5" borderId="38" xfId="0" applyNumberFormat="1" applyFont="1" applyFill="1" applyBorder="1" applyAlignment="1">
      <alignment horizontal="center" vertical="center" wrapText="1"/>
    </xf>
    <xf numFmtId="4" fontId="9" fillId="6" borderId="39" xfId="0" applyNumberFormat="1" applyFont="1" applyFill="1" applyBorder="1" applyAlignment="1">
      <alignment horizontal="left" vertical="center" wrapText="1"/>
    </xf>
    <xf numFmtId="4" fontId="10" fillId="6" borderId="40" xfId="0" applyNumberFormat="1" applyFont="1" applyFill="1" applyBorder="1" applyAlignment="1">
      <alignment horizontal="left" vertical="center" wrapText="1"/>
    </xf>
    <xf numFmtId="4" fontId="7" fillId="4" borderId="32" xfId="5" applyNumberFormat="1" applyFont="1" applyFill="1" applyBorder="1" applyAlignment="1">
      <alignment horizontal="center" vertical="center" wrapText="1"/>
    </xf>
    <xf numFmtId="4" fontId="7" fillId="3" borderId="34" xfId="0" applyNumberFormat="1" applyFont="1" applyFill="1" applyBorder="1" applyAlignment="1">
      <alignment horizontal="center" vertical="center" wrapText="1"/>
    </xf>
    <xf numFmtId="167" fontId="8" fillId="6" borderId="41" xfId="0" applyNumberFormat="1" applyFont="1" applyFill="1" applyBorder="1" applyAlignment="1">
      <alignment horizontal="center" vertical="center" wrapText="1"/>
    </xf>
    <xf numFmtId="167" fontId="8" fillId="6" borderId="42" xfId="11" applyNumberFormat="1" applyFont="1" applyFill="1" applyBorder="1" applyAlignment="1">
      <alignment horizontal="center" vertical="center" wrapText="1"/>
    </xf>
    <xf numFmtId="167" fontId="10" fillId="2" borderId="36" xfId="0" applyNumberFormat="1" applyFont="1" applyFill="1" applyBorder="1" applyAlignment="1">
      <alignment horizontal="center" vertical="center" wrapText="1"/>
    </xf>
    <xf numFmtId="167" fontId="10" fillId="5" borderId="41" xfId="0" applyNumberFormat="1" applyFont="1" applyFill="1" applyBorder="1" applyAlignment="1">
      <alignment horizontal="center" vertical="center" wrapText="1"/>
    </xf>
    <xf numFmtId="167" fontId="8" fillId="5" borderId="42" xfId="0" applyNumberFormat="1" applyFont="1" applyFill="1" applyBorder="1" applyAlignment="1">
      <alignment horizontal="center" vertical="center" wrapText="1"/>
    </xf>
    <xf numFmtId="167" fontId="8" fillId="3" borderId="15" xfId="0" applyNumberFormat="1" applyFont="1" applyFill="1" applyBorder="1" applyAlignment="1">
      <alignment horizontal="center" vertical="center" wrapText="1"/>
    </xf>
    <xf numFmtId="4" fontId="9" fillId="6" borderId="16" xfId="0" applyNumberFormat="1" applyFont="1" applyFill="1" applyBorder="1" applyAlignment="1">
      <alignment horizontal="center" vertical="center" wrapText="1"/>
    </xf>
    <xf numFmtId="167" fontId="8" fillId="6" borderId="18" xfId="0" applyNumberFormat="1" applyFont="1" applyFill="1" applyBorder="1" applyAlignment="1">
      <alignment horizontal="center" vertical="center" wrapText="1"/>
    </xf>
    <xf numFmtId="4" fontId="9" fillId="6" borderId="22" xfId="0" applyNumberFormat="1" applyFont="1" applyFill="1" applyBorder="1" applyAlignment="1">
      <alignment horizontal="center" vertical="center" wrapText="1"/>
    </xf>
    <xf numFmtId="167" fontId="10" fillId="6" borderId="24" xfId="0" applyNumberFormat="1" applyFont="1" applyFill="1" applyBorder="1" applyAlignment="1">
      <alignment horizontal="center" vertical="center" wrapText="1"/>
    </xf>
    <xf numFmtId="168" fontId="8" fillId="4" borderId="12" xfId="5" applyNumberFormat="1" applyFont="1" applyFill="1" applyBorder="1" applyAlignment="1">
      <alignment horizontal="center" vertical="center" wrapText="1"/>
    </xf>
    <xf numFmtId="167" fontId="10" fillId="2" borderId="15" xfId="0" applyNumberFormat="1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 wrapText="1"/>
    </xf>
    <xf numFmtId="167" fontId="10" fillId="5" borderId="18" xfId="0" applyNumberFormat="1" applyFont="1" applyFill="1" applyBorder="1" applyAlignment="1">
      <alignment horizontal="center" vertical="center" wrapText="1"/>
    </xf>
    <xf numFmtId="167" fontId="8" fillId="5" borderId="15" xfId="0" applyNumberFormat="1" applyFont="1" applyFill="1" applyBorder="1" applyAlignment="1">
      <alignment horizontal="center" vertical="center" wrapText="1"/>
    </xf>
    <xf numFmtId="167" fontId="8" fillId="6" borderId="42" xfId="0" applyNumberFormat="1" applyFont="1" applyFill="1" applyBorder="1" applyAlignment="1">
      <alignment horizontal="center" vertical="center" wrapText="1"/>
    </xf>
    <xf numFmtId="167" fontId="8" fillId="3" borderId="42" xfId="0" applyNumberFormat="1" applyFont="1" applyFill="1" applyBorder="1" applyAlignment="1">
      <alignment horizontal="center" vertical="center" wrapText="1"/>
    </xf>
    <xf numFmtId="167" fontId="10" fillId="2" borderId="41" xfId="0" applyNumberFormat="1" applyFont="1" applyFill="1" applyBorder="1" applyAlignment="1">
      <alignment horizontal="center" vertical="center" wrapText="1"/>
    </xf>
    <xf numFmtId="167" fontId="10" fillId="2" borderId="42" xfId="0" applyNumberFormat="1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3" fontId="9" fillId="2" borderId="22" xfId="0" applyNumberFormat="1" applyFont="1" applyFill="1" applyBorder="1" applyAlignment="1">
      <alignment horizontal="center" vertical="center" wrapText="1"/>
    </xf>
    <xf numFmtId="4" fontId="7" fillId="3" borderId="41" xfId="0" applyNumberFormat="1" applyFont="1" applyFill="1" applyBorder="1" applyAlignment="1">
      <alignment horizontal="center" vertical="center" wrapText="1"/>
    </xf>
    <xf numFmtId="4" fontId="7" fillId="3" borderId="18" xfId="0" applyNumberFormat="1" applyFont="1" applyFill="1" applyBorder="1" applyAlignment="1">
      <alignment vertical="center" wrapText="1"/>
    </xf>
    <xf numFmtId="167" fontId="8" fillId="3" borderId="24" xfId="0" applyNumberFormat="1" applyFont="1" applyFill="1" applyBorder="1" applyAlignment="1">
      <alignment horizontal="center" vertical="center" wrapText="1"/>
    </xf>
    <xf numFmtId="167" fontId="8" fillId="6" borderId="9" xfId="0" applyNumberFormat="1" applyFont="1" applyFill="1" applyBorder="1" applyAlignment="1">
      <alignment horizontal="center" vertical="center" wrapText="1"/>
    </xf>
    <xf numFmtId="167" fontId="8" fillId="6" borderId="12" xfId="0" applyNumberFormat="1" applyFont="1" applyFill="1" applyBorder="1" applyAlignment="1">
      <alignment horizontal="center" vertical="center" wrapText="1"/>
    </xf>
    <xf numFmtId="167" fontId="8" fillId="6" borderId="15" xfId="0" applyNumberFormat="1" applyFont="1" applyFill="1" applyBorder="1" applyAlignment="1">
      <alignment horizontal="center" vertical="center" wrapText="1"/>
    </xf>
    <xf numFmtId="167" fontId="10" fillId="2" borderId="18" xfId="0" applyNumberFormat="1" applyFont="1" applyFill="1" applyBorder="1" applyAlignment="1">
      <alignment horizontal="center" vertical="center" wrapText="1"/>
    </xf>
    <xf numFmtId="167" fontId="10" fillId="2" borderId="24" xfId="0" applyNumberFormat="1" applyFont="1" applyFill="1" applyBorder="1" applyAlignment="1">
      <alignment horizontal="center" vertical="center" wrapText="1"/>
    </xf>
    <xf numFmtId="0" fontId="1" fillId="0" borderId="2" xfId="0" applyFont="1" applyBorder="1"/>
    <xf numFmtId="4" fontId="7" fillId="3" borderId="37" xfId="0" applyNumberFormat="1" applyFont="1" applyFill="1" applyBorder="1" applyAlignment="1">
      <alignment vertical="center" wrapText="1"/>
    </xf>
    <xf numFmtId="4" fontId="9" fillId="3" borderId="38" xfId="0" applyNumberFormat="1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 wrapText="1"/>
    </xf>
    <xf numFmtId="3" fontId="9" fillId="2" borderId="38" xfId="0" applyNumberFormat="1" applyFont="1" applyFill="1" applyBorder="1" applyAlignment="1">
      <alignment horizontal="center" vertical="center" wrapText="1"/>
    </xf>
    <xf numFmtId="4" fontId="9" fillId="3" borderId="40" xfId="0" applyNumberFormat="1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left" vertical="center" wrapText="1"/>
    </xf>
    <xf numFmtId="2" fontId="9" fillId="2" borderId="40" xfId="0" applyNumberFormat="1" applyFont="1" applyFill="1" applyBorder="1" applyAlignment="1">
      <alignment horizontal="left" vertical="center" wrapText="1"/>
    </xf>
    <xf numFmtId="4" fontId="7" fillId="3" borderId="11" xfId="0" applyNumberFormat="1" applyFont="1" applyFill="1" applyBorder="1" applyAlignment="1">
      <alignment horizontal="center" vertical="center" wrapText="1"/>
    </xf>
    <xf numFmtId="4" fontId="7" fillId="3" borderId="23" xfId="0" applyNumberFormat="1" applyFont="1" applyFill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4" fontId="9" fillId="3" borderId="11" xfId="0" applyNumberFormat="1" applyFont="1" applyFill="1" applyBorder="1" applyAlignment="1">
      <alignment horizontal="center" vertical="center" wrapText="1"/>
    </xf>
    <xf numFmtId="4" fontId="9" fillId="3" borderId="23" xfId="0" applyNumberFormat="1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4" fontId="9" fillId="3" borderId="8" xfId="0" applyNumberFormat="1" applyFont="1" applyFill="1" applyBorder="1" applyAlignment="1">
      <alignment horizontal="center" vertical="center" wrapText="1"/>
    </xf>
    <xf numFmtId="4" fontId="9" fillId="3" borderId="14" xfId="0" applyNumberFormat="1" applyFont="1" applyFill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" fontId="15" fillId="5" borderId="3" xfId="0" applyNumberFormat="1" applyFont="1" applyFill="1" applyBorder="1" applyAlignment="1">
      <alignment horizontal="center" vertical="center" wrapText="1"/>
    </xf>
    <xf numFmtId="4" fontId="15" fillId="5" borderId="0" xfId="0" applyNumberFormat="1" applyFont="1" applyFill="1" applyBorder="1" applyAlignment="1">
      <alignment horizontal="center" vertical="center" wrapText="1"/>
    </xf>
    <xf numFmtId="4" fontId="15" fillId="5" borderId="4" xfId="0" applyNumberFormat="1" applyFont="1" applyFill="1" applyBorder="1" applyAlignment="1">
      <alignment horizontal="center" vertical="center" wrapText="1"/>
    </xf>
  </cellXfs>
  <cellStyles count="12">
    <cellStyle name="Excel Built-in Normal" xfId="2"/>
    <cellStyle name="Обычный" xfId="0" builtinId="0"/>
    <cellStyle name="Обычный 2" xfId="3"/>
    <cellStyle name="Обычный 2 2" xfId="4"/>
    <cellStyle name="Обычный 2 3" xfId="5"/>
    <cellStyle name="Обычный 3" xfId="6"/>
    <cellStyle name="Обычный 4" xfId="1"/>
    <cellStyle name="Процентный" xfId="11" builtinId="5"/>
    <cellStyle name="Финансовый 2" xfId="7"/>
    <cellStyle name="Финансовый 2 2" xfId="8"/>
    <cellStyle name="Финансовый 3" xfId="9"/>
    <cellStyle name="Финансовый 4" xfId="10"/>
  </cellStyles>
  <dxfs count="0"/>
  <tableStyles count="0" defaultTableStyle="TableStyleMedium2" defaultPivotStyle="PivotStyleLight16"/>
  <colors>
    <mruColors>
      <color rgb="FFCCFFCC"/>
      <color rgb="FFCCFFFF"/>
      <color rgb="FFFFCC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8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M9" sqref="M9"/>
    </sheetView>
  </sheetViews>
  <sheetFormatPr defaultRowHeight="15"/>
  <cols>
    <col min="1" max="1" width="36.42578125" style="1" customWidth="1"/>
    <col min="2" max="2" width="10.7109375" style="1" customWidth="1"/>
    <col min="3" max="3" width="12" style="1" hidden="1" customWidth="1"/>
    <col min="4" max="4" width="12.85546875" style="1" hidden="1" customWidth="1"/>
    <col min="5" max="6" width="10.7109375" style="1" customWidth="1"/>
    <col min="7" max="7" width="12.7109375" style="1" hidden="1" customWidth="1"/>
    <col min="8" max="8" width="15.42578125" style="1" hidden="1" customWidth="1"/>
    <col min="9" max="10" width="10.7109375" style="1" customWidth="1"/>
    <col min="11" max="11" width="12.42578125" style="1" hidden="1" customWidth="1"/>
    <col min="12" max="12" width="13" style="1" hidden="1" customWidth="1"/>
    <col min="13" max="14" width="10.7109375" style="1" customWidth="1"/>
    <col min="15" max="15" width="11.5703125" style="1" hidden="1" customWidth="1"/>
    <col min="16" max="16" width="12.85546875" style="1" hidden="1" customWidth="1"/>
    <col min="17" max="17" width="10.7109375" style="1" customWidth="1"/>
    <col min="18" max="16384" width="9.140625" style="1"/>
  </cols>
  <sheetData>
    <row r="1" spans="1:17" ht="78" customHeight="1">
      <c r="A1" s="219" t="s">
        <v>13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</row>
    <row r="2" spans="1:17" ht="12" customHeight="1">
      <c r="A2" s="221"/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</row>
    <row r="3" spans="1:17" ht="24.75" customHeight="1">
      <c r="A3" s="216"/>
      <c r="B3" s="222" t="s">
        <v>15</v>
      </c>
      <c r="C3" s="223"/>
      <c r="D3" s="223"/>
      <c r="E3" s="223"/>
      <c r="F3" s="223"/>
      <c r="G3" s="223"/>
      <c r="H3" s="223"/>
      <c r="I3" s="223"/>
      <c r="J3" s="222" t="s">
        <v>16</v>
      </c>
      <c r="K3" s="223"/>
      <c r="L3" s="223"/>
      <c r="M3" s="223"/>
      <c r="N3" s="223"/>
      <c r="O3" s="223"/>
      <c r="P3" s="223"/>
      <c r="Q3" s="223"/>
    </row>
    <row r="4" spans="1:17" s="2" customFormat="1" ht="18" customHeight="1">
      <c r="A4" s="217"/>
      <c r="B4" s="223" t="s">
        <v>0</v>
      </c>
      <c r="C4" s="223"/>
      <c r="D4" s="223"/>
      <c r="E4" s="223"/>
      <c r="F4" s="223" t="s">
        <v>1</v>
      </c>
      <c r="G4" s="223"/>
      <c r="H4" s="223"/>
      <c r="I4" s="223"/>
      <c r="J4" s="223" t="s">
        <v>0</v>
      </c>
      <c r="K4" s="223"/>
      <c r="L4" s="223"/>
      <c r="M4" s="223"/>
      <c r="N4" s="223" t="s">
        <v>1</v>
      </c>
      <c r="O4" s="223"/>
      <c r="P4" s="223"/>
      <c r="Q4" s="223"/>
    </row>
    <row r="5" spans="1:17" ht="18" customHeight="1">
      <c r="A5" s="224" t="s">
        <v>7</v>
      </c>
      <c r="B5" s="225"/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6"/>
    </row>
    <row r="6" spans="1:17">
      <c r="A6" s="82" t="s">
        <v>14</v>
      </c>
      <c r="B6" s="79"/>
      <c r="C6" s="4"/>
      <c r="D6" s="4"/>
      <c r="E6" s="85"/>
      <c r="F6" s="3"/>
      <c r="G6" s="4"/>
      <c r="H6" s="211">
        <f>G7/18552.3</f>
        <v>3.0073845291419397</v>
      </c>
      <c r="I6" s="88"/>
      <c r="J6" s="79"/>
      <c r="K6" s="4"/>
      <c r="L6" s="4"/>
      <c r="M6" s="91"/>
      <c r="N6" s="3"/>
      <c r="O6" s="4"/>
      <c r="P6" s="4"/>
      <c r="Q6" s="5"/>
    </row>
    <row r="7" spans="1:17">
      <c r="A7" s="83" t="s">
        <v>2</v>
      </c>
      <c r="B7" s="80">
        <v>23.89</v>
      </c>
      <c r="C7" s="206">
        <f>6955.6+22618.7</f>
        <v>29574.300000000003</v>
      </c>
      <c r="D7" s="206">
        <f>C7/18691.5</f>
        <v>1.5822325656046867</v>
      </c>
      <c r="E7" s="86">
        <v>1</v>
      </c>
      <c r="F7" s="6">
        <v>47.7</v>
      </c>
      <c r="G7" s="206">
        <f>55793.9+0</f>
        <v>55793.9</v>
      </c>
      <c r="H7" s="206"/>
      <c r="I7" s="89">
        <f>F7/B9</f>
        <v>1</v>
      </c>
      <c r="J7" s="80">
        <v>19.760000000000002</v>
      </c>
      <c r="K7" s="206">
        <f>21263.3+9397.3</f>
        <v>30660.6</v>
      </c>
      <c r="L7" s="206">
        <f>K7/21018.87</f>
        <v>1.4587178092828017</v>
      </c>
      <c r="M7" s="92">
        <v>1</v>
      </c>
      <c r="N7" s="6">
        <v>32.119999999999997</v>
      </c>
      <c r="O7" s="206">
        <f>17917.9+56259.29</f>
        <v>74177.19</v>
      </c>
      <c r="P7" s="206">
        <f>O7/21018.87</f>
        <v>3.529076015979927</v>
      </c>
      <c r="Q7" s="7">
        <f>N7/J9</f>
        <v>1</v>
      </c>
    </row>
    <row r="8" spans="1:17">
      <c r="A8" s="83" t="s">
        <v>3</v>
      </c>
      <c r="B8" s="80">
        <v>25.3</v>
      </c>
      <c r="C8" s="206"/>
      <c r="D8" s="206"/>
      <c r="E8" s="86">
        <f>B8/B7</f>
        <v>1.0590205106739221</v>
      </c>
      <c r="F8" s="6">
        <v>51.01</v>
      </c>
      <c r="G8" s="206"/>
      <c r="H8" s="206"/>
      <c r="I8" s="89">
        <f>F8/F7</f>
        <v>1.0693920335429767</v>
      </c>
      <c r="J8" s="80">
        <v>22.883536913847042</v>
      </c>
      <c r="K8" s="206"/>
      <c r="L8" s="206"/>
      <c r="M8" s="92">
        <f>J8/J7</f>
        <v>1.1580737304578461</v>
      </c>
      <c r="N8" s="6">
        <v>34.229999999999997</v>
      </c>
      <c r="O8" s="206"/>
      <c r="P8" s="206"/>
      <c r="Q8" s="7">
        <f>N8/N7</f>
        <v>1.0656911581569115</v>
      </c>
    </row>
    <row r="9" spans="1:17">
      <c r="A9" s="84" t="s">
        <v>5</v>
      </c>
      <c r="B9" s="81">
        <v>47.7</v>
      </c>
      <c r="C9" s="212"/>
      <c r="D9" s="212"/>
      <c r="E9" s="87">
        <f>B9/B8</f>
        <v>1.8853754940711462</v>
      </c>
      <c r="F9" s="8"/>
      <c r="G9" s="212"/>
      <c r="H9" s="212"/>
      <c r="I9" s="90"/>
      <c r="J9" s="81">
        <v>32.119999999999997</v>
      </c>
      <c r="K9" s="212"/>
      <c r="L9" s="212"/>
      <c r="M9" s="93">
        <f>J9/J8</f>
        <v>1.4036291732753903</v>
      </c>
      <c r="N9" s="8"/>
      <c r="O9" s="212"/>
      <c r="P9" s="212"/>
      <c r="Q9" s="9"/>
    </row>
    <row r="10" spans="1:17">
      <c r="A10" s="142" t="s">
        <v>17</v>
      </c>
      <c r="B10" s="120">
        <f>C7</f>
        <v>29574.300000000003</v>
      </c>
      <c r="C10" s="40"/>
      <c r="D10" s="40"/>
      <c r="E10" s="111"/>
      <c r="F10" s="104">
        <f>G7</f>
        <v>55793.9</v>
      </c>
      <c r="G10" s="40"/>
      <c r="H10" s="40"/>
      <c r="I10" s="131"/>
      <c r="J10" s="120">
        <f>K7</f>
        <v>30660.6</v>
      </c>
      <c r="K10" s="40"/>
      <c r="L10" s="40"/>
      <c r="M10" s="94"/>
      <c r="N10" s="104">
        <f>O7</f>
        <v>74177.19</v>
      </c>
      <c r="O10" s="40"/>
      <c r="P10" s="40"/>
      <c r="Q10" s="41"/>
    </row>
    <row r="11" spans="1:17" ht="28.5" customHeight="1">
      <c r="A11" s="143" t="s">
        <v>19</v>
      </c>
      <c r="B11" s="121">
        <f>D7</f>
        <v>1.5822325656046867</v>
      </c>
      <c r="C11" s="10"/>
      <c r="D11" s="10"/>
      <c r="E11" s="112"/>
      <c r="F11" s="105">
        <f>H6</f>
        <v>3.0073845291419397</v>
      </c>
      <c r="G11" s="10">
        <f>H6</f>
        <v>3.0073845291419397</v>
      </c>
      <c r="H11" s="12"/>
      <c r="I11" s="132"/>
      <c r="J11" s="121">
        <f>L7</f>
        <v>1.4587178092828017</v>
      </c>
      <c r="K11" s="10"/>
      <c r="L11" s="10"/>
      <c r="M11" s="95"/>
      <c r="N11" s="105">
        <f>P7</f>
        <v>3.529076015979927</v>
      </c>
      <c r="O11" s="10"/>
      <c r="P11" s="10"/>
      <c r="Q11" s="11"/>
    </row>
    <row r="12" spans="1:17">
      <c r="A12" s="144" t="s">
        <v>10</v>
      </c>
      <c r="B12" s="121">
        <f>22618.7/18691.5</f>
        <v>1.2101061980044405</v>
      </c>
      <c r="C12" s="10"/>
      <c r="D12" s="10"/>
      <c r="E12" s="112"/>
      <c r="F12" s="105">
        <f>55793.9/18552.3</f>
        <v>3.0073845291419397</v>
      </c>
      <c r="G12" s="10"/>
      <c r="H12" s="12"/>
      <c r="I12" s="132"/>
      <c r="J12" s="121">
        <f>9397.3/21018.87</f>
        <v>0.44708873502714463</v>
      </c>
      <c r="K12" s="10"/>
      <c r="L12" s="10"/>
      <c r="M12" s="95"/>
      <c r="N12" s="105">
        <f>17917.9/21018.87</f>
        <v>0.85246733054631396</v>
      </c>
      <c r="O12" s="10"/>
      <c r="P12" s="10"/>
      <c r="Q12" s="11"/>
    </row>
    <row r="13" spans="1:17">
      <c r="A13" s="145" t="s">
        <v>11</v>
      </c>
      <c r="B13" s="122">
        <f>6955.6/18691.5</f>
        <v>0.37212636760024614</v>
      </c>
      <c r="C13" s="42"/>
      <c r="D13" s="42"/>
      <c r="E13" s="113"/>
      <c r="F13" s="106">
        <f>0/18552.3</f>
        <v>0</v>
      </c>
      <c r="G13" s="42"/>
      <c r="H13" s="43"/>
      <c r="I13" s="133"/>
      <c r="J13" s="122">
        <f>21263.3/21018.87</f>
        <v>1.0116290742556568</v>
      </c>
      <c r="K13" s="42"/>
      <c r="L13" s="42"/>
      <c r="M13" s="96"/>
      <c r="N13" s="106">
        <f>56259.29/21018.87</f>
        <v>2.6766086854336129</v>
      </c>
      <c r="O13" s="42"/>
      <c r="P13" s="42"/>
      <c r="Q13" s="44"/>
    </row>
    <row r="14" spans="1:17">
      <c r="A14" s="146" t="s">
        <v>18</v>
      </c>
      <c r="B14" s="123"/>
      <c r="C14" s="47"/>
      <c r="D14" s="47"/>
      <c r="E14" s="114"/>
      <c r="F14" s="107"/>
      <c r="G14" s="47"/>
      <c r="H14" s="47"/>
      <c r="I14" s="134"/>
      <c r="J14" s="123"/>
      <c r="K14" s="47"/>
      <c r="L14" s="47"/>
      <c r="M14" s="97"/>
      <c r="N14" s="107"/>
      <c r="O14" s="47"/>
      <c r="P14" s="48"/>
      <c r="Q14" s="49"/>
    </row>
    <row r="15" spans="1:17">
      <c r="A15" s="147" t="s">
        <v>2</v>
      </c>
      <c r="B15" s="124">
        <v>21.57</v>
      </c>
      <c r="C15" s="13"/>
      <c r="D15" s="13"/>
      <c r="E15" s="115">
        <f>E7</f>
        <v>1</v>
      </c>
      <c r="F15" s="19">
        <v>27.1</v>
      </c>
      <c r="G15" s="17"/>
      <c r="H15" s="17"/>
      <c r="I15" s="135">
        <f>F15/B17</f>
        <v>1</v>
      </c>
      <c r="J15" s="124">
        <v>19.760000000000002</v>
      </c>
      <c r="K15" s="13"/>
      <c r="L15" s="13"/>
      <c r="M15" s="98">
        <f>M7</f>
        <v>1</v>
      </c>
      <c r="N15" s="16">
        <v>24.83</v>
      </c>
      <c r="O15" s="13"/>
      <c r="P15" s="18"/>
      <c r="Q15" s="15">
        <f>N15/J17</f>
        <v>1</v>
      </c>
    </row>
    <row r="16" spans="1:17">
      <c r="A16" s="148" t="s">
        <v>3</v>
      </c>
      <c r="B16" s="125">
        <v>22.58</v>
      </c>
      <c r="C16" s="17"/>
      <c r="D16" s="17"/>
      <c r="E16" s="115">
        <f>B16/B15</f>
        <v>1.0468242929995364</v>
      </c>
      <c r="F16" s="19">
        <v>29.81</v>
      </c>
      <c r="G16" s="17"/>
      <c r="H16" s="17"/>
      <c r="I16" s="135">
        <f>F16/F15</f>
        <v>1.0999999999999999</v>
      </c>
      <c r="J16" s="125">
        <v>20.69</v>
      </c>
      <c r="K16" s="17"/>
      <c r="L16" s="17"/>
      <c r="M16" s="98">
        <f>J16/J15</f>
        <v>1.0470647773279351</v>
      </c>
      <c r="N16" s="19">
        <v>27.31</v>
      </c>
      <c r="O16" s="17"/>
      <c r="P16" s="18"/>
      <c r="Q16" s="15">
        <f>N16/N15</f>
        <v>1.0998791784132098</v>
      </c>
    </row>
    <row r="17" spans="1:17">
      <c r="A17" s="148" t="s">
        <v>5</v>
      </c>
      <c r="B17" s="125">
        <v>27.1</v>
      </c>
      <c r="C17" s="17"/>
      <c r="D17" s="17"/>
      <c r="E17" s="115">
        <f>B17/B16</f>
        <v>1.2001771479185122</v>
      </c>
      <c r="F17" s="19"/>
      <c r="G17" s="17"/>
      <c r="H17" s="17"/>
      <c r="I17" s="136"/>
      <c r="J17" s="125">
        <v>24.83</v>
      </c>
      <c r="K17" s="17"/>
      <c r="L17" s="17"/>
      <c r="M17" s="98">
        <f>J17/J16</f>
        <v>1.2000966650555822</v>
      </c>
      <c r="N17" s="19"/>
      <c r="O17" s="17"/>
      <c r="P17" s="14"/>
      <c r="Q17" s="15"/>
    </row>
    <row r="18" spans="1:17">
      <c r="A18" s="149" t="s">
        <v>20</v>
      </c>
      <c r="B18" s="126">
        <v>14951</v>
      </c>
      <c r="C18" s="20"/>
      <c r="D18" s="20"/>
      <c r="E18" s="116"/>
      <c r="F18" s="108">
        <v>14302.3</v>
      </c>
      <c r="G18" s="20"/>
      <c r="H18" s="20"/>
      <c r="I18" s="137"/>
      <c r="J18" s="126">
        <v>14381.5</v>
      </c>
      <c r="K18" s="20"/>
      <c r="L18" s="20"/>
      <c r="M18" s="99"/>
      <c r="N18" s="108">
        <v>13616</v>
      </c>
      <c r="O18" s="21"/>
      <c r="P18" s="21"/>
      <c r="Q18" s="22"/>
    </row>
    <row r="19" spans="1:17">
      <c r="A19" s="150" t="s">
        <v>4</v>
      </c>
      <c r="B19" s="127">
        <v>41329</v>
      </c>
      <c r="C19" s="50"/>
      <c r="D19" s="50"/>
      <c r="E19" s="100"/>
      <c r="F19" s="109">
        <f>(F7-F15)*F18/2+(F8-F16)*F18/2</f>
        <v>298918.06999999995</v>
      </c>
      <c r="G19" s="50"/>
      <c r="H19" s="50"/>
      <c r="I19" s="138"/>
      <c r="J19" s="127">
        <v>16750</v>
      </c>
      <c r="K19" s="50"/>
      <c r="L19" s="50"/>
      <c r="M19" s="100"/>
      <c r="N19" s="109">
        <f>(N7-N15)*N18/2+(N8-N16)*N18/2</f>
        <v>96741.679999999978</v>
      </c>
      <c r="O19" s="50"/>
      <c r="P19" s="50"/>
      <c r="Q19" s="51"/>
    </row>
    <row r="20" spans="1:17">
      <c r="A20" s="151" t="s">
        <v>22</v>
      </c>
      <c r="B20" s="128"/>
      <c r="C20" s="52"/>
      <c r="D20" s="52"/>
      <c r="E20" s="117"/>
      <c r="F20" s="110"/>
      <c r="G20" s="52"/>
      <c r="H20" s="52"/>
      <c r="I20" s="139"/>
      <c r="J20" s="128"/>
      <c r="K20" s="52"/>
      <c r="L20" s="52"/>
      <c r="M20" s="101"/>
      <c r="N20" s="110"/>
      <c r="O20" s="52"/>
      <c r="P20" s="53"/>
      <c r="Q20" s="54"/>
    </row>
    <row r="21" spans="1:17">
      <c r="A21" s="152" t="s">
        <v>2</v>
      </c>
      <c r="B21" s="129">
        <f>B15*1.18</f>
        <v>25.4526</v>
      </c>
      <c r="C21" s="23"/>
      <c r="D21" s="23"/>
      <c r="E21" s="118">
        <f>E17</f>
        <v>1.2001771479185122</v>
      </c>
      <c r="F21" s="27">
        <f>F15*1.18</f>
        <v>31.978000000000002</v>
      </c>
      <c r="G21" s="25"/>
      <c r="H21" s="25"/>
      <c r="I21" s="140">
        <f>F21/B23</f>
        <v>1</v>
      </c>
      <c r="J21" s="129">
        <f>J15*1.18</f>
        <v>23.316800000000001</v>
      </c>
      <c r="K21" s="23"/>
      <c r="L21" s="23"/>
      <c r="M21" s="102">
        <f>M17</f>
        <v>1.2000966650555822</v>
      </c>
      <c r="N21" s="27">
        <f>N15*1.18</f>
        <v>29.299399999999995</v>
      </c>
      <c r="O21" s="23"/>
      <c r="P21" s="26"/>
      <c r="Q21" s="24">
        <f>N21/J23</f>
        <v>1</v>
      </c>
    </row>
    <row r="22" spans="1:17">
      <c r="A22" s="152" t="s">
        <v>3</v>
      </c>
      <c r="B22" s="129">
        <f t="shared" ref="B22:B23" si="0">B16*1.18</f>
        <v>26.644399999999997</v>
      </c>
      <c r="C22" s="25"/>
      <c r="D22" s="25"/>
      <c r="E22" s="118">
        <f>B22/B21</f>
        <v>1.0468242929995364</v>
      </c>
      <c r="F22" s="27">
        <f>F16*1.18</f>
        <v>35.175799999999995</v>
      </c>
      <c r="G22" s="25"/>
      <c r="H22" s="25"/>
      <c r="I22" s="140">
        <f>F22/F21</f>
        <v>1.0999999999999999</v>
      </c>
      <c r="J22" s="129">
        <f t="shared" ref="J22:J23" si="1">J16*1.18</f>
        <v>24.414200000000001</v>
      </c>
      <c r="K22" s="25"/>
      <c r="L22" s="25"/>
      <c r="M22" s="102">
        <f>J22/J21</f>
        <v>1.0470647773279353</v>
      </c>
      <c r="N22" s="27">
        <f>N16*1.18</f>
        <v>32.2258</v>
      </c>
      <c r="O22" s="25"/>
      <c r="P22" s="26"/>
      <c r="Q22" s="24">
        <f>N22/N21</f>
        <v>1.09987917841321</v>
      </c>
    </row>
    <row r="23" spans="1:17">
      <c r="A23" s="153" t="s">
        <v>5</v>
      </c>
      <c r="B23" s="130">
        <f t="shared" si="0"/>
        <v>31.978000000000002</v>
      </c>
      <c r="C23" s="33"/>
      <c r="D23" s="33"/>
      <c r="E23" s="119">
        <f>B23/B22</f>
        <v>1.2001771479185122</v>
      </c>
      <c r="F23" s="32"/>
      <c r="G23" s="33"/>
      <c r="H23" s="33"/>
      <c r="I23" s="141"/>
      <c r="J23" s="130">
        <f t="shared" si="1"/>
        <v>29.299399999999995</v>
      </c>
      <c r="K23" s="33"/>
      <c r="L23" s="33"/>
      <c r="M23" s="103">
        <f>J23/J22</f>
        <v>1.2000966650555822</v>
      </c>
      <c r="N23" s="32"/>
      <c r="O23" s="33"/>
      <c r="P23" s="55"/>
      <c r="Q23" s="35"/>
    </row>
    <row r="24" spans="1:17" ht="15.75">
      <c r="A24" s="213" t="s">
        <v>12</v>
      </c>
      <c r="B24" s="214"/>
      <c r="C24" s="214"/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4"/>
      <c r="O24" s="214"/>
      <c r="P24" s="214"/>
      <c r="Q24" s="215"/>
    </row>
    <row r="25" spans="1:17">
      <c r="A25" s="82" t="s">
        <v>14</v>
      </c>
      <c r="B25" s="79"/>
      <c r="C25" s="4"/>
      <c r="D25" s="4"/>
      <c r="E25" s="161"/>
      <c r="F25" s="3"/>
      <c r="G25" s="4"/>
      <c r="H25" s="4"/>
      <c r="I25" s="88"/>
      <c r="J25" s="79"/>
      <c r="K25" s="4"/>
      <c r="L25" s="4"/>
      <c r="M25" s="91"/>
      <c r="N25" s="3"/>
      <c r="O25" s="4"/>
      <c r="P25" s="4"/>
      <c r="Q25" s="56"/>
    </row>
    <row r="26" spans="1:17">
      <c r="A26" s="83" t="s">
        <v>2</v>
      </c>
      <c r="B26" s="80">
        <v>135.32</v>
      </c>
      <c r="C26" s="206">
        <f>7163.5+2646.1</f>
        <v>9809.6</v>
      </c>
      <c r="D26" s="206">
        <f>C26/1117.406</f>
        <v>8.7789039972937335</v>
      </c>
      <c r="E26" s="92">
        <v>1</v>
      </c>
      <c r="F26" s="6">
        <v>148.69</v>
      </c>
      <c r="G26" s="206">
        <f>9106.7+9002.05</f>
        <v>18108.75</v>
      </c>
      <c r="H26" s="206">
        <f>G26/1085.083</f>
        <v>16.688815509965597</v>
      </c>
      <c r="I26" s="89">
        <v>1</v>
      </c>
      <c r="J26" s="80">
        <v>111.34</v>
      </c>
      <c r="K26" s="206">
        <f>4924.6+1581</f>
        <v>6505.6</v>
      </c>
      <c r="L26" s="206">
        <f>K26/906</f>
        <v>7.1805739514348792</v>
      </c>
      <c r="M26" s="92">
        <v>1</v>
      </c>
      <c r="N26" s="6">
        <v>148.13</v>
      </c>
      <c r="O26" s="206">
        <f>7027.6+3724.8</f>
        <v>10752.400000000001</v>
      </c>
      <c r="P26" s="206">
        <f>O26/841.265</f>
        <v>12.781228269332495</v>
      </c>
      <c r="Q26" s="7">
        <f>N26/J27</f>
        <v>1</v>
      </c>
    </row>
    <row r="27" spans="1:17">
      <c r="A27" s="84" t="s">
        <v>3</v>
      </c>
      <c r="B27" s="81">
        <v>148.69</v>
      </c>
      <c r="C27" s="212"/>
      <c r="D27" s="212"/>
      <c r="E27" s="93">
        <f>B27/B26</f>
        <v>1.0988028377180019</v>
      </c>
      <c r="F27" s="8">
        <v>180.73</v>
      </c>
      <c r="G27" s="212"/>
      <c r="H27" s="212"/>
      <c r="I27" s="167">
        <f>F27/F26</f>
        <v>1.2154818750420338</v>
      </c>
      <c r="J27" s="81">
        <v>148.13</v>
      </c>
      <c r="K27" s="212"/>
      <c r="L27" s="212"/>
      <c r="M27" s="93">
        <f>J27/J26</f>
        <v>1.3304293156098437</v>
      </c>
      <c r="N27" s="8">
        <v>172.62</v>
      </c>
      <c r="O27" s="212"/>
      <c r="P27" s="212"/>
      <c r="Q27" s="9">
        <f>N27/N26</f>
        <v>1.1653277526496997</v>
      </c>
    </row>
    <row r="28" spans="1:17">
      <c r="A28" s="158" t="s">
        <v>17</v>
      </c>
      <c r="B28" s="154">
        <f>C26</f>
        <v>9809.6</v>
      </c>
      <c r="C28" s="36"/>
      <c r="D28" s="36"/>
      <c r="E28" s="162"/>
      <c r="F28" s="168">
        <f>G26</f>
        <v>18108.75</v>
      </c>
      <c r="G28" s="36"/>
      <c r="H28" s="36"/>
      <c r="I28" s="169"/>
      <c r="J28" s="154">
        <f>K26</f>
        <v>6505.6</v>
      </c>
      <c r="K28" s="36"/>
      <c r="L28" s="36"/>
      <c r="M28" s="162"/>
      <c r="N28" s="168">
        <f>O26</f>
        <v>10752.400000000001</v>
      </c>
      <c r="O28" s="36"/>
      <c r="P28" s="36"/>
      <c r="Q28" s="37"/>
    </row>
    <row r="29" spans="1:17" ht="25.5">
      <c r="A29" s="143" t="s">
        <v>19</v>
      </c>
      <c r="B29" s="121">
        <f>D26</f>
        <v>8.7789039972937335</v>
      </c>
      <c r="C29" s="10"/>
      <c r="D29" s="10"/>
      <c r="E29" s="112"/>
      <c r="F29" s="105">
        <f>H26</f>
        <v>16.688815509965597</v>
      </c>
      <c r="G29" s="10"/>
      <c r="H29" s="12"/>
      <c r="I29" s="132"/>
      <c r="J29" s="121">
        <f>L26</f>
        <v>7.1805739514348792</v>
      </c>
      <c r="K29" s="10"/>
      <c r="L29" s="10"/>
      <c r="M29" s="95"/>
      <c r="N29" s="105">
        <f>P26</f>
        <v>12.781228269332495</v>
      </c>
      <c r="O29" s="10"/>
      <c r="P29" s="10"/>
      <c r="Q29" s="11"/>
    </row>
    <row r="30" spans="1:17">
      <c r="A30" s="144" t="s">
        <v>10</v>
      </c>
      <c r="B30" s="121">
        <f>2646.1/1117.406</f>
        <v>2.3680739140473563</v>
      </c>
      <c r="C30" s="10"/>
      <c r="D30" s="10"/>
      <c r="E30" s="112"/>
      <c r="F30" s="105">
        <f>9002.05/1085.083</f>
        <v>8.2961856374120675</v>
      </c>
      <c r="G30" s="10"/>
      <c r="H30" s="12"/>
      <c r="I30" s="132"/>
      <c r="J30" s="121">
        <f>1581/906</f>
        <v>1.7450331125827814</v>
      </c>
      <c r="K30" s="10"/>
      <c r="L30" s="10"/>
      <c r="M30" s="95"/>
      <c r="N30" s="105">
        <f>3724.8/841.265</f>
        <v>4.4276179325182916</v>
      </c>
      <c r="O30" s="10"/>
      <c r="P30" s="10"/>
      <c r="Q30" s="11"/>
    </row>
    <row r="31" spans="1:17">
      <c r="A31" s="159" t="s">
        <v>11</v>
      </c>
      <c r="B31" s="155">
        <f>7163.5/1117.406</f>
        <v>6.4108300832463767</v>
      </c>
      <c r="C31" s="57"/>
      <c r="D31" s="57"/>
      <c r="E31" s="163"/>
      <c r="F31" s="170">
        <f>9106.7/1085.083</f>
        <v>8.3926298725535275</v>
      </c>
      <c r="G31" s="57"/>
      <c r="H31" s="58"/>
      <c r="I31" s="171"/>
      <c r="J31" s="155">
        <f>4924.6/906</f>
        <v>5.4355408388520976</v>
      </c>
      <c r="K31" s="57"/>
      <c r="L31" s="57"/>
      <c r="M31" s="177"/>
      <c r="N31" s="170">
        <f>7027.6/841.265</f>
        <v>8.353610336814203</v>
      </c>
      <c r="O31" s="57"/>
      <c r="P31" s="57"/>
      <c r="Q31" s="59"/>
    </row>
    <row r="32" spans="1:17">
      <c r="A32" s="146" t="s">
        <v>18</v>
      </c>
      <c r="B32" s="123"/>
      <c r="C32" s="47"/>
      <c r="D32" s="47"/>
      <c r="E32" s="97"/>
      <c r="F32" s="107"/>
      <c r="G32" s="47"/>
      <c r="H32" s="47"/>
      <c r="I32" s="134"/>
      <c r="J32" s="123"/>
      <c r="K32" s="47"/>
      <c r="L32" s="47"/>
      <c r="M32" s="97"/>
      <c r="N32" s="107"/>
      <c r="O32" s="47"/>
      <c r="P32" s="61"/>
      <c r="Q32" s="49"/>
    </row>
    <row r="33" spans="1:17">
      <c r="A33" s="147" t="s">
        <v>2</v>
      </c>
      <c r="B33" s="124">
        <v>21.57</v>
      </c>
      <c r="C33" s="13"/>
      <c r="D33" s="13"/>
      <c r="E33" s="98">
        <f>E26</f>
        <v>1</v>
      </c>
      <c r="F33" s="19">
        <v>22.58</v>
      </c>
      <c r="G33" s="17"/>
      <c r="H33" s="17"/>
      <c r="I33" s="135">
        <v>1</v>
      </c>
      <c r="J33" s="124">
        <v>19.760000000000002</v>
      </c>
      <c r="K33" s="13"/>
      <c r="L33" s="13"/>
      <c r="M33" s="98">
        <f>M26</f>
        <v>1</v>
      </c>
      <c r="N33" s="16">
        <v>20.69</v>
      </c>
      <c r="O33" s="13"/>
      <c r="P33" s="28"/>
      <c r="Q33" s="15">
        <f>N33/J34</f>
        <v>1</v>
      </c>
    </row>
    <row r="34" spans="1:17">
      <c r="A34" s="148" t="s">
        <v>3</v>
      </c>
      <c r="B34" s="125">
        <v>22.58</v>
      </c>
      <c r="C34" s="17"/>
      <c r="D34" s="17"/>
      <c r="E34" s="98">
        <f>B34/B33</f>
        <v>1.0468242929995364</v>
      </c>
      <c r="F34" s="19">
        <v>29.81</v>
      </c>
      <c r="G34" s="17"/>
      <c r="H34" s="17"/>
      <c r="I34" s="135">
        <f>F34/F33</f>
        <v>1.3201948627103632</v>
      </c>
      <c r="J34" s="125">
        <v>20.69</v>
      </c>
      <c r="K34" s="17"/>
      <c r="L34" s="17"/>
      <c r="M34" s="98">
        <f>J34/J33</f>
        <v>1.0470647773279351</v>
      </c>
      <c r="N34" s="19">
        <v>27.31</v>
      </c>
      <c r="O34" s="17"/>
      <c r="P34" s="28"/>
      <c r="Q34" s="15">
        <f>N34/N33</f>
        <v>1.3199613339777669</v>
      </c>
    </row>
    <row r="35" spans="1:17">
      <c r="A35" s="160" t="s">
        <v>6</v>
      </c>
      <c r="B35" s="126">
        <v>847.44899999999996</v>
      </c>
      <c r="C35" s="20"/>
      <c r="D35" s="20"/>
      <c r="E35" s="99"/>
      <c r="F35" s="108">
        <v>843.28300000000002</v>
      </c>
      <c r="G35" s="20"/>
      <c r="H35" s="20"/>
      <c r="I35" s="172"/>
      <c r="J35" s="126">
        <v>718.1</v>
      </c>
      <c r="K35" s="20"/>
      <c r="L35" s="20"/>
      <c r="M35" s="99"/>
      <c r="N35" s="108">
        <v>629.66499999999996</v>
      </c>
      <c r="O35" s="21"/>
      <c r="P35" s="29"/>
      <c r="Q35" s="22"/>
    </row>
    <row r="36" spans="1:17">
      <c r="A36" s="150" t="s">
        <v>4</v>
      </c>
      <c r="B36" s="127">
        <v>101635</v>
      </c>
      <c r="C36" s="50"/>
      <c r="D36" s="50"/>
      <c r="E36" s="164"/>
      <c r="F36" s="109">
        <v>116807</v>
      </c>
      <c r="G36" s="50"/>
      <c r="H36" s="50"/>
      <c r="I36" s="173"/>
      <c r="J36" s="127">
        <f>(J26-J33)*J35/2+(J27-J34)*J35/2</f>
        <v>78639.130999999994</v>
      </c>
      <c r="K36" s="50"/>
      <c r="L36" s="50"/>
      <c r="M36" s="164"/>
      <c r="N36" s="109">
        <f>(N26-N33)*N35/2+(N27-N34)*N35/2</f>
        <v>85870.564374999987</v>
      </c>
      <c r="O36" s="50"/>
      <c r="P36" s="62"/>
      <c r="Q36" s="63"/>
    </row>
    <row r="37" spans="1:17">
      <c r="A37" s="151" t="s">
        <v>22</v>
      </c>
      <c r="B37" s="156"/>
      <c r="C37" s="45"/>
      <c r="D37" s="45"/>
      <c r="E37" s="165"/>
      <c r="F37" s="174"/>
      <c r="G37" s="45"/>
      <c r="H37" s="45"/>
      <c r="I37" s="175"/>
      <c r="J37" s="156"/>
      <c r="K37" s="45"/>
      <c r="L37" s="45"/>
      <c r="M37" s="165"/>
      <c r="N37" s="174"/>
      <c r="O37" s="45"/>
      <c r="P37" s="60"/>
      <c r="Q37" s="46"/>
    </row>
    <row r="38" spans="1:17">
      <c r="A38" s="152" t="s">
        <v>2</v>
      </c>
      <c r="B38" s="129">
        <f>B33*1.18</f>
        <v>25.4526</v>
      </c>
      <c r="C38" s="23"/>
      <c r="D38" s="23"/>
      <c r="E38" s="102">
        <v>1</v>
      </c>
      <c r="F38" s="27">
        <f>F33*1.18</f>
        <v>26.644399999999997</v>
      </c>
      <c r="G38" s="25"/>
      <c r="H38" s="25"/>
      <c r="I38" s="140">
        <v>1</v>
      </c>
      <c r="J38" s="129">
        <f>J33*1.18</f>
        <v>23.316800000000001</v>
      </c>
      <c r="K38" s="23"/>
      <c r="L38" s="23"/>
      <c r="M38" s="102">
        <v>1</v>
      </c>
      <c r="N38" s="27">
        <f>N33*1.18</f>
        <v>24.414200000000001</v>
      </c>
      <c r="O38" s="23"/>
      <c r="P38" s="30"/>
      <c r="Q38" s="24">
        <f>N38/J39</f>
        <v>1</v>
      </c>
    </row>
    <row r="39" spans="1:17">
      <c r="A39" s="153" t="s">
        <v>3</v>
      </c>
      <c r="B39" s="157">
        <f>B34*1.18</f>
        <v>26.644399999999997</v>
      </c>
      <c r="C39" s="65"/>
      <c r="D39" s="65"/>
      <c r="E39" s="166">
        <f>B39/B38</f>
        <v>1.0468242929995364</v>
      </c>
      <c r="F39" s="32">
        <f>F34*1.18</f>
        <v>35.175799999999995</v>
      </c>
      <c r="G39" s="33"/>
      <c r="H39" s="33"/>
      <c r="I39" s="176">
        <f>F39/F38</f>
        <v>1.320194862710363</v>
      </c>
      <c r="J39" s="157">
        <f>J34*1.18</f>
        <v>24.414200000000001</v>
      </c>
      <c r="K39" s="65"/>
      <c r="L39" s="65"/>
      <c r="M39" s="166">
        <f>J39/J38</f>
        <v>1.0470647773279353</v>
      </c>
      <c r="N39" s="64">
        <f>N34*1.18</f>
        <v>32.2258</v>
      </c>
      <c r="O39" s="65"/>
      <c r="P39" s="66"/>
      <c r="Q39" s="67">
        <f>N39/N38</f>
        <v>1.3199613339777669</v>
      </c>
    </row>
    <row r="40" spans="1:17" ht="66" customHeight="1">
      <c r="A40" s="191"/>
      <c r="B40" s="208" t="s">
        <v>8</v>
      </c>
      <c r="C40" s="209"/>
      <c r="D40" s="209"/>
      <c r="E40" s="210"/>
      <c r="F40" s="201" t="s">
        <v>21</v>
      </c>
      <c r="G40" s="202"/>
      <c r="H40" s="202"/>
      <c r="I40" s="203"/>
      <c r="J40" s="208" t="s">
        <v>8</v>
      </c>
      <c r="K40" s="209"/>
      <c r="L40" s="209"/>
      <c r="M40" s="210"/>
      <c r="N40" s="204" t="s">
        <v>21</v>
      </c>
      <c r="O40" s="202"/>
      <c r="P40" s="202"/>
      <c r="Q40" s="205"/>
    </row>
    <row r="41" spans="1:17">
      <c r="A41" s="82" t="s">
        <v>14</v>
      </c>
      <c r="B41" s="192"/>
      <c r="C41" s="69"/>
      <c r="D41" s="69"/>
      <c r="E41" s="183"/>
      <c r="F41" s="3"/>
      <c r="G41" s="4"/>
      <c r="H41" s="4"/>
      <c r="I41" s="88"/>
      <c r="J41" s="68"/>
      <c r="K41" s="69"/>
      <c r="L41" s="69"/>
      <c r="M41" s="184"/>
      <c r="N41" s="68"/>
      <c r="O41" s="69"/>
      <c r="P41" s="69"/>
      <c r="Q41" s="70"/>
    </row>
    <row r="42" spans="1:17">
      <c r="A42" s="83" t="s">
        <v>2</v>
      </c>
      <c r="B42" s="80">
        <v>38.76</v>
      </c>
      <c r="C42" s="206">
        <v>0</v>
      </c>
      <c r="D42" s="206">
        <v>0</v>
      </c>
      <c r="E42" s="92">
        <v>1</v>
      </c>
      <c r="F42" s="6">
        <v>88.56</v>
      </c>
      <c r="G42" s="206">
        <v>17500</v>
      </c>
      <c r="H42" s="206">
        <f>G42/1291.847</f>
        <v>13.54649583116267</v>
      </c>
      <c r="I42" s="89">
        <f>F42/B43</f>
        <v>2.1828937638649251</v>
      </c>
      <c r="J42" s="6">
        <v>26.12</v>
      </c>
      <c r="K42" s="206">
        <v>0</v>
      </c>
      <c r="L42" s="206">
        <v>0</v>
      </c>
      <c r="M42" s="89">
        <v>1</v>
      </c>
      <c r="N42" s="6">
        <v>29.35</v>
      </c>
      <c r="O42" s="206">
        <v>0</v>
      </c>
      <c r="P42" s="199">
        <v>0</v>
      </c>
      <c r="Q42" s="7">
        <f>N42/J43</f>
        <v>1.072733918128655</v>
      </c>
    </row>
    <row r="43" spans="1:17">
      <c r="A43" s="196" t="s">
        <v>3</v>
      </c>
      <c r="B43" s="193">
        <v>40.57</v>
      </c>
      <c r="C43" s="207"/>
      <c r="D43" s="207"/>
      <c r="E43" s="178">
        <f>B43/B42</f>
        <v>1.0466976264189887</v>
      </c>
      <c r="F43" s="71">
        <v>92.1</v>
      </c>
      <c r="G43" s="207"/>
      <c r="H43" s="207"/>
      <c r="I43" s="185">
        <f>F43/F42</f>
        <v>1.0399728997289972</v>
      </c>
      <c r="J43" s="71">
        <v>27.36</v>
      </c>
      <c r="K43" s="207"/>
      <c r="L43" s="207"/>
      <c r="M43" s="185">
        <f>J43/J42</f>
        <v>1.0474732006125573</v>
      </c>
      <c r="N43" s="71">
        <v>30.53</v>
      </c>
      <c r="O43" s="207"/>
      <c r="P43" s="200"/>
      <c r="Q43" s="72">
        <f>N43/N42</f>
        <v>1.0402044293015331</v>
      </c>
    </row>
    <row r="44" spans="1:17">
      <c r="A44" s="142" t="s">
        <v>17</v>
      </c>
      <c r="B44" s="120"/>
      <c r="C44" s="40"/>
      <c r="D44" s="40"/>
      <c r="E44" s="94"/>
      <c r="F44" s="104">
        <f>G42</f>
        <v>17500</v>
      </c>
      <c r="G44" s="40"/>
      <c r="H44" s="40"/>
      <c r="I44" s="186"/>
      <c r="J44" s="104"/>
      <c r="K44" s="40"/>
      <c r="L44" s="40"/>
      <c r="M44" s="186"/>
      <c r="N44" s="104"/>
      <c r="O44" s="40"/>
      <c r="P44" s="74"/>
      <c r="Q44" s="41"/>
    </row>
    <row r="45" spans="1:17" ht="25.5">
      <c r="A45" s="143" t="s">
        <v>19</v>
      </c>
      <c r="B45" s="121">
        <f>D42</f>
        <v>0</v>
      </c>
      <c r="C45" s="10"/>
      <c r="D45" s="10"/>
      <c r="E45" s="112"/>
      <c r="F45" s="105">
        <f>H42</f>
        <v>13.54649583116267</v>
      </c>
      <c r="G45" s="10"/>
      <c r="H45" s="12"/>
      <c r="I45" s="132"/>
      <c r="J45" s="105">
        <f>L42</f>
        <v>0</v>
      </c>
      <c r="K45" s="10"/>
      <c r="L45" s="10"/>
      <c r="M45" s="187"/>
      <c r="N45" s="105">
        <f>P42</f>
        <v>0</v>
      </c>
      <c r="O45" s="10"/>
      <c r="P45" s="10"/>
      <c r="Q45" s="11"/>
    </row>
    <row r="46" spans="1:17">
      <c r="A46" s="144" t="s">
        <v>10</v>
      </c>
      <c r="B46" s="121">
        <v>0</v>
      </c>
      <c r="C46" s="10"/>
      <c r="D46" s="10"/>
      <c r="E46" s="112"/>
      <c r="F46" s="105">
        <v>0</v>
      </c>
      <c r="G46" s="10"/>
      <c r="H46" s="12"/>
      <c r="I46" s="132"/>
      <c r="J46" s="105">
        <v>0</v>
      </c>
      <c r="K46" s="10"/>
      <c r="L46" s="10"/>
      <c r="M46" s="187"/>
      <c r="N46" s="105">
        <v>0</v>
      </c>
      <c r="O46" s="10"/>
      <c r="P46" s="10"/>
      <c r="Q46" s="11"/>
    </row>
    <row r="47" spans="1:17">
      <c r="A47" s="145" t="s">
        <v>11</v>
      </c>
      <c r="B47" s="122">
        <v>0</v>
      </c>
      <c r="C47" s="42"/>
      <c r="D47" s="42"/>
      <c r="E47" s="113"/>
      <c r="F47" s="106">
        <f>17500/1291.847</f>
        <v>13.54649583116267</v>
      </c>
      <c r="G47" s="42"/>
      <c r="H47" s="43"/>
      <c r="I47" s="133"/>
      <c r="J47" s="106">
        <v>0</v>
      </c>
      <c r="K47" s="42"/>
      <c r="L47" s="42"/>
      <c r="M47" s="188"/>
      <c r="N47" s="106">
        <v>0</v>
      </c>
      <c r="O47" s="42"/>
      <c r="P47" s="42"/>
      <c r="Q47" s="44"/>
    </row>
    <row r="48" spans="1:17" ht="28.5" customHeight="1">
      <c r="A48" s="197" t="s">
        <v>18</v>
      </c>
      <c r="B48" s="194"/>
      <c r="C48" s="38"/>
      <c r="D48" s="38"/>
      <c r="E48" s="179"/>
      <c r="F48" s="181"/>
      <c r="G48" s="38"/>
      <c r="H48" s="38"/>
      <c r="I48" s="189"/>
      <c r="J48" s="181"/>
      <c r="K48" s="38"/>
      <c r="L48" s="38"/>
      <c r="M48" s="189"/>
      <c r="N48" s="181"/>
      <c r="O48" s="38"/>
      <c r="P48" s="73"/>
      <c r="Q48" s="39"/>
    </row>
    <row r="49" spans="1:17">
      <c r="A49" s="147" t="s">
        <v>2</v>
      </c>
      <c r="B49" s="124">
        <v>21.57</v>
      </c>
      <c r="C49" s="13"/>
      <c r="D49" s="13"/>
      <c r="E49" s="98">
        <f>E42</f>
        <v>1</v>
      </c>
      <c r="F49" s="19">
        <v>22.58</v>
      </c>
      <c r="G49" s="17"/>
      <c r="H49" s="17"/>
      <c r="I49" s="135">
        <v>1</v>
      </c>
      <c r="J49" s="16">
        <v>19.760000000000002</v>
      </c>
      <c r="K49" s="13"/>
      <c r="L49" s="13"/>
      <c r="M49" s="135">
        <f>M42</f>
        <v>1</v>
      </c>
      <c r="N49" s="16">
        <v>20.69</v>
      </c>
      <c r="O49" s="13"/>
      <c r="P49" s="28"/>
      <c r="Q49" s="15">
        <f>N49/J50</f>
        <v>1</v>
      </c>
    </row>
    <row r="50" spans="1:17">
      <c r="A50" s="148" t="s">
        <v>3</v>
      </c>
      <c r="B50" s="125">
        <v>22.58</v>
      </c>
      <c r="C50" s="17"/>
      <c r="D50" s="17"/>
      <c r="E50" s="98">
        <f>B50/B49</f>
        <v>1.0468242929995364</v>
      </c>
      <c r="F50" s="19">
        <v>29.81</v>
      </c>
      <c r="G50" s="17"/>
      <c r="H50" s="17"/>
      <c r="I50" s="135">
        <f>F50/F49</f>
        <v>1.3201948627103632</v>
      </c>
      <c r="J50" s="19">
        <v>20.69</v>
      </c>
      <c r="K50" s="17"/>
      <c r="L50" s="17"/>
      <c r="M50" s="135">
        <f>J50/J49</f>
        <v>1.0470647773279351</v>
      </c>
      <c r="N50" s="19">
        <v>27.31</v>
      </c>
      <c r="O50" s="17"/>
      <c r="P50" s="28"/>
      <c r="Q50" s="15">
        <f>N50/N49</f>
        <v>1.3199613339777669</v>
      </c>
    </row>
    <row r="51" spans="1:17">
      <c r="A51" s="160" t="s">
        <v>6</v>
      </c>
      <c r="B51" s="126">
        <v>1249.7819999999999</v>
      </c>
      <c r="C51" s="20"/>
      <c r="D51" s="20"/>
      <c r="E51" s="99"/>
      <c r="F51" s="108">
        <v>1160.172</v>
      </c>
      <c r="G51" s="20"/>
      <c r="H51" s="20"/>
      <c r="I51" s="172"/>
      <c r="J51" s="108">
        <v>1194.27</v>
      </c>
      <c r="K51" s="20"/>
      <c r="L51" s="20"/>
      <c r="M51" s="172"/>
      <c r="N51" s="108">
        <v>1138.588</v>
      </c>
      <c r="O51" s="20"/>
      <c r="P51" s="20"/>
      <c r="Q51" s="31"/>
    </row>
    <row r="52" spans="1:17">
      <c r="A52" s="198" t="s">
        <v>4</v>
      </c>
      <c r="B52" s="195">
        <f>(B42-B49)*B51/2+(B43-B50)*B51/2</f>
        <v>21983.665379999999</v>
      </c>
      <c r="C52" s="75"/>
      <c r="D52" s="75"/>
      <c r="E52" s="180"/>
      <c r="F52" s="182">
        <f>(F42-F49)*F51/11.5*5.5+(F43-F50)*F51/11.5*6</f>
        <v>74314.565248695639</v>
      </c>
      <c r="G52" s="75"/>
      <c r="H52" s="75"/>
      <c r="I52" s="190"/>
      <c r="J52" s="182">
        <f>(J42-J49)*J51/2+(J43-J50)*J51/2</f>
        <v>7780.6690499999986</v>
      </c>
      <c r="K52" s="75"/>
      <c r="L52" s="75"/>
      <c r="M52" s="190"/>
      <c r="N52" s="182">
        <f>(N42-N49)*N51/11.5*5.5+(N43-N50)*N51/11.5*6</f>
        <v>6628.5623130434797</v>
      </c>
      <c r="O52" s="75"/>
      <c r="P52" s="76"/>
      <c r="Q52" s="77"/>
    </row>
    <row r="53" spans="1:17">
      <c r="A53" s="151" t="s">
        <v>22</v>
      </c>
      <c r="B53" s="128"/>
      <c r="C53" s="52"/>
      <c r="D53" s="52"/>
      <c r="E53" s="101"/>
      <c r="F53" s="110"/>
      <c r="G53" s="52"/>
      <c r="H53" s="52"/>
      <c r="I53" s="139"/>
      <c r="J53" s="110"/>
      <c r="K53" s="52"/>
      <c r="L53" s="52"/>
      <c r="M53" s="139"/>
      <c r="N53" s="110"/>
      <c r="O53" s="52"/>
      <c r="P53" s="78"/>
      <c r="Q53" s="54"/>
    </row>
    <row r="54" spans="1:17">
      <c r="A54" s="152" t="s">
        <v>2</v>
      </c>
      <c r="B54" s="129">
        <v>25.45</v>
      </c>
      <c r="C54" s="23"/>
      <c r="D54" s="23"/>
      <c r="E54" s="102">
        <v>1</v>
      </c>
      <c r="F54" s="27">
        <f>F49*1.18</f>
        <v>26.644399999999997</v>
      </c>
      <c r="G54" s="25"/>
      <c r="H54" s="25"/>
      <c r="I54" s="140">
        <v>1</v>
      </c>
      <c r="J54" s="27">
        <v>23.32</v>
      </c>
      <c r="K54" s="23"/>
      <c r="L54" s="23"/>
      <c r="M54" s="140">
        <v>1</v>
      </c>
      <c r="N54" s="27">
        <v>24.41</v>
      </c>
      <c r="O54" s="23"/>
      <c r="P54" s="30"/>
      <c r="Q54" s="24">
        <f>N54/J55</f>
        <v>1.012863070539419</v>
      </c>
    </row>
    <row r="55" spans="1:17">
      <c r="A55" s="153" t="s">
        <v>3</v>
      </c>
      <c r="B55" s="130">
        <v>26.64</v>
      </c>
      <c r="C55" s="33"/>
      <c r="D55" s="33"/>
      <c r="E55" s="103">
        <f>B55/B54</f>
        <v>1.0467583497053046</v>
      </c>
      <c r="F55" s="32">
        <v>35.18</v>
      </c>
      <c r="G55" s="33"/>
      <c r="H55" s="33"/>
      <c r="I55" s="176">
        <f>F55/F54</f>
        <v>1.320352494332768</v>
      </c>
      <c r="J55" s="32">
        <v>24.1</v>
      </c>
      <c r="K55" s="33"/>
      <c r="L55" s="33"/>
      <c r="M55" s="176">
        <f>J55/J54</f>
        <v>1.0334476843910807</v>
      </c>
      <c r="N55" s="32">
        <v>32.229999999999997</v>
      </c>
      <c r="O55" s="33"/>
      <c r="P55" s="34"/>
      <c r="Q55" s="35">
        <f>N55/N54</f>
        <v>1.3203605079885292</v>
      </c>
    </row>
    <row r="58" spans="1:17">
      <c r="A58" s="218" t="s">
        <v>9</v>
      </c>
      <c r="B58" s="218"/>
      <c r="C58" s="218"/>
      <c r="D58" s="218"/>
      <c r="E58" s="218"/>
      <c r="F58" s="218"/>
      <c r="G58" s="218"/>
      <c r="H58" s="218"/>
      <c r="I58" s="218"/>
      <c r="J58" s="218"/>
      <c r="K58" s="218"/>
      <c r="L58" s="218"/>
      <c r="M58" s="218"/>
      <c r="N58" s="218"/>
      <c r="O58" s="218"/>
      <c r="P58" s="218"/>
      <c r="Q58" s="218"/>
    </row>
  </sheetData>
  <mergeCells count="40">
    <mergeCell ref="A3:A4"/>
    <mergeCell ref="A58:Q58"/>
    <mergeCell ref="A1:Q1"/>
    <mergeCell ref="A2:P2"/>
    <mergeCell ref="C7:C9"/>
    <mergeCell ref="G7:G9"/>
    <mergeCell ref="K7:K9"/>
    <mergeCell ref="J3:Q3"/>
    <mergeCell ref="N4:Q4"/>
    <mergeCell ref="A5:Q5"/>
    <mergeCell ref="B3:I3"/>
    <mergeCell ref="F4:I4"/>
    <mergeCell ref="B4:E4"/>
    <mergeCell ref="J4:M4"/>
    <mergeCell ref="D7:D9"/>
    <mergeCell ref="L7:L9"/>
    <mergeCell ref="H6:H9"/>
    <mergeCell ref="O7:O9"/>
    <mergeCell ref="P7:P9"/>
    <mergeCell ref="D26:D27"/>
    <mergeCell ref="G26:G27"/>
    <mergeCell ref="H26:H27"/>
    <mergeCell ref="K26:K27"/>
    <mergeCell ref="A24:Q24"/>
    <mergeCell ref="L26:L27"/>
    <mergeCell ref="O26:O27"/>
    <mergeCell ref="P26:P27"/>
    <mergeCell ref="C26:C27"/>
    <mergeCell ref="P42:P43"/>
    <mergeCell ref="F40:I40"/>
    <mergeCell ref="N40:Q40"/>
    <mergeCell ref="C42:C43"/>
    <mergeCell ref="D42:D43"/>
    <mergeCell ref="G42:G43"/>
    <mergeCell ref="H42:H43"/>
    <mergeCell ref="K42:K43"/>
    <mergeCell ref="B40:E40"/>
    <mergeCell ref="J40:M40"/>
    <mergeCell ref="L42:L43"/>
    <mergeCell ref="O42:O43"/>
  </mergeCells>
  <printOptions horizontalCentered="1"/>
  <pageMargins left="0.78740157480314965" right="0.19685039370078741" top="0.98425196850393704" bottom="0.59055118110236227" header="0.31496062992125984" footer="0.31496062992125984"/>
  <pageSetup paperSize="9" scale="71" orientation="portrait" r:id="rId1"/>
  <headerFooter>
    <oddHeader>&amp;R
&amp;"Times New Roman,обычный"Приложение 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 Татьяна Юрьевна</dc:creator>
  <cp:lastModifiedBy>Цуркан</cp:lastModifiedBy>
  <cp:lastPrinted>2017-01-19T08:35:45Z</cp:lastPrinted>
  <dcterms:created xsi:type="dcterms:W3CDTF">2016-12-11T14:41:20Z</dcterms:created>
  <dcterms:modified xsi:type="dcterms:W3CDTF">2017-01-24T06:44:54Z</dcterms:modified>
</cp:coreProperties>
</file>