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5" yWindow="45" windowWidth="14865" windowHeight="11100" firstSheet="6" activeTab="6"/>
  </bookViews>
  <sheets>
    <sheet name="Лист2" sheetId="2" state="hidden" r:id="rId1"/>
    <sheet name="количество" sheetId="3" state="hidden" r:id="rId2"/>
    <sheet name="по МО" sheetId="4" state="hidden" r:id="rId3"/>
    <sheet name="архангельск" sheetId="5" state="hidden" r:id="rId4"/>
    <sheet name="Северодвинск" sheetId="6" state="hidden" r:id="rId5"/>
    <sheet name="ГВС" sheetId="7" state="hidden" r:id="rId6"/>
    <sheet name="Горячая вода" sheetId="1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6">'Горячая вода'!$A$1:$L$25</definedName>
  </definedNames>
  <calcPr calcId="125725"/>
</workbook>
</file>

<file path=xl/calcChain.xml><?xml version="1.0" encoding="utf-8"?>
<calcChain xmlns="http://schemas.openxmlformats.org/spreadsheetml/2006/main">
  <c r="G23" i="11"/>
  <c r="H14" l="1"/>
  <c r="F14"/>
  <c r="G17"/>
  <c r="F17"/>
  <c r="H17"/>
  <c r="H16"/>
  <c r="F16"/>
  <c r="E6" l="1"/>
  <c r="V9" i="4" l="1"/>
  <c r="V10"/>
  <c r="V11"/>
  <c r="V12"/>
  <c r="V13"/>
  <c r="V14"/>
  <c r="V15"/>
  <c r="V16"/>
  <c r="V17"/>
  <c r="V19"/>
  <c r="V20"/>
  <c r="V21"/>
  <c r="V22"/>
  <c r="V23"/>
  <c r="V25"/>
  <c r="V26"/>
  <c r="V27"/>
  <c r="V29"/>
  <c r="V30"/>
  <c r="V31"/>
  <c r="V33"/>
  <c r="V34"/>
  <c r="V35"/>
  <c r="V36"/>
  <c r="V37"/>
  <c r="V38"/>
  <c r="V39"/>
  <c r="V41"/>
  <c r="V42"/>
  <c r="V43"/>
  <c r="V46"/>
  <c r="V47"/>
  <c r="V48"/>
  <c r="V49"/>
  <c r="V50"/>
  <c r="V51"/>
  <c r="V52"/>
  <c r="V53"/>
  <c r="V54"/>
  <c r="V55"/>
  <c r="V57"/>
  <c r="V58"/>
  <c r="V59"/>
  <c r="V60"/>
  <c r="V62"/>
  <c r="V63"/>
  <c r="V64"/>
  <c r="V65"/>
  <c r="V66"/>
  <c r="V68"/>
  <c r="V69"/>
  <c r="V70"/>
  <c r="V71"/>
  <c r="V72"/>
  <c r="V73"/>
  <c r="V74"/>
  <c r="V75"/>
  <c r="V76"/>
  <c r="V77"/>
  <c r="V78"/>
  <c r="V79"/>
  <c r="V80"/>
  <c r="V81"/>
  <c r="V82"/>
  <c r="V84"/>
  <c r="V85"/>
  <c r="V86"/>
  <c r="V87"/>
  <c r="V88"/>
  <c r="V89"/>
  <c r="V90"/>
  <c r="V91"/>
  <c r="V93"/>
  <c r="V94"/>
  <c r="V95"/>
  <c r="V96"/>
  <c r="V97"/>
  <c r="V98"/>
  <c r="V99"/>
  <c r="V100"/>
  <c r="V101"/>
  <c r="V102"/>
  <c r="V103"/>
  <c r="V104"/>
  <c r="V106"/>
  <c r="V107"/>
  <c r="V108"/>
  <c r="V109"/>
  <c r="V110"/>
  <c r="V111"/>
  <c r="V112"/>
  <c r="V113"/>
  <c r="V114"/>
  <c r="V115"/>
  <c r="V117"/>
  <c r="V118"/>
  <c r="V119"/>
  <c r="V120"/>
  <c r="V121"/>
  <c r="V122"/>
  <c r="V123"/>
  <c r="V124"/>
  <c r="V125"/>
  <c r="V127"/>
  <c r="V128"/>
  <c r="V129"/>
  <c r="V130"/>
  <c r="V131"/>
  <c r="V133"/>
  <c r="V135"/>
  <c r="V136"/>
  <c r="V138"/>
  <c r="V139"/>
  <c r="V140"/>
  <c r="V141"/>
  <c r="V142"/>
  <c r="V143"/>
  <c r="V145"/>
  <c r="V146"/>
  <c r="V147"/>
  <c r="V148"/>
  <c r="V149"/>
  <c r="V150"/>
  <c r="V152"/>
  <c r="V153"/>
  <c r="V154"/>
  <c r="V155"/>
  <c r="V156"/>
  <c r="V157"/>
  <c r="V158"/>
  <c r="V160"/>
  <c r="V161"/>
  <c r="V162"/>
  <c r="V163"/>
  <c r="V164"/>
  <c r="V165"/>
  <c r="V166"/>
  <c r="V167"/>
  <c r="V168"/>
  <c r="V169"/>
  <c r="V170"/>
  <c r="V171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20"/>
  <c r="V221"/>
  <c r="V222"/>
  <c r="V223"/>
  <c r="V224"/>
  <c r="V225"/>
  <c r="V226"/>
  <c r="V228"/>
  <c r="V229"/>
  <c r="V230"/>
  <c r="V232"/>
  <c r="V233"/>
  <c r="V234"/>
  <c r="V235"/>
  <c r="V236"/>
  <c r="V237"/>
  <c r="V238"/>
  <c r="V239"/>
  <c r="V240"/>
  <c r="V242"/>
  <c r="V243"/>
  <c r="V244"/>
  <c r="V245"/>
  <c r="V246"/>
  <c r="V247"/>
  <c r="V248"/>
  <c r="V249"/>
  <c r="V250"/>
  <c r="V251"/>
  <c r="V253"/>
  <c r="V254"/>
  <c r="V255"/>
  <c r="V256"/>
  <c r="V257"/>
  <c r="V258"/>
  <c r="V259"/>
  <c r="V260"/>
  <c r="V261"/>
  <c r="V262"/>
  <c r="V263"/>
  <c r="V264"/>
  <c r="V266"/>
  <c r="V267"/>
  <c r="V268"/>
  <c r="V269"/>
  <c r="V270"/>
  <c r="V271"/>
  <c r="V273"/>
  <c r="V274"/>
  <c r="V275"/>
  <c r="V276"/>
  <c r="V278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2"/>
  <c r="V303"/>
  <c r="V304"/>
  <c r="V305"/>
  <c r="V307"/>
  <c r="V308"/>
  <c r="V309"/>
  <c r="V310"/>
  <c r="V311"/>
  <c r="V313"/>
  <c r="V314"/>
  <c r="V315"/>
  <c r="V316"/>
  <c r="V317"/>
  <c r="V318"/>
  <c r="V319"/>
  <c r="V320"/>
  <c r="V321"/>
  <c r="V322"/>
  <c r="V324"/>
  <c r="V325"/>
  <c r="V326"/>
  <c r="V327"/>
  <c r="V328"/>
  <c r="V329"/>
  <c r="V331"/>
  <c r="V332"/>
  <c r="V333"/>
  <c r="V334"/>
  <c r="V335"/>
  <c r="V336"/>
  <c r="V337"/>
  <c r="V338"/>
  <c r="V339"/>
  <c r="V340"/>
  <c r="V341"/>
  <c r="V342"/>
  <c r="V344"/>
  <c r="V345"/>
  <c r="V346"/>
  <c r="V347"/>
  <c r="V348"/>
  <c r="V349"/>
  <c r="V350"/>
  <c r="V351"/>
  <c r="V352"/>
  <c r="V353"/>
  <c r="V354"/>
  <c r="V356"/>
  <c r="V357"/>
  <c r="V358"/>
  <c r="V359"/>
  <c r="K69" i="7" l="1"/>
  <c r="I69"/>
  <c r="H69"/>
  <c r="J69" s="1"/>
  <c r="K68" l="1"/>
  <c r="I68"/>
  <c r="H68"/>
  <c r="J68" s="1"/>
  <c r="I73" l="1"/>
  <c r="K73" s="1"/>
  <c r="H73"/>
  <c r="I72"/>
  <c r="K72" s="1"/>
  <c r="H72"/>
  <c r="B72" l="1"/>
  <c r="D72" s="1"/>
  <c r="F72" s="1"/>
  <c r="J72"/>
  <c r="L72" s="1"/>
  <c r="M72"/>
  <c r="O72" s="1"/>
  <c r="Q72" s="1"/>
  <c r="K75"/>
  <c r="I75"/>
  <c r="H75"/>
  <c r="J117" l="1"/>
  <c r="J52"/>
  <c r="H11"/>
  <c r="J11" s="1"/>
  <c r="B20"/>
  <c r="C20" s="1"/>
  <c r="D20"/>
  <c r="E20" s="1"/>
  <c r="M20"/>
  <c r="N20" s="1"/>
  <c r="O20"/>
  <c r="P20" s="1"/>
  <c r="H41"/>
  <c r="J41" s="1"/>
  <c r="H39"/>
  <c r="J39" s="1"/>
  <c r="H38"/>
  <c r="J38" s="1"/>
  <c r="H82"/>
  <c r="J82" s="1"/>
  <c r="H81"/>
  <c r="J81" s="1"/>
  <c r="Q20" l="1"/>
  <c r="F20"/>
  <c r="I116"/>
  <c r="K116" l="1"/>
  <c r="H116"/>
  <c r="M123"/>
  <c r="O123" s="1"/>
  <c r="Q123" s="1"/>
  <c r="B123"/>
  <c r="D123" s="1"/>
  <c r="F123" s="1"/>
  <c r="B122"/>
  <c r="D122" s="1"/>
  <c r="F122" s="1"/>
  <c r="M121"/>
  <c r="O121" s="1"/>
  <c r="Q121" s="1"/>
  <c r="D121"/>
  <c r="M120"/>
  <c r="O120" s="1"/>
  <c r="B120"/>
  <c r="D120" s="1"/>
  <c r="M118"/>
  <c r="O118" s="1"/>
  <c r="Q118" s="1"/>
  <c r="L118"/>
  <c r="H118"/>
  <c r="J118" s="1"/>
  <c r="B118"/>
  <c r="D118" s="1"/>
  <c r="F118" s="1"/>
  <c r="M117"/>
  <c r="O117" s="1"/>
  <c r="Q117" s="1"/>
  <c r="L117"/>
  <c r="J116"/>
  <c r="B117"/>
  <c r="D117" s="1"/>
  <c r="F117" s="1"/>
  <c r="J114"/>
  <c r="L114" s="1"/>
  <c r="H113"/>
  <c r="J113" s="1"/>
  <c r="L113" s="1"/>
  <c r="H112"/>
  <c r="J112" s="1"/>
  <c r="L112" s="1"/>
  <c r="B112"/>
  <c r="D112" s="1"/>
  <c r="F112" s="1"/>
  <c r="M111"/>
  <c r="O111" s="1"/>
  <c r="Q111" s="1"/>
  <c r="J111"/>
  <c r="L111" s="1"/>
  <c r="D111"/>
  <c r="B111"/>
  <c r="M110"/>
  <c r="O110" s="1"/>
  <c r="Q110" s="1"/>
  <c r="J110"/>
  <c r="L110" s="1"/>
  <c r="B110"/>
  <c r="D110" s="1"/>
  <c r="F110" s="1"/>
  <c r="M109"/>
  <c r="O109" s="1"/>
  <c r="J109"/>
  <c r="L109" s="1"/>
  <c r="B109"/>
  <c r="D109" s="1"/>
  <c r="M107"/>
  <c r="O107" s="1"/>
  <c r="Q107" s="1"/>
  <c r="M106"/>
  <c r="O106" s="1"/>
  <c r="Q106" s="1"/>
  <c r="M104"/>
  <c r="O104" s="1"/>
  <c r="Q104" s="1"/>
  <c r="M102"/>
  <c r="O102" s="1"/>
  <c r="Q102" s="1"/>
  <c r="H102"/>
  <c r="J102" s="1"/>
  <c r="L102" s="1"/>
  <c r="B102"/>
  <c r="D102" s="1"/>
  <c r="F102" s="1"/>
  <c r="B101"/>
  <c r="D101" s="1"/>
  <c r="F101" s="1"/>
  <c r="M100"/>
  <c r="O100" s="1"/>
  <c r="Q100" s="1"/>
  <c r="M99"/>
  <c r="O99" s="1"/>
  <c r="M98"/>
  <c r="O98" s="1"/>
  <c r="Q98" s="1"/>
  <c r="M96"/>
  <c r="O96" s="1"/>
  <c r="Q96" s="1"/>
  <c r="L96"/>
  <c r="B96"/>
  <c r="D96" s="1"/>
  <c r="F96" s="1"/>
  <c r="L95"/>
  <c r="B95"/>
  <c r="D95" s="1"/>
  <c r="F95" s="1"/>
  <c r="M94"/>
  <c r="O94" s="1"/>
  <c r="Q94" s="1"/>
  <c r="L94"/>
  <c r="B94"/>
  <c r="D94" s="1"/>
  <c r="F94" s="1"/>
  <c r="M93"/>
  <c r="O93" s="1"/>
  <c r="Q93" s="1"/>
  <c r="L93"/>
  <c r="B93"/>
  <c r="D93" s="1"/>
  <c r="F93" s="1"/>
  <c r="M92"/>
  <c r="O92" s="1"/>
  <c r="L92"/>
  <c r="B92"/>
  <c r="D92" s="1"/>
  <c r="F92" s="1"/>
  <c r="H91"/>
  <c r="I91" s="1"/>
  <c r="L90"/>
  <c r="D90"/>
  <c r="B90"/>
  <c r="L89"/>
  <c r="B89"/>
  <c r="D89" s="1"/>
  <c r="F89" s="1"/>
  <c r="M88"/>
  <c r="O88" s="1"/>
  <c r="Q88" s="1"/>
  <c r="L88"/>
  <c r="B88"/>
  <c r="D88" s="1"/>
  <c r="M87"/>
  <c r="O87" s="1"/>
  <c r="H86"/>
  <c r="I86" s="1"/>
  <c r="M85"/>
  <c r="O85" s="1"/>
  <c r="Q85" s="1"/>
  <c r="B83"/>
  <c r="D83" s="1"/>
  <c r="F83" s="1"/>
  <c r="M82"/>
  <c r="O82" s="1"/>
  <c r="Q82" s="1"/>
  <c r="L82"/>
  <c r="B82"/>
  <c r="D82" s="1"/>
  <c r="F82" s="1"/>
  <c r="M81"/>
  <c r="O81" s="1"/>
  <c r="Q81" s="1"/>
  <c r="L81"/>
  <c r="B81"/>
  <c r="D81" s="1"/>
  <c r="F81" s="1"/>
  <c r="M80"/>
  <c r="O80" s="1"/>
  <c r="Q80" s="1"/>
  <c r="O76"/>
  <c r="P76" s="1"/>
  <c r="O74"/>
  <c r="P74" s="1"/>
  <c r="L75"/>
  <c r="J75"/>
  <c r="B75"/>
  <c r="D75" s="1"/>
  <c r="J73"/>
  <c r="L73" s="1"/>
  <c r="B73"/>
  <c r="D73" s="1"/>
  <c r="F73" s="1"/>
  <c r="B71"/>
  <c r="D71" s="1"/>
  <c r="F71" s="1"/>
  <c r="L69"/>
  <c r="B69"/>
  <c r="D69" s="1"/>
  <c r="F69" s="1"/>
  <c r="M68"/>
  <c r="O68" s="1"/>
  <c r="B68"/>
  <c r="D68" s="1"/>
  <c r="B65"/>
  <c r="D65" s="1"/>
  <c r="F65" s="1"/>
  <c r="D64"/>
  <c r="B64"/>
  <c r="O63"/>
  <c r="M63"/>
  <c r="D63"/>
  <c r="B63"/>
  <c r="O62"/>
  <c r="M62"/>
  <c r="D62"/>
  <c r="B62"/>
  <c r="O61"/>
  <c r="M61"/>
  <c r="D61"/>
  <c r="B61"/>
  <c r="M60"/>
  <c r="O60" s="1"/>
  <c r="Q60" s="1"/>
  <c r="B60"/>
  <c r="D60" s="1"/>
  <c r="F60" s="1"/>
  <c r="B59"/>
  <c r="D59" s="1"/>
  <c r="F59" s="1"/>
  <c r="H57"/>
  <c r="J57" s="1"/>
  <c r="L57" s="1"/>
  <c r="B57"/>
  <c r="D57" s="1"/>
  <c r="F57" s="1"/>
  <c r="H56"/>
  <c r="J56" s="1"/>
  <c r="B56"/>
  <c r="D56" s="1"/>
  <c r="F56" s="1"/>
  <c r="H54"/>
  <c r="B54"/>
  <c r="D54" s="1"/>
  <c r="M52"/>
  <c r="O52" s="1"/>
  <c r="Q52" s="1"/>
  <c r="B52"/>
  <c r="D52" s="1"/>
  <c r="F52" s="1"/>
  <c r="H50"/>
  <c r="J50" s="1"/>
  <c r="L50" s="1"/>
  <c r="B50"/>
  <c r="D50" s="1"/>
  <c r="F50" s="1"/>
  <c r="H49"/>
  <c r="J49" s="1"/>
  <c r="L49" s="1"/>
  <c r="B49"/>
  <c r="D49" s="1"/>
  <c r="F49" s="1"/>
  <c r="H48"/>
  <c r="J48" s="1"/>
  <c r="L48" s="1"/>
  <c r="B48"/>
  <c r="D48" s="1"/>
  <c r="F48" s="1"/>
  <c r="H47"/>
  <c r="J47" s="1"/>
  <c r="L47" s="1"/>
  <c r="B47"/>
  <c r="D47" s="1"/>
  <c r="F47" s="1"/>
  <c r="H46"/>
  <c r="J46" s="1"/>
  <c r="L46" s="1"/>
  <c r="B46"/>
  <c r="D46" s="1"/>
  <c r="F46" s="1"/>
  <c r="H45"/>
  <c r="J45" s="1"/>
  <c r="B45"/>
  <c r="D45" s="1"/>
  <c r="F45" s="1"/>
  <c r="H44"/>
  <c r="J44" s="1"/>
  <c r="L44" s="1"/>
  <c r="B44"/>
  <c r="D44" s="1"/>
  <c r="F44" s="1"/>
  <c r="M43"/>
  <c r="O43" s="1"/>
  <c r="Q43" s="1"/>
  <c r="H43"/>
  <c r="J43" s="1"/>
  <c r="L43" s="1"/>
  <c r="B43"/>
  <c r="D43" s="1"/>
  <c r="F43" s="1"/>
  <c r="M41"/>
  <c r="O41" s="1"/>
  <c r="Q41" s="1"/>
  <c r="L41"/>
  <c r="E41"/>
  <c r="D41"/>
  <c r="M40"/>
  <c r="O40" s="1"/>
  <c r="Q40" s="1"/>
  <c r="H40"/>
  <c r="J40" s="1"/>
  <c r="L40" s="1"/>
  <c r="B40"/>
  <c r="D40" s="1"/>
  <c r="F40" s="1"/>
  <c r="D39"/>
  <c r="F39" s="1"/>
  <c r="M38"/>
  <c r="O38" s="1"/>
  <c r="L38"/>
  <c r="D38"/>
  <c r="M36"/>
  <c r="O36" s="1"/>
  <c r="Q36" s="1"/>
  <c r="H36"/>
  <c r="J36" s="1"/>
  <c r="L36" s="1"/>
  <c r="B36"/>
  <c r="D36" s="1"/>
  <c r="F36" s="1"/>
  <c r="M35"/>
  <c r="O35" s="1"/>
  <c r="Q35" s="1"/>
  <c r="H35"/>
  <c r="J35" s="1"/>
  <c r="L35" s="1"/>
  <c r="B35"/>
  <c r="D35" s="1"/>
  <c r="F35" s="1"/>
  <c r="M34"/>
  <c r="O34" s="1"/>
  <c r="Q34" s="1"/>
  <c r="H34"/>
  <c r="J34" s="1"/>
  <c r="L34" s="1"/>
  <c r="B34"/>
  <c r="D34" s="1"/>
  <c r="F34" s="1"/>
  <c r="M33"/>
  <c r="O33" s="1"/>
  <c r="Q33" s="1"/>
  <c r="B33"/>
  <c r="D33" s="1"/>
  <c r="F33" s="1"/>
  <c r="B32"/>
  <c r="D32" s="1"/>
  <c r="F32" s="1"/>
  <c r="B31"/>
  <c r="D31" s="1"/>
  <c r="F31" s="1"/>
  <c r="M30"/>
  <c r="O30" s="1"/>
  <c r="H30"/>
  <c r="J30" s="1"/>
  <c r="L30" s="1"/>
  <c r="B30"/>
  <c r="D30" s="1"/>
  <c r="M28"/>
  <c r="O28" s="1"/>
  <c r="J28"/>
  <c r="L28" s="1"/>
  <c r="D28"/>
  <c r="F28" s="1"/>
  <c r="F27"/>
  <c r="O26"/>
  <c r="Q26" s="1"/>
  <c r="D26"/>
  <c r="F26" s="1"/>
  <c r="H25"/>
  <c r="I25" s="1"/>
  <c r="B25"/>
  <c r="C25" s="1"/>
  <c r="M24"/>
  <c r="O24" s="1"/>
  <c r="Q24" s="1"/>
  <c r="D24"/>
  <c r="F24" s="1"/>
  <c r="M23"/>
  <c r="O23" s="1"/>
  <c r="Q23" s="1"/>
  <c r="H23"/>
  <c r="J23" s="1"/>
  <c r="L23" s="1"/>
  <c r="B23"/>
  <c r="D23" s="1"/>
  <c r="F23" s="1"/>
  <c r="M22"/>
  <c r="O22" s="1"/>
  <c r="H22"/>
  <c r="J22" s="1"/>
  <c r="L22" s="1"/>
  <c r="B22"/>
  <c r="D22" s="1"/>
  <c r="M19"/>
  <c r="O19" s="1"/>
  <c r="Q19" s="1"/>
  <c r="B19"/>
  <c r="D19" s="1"/>
  <c r="F19" s="1"/>
  <c r="M18"/>
  <c r="O18" s="1"/>
  <c r="Q18" s="1"/>
  <c r="H18"/>
  <c r="J18" s="1"/>
  <c r="L18" s="1"/>
  <c r="B18"/>
  <c r="D18" s="1"/>
  <c r="F18" s="1"/>
  <c r="M17"/>
  <c r="O17" s="1"/>
  <c r="Q17" s="1"/>
  <c r="H17"/>
  <c r="J17" s="1"/>
  <c r="L17" s="1"/>
  <c r="B17"/>
  <c r="D17" s="1"/>
  <c r="F17" s="1"/>
  <c r="O16"/>
  <c r="B16"/>
  <c r="D16" s="1"/>
  <c r="F16" s="1"/>
  <c r="M15"/>
  <c r="O15" s="1"/>
  <c r="Q15" s="1"/>
  <c r="H15"/>
  <c r="J15" s="1"/>
  <c r="L15" s="1"/>
  <c r="B15"/>
  <c r="D15" s="1"/>
  <c r="F15" s="1"/>
  <c r="B14"/>
  <c r="D14" s="1"/>
  <c r="F14" s="1"/>
  <c r="M13"/>
  <c r="O13" s="1"/>
  <c r="Q13" s="1"/>
  <c r="H13"/>
  <c r="J13" s="1"/>
  <c r="L13" s="1"/>
  <c r="B13"/>
  <c r="D13" s="1"/>
  <c r="F13" s="1"/>
  <c r="B12"/>
  <c r="D12" s="1"/>
  <c r="F12" s="1"/>
  <c r="M11"/>
  <c r="O11" s="1"/>
  <c r="Q11" s="1"/>
  <c r="B11"/>
  <c r="D11" s="1"/>
  <c r="F11" s="1"/>
  <c r="M78" l="1"/>
  <c r="N78" s="1"/>
  <c r="M116"/>
  <c r="N116" s="1"/>
  <c r="H29"/>
  <c r="I29" s="1"/>
  <c r="M42"/>
  <c r="N42" s="1"/>
  <c r="B53"/>
  <c r="C53" s="1"/>
  <c r="H10"/>
  <c r="I10" s="1"/>
  <c r="H21"/>
  <c r="I21" s="1"/>
  <c r="B55"/>
  <c r="C55" s="1"/>
  <c r="B58"/>
  <c r="C58" s="1"/>
  <c r="H58"/>
  <c r="I58" s="1"/>
  <c r="H70"/>
  <c r="I70" s="1"/>
  <c r="B76"/>
  <c r="C76" s="1"/>
  <c r="M86"/>
  <c r="N86" s="1"/>
  <c r="F90"/>
  <c r="B97"/>
  <c r="C97" s="1"/>
  <c r="B21"/>
  <c r="C21" s="1"/>
  <c r="M21"/>
  <c r="N21" s="1"/>
  <c r="J25"/>
  <c r="K25" s="1"/>
  <c r="L25" s="1"/>
  <c r="M29"/>
  <c r="N29" s="1"/>
  <c r="M37"/>
  <c r="N37" s="1"/>
  <c r="H55"/>
  <c r="I55" s="1"/>
  <c r="M67"/>
  <c r="N67" s="1"/>
  <c r="J67"/>
  <c r="K67" s="1"/>
  <c r="B74"/>
  <c r="C74" s="1"/>
  <c r="B78"/>
  <c r="C78" s="1"/>
  <c r="H97"/>
  <c r="I97" s="1"/>
  <c r="B108"/>
  <c r="C108" s="1"/>
  <c r="L45"/>
  <c r="J42"/>
  <c r="K42" s="1"/>
  <c r="O51"/>
  <c r="P51" s="1"/>
  <c r="Q109"/>
  <c r="O108"/>
  <c r="P108" s="1"/>
  <c r="F120"/>
  <c r="D119"/>
  <c r="E119" s="1"/>
  <c r="J79"/>
  <c r="K79" s="1"/>
  <c r="J74"/>
  <c r="K74" s="1"/>
  <c r="B29"/>
  <c r="C29" s="1"/>
  <c r="B37"/>
  <c r="C37" s="1"/>
  <c r="H42"/>
  <c r="I42" s="1"/>
  <c r="B51"/>
  <c r="C51" s="1"/>
  <c r="M58"/>
  <c r="N58" s="1"/>
  <c r="F61"/>
  <c r="Q61"/>
  <c r="F62"/>
  <c r="Q62"/>
  <c r="F63"/>
  <c r="Q63"/>
  <c r="F64"/>
  <c r="B67"/>
  <c r="C67" s="1"/>
  <c r="J70"/>
  <c r="K70" s="1"/>
  <c r="H74"/>
  <c r="I74" s="1"/>
  <c r="M74"/>
  <c r="N74" s="1"/>
  <c r="Q74" s="1"/>
  <c r="M76"/>
  <c r="N76" s="1"/>
  <c r="Q76" s="1"/>
  <c r="B79"/>
  <c r="C79" s="1"/>
  <c r="M79"/>
  <c r="N79" s="1"/>
  <c r="B86"/>
  <c r="C86" s="1"/>
  <c r="J91"/>
  <c r="K91" s="1"/>
  <c r="L91" s="1"/>
  <c r="M97"/>
  <c r="N97" s="1"/>
  <c r="M108"/>
  <c r="N108" s="1"/>
  <c r="F111"/>
  <c r="B116"/>
  <c r="C116" s="1"/>
  <c r="L116"/>
  <c r="B119"/>
  <c r="C119" s="1"/>
  <c r="H119"/>
  <c r="I119" s="1"/>
  <c r="M119"/>
  <c r="N119" s="1"/>
  <c r="F22"/>
  <c r="D21"/>
  <c r="E21" s="1"/>
  <c r="F30"/>
  <c r="D29"/>
  <c r="E29" s="1"/>
  <c r="F38"/>
  <c r="D37"/>
  <c r="E37" s="1"/>
  <c r="J10"/>
  <c r="L11"/>
  <c r="Q22"/>
  <c r="O21"/>
  <c r="P21" s="1"/>
  <c r="O25"/>
  <c r="P25" s="1"/>
  <c r="Q28"/>
  <c r="Q30"/>
  <c r="O29"/>
  <c r="P29" s="1"/>
  <c r="Q38"/>
  <c r="O37"/>
  <c r="P37" s="1"/>
  <c r="F41"/>
  <c r="H51"/>
  <c r="I51" s="1"/>
  <c r="J54"/>
  <c r="J58"/>
  <c r="K58" s="1"/>
  <c r="O70"/>
  <c r="P70" s="1"/>
  <c r="F75"/>
  <c r="D74"/>
  <c r="E74" s="1"/>
  <c r="L68"/>
  <c r="L52"/>
  <c r="F54"/>
  <c r="D53"/>
  <c r="E53" s="1"/>
  <c r="L56"/>
  <c r="J55"/>
  <c r="K55" s="1"/>
  <c r="F68"/>
  <c r="D67"/>
  <c r="E67" s="1"/>
  <c r="Q68"/>
  <c r="O67"/>
  <c r="P67" s="1"/>
  <c r="D76"/>
  <c r="E76" s="1"/>
  <c r="D78"/>
  <c r="E78" s="1"/>
  <c r="O78"/>
  <c r="P78" s="1"/>
  <c r="B10"/>
  <c r="D10"/>
  <c r="M10"/>
  <c r="O10"/>
  <c r="J21"/>
  <c r="K21" s="1"/>
  <c r="D25"/>
  <c r="E25" s="1"/>
  <c r="F25" s="1"/>
  <c r="M25"/>
  <c r="N25" s="1"/>
  <c r="J29"/>
  <c r="K29" s="1"/>
  <c r="H37"/>
  <c r="J37"/>
  <c r="K37" s="1"/>
  <c r="B42"/>
  <c r="C42" s="1"/>
  <c r="D42"/>
  <c r="E42" s="1"/>
  <c r="O42"/>
  <c r="P42" s="1"/>
  <c r="D51"/>
  <c r="E51" s="1"/>
  <c r="M51"/>
  <c r="N51" s="1"/>
  <c r="H53"/>
  <c r="I53" s="1"/>
  <c r="F88"/>
  <c r="D86"/>
  <c r="E86" s="1"/>
  <c r="Q92"/>
  <c r="O91"/>
  <c r="P91" s="1"/>
  <c r="D97"/>
  <c r="E97" s="1"/>
  <c r="Q99"/>
  <c r="O97"/>
  <c r="P97" s="1"/>
  <c r="O115"/>
  <c r="P115" s="1"/>
  <c r="D116"/>
  <c r="E116" s="1"/>
  <c r="O116"/>
  <c r="P116" s="1"/>
  <c r="J119"/>
  <c r="K119" s="1"/>
  <c r="D79"/>
  <c r="E79" s="1"/>
  <c r="O79"/>
  <c r="P79" s="1"/>
  <c r="Q87"/>
  <c r="O86"/>
  <c r="P86" s="1"/>
  <c r="F109"/>
  <c r="D108"/>
  <c r="E108" s="1"/>
  <c r="O119"/>
  <c r="P119" s="1"/>
  <c r="Q120"/>
  <c r="D55"/>
  <c r="E55" s="1"/>
  <c r="D58"/>
  <c r="E58" s="1"/>
  <c r="O58"/>
  <c r="P58" s="1"/>
  <c r="B66"/>
  <c r="C66" s="1"/>
  <c r="D66"/>
  <c r="E66" s="1"/>
  <c r="M66"/>
  <c r="N66" s="1"/>
  <c r="O66"/>
  <c r="P66" s="1"/>
  <c r="H67"/>
  <c r="I67" s="1"/>
  <c r="B70"/>
  <c r="C70" s="1"/>
  <c r="D70"/>
  <c r="E70" s="1"/>
  <c r="M70"/>
  <c r="N70" s="1"/>
  <c r="H79"/>
  <c r="I79" s="1"/>
  <c r="J86"/>
  <c r="K86" s="1"/>
  <c r="L86" s="1"/>
  <c r="B91"/>
  <c r="C91" s="1"/>
  <c r="D91"/>
  <c r="E91" s="1"/>
  <c r="M91"/>
  <c r="N91" s="1"/>
  <c r="J97"/>
  <c r="K97" s="1"/>
  <c r="H108"/>
  <c r="I108" s="1"/>
  <c r="J108"/>
  <c r="K108" s="1"/>
  <c r="B115"/>
  <c r="C115" s="1"/>
  <c r="D115"/>
  <c r="E115" s="1"/>
  <c r="M115"/>
  <c r="N115" s="1"/>
  <c r="L55" l="1"/>
  <c r="F116"/>
  <c r="Q116"/>
  <c r="F79"/>
  <c r="Q51"/>
  <c r="L79"/>
  <c r="Q42"/>
  <c r="Q79"/>
  <c r="F108"/>
  <c r="Q86"/>
  <c r="Q97"/>
  <c r="F97"/>
  <c r="L21"/>
  <c r="Q29"/>
  <c r="F29"/>
  <c r="F51"/>
  <c r="L42"/>
  <c r="F67"/>
  <c r="L70"/>
  <c r="L97"/>
  <c r="L67"/>
  <c r="F86"/>
  <c r="L29"/>
  <c r="Q37"/>
  <c r="Q119"/>
  <c r="Q58"/>
  <c r="F55"/>
  <c r="L119"/>
  <c r="Q67"/>
  <c r="F53"/>
  <c r="F74"/>
  <c r="L58"/>
  <c r="F21"/>
  <c r="F58"/>
  <c r="F115"/>
  <c r="F91"/>
  <c r="F42"/>
  <c r="J51"/>
  <c r="K51" s="1"/>
  <c r="L51" s="1"/>
  <c r="F78"/>
  <c r="F76"/>
  <c r="Q21"/>
  <c r="L74"/>
  <c r="Q78"/>
  <c r="F37"/>
  <c r="F119"/>
  <c r="Q108"/>
  <c r="O9"/>
  <c r="P10"/>
  <c r="D9"/>
  <c r="E10"/>
  <c r="Q115"/>
  <c r="Q91"/>
  <c r="Q25"/>
  <c r="H9"/>
  <c r="I37"/>
  <c r="L37" s="1"/>
  <c r="M9"/>
  <c r="N10"/>
  <c r="B9"/>
  <c r="C10"/>
  <c r="L54"/>
  <c r="J53"/>
  <c r="K53" s="1"/>
  <c r="L53" s="1"/>
  <c r="K10"/>
  <c r="L10" s="1"/>
  <c r="L108"/>
  <c r="F70"/>
  <c r="Q66"/>
  <c r="F66"/>
  <c r="Q70"/>
  <c r="Q39" i="6"/>
  <c r="S39" s="1"/>
  <c r="U39" s="1"/>
  <c r="L39"/>
  <c r="N39" s="1"/>
  <c r="P39" s="1"/>
  <c r="G39"/>
  <c r="I39" s="1"/>
  <c r="K39" s="1"/>
  <c r="B39"/>
  <c r="D39" s="1"/>
  <c r="F39" s="1"/>
  <c r="U38"/>
  <c r="Q38"/>
  <c r="S38" s="1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B36"/>
  <c r="D36" s="1"/>
  <c r="F36" s="1"/>
  <c r="B35"/>
  <c r="D35" s="1"/>
  <c r="B34"/>
  <c r="D34" s="1"/>
  <c r="F34" s="1"/>
  <c r="Q33"/>
  <c r="S33" s="1"/>
  <c r="L33"/>
  <c r="N33" s="1"/>
  <c r="P33" s="1"/>
  <c r="G33"/>
  <c r="I33" s="1"/>
  <c r="B33"/>
  <c r="D33" s="1"/>
  <c r="F33" s="1"/>
  <c r="Q31"/>
  <c r="Q28" s="1"/>
  <c r="R28" s="1"/>
  <c r="L31"/>
  <c r="N31" s="1"/>
  <c r="I31"/>
  <c r="K31" s="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S26" s="1"/>
  <c r="L26"/>
  <c r="N26" s="1"/>
  <c r="P26" s="1"/>
  <c r="G26"/>
  <c r="I26" s="1"/>
  <c r="K26" s="1"/>
  <c r="B26"/>
  <c r="D26" s="1"/>
  <c r="F26" s="1"/>
  <c r="U25"/>
  <c r="Q25"/>
  <c r="S25" s="1"/>
  <c r="L25"/>
  <c r="N25" s="1"/>
  <c r="G25"/>
  <c r="I25" s="1"/>
  <c r="K25" s="1"/>
  <c r="B25"/>
  <c r="D25" s="1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D19" s="1"/>
  <c r="F19" s="1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L16" i="5"/>
  <c r="N16" s="1"/>
  <c r="P16" s="1"/>
  <c r="B16"/>
  <c r="D16" s="1"/>
  <c r="F16" s="1"/>
  <c r="U15"/>
  <c r="Q15"/>
  <c r="S15" s="1"/>
  <c r="L15"/>
  <c r="N15" s="1"/>
  <c r="P15" s="1"/>
  <c r="G15"/>
  <c r="I15" s="1"/>
  <c r="K15" s="1"/>
  <c r="B15"/>
  <c r="D15" s="1"/>
  <c r="F15" s="1"/>
  <c r="S14"/>
  <c r="L14"/>
  <c r="N14" s="1"/>
  <c r="P14" s="1"/>
  <c r="G14"/>
  <c r="I14" s="1"/>
  <c r="K14" s="1"/>
  <c r="B14"/>
  <c r="D14" s="1"/>
  <c r="F14" s="1"/>
  <c r="N13"/>
  <c r="B13"/>
  <c r="D13" s="1"/>
  <c r="F13" s="1"/>
  <c r="Q12"/>
  <c r="S12" s="1"/>
  <c r="U12" s="1"/>
  <c r="L12"/>
  <c r="N12" s="1"/>
  <c r="P12" s="1"/>
  <c r="G12"/>
  <c r="I12" s="1"/>
  <c r="K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B9"/>
  <c r="D9" s="1"/>
  <c r="F9" s="1"/>
  <c r="Q8"/>
  <c r="S8" s="1"/>
  <c r="L8"/>
  <c r="N8" s="1"/>
  <c r="P8" s="1"/>
  <c r="G8"/>
  <c r="I8" s="1"/>
  <c r="B8"/>
  <c r="D8" s="1"/>
  <c r="F8" s="1"/>
  <c r="Q193" i="4"/>
  <c r="S193" s="1"/>
  <c r="U193" s="1"/>
  <c r="L193"/>
  <c r="N193" s="1"/>
  <c r="P193" s="1"/>
  <c r="G193"/>
  <c r="I193" s="1"/>
  <c r="K193" s="1"/>
  <c r="B193"/>
  <c r="D193" s="1"/>
  <c r="F193" s="1"/>
  <c r="Q192"/>
  <c r="S192" s="1"/>
  <c r="U192" s="1"/>
  <c r="L192"/>
  <c r="N192" s="1"/>
  <c r="P192" s="1"/>
  <c r="G192"/>
  <c r="I192" s="1"/>
  <c r="K192" s="1"/>
  <c r="B192"/>
  <c r="D192" s="1"/>
  <c r="F192" s="1"/>
  <c r="Q191"/>
  <c r="S191" s="1"/>
  <c r="U191" s="1"/>
  <c r="L191"/>
  <c r="N191" s="1"/>
  <c r="P191" s="1"/>
  <c r="G191"/>
  <c r="I191" s="1"/>
  <c r="K191" s="1"/>
  <c r="B191"/>
  <c r="D191" s="1"/>
  <c r="F191" s="1"/>
  <c r="Q190"/>
  <c r="S190" s="1"/>
  <c r="U190" s="1"/>
  <c r="L190"/>
  <c r="N190" s="1"/>
  <c r="P190" s="1"/>
  <c r="G190"/>
  <c r="I190" s="1"/>
  <c r="K190" s="1"/>
  <c r="B190"/>
  <c r="D190" s="1"/>
  <c r="F190" s="1"/>
  <c r="U189"/>
  <c r="Q189"/>
  <c r="S189" s="1"/>
  <c r="L189"/>
  <c r="N189" s="1"/>
  <c r="P189" s="1"/>
  <c r="G189"/>
  <c r="I189" s="1"/>
  <c r="K189" s="1"/>
  <c r="B189"/>
  <c r="D189" s="1"/>
  <c r="F189" s="1"/>
  <c r="G188"/>
  <c r="I188" s="1"/>
  <c r="K188" s="1"/>
  <c r="B188"/>
  <c r="D188" s="1"/>
  <c r="F188" s="1"/>
  <c r="B187"/>
  <c r="D187" s="1"/>
  <c r="F187" s="1"/>
  <c r="G186"/>
  <c r="I186" s="1"/>
  <c r="K186" s="1"/>
  <c r="B186"/>
  <c r="D186" s="1"/>
  <c r="F186" s="1"/>
  <c r="G185"/>
  <c r="I185" s="1"/>
  <c r="K185" s="1"/>
  <c r="B185"/>
  <c r="D185" s="1"/>
  <c r="F185" s="1"/>
  <c r="Q184"/>
  <c r="S184" s="1"/>
  <c r="U184" s="1"/>
  <c r="L184"/>
  <c r="N184" s="1"/>
  <c r="P184" s="1"/>
  <c r="G184"/>
  <c r="I184" s="1"/>
  <c r="K184" s="1"/>
  <c r="B184"/>
  <c r="D184" s="1"/>
  <c r="F184" s="1"/>
  <c r="Q183"/>
  <c r="S183" s="1"/>
  <c r="U183" s="1"/>
  <c r="L183"/>
  <c r="N183" s="1"/>
  <c r="P183" s="1"/>
  <c r="G183"/>
  <c r="I183" s="1"/>
  <c r="K183" s="1"/>
  <c r="B183"/>
  <c r="D183" s="1"/>
  <c r="F183" s="1"/>
  <c r="Q182"/>
  <c r="S182" s="1"/>
  <c r="U182" s="1"/>
  <c r="L182"/>
  <c r="N182" s="1"/>
  <c r="P182" s="1"/>
  <c r="G182"/>
  <c r="I182" s="1"/>
  <c r="K182" s="1"/>
  <c r="B182"/>
  <c r="D182" s="1"/>
  <c r="F182" s="1"/>
  <c r="Q181"/>
  <c r="S181" s="1"/>
  <c r="U181" s="1"/>
  <c r="L181"/>
  <c r="N181" s="1"/>
  <c r="P181" s="1"/>
  <c r="G181"/>
  <c r="I181" s="1"/>
  <c r="K181" s="1"/>
  <c r="B181"/>
  <c r="D181" s="1"/>
  <c r="F181" s="1"/>
  <c r="Q180"/>
  <c r="S180" s="1"/>
  <c r="U180" s="1"/>
  <c r="L180"/>
  <c r="N180" s="1"/>
  <c r="P180" s="1"/>
  <c r="G180"/>
  <c r="I180" s="1"/>
  <c r="K180" s="1"/>
  <c r="B180"/>
  <c r="D180" s="1"/>
  <c r="F180" s="1"/>
  <c r="Q179"/>
  <c r="S179" s="1"/>
  <c r="U179" s="1"/>
  <c r="L179"/>
  <c r="N179" s="1"/>
  <c r="P179" s="1"/>
  <c r="G179"/>
  <c r="I179" s="1"/>
  <c r="K179" s="1"/>
  <c r="B179"/>
  <c r="D179" s="1"/>
  <c r="F179" s="1"/>
  <c r="Q178"/>
  <c r="S178" s="1"/>
  <c r="U178" s="1"/>
  <c r="L178"/>
  <c r="N178" s="1"/>
  <c r="P178" s="1"/>
  <c r="G178"/>
  <c r="I178" s="1"/>
  <c r="K178" s="1"/>
  <c r="B178"/>
  <c r="D178" s="1"/>
  <c r="F178" s="1"/>
  <c r="Q177"/>
  <c r="S177" s="1"/>
  <c r="U177" s="1"/>
  <c r="L177"/>
  <c r="N177" s="1"/>
  <c r="P177" s="1"/>
  <c r="G177"/>
  <c r="I177" s="1"/>
  <c r="K177" s="1"/>
  <c r="B177"/>
  <c r="D177" s="1"/>
  <c r="F177" s="1"/>
  <c r="Q176"/>
  <c r="S176" s="1"/>
  <c r="U176" s="1"/>
  <c r="L176"/>
  <c r="N176" s="1"/>
  <c r="P176" s="1"/>
  <c r="G176"/>
  <c r="I176" s="1"/>
  <c r="K176" s="1"/>
  <c r="B176"/>
  <c r="D176" s="1"/>
  <c r="F176" s="1"/>
  <c r="Q175"/>
  <c r="S175" s="1"/>
  <c r="U175" s="1"/>
  <c r="L175"/>
  <c r="N175" s="1"/>
  <c r="P175" s="1"/>
  <c r="G175"/>
  <c r="I175" s="1"/>
  <c r="K175" s="1"/>
  <c r="B175"/>
  <c r="D175" s="1"/>
  <c r="F175" s="1"/>
  <c r="U174"/>
  <c r="Q174"/>
  <c r="S174" s="1"/>
  <c r="L174"/>
  <c r="N174" s="1"/>
  <c r="P174" s="1"/>
  <c r="G174"/>
  <c r="I174" s="1"/>
  <c r="K174" s="1"/>
  <c r="B174"/>
  <c r="D174" s="1"/>
  <c r="F174" s="1"/>
  <c r="Q173"/>
  <c r="S173" s="1"/>
  <c r="L173"/>
  <c r="N173" s="1"/>
  <c r="G173"/>
  <c r="I173" s="1"/>
  <c r="B173"/>
  <c r="D173" s="1"/>
  <c r="G171"/>
  <c r="I171" s="1"/>
  <c r="K171" s="1"/>
  <c r="B171"/>
  <c r="D171" s="1"/>
  <c r="F171" s="1"/>
  <c r="G170"/>
  <c r="I170" s="1"/>
  <c r="K170" s="1"/>
  <c r="B170"/>
  <c r="D170" s="1"/>
  <c r="F170" s="1"/>
  <c r="Q169"/>
  <c r="S169" s="1"/>
  <c r="U169" s="1"/>
  <c r="L169"/>
  <c r="N169" s="1"/>
  <c r="P169" s="1"/>
  <c r="G169"/>
  <c r="I169" s="1"/>
  <c r="K169" s="1"/>
  <c r="B169"/>
  <c r="D169" s="1"/>
  <c r="F169" s="1"/>
  <c r="Q168"/>
  <c r="S168" s="1"/>
  <c r="U168" s="1"/>
  <c r="L168"/>
  <c r="N168" s="1"/>
  <c r="P168" s="1"/>
  <c r="G168"/>
  <c r="I168" s="1"/>
  <c r="K168" s="1"/>
  <c r="B168"/>
  <c r="D168" s="1"/>
  <c r="F168" s="1"/>
  <c r="Q167"/>
  <c r="S167" s="1"/>
  <c r="U167" s="1"/>
  <c r="L167"/>
  <c r="N167" s="1"/>
  <c r="G167"/>
  <c r="I167" s="1"/>
  <c r="K167" s="1"/>
  <c r="B167"/>
  <c r="D167" s="1"/>
  <c r="F167" s="1"/>
  <c r="G166"/>
  <c r="I166" s="1"/>
  <c r="K166" s="1"/>
  <c r="B166"/>
  <c r="D166" s="1"/>
  <c r="F166" s="1"/>
  <c r="G165"/>
  <c r="I165" s="1"/>
  <c r="K165" s="1"/>
  <c r="B165"/>
  <c r="D165" s="1"/>
  <c r="F165" s="1"/>
  <c r="G164"/>
  <c r="I164" s="1"/>
  <c r="K164" s="1"/>
  <c r="B164"/>
  <c r="D164" s="1"/>
  <c r="F164" s="1"/>
  <c r="Q163"/>
  <c r="S163" s="1"/>
  <c r="L163"/>
  <c r="N163" s="1"/>
  <c r="P163" s="1"/>
  <c r="G163"/>
  <c r="I163" s="1"/>
  <c r="K163" s="1"/>
  <c r="B163"/>
  <c r="D163" s="1"/>
  <c r="F163" s="1"/>
  <c r="G162"/>
  <c r="I162" s="1"/>
  <c r="B162"/>
  <c r="D162" s="1"/>
  <c r="F162" s="1"/>
  <c r="B161"/>
  <c r="D161" s="1"/>
  <c r="F161" s="1"/>
  <c r="G160"/>
  <c r="I160" s="1"/>
  <c r="K160" s="1"/>
  <c r="B160"/>
  <c r="D160" s="1"/>
  <c r="G158"/>
  <c r="I158" s="1"/>
  <c r="K158" s="1"/>
  <c r="B158"/>
  <c r="D158" s="1"/>
  <c r="F158" s="1"/>
  <c r="I157"/>
  <c r="G157"/>
  <c r="D157"/>
  <c r="B157"/>
  <c r="U156"/>
  <c r="Q156"/>
  <c r="S156" s="1"/>
  <c r="N156"/>
  <c r="L156"/>
  <c r="I156"/>
  <c r="G156"/>
  <c r="D156"/>
  <c r="B156"/>
  <c r="U155"/>
  <c r="S155"/>
  <c r="Q155"/>
  <c r="N155"/>
  <c r="L155"/>
  <c r="I155"/>
  <c r="G155"/>
  <c r="D155"/>
  <c r="B155"/>
  <c r="U154"/>
  <c r="S154"/>
  <c r="Q154"/>
  <c r="N154"/>
  <c r="L154"/>
  <c r="I154"/>
  <c r="G154"/>
  <c r="D154"/>
  <c r="B154"/>
  <c r="U153"/>
  <c r="S153"/>
  <c r="Q153"/>
  <c r="L153"/>
  <c r="N153" s="1"/>
  <c r="G153"/>
  <c r="I153" s="1"/>
  <c r="B153"/>
  <c r="D153" s="1"/>
  <c r="F153" s="1"/>
  <c r="I152"/>
  <c r="G152"/>
  <c r="B152"/>
  <c r="D152" s="1"/>
  <c r="U150"/>
  <c r="Q150"/>
  <c r="S150" s="1"/>
  <c r="P150"/>
  <c r="L150"/>
  <c r="N150" s="1"/>
  <c r="G150"/>
  <c r="I150" s="1"/>
  <c r="K150" s="1"/>
  <c r="B150"/>
  <c r="D150" s="1"/>
  <c r="F150" s="1"/>
  <c r="G149"/>
  <c r="I149" s="1"/>
  <c r="K149" s="1"/>
  <c r="B149"/>
  <c r="D149" s="1"/>
  <c r="F149" s="1"/>
  <c r="G148"/>
  <c r="I148" s="1"/>
  <c r="B148"/>
  <c r="D148" s="1"/>
  <c r="F148" s="1"/>
  <c r="G146"/>
  <c r="I146" s="1"/>
  <c r="K146" s="1"/>
  <c r="B146"/>
  <c r="D146" s="1"/>
  <c r="F146" s="1"/>
  <c r="K145"/>
  <c r="G145"/>
  <c r="I145" s="1"/>
  <c r="B145"/>
  <c r="D145" s="1"/>
  <c r="I143"/>
  <c r="K143" s="1"/>
  <c r="G142"/>
  <c r="I142" s="1"/>
  <c r="K142" s="1"/>
  <c r="G141"/>
  <c r="I141" s="1"/>
  <c r="B141"/>
  <c r="D141" s="1"/>
  <c r="F141" s="1"/>
  <c r="S140"/>
  <c r="U140" s="1"/>
  <c r="L140"/>
  <c r="N140" s="1"/>
  <c r="I140"/>
  <c r="K140" s="1"/>
  <c r="D140"/>
  <c r="B140"/>
  <c r="S139"/>
  <c r="U139" s="1"/>
  <c r="L139"/>
  <c r="N139" s="1"/>
  <c r="P139" s="1"/>
  <c r="I139"/>
  <c r="K139" s="1"/>
  <c r="B139"/>
  <c r="D139" s="1"/>
  <c r="F139" s="1"/>
  <c r="S138"/>
  <c r="U138" s="1"/>
  <c r="L138"/>
  <c r="N138" s="1"/>
  <c r="P138" s="1"/>
  <c r="I138"/>
  <c r="K138" s="1"/>
  <c r="B138"/>
  <c r="D138" s="1"/>
  <c r="Q137"/>
  <c r="R137" s="1"/>
  <c r="I120"/>
  <c r="K120" s="1"/>
  <c r="D120"/>
  <c r="B120"/>
  <c r="I119"/>
  <c r="K119" s="1"/>
  <c r="B119"/>
  <c r="Q118"/>
  <c r="S118" s="1"/>
  <c r="U118" s="1"/>
  <c r="L118"/>
  <c r="N118" s="1"/>
  <c r="I118"/>
  <c r="B118"/>
  <c r="D118" s="1"/>
  <c r="F118" s="1"/>
  <c r="Q117"/>
  <c r="S117" s="1"/>
  <c r="L117"/>
  <c r="N117" s="1"/>
  <c r="P117" s="1"/>
  <c r="G116"/>
  <c r="H116" s="1"/>
  <c r="S115"/>
  <c r="U115" s="1"/>
  <c r="L115"/>
  <c r="N115" s="1"/>
  <c r="P115" s="1"/>
  <c r="I115"/>
  <c r="K115" s="1"/>
  <c r="B115"/>
  <c r="D115" s="1"/>
  <c r="F115" s="1"/>
  <c r="S114"/>
  <c r="U114" s="1"/>
  <c r="L114"/>
  <c r="N114" s="1"/>
  <c r="P114" s="1"/>
  <c r="I114"/>
  <c r="K114" s="1"/>
  <c r="B114"/>
  <c r="D114" s="1"/>
  <c r="F114" s="1"/>
  <c r="I113"/>
  <c r="K113" s="1"/>
  <c r="B113"/>
  <c r="D113" s="1"/>
  <c r="F113" s="1"/>
  <c r="S112"/>
  <c r="U112" s="1"/>
  <c r="L112"/>
  <c r="N112" s="1"/>
  <c r="P112" s="1"/>
  <c r="I112"/>
  <c r="K112" s="1"/>
  <c r="B112"/>
  <c r="D112" s="1"/>
  <c r="F112" s="1"/>
  <c r="Q111"/>
  <c r="S111" s="1"/>
  <c r="I111"/>
  <c r="K111" s="1"/>
  <c r="B111"/>
  <c r="D111" s="1"/>
  <c r="F111" s="1"/>
  <c r="U110"/>
  <c r="Q110"/>
  <c r="S110" s="1"/>
  <c r="L110"/>
  <c r="N110" s="1"/>
  <c r="P110" s="1"/>
  <c r="G110"/>
  <c r="I110" s="1"/>
  <c r="B110"/>
  <c r="D110" s="1"/>
  <c r="F110" s="1"/>
  <c r="B109"/>
  <c r="D109" s="1"/>
  <c r="F109" s="1"/>
  <c r="S108"/>
  <c r="U108" s="1"/>
  <c r="L108"/>
  <c r="N108" s="1"/>
  <c r="P108" s="1"/>
  <c r="I108"/>
  <c r="K108" s="1"/>
  <c r="B108"/>
  <c r="D108" s="1"/>
  <c r="F108" s="1"/>
  <c r="L107"/>
  <c r="N107" s="1"/>
  <c r="P107" s="1"/>
  <c r="S106"/>
  <c r="U106" s="1"/>
  <c r="L106"/>
  <c r="N106" s="1"/>
  <c r="I106"/>
  <c r="K106" s="1"/>
  <c r="B106"/>
  <c r="G104"/>
  <c r="I104" s="1"/>
  <c r="K104" s="1"/>
  <c r="B104"/>
  <c r="D104" s="1"/>
  <c r="F104" s="1"/>
  <c r="G103"/>
  <c r="I103" s="1"/>
  <c r="K103" s="1"/>
  <c r="B103"/>
  <c r="D103" s="1"/>
  <c r="F103" s="1"/>
  <c r="B102"/>
  <c r="D102" s="1"/>
  <c r="F102" s="1"/>
  <c r="I101"/>
  <c r="K101" s="1"/>
  <c r="B101"/>
  <c r="D101" s="1"/>
  <c r="F101" s="1"/>
  <c r="G100"/>
  <c r="I100" s="1"/>
  <c r="K100" s="1"/>
  <c r="B100"/>
  <c r="D100" s="1"/>
  <c r="F100" s="1"/>
  <c r="G99"/>
  <c r="I99" s="1"/>
  <c r="K99" s="1"/>
  <c r="B99"/>
  <c r="D99" s="1"/>
  <c r="F99" s="1"/>
  <c r="T98"/>
  <c r="R98"/>
  <c r="Q98"/>
  <c r="S98" s="1"/>
  <c r="L98"/>
  <c r="N98" s="1"/>
  <c r="P98" s="1"/>
  <c r="J98"/>
  <c r="H98"/>
  <c r="G98"/>
  <c r="I98" s="1"/>
  <c r="B98"/>
  <c r="D98" s="1"/>
  <c r="F98" s="1"/>
  <c r="G97"/>
  <c r="I97" s="1"/>
  <c r="K97" s="1"/>
  <c r="B97"/>
  <c r="D97" s="1"/>
  <c r="F97" s="1"/>
  <c r="G96"/>
  <c r="I96" s="1"/>
  <c r="K96" s="1"/>
  <c r="B96"/>
  <c r="D96" s="1"/>
  <c r="F96" s="1"/>
  <c r="G95"/>
  <c r="I95" s="1"/>
  <c r="K95" s="1"/>
  <c r="B95"/>
  <c r="D95" s="1"/>
  <c r="F95" s="1"/>
  <c r="U94"/>
  <c r="Q94"/>
  <c r="L94"/>
  <c r="N94" s="1"/>
  <c r="G94"/>
  <c r="I94" s="1"/>
  <c r="B94"/>
  <c r="D94" s="1"/>
  <c r="F94" s="1"/>
  <c r="B93"/>
  <c r="D93" s="1"/>
  <c r="Q71"/>
  <c r="S71" s="1"/>
  <c r="L71"/>
  <c r="N71" s="1"/>
  <c r="P71" s="1"/>
  <c r="G71"/>
  <c r="I71" s="1"/>
  <c r="K71" s="1"/>
  <c r="B71"/>
  <c r="D71" s="1"/>
  <c r="F71" s="1"/>
  <c r="G70"/>
  <c r="I70" s="1"/>
  <c r="B70"/>
  <c r="D70" s="1"/>
  <c r="L69"/>
  <c r="N69" s="1"/>
  <c r="P69" s="1"/>
  <c r="G69"/>
  <c r="I69" s="1"/>
  <c r="K69" s="1"/>
  <c r="D69"/>
  <c r="Q68"/>
  <c r="S68" s="1"/>
  <c r="U68" s="1"/>
  <c r="L68"/>
  <c r="N68" s="1"/>
  <c r="B68"/>
  <c r="D68" s="1"/>
  <c r="F68" s="1"/>
  <c r="S66"/>
  <c r="U66" s="1"/>
  <c r="L66"/>
  <c r="N66" s="1"/>
  <c r="P66" s="1"/>
  <c r="I66"/>
  <c r="K66" s="1"/>
  <c r="B66"/>
  <c r="D66" s="1"/>
  <c r="F66" s="1"/>
  <c r="I65"/>
  <c r="K65" s="1"/>
  <c r="B65"/>
  <c r="D65" s="1"/>
  <c r="F65" s="1"/>
  <c r="S64"/>
  <c r="U64" s="1"/>
  <c r="L64"/>
  <c r="N64" s="1"/>
  <c r="P64" s="1"/>
  <c r="I64"/>
  <c r="K64" s="1"/>
  <c r="B64"/>
  <c r="D64" s="1"/>
  <c r="F64" s="1"/>
  <c r="S63"/>
  <c r="U63" s="1"/>
  <c r="L63"/>
  <c r="N63" s="1"/>
  <c r="P63" s="1"/>
  <c r="I63"/>
  <c r="K63" s="1"/>
  <c r="B63"/>
  <c r="D63" s="1"/>
  <c r="F63" s="1"/>
  <c r="S62"/>
  <c r="U62" s="1"/>
  <c r="L62"/>
  <c r="N62" s="1"/>
  <c r="I62"/>
  <c r="K62" s="1"/>
  <c r="B62"/>
  <c r="D62" s="1"/>
  <c r="Q61"/>
  <c r="R61" s="1"/>
  <c r="G61"/>
  <c r="H61" s="1"/>
  <c r="U41"/>
  <c r="U42"/>
  <c r="U43"/>
  <c r="U44"/>
  <c r="G60"/>
  <c r="I60" s="1"/>
  <c r="K60" s="1"/>
  <c r="B60"/>
  <c r="D60" s="1"/>
  <c r="F60" s="1"/>
  <c r="G59"/>
  <c r="I59" s="1"/>
  <c r="K59" s="1"/>
  <c r="B59"/>
  <c r="D59" s="1"/>
  <c r="F59" s="1"/>
  <c r="G58"/>
  <c r="I58" s="1"/>
  <c r="K58" s="1"/>
  <c r="B58"/>
  <c r="D58" s="1"/>
  <c r="U57"/>
  <c r="Q57"/>
  <c r="S57" s="1"/>
  <c r="P57"/>
  <c r="L57"/>
  <c r="N57" s="1"/>
  <c r="N56" s="1"/>
  <c r="O56" s="1"/>
  <c r="K57"/>
  <c r="G57"/>
  <c r="I57" s="1"/>
  <c r="B57"/>
  <c r="D57" s="1"/>
  <c r="F57" s="1"/>
  <c r="G55"/>
  <c r="I55" s="1"/>
  <c r="K55" s="1"/>
  <c r="B55"/>
  <c r="D55" s="1"/>
  <c r="F55" s="1"/>
  <c r="Q54"/>
  <c r="S54" s="1"/>
  <c r="L54"/>
  <c r="N54" s="1"/>
  <c r="P54" s="1"/>
  <c r="G54"/>
  <c r="I54" s="1"/>
  <c r="K54" s="1"/>
  <c r="B54"/>
  <c r="D54" s="1"/>
  <c r="F54" s="1"/>
  <c r="G53"/>
  <c r="I53" s="1"/>
  <c r="K53" s="1"/>
  <c r="B53"/>
  <c r="D53" s="1"/>
  <c r="F53" s="1"/>
  <c r="G52"/>
  <c r="I52" s="1"/>
  <c r="K52" s="1"/>
  <c r="B52"/>
  <c r="D52" s="1"/>
  <c r="F52" s="1"/>
  <c r="G51"/>
  <c r="I51" s="1"/>
  <c r="K51" s="1"/>
  <c r="B51"/>
  <c r="D51" s="1"/>
  <c r="F51" s="1"/>
  <c r="Q49"/>
  <c r="S49" s="1"/>
  <c r="L49"/>
  <c r="N49" s="1"/>
  <c r="G49"/>
  <c r="I49" s="1"/>
  <c r="K49" s="1"/>
  <c r="B49"/>
  <c r="D49" s="1"/>
  <c r="F49" s="1"/>
  <c r="G48"/>
  <c r="I48" s="1"/>
  <c r="K48" s="1"/>
  <c r="B48"/>
  <c r="D48" s="1"/>
  <c r="I47"/>
  <c r="T46"/>
  <c r="R46"/>
  <c r="Q46"/>
  <c r="S46" s="1"/>
  <c r="L46"/>
  <c r="N46" s="1"/>
  <c r="P46" s="1"/>
  <c r="J46"/>
  <c r="H46"/>
  <c r="G46"/>
  <c r="I46" s="1"/>
  <c r="B46"/>
  <c r="D46" s="1"/>
  <c r="F46" s="1"/>
  <c r="Q359"/>
  <c r="S359" s="1"/>
  <c r="L359"/>
  <c r="N359" s="1"/>
  <c r="G359"/>
  <c r="I359" s="1"/>
  <c r="K359" s="1"/>
  <c r="B359"/>
  <c r="D359" s="1"/>
  <c r="F359" s="1"/>
  <c r="G358"/>
  <c r="I358" s="1"/>
  <c r="B358"/>
  <c r="D358" s="1"/>
  <c r="L357"/>
  <c r="N357" s="1"/>
  <c r="P357" s="1"/>
  <c r="G357"/>
  <c r="I357" s="1"/>
  <c r="K357" s="1"/>
  <c r="D357"/>
  <c r="Q356"/>
  <c r="S356" s="1"/>
  <c r="U356" s="1"/>
  <c r="L356"/>
  <c r="N356" s="1"/>
  <c r="P356" s="1"/>
  <c r="B356"/>
  <c r="D356" s="1"/>
  <c r="F356" s="1"/>
  <c r="Q354"/>
  <c r="S354" s="1"/>
  <c r="U354" s="1"/>
  <c r="L354"/>
  <c r="N354" s="1"/>
  <c r="P354" s="1"/>
  <c r="K354"/>
  <c r="G354"/>
  <c r="I354" s="1"/>
  <c r="B354"/>
  <c r="D354" s="1"/>
  <c r="F354" s="1"/>
  <c r="K353"/>
  <c r="G353"/>
  <c r="I353" s="1"/>
  <c r="B353"/>
  <c r="D353" s="1"/>
  <c r="F353" s="1"/>
  <c r="K352"/>
  <c r="G352"/>
  <c r="I352" s="1"/>
  <c r="B352"/>
  <c r="D352" s="1"/>
  <c r="F352" s="1"/>
  <c r="Q351"/>
  <c r="S351" s="1"/>
  <c r="U351" s="1"/>
  <c r="L351"/>
  <c r="N351" s="1"/>
  <c r="P351" s="1"/>
  <c r="K351"/>
  <c r="G351"/>
  <c r="I351" s="1"/>
  <c r="B351"/>
  <c r="D351" s="1"/>
  <c r="F351" s="1"/>
  <c r="Q350"/>
  <c r="S350" s="1"/>
  <c r="U350" s="1"/>
  <c r="L350"/>
  <c r="N350" s="1"/>
  <c r="P350" s="1"/>
  <c r="K350"/>
  <c r="G350"/>
  <c r="I350" s="1"/>
  <c r="B350"/>
  <c r="D350" s="1"/>
  <c r="F350" s="1"/>
  <c r="K349"/>
  <c r="G349"/>
  <c r="I349" s="1"/>
  <c r="B349"/>
  <c r="D349" s="1"/>
  <c r="F349" s="1"/>
  <c r="K348"/>
  <c r="G348"/>
  <c r="I348" s="1"/>
  <c r="B348"/>
  <c r="D348" s="1"/>
  <c r="F348" s="1"/>
  <c r="Q347"/>
  <c r="S347" s="1"/>
  <c r="L347"/>
  <c r="N347" s="1"/>
  <c r="P347" s="1"/>
  <c r="K347"/>
  <c r="G347"/>
  <c r="I347" s="1"/>
  <c r="B347"/>
  <c r="D347" s="1"/>
  <c r="F347" s="1"/>
  <c r="K346"/>
  <c r="G346"/>
  <c r="I346" s="1"/>
  <c r="B346"/>
  <c r="D346" s="1"/>
  <c r="F346" s="1"/>
  <c r="K345"/>
  <c r="G345"/>
  <c r="I345" s="1"/>
  <c r="B345"/>
  <c r="D345" s="1"/>
  <c r="F345" s="1"/>
  <c r="K344"/>
  <c r="G344"/>
  <c r="I344" s="1"/>
  <c r="B344"/>
  <c r="G342"/>
  <c r="I342" s="1"/>
  <c r="K342" s="1"/>
  <c r="B342"/>
  <c r="D342" s="1"/>
  <c r="F342" s="1"/>
  <c r="G341"/>
  <c r="I341" s="1"/>
  <c r="K341" s="1"/>
  <c r="B341"/>
  <c r="D341" s="1"/>
  <c r="F341" s="1"/>
  <c r="Q340"/>
  <c r="S340" s="1"/>
  <c r="U340" s="1"/>
  <c r="L340"/>
  <c r="N340" s="1"/>
  <c r="P340" s="1"/>
  <c r="G340"/>
  <c r="I340" s="1"/>
  <c r="K340" s="1"/>
  <c r="B340"/>
  <c r="D340" s="1"/>
  <c r="F340" s="1"/>
  <c r="Q339"/>
  <c r="S339" s="1"/>
  <c r="U339" s="1"/>
  <c r="L339"/>
  <c r="N339" s="1"/>
  <c r="P339" s="1"/>
  <c r="G339"/>
  <c r="I339" s="1"/>
  <c r="K339" s="1"/>
  <c r="B339"/>
  <c r="D339" s="1"/>
  <c r="F339" s="1"/>
  <c r="Q338"/>
  <c r="S338" s="1"/>
  <c r="U338" s="1"/>
  <c r="L338"/>
  <c r="N338" s="1"/>
  <c r="P338" s="1"/>
  <c r="G338"/>
  <c r="I338" s="1"/>
  <c r="K338" s="1"/>
  <c r="B338"/>
  <c r="D338" s="1"/>
  <c r="F338" s="1"/>
  <c r="G337"/>
  <c r="I337" s="1"/>
  <c r="K337" s="1"/>
  <c r="B337"/>
  <c r="D337" s="1"/>
  <c r="F337" s="1"/>
  <c r="G336"/>
  <c r="I336" s="1"/>
  <c r="K336" s="1"/>
  <c r="B336"/>
  <c r="D336" s="1"/>
  <c r="F336" s="1"/>
  <c r="G335"/>
  <c r="I335" s="1"/>
  <c r="B335"/>
  <c r="D335" s="1"/>
  <c r="F335" s="1"/>
  <c r="Q334"/>
  <c r="S334" s="1"/>
  <c r="U334" s="1"/>
  <c r="L334"/>
  <c r="G334"/>
  <c r="I334" s="1"/>
  <c r="K334" s="1"/>
  <c r="B334"/>
  <c r="D334" s="1"/>
  <c r="F334" s="1"/>
  <c r="G333"/>
  <c r="I333" s="1"/>
  <c r="K333" s="1"/>
  <c r="B333"/>
  <c r="B332"/>
  <c r="D332" s="1"/>
  <c r="F332" s="1"/>
  <c r="G331"/>
  <c r="I331" s="1"/>
  <c r="K331" s="1"/>
  <c r="B331"/>
  <c r="D331" s="1"/>
  <c r="I329"/>
  <c r="K329" s="1"/>
  <c r="G328"/>
  <c r="G327"/>
  <c r="I327" s="1"/>
  <c r="B327"/>
  <c r="D327" s="1"/>
  <c r="F327" s="1"/>
  <c r="S326"/>
  <c r="U326" s="1"/>
  <c r="L326"/>
  <c r="N326" s="1"/>
  <c r="P326" s="1"/>
  <c r="I326"/>
  <c r="K326" s="1"/>
  <c r="D326"/>
  <c r="B326"/>
  <c r="S325"/>
  <c r="U325" s="1"/>
  <c r="L325"/>
  <c r="N325" s="1"/>
  <c r="P325" s="1"/>
  <c r="I325"/>
  <c r="K325" s="1"/>
  <c r="B325"/>
  <c r="D325" s="1"/>
  <c r="F325" s="1"/>
  <c r="S324"/>
  <c r="L324"/>
  <c r="N324" s="1"/>
  <c r="I324"/>
  <c r="K324" s="1"/>
  <c r="B324"/>
  <c r="D324" s="1"/>
  <c r="F324" s="1"/>
  <c r="Q323"/>
  <c r="R323" s="1"/>
  <c r="S322"/>
  <c r="U322" s="1"/>
  <c r="L322"/>
  <c r="N322" s="1"/>
  <c r="P322" s="1"/>
  <c r="I322"/>
  <c r="K322" s="1"/>
  <c r="B322"/>
  <c r="D322" s="1"/>
  <c r="F322" s="1"/>
  <c r="S321"/>
  <c r="U321" s="1"/>
  <c r="L321"/>
  <c r="N321" s="1"/>
  <c r="I321"/>
  <c r="K321" s="1"/>
  <c r="B321"/>
  <c r="D321" s="1"/>
  <c r="F321" s="1"/>
  <c r="I320"/>
  <c r="K320" s="1"/>
  <c r="B320"/>
  <c r="D320" s="1"/>
  <c r="F320" s="1"/>
  <c r="S319"/>
  <c r="U319" s="1"/>
  <c r="L319"/>
  <c r="N319" s="1"/>
  <c r="P319" s="1"/>
  <c r="I319"/>
  <c r="K319" s="1"/>
  <c r="B319"/>
  <c r="D319" s="1"/>
  <c r="F319" s="1"/>
  <c r="Q318"/>
  <c r="S318" s="1"/>
  <c r="I318"/>
  <c r="K318" s="1"/>
  <c r="B318"/>
  <c r="D318" s="1"/>
  <c r="F318" s="1"/>
  <c r="U317"/>
  <c r="Q317"/>
  <c r="S317" s="1"/>
  <c r="L317"/>
  <c r="N317" s="1"/>
  <c r="P317" s="1"/>
  <c r="G317"/>
  <c r="I317" s="1"/>
  <c r="K317" s="1"/>
  <c r="B317"/>
  <c r="D317" s="1"/>
  <c r="F317" s="1"/>
  <c r="B316"/>
  <c r="D316" s="1"/>
  <c r="S315"/>
  <c r="U315" s="1"/>
  <c r="L315"/>
  <c r="N315" s="1"/>
  <c r="P315" s="1"/>
  <c r="I315"/>
  <c r="B315"/>
  <c r="D315" s="1"/>
  <c r="F315" s="1"/>
  <c r="L314"/>
  <c r="N314" s="1"/>
  <c r="P314" s="1"/>
  <c r="S313"/>
  <c r="L313"/>
  <c r="N313" s="1"/>
  <c r="P313" s="1"/>
  <c r="I313"/>
  <c r="K313" s="1"/>
  <c r="B313"/>
  <c r="D313" s="1"/>
  <c r="F313" s="1"/>
  <c r="S311"/>
  <c r="U311" s="1"/>
  <c r="L311"/>
  <c r="N311" s="1"/>
  <c r="P311" s="1"/>
  <c r="I311"/>
  <c r="K311" s="1"/>
  <c r="B311"/>
  <c r="I310"/>
  <c r="K310" s="1"/>
  <c r="B310"/>
  <c r="D310" s="1"/>
  <c r="F310" s="1"/>
  <c r="S309"/>
  <c r="U309" s="1"/>
  <c r="L309"/>
  <c r="N309" s="1"/>
  <c r="P309" s="1"/>
  <c r="I309"/>
  <c r="K309" s="1"/>
  <c r="B309"/>
  <c r="D309" s="1"/>
  <c r="F309" s="1"/>
  <c r="S308"/>
  <c r="U308" s="1"/>
  <c r="L308"/>
  <c r="N308" s="1"/>
  <c r="P308" s="1"/>
  <c r="I308"/>
  <c r="K308" s="1"/>
  <c r="B308"/>
  <c r="D308" s="1"/>
  <c r="F308" s="1"/>
  <c r="S307"/>
  <c r="U307" s="1"/>
  <c r="L307"/>
  <c r="I307"/>
  <c r="K307" s="1"/>
  <c r="B307"/>
  <c r="D307" s="1"/>
  <c r="Q306"/>
  <c r="R306" s="1"/>
  <c r="G306"/>
  <c r="H306" s="1"/>
  <c r="I305"/>
  <c r="K305" s="1"/>
  <c r="D305"/>
  <c r="B305"/>
  <c r="I304"/>
  <c r="B304"/>
  <c r="D304" s="1"/>
  <c r="Q303"/>
  <c r="L303"/>
  <c r="N303" s="1"/>
  <c r="P303" s="1"/>
  <c r="I303"/>
  <c r="K303" s="1"/>
  <c r="B303"/>
  <c r="D303" s="1"/>
  <c r="F303" s="1"/>
  <c r="Q302"/>
  <c r="S302" s="1"/>
  <c r="L302"/>
  <c r="N302" s="1"/>
  <c r="P302" s="1"/>
  <c r="G301"/>
  <c r="H301" s="1"/>
  <c r="Q300"/>
  <c r="S300" s="1"/>
  <c r="U300" s="1"/>
  <c r="L300"/>
  <c r="N300" s="1"/>
  <c r="P300" s="1"/>
  <c r="G300"/>
  <c r="I300" s="1"/>
  <c r="K300" s="1"/>
  <c r="B300"/>
  <c r="D300" s="1"/>
  <c r="F300" s="1"/>
  <c r="Q299"/>
  <c r="S299" s="1"/>
  <c r="U299" s="1"/>
  <c r="L299"/>
  <c r="N299" s="1"/>
  <c r="P299" s="1"/>
  <c r="G299"/>
  <c r="I299" s="1"/>
  <c r="K299" s="1"/>
  <c r="B299"/>
  <c r="D299" s="1"/>
  <c r="F299" s="1"/>
  <c r="Q298"/>
  <c r="S298" s="1"/>
  <c r="U298" s="1"/>
  <c r="L298"/>
  <c r="N298" s="1"/>
  <c r="P298" s="1"/>
  <c r="G298"/>
  <c r="I298" s="1"/>
  <c r="K298" s="1"/>
  <c r="B298"/>
  <c r="D298" s="1"/>
  <c r="F298" s="1"/>
  <c r="Q297"/>
  <c r="S297" s="1"/>
  <c r="U297" s="1"/>
  <c r="L297"/>
  <c r="N297" s="1"/>
  <c r="P297" s="1"/>
  <c r="G297"/>
  <c r="I297" s="1"/>
  <c r="K297" s="1"/>
  <c r="B297"/>
  <c r="D297" s="1"/>
  <c r="F297" s="1"/>
  <c r="U296"/>
  <c r="Q296"/>
  <c r="S296" s="1"/>
  <c r="L296"/>
  <c r="G296"/>
  <c r="I296" s="1"/>
  <c r="K296" s="1"/>
  <c r="B296"/>
  <c r="D296" s="1"/>
  <c r="F296" s="1"/>
  <c r="G295"/>
  <c r="I295" s="1"/>
  <c r="K295" s="1"/>
  <c r="B295"/>
  <c r="B294"/>
  <c r="D294" s="1"/>
  <c r="F294" s="1"/>
  <c r="G293"/>
  <c r="I293" s="1"/>
  <c r="K293" s="1"/>
  <c r="B293"/>
  <c r="D293" s="1"/>
  <c r="F293" s="1"/>
  <c r="G292"/>
  <c r="I292" s="1"/>
  <c r="K292" s="1"/>
  <c r="B292"/>
  <c r="D292" s="1"/>
  <c r="F292" s="1"/>
  <c r="Q291"/>
  <c r="S291" s="1"/>
  <c r="U291" s="1"/>
  <c r="L291"/>
  <c r="N291" s="1"/>
  <c r="P291" s="1"/>
  <c r="G291"/>
  <c r="I291" s="1"/>
  <c r="K291" s="1"/>
  <c r="B291"/>
  <c r="D291" s="1"/>
  <c r="F291" s="1"/>
  <c r="Q290"/>
  <c r="S290" s="1"/>
  <c r="U290" s="1"/>
  <c r="L290"/>
  <c r="N290" s="1"/>
  <c r="P290" s="1"/>
  <c r="G290"/>
  <c r="I290" s="1"/>
  <c r="K290" s="1"/>
  <c r="B290"/>
  <c r="D290" s="1"/>
  <c r="F290" s="1"/>
  <c r="Q289"/>
  <c r="S289" s="1"/>
  <c r="U289" s="1"/>
  <c r="L289"/>
  <c r="N289" s="1"/>
  <c r="P289" s="1"/>
  <c r="G289"/>
  <c r="I289" s="1"/>
  <c r="K289" s="1"/>
  <c r="B289"/>
  <c r="D289" s="1"/>
  <c r="F289" s="1"/>
  <c r="Q288"/>
  <c r="S288" s="1"/>
  <c r="U288" s="1"/>
  <c r="L288"/>
  <c r="N288" s="1"/>
  <c r="P288" s="1"/>
  <c r="G288"/>
  <c r="I288" s="1"/>
  <c r="K288" s="1"/>
  <c r="B288"/>
  <c r="D288" s="1"/>
  <c r="F288" s="1"/>
  <c r="Q287"/>
  <c r="S287" s="1"/>
  <c r="U287" s="1"/>
  <c r="L287"/>
  <c r="N287" s="1"/>
  <c r="P287" s="1"/>
  <c r="G287"/>
  <c r="I287" s="1"/>
  <c r="K287" s="1"/>
  <c r="B287"/>
  <c r="D287" s="1"/>
  <c r="F287" s="1"/>
  <c r="Q286"/>
  <c r="S286" s="1"/>
  <c r="U286" s="1"/>
  <c r="L286"/>
  <c r="N286" s="1"/>
  <c r="P286" s="1"/>
  <c r="G286"/>
  <c r="I286" s="1"/>
  <c r="K286" s="1"/>
  <c r="B286"/>
  <c r="D286" s="1"/>
  <c r="F286" s="1"/>
  <c r="Q285"/>
  <c r="S285" s="1"/>
  <c r="U285" s="1"/>
  <c r="L285"/>
  <c r="N285" s="1"/>
  <c r="P285" s="1"/>
  <c r="G285"/>
  <c r="I285" s="1"/>
  <c r="K285" s="1"/>
  <c r="B285"/>
  <c r="D285" s="1"/>
  <c r="F285" s="1"/>
  <c r="Q284"/>
  <c r="S284" s="1"/>
  <c r="U284" s="1"/>
  <c r="L284"/>
  <c r="N284" s="1"/>
  <c r="P284" s="1"/>
  <c r="G284"/>
  <c r="I284" s="1"/>
  <c r="K284" s="1"/>
  <c r="B284"/>
  <c r="D284" s="1"/>
  <c r="F284" s="1"/>
  <c r="Q283"/>
  <c r="S283" s="1"/>
  <c r="U283" s="1"/>
  <c r="L283"/>
  <c r="N283" s="1"/>
  <c r="P283" s="1"/>
  <c r="G283"/>
  <c r="I283" s="1"/>
  <c r="K283" s="1"/>
  <c r="B283"/>
  <c r="D283" s="1"/>
  <c r="F283" s="1"/>
  <c r="Q282"/>
  <c r="S282" s="1"/>
  <c r="U282" s="1"/>
  <c r="L282"/>
  <c r="N282" s="1"/>
  <c r="P282" s="1"/>
  <c r="G282"/>
  <c r="I282" s="1"/>
  <c r="K282" s="1"/>
  <c r="B282"/>
  <c r="D282" s="1"/>
  <c r="F282" s="1"/>
  <c r="U281"/>
  <c r="Q281"/>
  <c r="S281" s="1"/>
  <c r="L281"/>
  <c r="N281" s="1"/>
  <c r="P281" s="1"/>
  <c r="G281"/>
  <c r="I281" s="1"/>
  <c r="K281" s="1"/>
  <c r="B281"/>
  <c r="D281" s="1"/>
  <c r="F281" s="1"/>
  <c r="Q280"/>
  <c r="S280" s="1"/>
  <c r="U280" s="1"/>
  <c r="L280"/>
  <c r="N280" s="1"/>
  <c r="G280"/>
  <c r="I280" s="1"/>
  <c r="K280" s="1"/>
  <c r="B280"/>
  <c r="D280" s="1"/>
  <c r="U278"/>
  <c r="Q278"/>
  <c r="S278" s="1"/>
  <c r="S277" s="1"/>
  <c r="T277" s="1"/>
  <c r="P278"/>
  <c r="L278"/>
  <c r="N278" s="1"/>
  <c r="K278"/>
  <c r="G278"/>
  <c r="I278" s="1"/>
  <c r="B278"/>
  <c r="D278" s="1"/>
  <c r="G276"/>
  <c r="I276" s="1"/>
  <c r="K276" s="1"/>
  <c r="B276"/>
  <c r="D276" s="1"/>
  <c r="F276" s="1"/>
  <c r="G275"/>
  <c r="I275" s="1"/>
  <c r="K275" s="1"/>
  <c r="B275"/>
  <c r="D275" s="1"/>
  <c r="F275" s="1"/>
  <c r="G274"/>
  <c r="I274" s="1"/>
  <c r="K274" s="1"/>
  <c r="B274"/>
  <c r="D274" s="1"/>
  <c r="F274" s="1"/>
  <c r="U273"/>
  <c r="Q273"/>
  <c r="S273" s="1"/>
  <c r="S272" s="1"/>
  <c r="T272" s="1"/>
  <c r="P273"/>
  <c r="L273"/>
  <c r="N273" s="1"/>
  <c r="N272" s="1"/>
  <c r="O272" s="1"/>
  <c r="K273"/>
  <c r="G273"/>
  <c r="I273" s="1"/>
  <c r="B273"/>
  <c r="D273" s="1"/>
  <c r="U271"/>
  <c r="Q271"/>
  <c r="S271" s="1"/>
  <c r="S265" s="1"/>
  <c r="T265" s="1"/>
  <c r="P271"/>
  <c r="L271"/>
  <c r="N271" s="1"/>
  <c r="N265" s="1"/>
  <c r="O265" s="1"/>
  <c r="G271"/>
  <c r="I271" s="1"/>
  <c r="K271" s="1"/>
  <c r="B271"/>
  <c r="D271" s="1"/>
  <c r="F271" s="1"/>
  <c r="G270"/>
  <c r="I270" s="1"/>
  <c r="K270" s="1"/>
  <c r="B270"/>
  <c r="D270" s="1"/>
  <c r="F270" s="1"/>
  <c r="G269"/>
  <c r="I269" s="1"/>
  <c r="K269" s="1"/>
  <c r="B269"/>
  <c r="D269" s="1"/>
  <c r="F269" s="1"/>
  <c r="G267"/>
  <c r="I267" s="1"/>
  <c r="K267" s="1"/>
  <c r="B267"/>
  <c r="D267" s="1"/>
  <c r="F267" s="1"/>
  <c r="K266"/>
  <c r="G266"/>
  <c r="I266" s="1"/>
  <c r="B266"/>
  <c r="D266" s="1"/>
  <c r="G264"/>
  <c r="I264" s="1"/>
  <c r="K264" s="1"/>
  <c r="B264"/>
  <c r="D264" s="1"/>
  <c r="F264" s="1"/>
  <c r="G263"/>
  <c r="I263" s="1"/>
  <c r="K263" s="1"/>
  <c r="B263"/>
  <c r="D263" s="1"/>
  <c r="F263" s="1"/>
  <c r="B262"/>
  <c r="D262" s="1"/>
  <c r="F262" s="1"/>
  <c r="I261"/>
  <c r="K261" s="1"/>
  <c r="B261"/>
  <c r="D261" s="1"/>
  <c r="F261" s="1"/>
  <c r="G260"/>
  <c r="I260" s="1"/>
  <c r="K260" s="1"/>
  <c r="B260"/>
  <c r="D260" s="1"/>
  <c r="F260" s="1"/>
  <c r="G259"/>
  <c r="I259" s="1"/>
  <c r="K259" s="1"/>
  <c r="B259"/>
  <c r="D259" s="1"/>
  <c r="F259" s="1"/>
  <c r="T258"/>
  <c r="R258"/>
  <c r="Q258"/>
  <c r="S258" s="1"/>
  <c r="L258"/>
  <c r="N258" s="1"/>
  <c r="P258" s="1"/>
  <c r="J258"/>
  <c r="H258"/>
  <c r="G258"/>
  <c r="I258" s="1"/>
  <c r="B258"/>
  <c r="D258" s="1"/>
  <c r="F258" s="1"/>
  <c r="G257"/>
  <c r="I257" s="1"/>
  <c r="K257" s="1"/>
  <c r="B257"/>
  <c r="D257" s="1"/>
  <c r="F257" s="1"/>
  <c r="G256"/>
  <c r="I256" s="1"/>
  <c r="K256" s="1"/>
  <c r="B256"/>
  <c r="D256" s="1"/>
  <c r="F256" s="1"/>
  <c r="G255"/>
  <c r="I255" s="1"/>
  <c r="K255" s="1"/>
  <c r="B255"/>
  <c r="D255" s="1"/>
  <c r="F255" s="1"/>
  <c r="U254"/>
  <c r="Q254"/>
  <c r="S254" s="1"/>
  <c r="L254"/>
  <c r="N254" s="1"/>
  <c r="G254"/>
  <c r="B254"/>
  <c r="D254" s="1"/>
  <c r="F254" s="1"/>
  <c r="B253"/>
  <c r="D253" s="1"/>
  <c r="F253" s="1"/>
  <c r="G251"/>
  <c r="I251" s="1"/>
  <c r="K251" s="1"/>
  <c r="B251"/>
  <c r="D251" s="1"/>
  <c r="F251" s="1"/>
  <c r="U250"/>
  <c r="Q250"/>
  <c r="S250" s="1"/>
  <c r="L250"/>
  <c r="N250" s="1"/>
  <c r="P250" s="1"/>
  <c r="G250"/>
  <c r="I250" s="1"/>
  <c r="K250" s="1"/>
  <c r="B250"/>
  <c r="D250" s="1"/>
  <c r="F250" s="1"/>
  <c r="G249"/>
  <c r="I249" s="1"/>
  <c r="K249" s="1"/>
  <c r="B249"/>
  <c r="D249" s="1"/>
  <c r="F249" s="1"/>
  <c r="G248"/>
  <c r="I248" s="1"/>
  <c r="K248" s="1"/>
  <c r="B248"/>
  <c r="D248" s="1"/>
  <c r="F248" s="1"/>
  <c r="G247"/>
  <c r="I247" s="1"/>
  <c r="K247" s="1"/>
  <c r="B247"/>
  <c r="D247" s="1"/>
  <c r="F247" s="1"/>
  <c r="U245"/>
  <c r="Q245"/>
  <c r="L245"/>
  <c r="N245" s="1"/>
  <c r="P245" s="1"/>
  <c r="G245"/>
  <c r="I245" s="1"/>
  <c r="K245" s="1"/>
  <c r="B245"/>
  <c r="D245" s="1"/>
  <c r="F245" s="1"/>
  <c r="G244"/>
  <c r="B244"/>
  <c r="I243"/>
  <c r="T242"/>
  <c r="R242"/>
  <c r="Q242"/>
  <c r="S242" s="1"/>
  <c r="L242"/>
  <c r="N242" s="1"/>
  <c r="P242" s="1"/>
  <c r="J242"/>
  <c r="H242"/>
  <c r="G242"/>
  <c r="I242" s="1"/>
  <c r="B242"/>
  <c r="D242" s="1"/>
  <c r="F242" s="1"/>
  <c r="Q240"/>
  <c r="S240" s="1"/>
  <c r="U240" s="1"/>
  <c r="L240"/>
  <c r="N240" s="1"/>
  <c r="P240" s="1"/>
  <c r="G240"/>
  <c r="I240" s="1"/>
  <c r="K240" s="1"/>
  <c r="B240"/>
  <c r="D240" s="1"/>
  <c r="F240" s="1"/>
  <c r="U239"/>
  <c r="Q239"/>
  <c r="S239" s="1"/>
  <c r="L239"/>
  <c r="N239" s="1"/>
  <c r="P239" s="1"/>
  <c r="G239"/>
  <c r="I239" s="1"/>
  <c r="K239" s="1"/>
  <c r="B239"/>
  <c r="D239" s="1"/>
  <c r="F239" s="1"/>
  <c r="S238"/>
  <c r="G238"/>
  <c r="I238" s="1"/>
  <c r="K238" s="1"/>
  <c r="B238"/>
  <c r="D238" s="1"/>
  <c r="F238" s="1"/>
  <c r="Q237"/>
  <c r="S237" s="1"/>
  <c r="U237" s="1"/>
  <c r="L237"/>
  <c r="N237" s="1"/>
  <c r="P237" s="1"/>
  <c r="G237"/>
  <c r="I237" s="1"/>
  <c r="K237" s="1"/>
  <c r="B237"/>
  <c r="D237" s="1"/>
  <c r="F237" s="1"/>
  <c r="Q236"/>
  <c r="S236" s="1"/>
  <c r="U236" s="1"/>
  <c r="L236"/>
  <c r="N236" s="1"/>
  <c r="P236" s="1"/>
  <c r="I236"/>
  <c r="D236"/>
  <c r="Q235"/>
  <c r="S235" s="1"/>
  <c r="U235" s="1"/>
  <c r="L235"/>
  <c r="N235" s="1"/>
  <c r="P235" s="1"/>
  <c r="G235"/>
  <c r="I235" s="1"/>
  <c r="K235" s="1"/>
  <c r="B235"/>
  <c r="D235" s="1"/>
  <c r="F235" s="1"/>
  <c r="S234"/>
  <c r="N234"/>
  <c r="G234"/>
  <c r="I234" s="1"/>
  <c r="K234" s="1"/>
  <c r="B234"/>
  <c r="D234" s="1"/>
  <c r="F234" s="1"/>
  <c r="Q233"/>
  <c r="S233" s="1"/>
  <c r="U233" s="1"/>
  <c r="L233"/>
  <c r="N233" s="1"/>
  <c r="P233" s="1"/>
  <c r="G233"/>
  <c r="I233" s="1"/>
  <c r="K233" s="1"/>
  <c r="B233"/>
  <c r="D233" s="1"/>
  <c r="F233" s="1"/>
  <c r="Q232"/>
  <c r="S232" s="1"/>
  <c r="U232" s="1"/>
  <c r="L232"/>
  <c r="N232" s="1"/>
  <c r="P232" s="1"/>
  <c r="G232"/>
  <c r="I232" s="1"/>
  <c r="K232" s="1"/>
  <c r="B232"/>
  <c r="D232" s="1"/>
  <c r="F232" s="1"/>
  <c r="Q231"/>
  <c r="S231" s="1"/>
  <c r="U231" s="1"/>
  <c r="M231"/>
  <c r="V231" s="1"/>
  <c r="L231"/>
  <c r="N231" s="1"/>
  <c r="G231"/>
  <c r="I231" s="1"/>
  <c r="K231" s="1"/>
  <c r="B231"/>
  <c r="S230"/>
  <c r="N230"/>
  <c r="I230"/>
  <c r="D230"/>
  <c r="Q229"/>
  <c r="S229" s="1"/>
  <c r="U229" s="1"/>
  <c r="L229"/>
  <c r="G229"/>
  <c r="I229" s="1"/>
  <c r="Q228"/>
  <c r="S228" s="1"/>
  <c r="U228" s="1"/>
  <c r="L228"/>
  <c r="N228" s="1"/>
  <c r="G228"/>
  <c r="I228" s="1"/>
  <c r="K228" s="1"/>
  <c r="B228"/>
  <c r="D228" s="1"/>
  <c r="G226"/>
  <c r="I226" s="1"/>
  <c r="K226" s="1"/>
  <c r="B226"/>
  <c r="D226" s="1"/>
  <c r="F226" s="1"/>
  <c r="I225"/>
  <c r="G225"/>
  <c r="D225"/>
  <c r="B225"/>
  <c r="U224"/>
  <c r="Q224"/>
  <c r="S224" s="1"/>
  <c r="N224"/>
  <c r="L224"/>
  <c r="I224"/>
  <c r="G224"/>
  <c r="D224"/>
  <c r="B224"/>
  <c r="U223"/>
  <c r="S223"/>
  <c r="Q223"/>
  <c r="N223"/>
  <c r="L223"/>
  <c r="I223"/>
  <c r="G223"/>
  <c r="D223"/>
  <c r="B223"/>
  <c r="U222"/>
  <c r="S222"/>
  <c r="Q222"/>
  <c r="N222"/>
  <c r="L222"/>
  <c r="I222"/>
  <c r="G222"/>
  <c r="D222"/>
  <c r="B222"/>
  <c r="U221"/>
  <c r="S221"/>
  <c r="Q221"/>
  <c r="L221"/>
  <c r="G221"/>
  <c r="I221" s="1"/>
  <c r="K221" s="1"/>
  <c r="B221"/>
  <c r="D221" s="1"/>
  <c r="F221" s="1"/>
  <c r="I220"/>
  <c r="G220"/>
  <c r="B220"/>
  <c r="D220" s="1"/>
  <c r="F220" s="1"/>
  <c r="G136"/>
  <c r="I136" s="1"/>
  <c r="K136" s="1"/>
  <c r="B136"/>
  <c r="D136" s="1"/>
  <c r="F136" s="1"/>
  <c r="G135"/>
  <c r="B135"/>
  <c r="G133"/>
  <c r="B133"/>
  <c r="S131"/>
  <c r="N131"/>
  <c r="G131"/>
  <c r="I131" s="1"/>
  <c r="K131" s="1"/>
  <c r="B131"/>
  <c r="D131" s="1"/>
  <c r="F131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N128"/>
  <c r="I128"/>
  <c r="Q127"/>
  <c r="S127" s="1"/>
  <c r="L127"/>
  <c r="N127" s="1"/>
  <c r="P127" s="1"/>
  <c r="G127"/>
  <c r="B127"/>
  <c r="D127" s="1"/>
  <c r="F127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G88"/>
  <c r="I88" s="1"/>
  <c r="K88" s="1"/>
  <c r="B88"/>
  <c r="D88" s="1"/>
  <c r="F88" s="1"/>
  <c r="G87"/>
  <c r="I87" s="1"/>
  <c r="K87" s="1"/>
  <c r="B87"/>
  <c r="D87" s="1"/>
  <c r="F87" s="1"/>
  <c r="G86"/>
  <c r="I86" s="1"/>
  <c r="K86" s="1"/>
  <c r="B86"/>
  <c r="G85"/>
  <c r="I85" s="1"/>
  <c r="K85" s="1"/>
  <c r="B85"/>
  <c r="D85" s="1"/>
  <c r="F85" s="1"/>
  <c r="Q84"/>
  <c r="L84"/>
  <c r="G84"/>
  <c r="I84" s="1"/>
  <c r="B84"/>
  <c r="D84" s="1"/>
  <c r="F84" s="1"/>
  <c r="Q44"/>
  <c r="S44" s="1"/>
  <c r="L44"/>
  <c r="N44" s="1"/>
  <c r="P44" s="1"/>
  <c r="G44"/>
  <c r="I44" s="1"/>
  <c r="K44" s="1"/>
  <c r="E44"/>
  <c r="V44" s="1"/>
  <c r="B44"/>
  <c r="D44" s="1"/>
  <c r="Q43"/>
  <c r="S43" s="1"/>
  <c r="L43"/>
  <c r="N43" s="1"/>
  <c r="P43" s="1"/>
  <c r="G43"/>
  <c r="I43" s="1"/>
  <c r="K43" s="1"/>
  <c r="B43"/>
  <c r="Q42"/>
  <c r="S42" s="1"/>
  <c r="B42"/>
  <c r="D42" s="1"/>
  <c r="F42" s="1"/>
  <c r="S41"/>
  <c r="Q41"/>
  <c r="L41"/>
  <c r="N41" s="1"/>
  <c r="G41"/>
  <c r="I41" s="1"/>
  <c r="K41" s="1"/>
  <c r="B41"/>
  <c r="D41" s="1"/>
  <c r="Q39"/>
  <c r="S39" s="1"/>
  <c r="U39" s="1"/>
  <c r="L39"/>
  <c r="N39" s="1"/>
  <c r="P39" s="1"/>
  <c r="G39"/>
  <c r="I39" s="1"/>
  <c r="K39" s="1"/>
  <c r="B39"/>
  <c r="D39" s="1"/>
  <c r="F39" s="1"/>
  <c r="U38"/>
  <c r="Q38"/>
  <c r="L38"/>
  <c r="N38" s="1"/>
  <c r="P38" s="1"/>
  <c r="G38"/>
  <c r="I38" s="1"/>
  <c r="K38" s="1"/>
  <c r="B38"/>
  <c r="D38" s="1"/>
  <c r="F38" s="1"/>
  <c r="U37"/>
  <c r="Q37"/>
  <c r="S37" s="1"/>
  <c r="L37"/>
  <c r="N37" s="1"/>
  <c r="P37" s="1"/>
  <c r="G37"/>
  <c r="I37" s="1"/>
  <c r="K37" s="1"/>
  <c r="B37"/>
  <c r="D37" s="1"/>
  <c r="F37" s="1"/>
  <c r="L36"/>
  <c r="N36" s="1"/>
  <c r="P36" s="1"/>
  <c r="B36"/>
  <c r="D36" s="1"/>
  <c r="F36" s="1"/>
  <c r="B35"/>
  <c r="D35" s="1"/>
  <c r="F35" s="1"/>
  <c r="B34"/>
  <c r="D34" s="1"/>
  <c r="F34" s="1"/>
  <c r="Q33"/>
  <c r="S33" s="1"/>
  <c r="U33" s="1"/>
  <c r="L33"/>
  <c r="N33" s="1"/>
  <c r="G33"/>
  <c r="B33"/>
  <c r="D33" s="1"/>
  <c r="Q31"/>
  <c r="S31" s="1"/>
  <c r="L31"/>
  <c r="N31" s="1"/>
  <c r="I31"/>
  <c r="D31"/>
  <c r="F31" s="1"/>
  <c r="F30"/>
  <c r="N29"/>
  <c r="P29" s="1"/>
  <c r="D29"/>
  <c r="F29" s="1"/>
  <c r="G28"/>
  <c r="H28" s="1"/>
  <c r="B28"/>
  <c r="C28" s="1"/>
  <c r="L27"/>
  <c r="N27" s="1"/>
  <c r="P27" s="1"/>
  <c r="D27"/>
  <c r="F27" s="1"/>
  <c r="U26"/>
  <c r="Q26"/>
  <c r="L26"/>
  <c r="G26"/>
  <c r="I26" s="1"/>
  <c r="K26" s="1"/>
  <c r="B26"/>
  <c r="D26" s="1"/>
  <c r="F26" s="1"/>
  <c r="U25"/>
  <c r="Q25"/>
  <c r="L25"/>
  <c r="N25" s="1"/>
  <c r="G25"/>
  <c r="I25" s="1"/>
  <c r="K25" s="1"/>
  <c r="B25"/>
  <c r="Q23"/>
  <c r="S23" s="1"/>
  <c r="U23" s="1"/>
  <c r="L23"/>
  <c r="N23" s="1"/>
  <c r="P23" s="1"/>
  <c r="G23"/>
  <c r="I23" s="1"/>
  <c r="K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B19"/>
  <c r="L17"/>
  <c r="N17" s="1"/>
  <c r="P17" s="1"/>
  <c r="B17"/>
  <c r="D17" s="1"/>
  <c r="F17" s="1"/>
  <c r="U16"/>
  <c r="Q16"/>
  <c r="S16" s="1"/>
  <c r="L16"/>
  <c r="N16" s="1"/>
  <c r="P16" s="1"/>
  <c r="G16"/>
  <c r="I16" s="1"/>
  <c r="K16" s="1"/>
  <c r="B16"/>
  <c r="D16" s="1"/>
  <c r="F16" s="1"/>
  <c r="S15"/>
  <c r="L15"/>
  <c r="N15" s="1"/>
  <c r="P15" s="1"/>
  <c r="G15"/>
  <c r="I15" s="1"/>
  <c r="K15" s="1"/>
  <c r="B15"/>
  <c r="D15" s="1"/>
  <c r="F15" s="1"/>
  <c r="N14"/>
  <c r="B14"/>
  <c r="D14" s="1"/>
  <c r="F14" s="1"/>
  <c r="Q13"/>
  <c r="S13" s="1"/>
  <c r="U13" s="1"/>
  <c r="L13"/>
  <c r="N13" s="1"/>
  <c r="P13" s="1"/>
  <c r="G13"/>
  <c r="I13" s="1"/>
  <c r="K13" s="1"/>
  <c r="B13"/>
  <c r="D13" s="1"/>
  <c r="F13" s="1"/>
  <c r="B12"/>
  <c r="D12" s="1"/>
  <c r="F12" s="1"/>
  <c r="Q11"/>
  <c r="S11" s="1"/>
  <c r="U11" s="1"/>
  <c r="L11"/>
  <c r="N11" s="1"/>
  <c r="P11" s="1"/>
  <c r="G11"/>
  <c r="I11" s="1"/>
  <c r="K11" s="1"/>
  <c r="B11"/>
  <c r="D11" s="1"/>
  <c r="F11" s="1"/>
  <c r="B10"/>
  <c r="D10" s="1"/>
  <c r="F10" s="1"/>
  <c r="Q9"/>
  <c r="S9" s="1"/>
  <c r="L9"/>
  <c r="N9" s="1"/>
  <c r="P9" s="1"/>
  <c r="G9"/>
  <c r="I9" s="1"/>
  <c r="B9"/>
  <c r="D9" s="1"/>
  <c r="F9" s="1"/>
  <c r="Q277" l="1"/>
  <c r="R277" s="1"/>
  <c r="Q272"/>
  <c r="R272" s="1"/>
  <c r="U272" s="1"/>
  <c r="Q18" i="6"/>
  <c r="R18" s="1"/>
  <c r="L56" i="4"/>
  <c r="M56" s="1"/>
  <c r="P56" s="1"/>
  <c r="Q116"/>
  <c r="R116" s="1"/>
  <c r="Q265"/>
  <c r="R265" s="1"/>
  <c r="U265" s="1"/>
  <c r="J9" i="7"/>
  <c r="K9" s="1"/>
  <c r="C9"/>
  <c r="I9"/>
  <c r="G277" i="4"/>
  <c r="H277" s="1"/>
  <c r="S31" i="6"/>
  <c r="U31" s="1"/>
  <c r="L265" i="4"/>
  <c r="M265" s="1"/>
  <c r="P265" s="1"/>
  <c r="E9" i="7"/>
  <c r="P9"/>
  <c r="N9"/>
  <c r="F10"/>
  <c r="Q10"/>
  <c r="I18" i="4"/>
  <c r="J18" s="1"/>
  <c r="B83"/>
  <c r="C83" s="1"/>
  <c r="Q144"/>
  <c r="R144" s="1"/>
  <c r="Q151"/>
  <c r="R151" s="1"/>
  <c r="D19"/>
  <c r="F19" s="1"/>
  <c r="B18"/>
  <c r="C18" s="1"/>
  <c r="Q24"/>
  <c r="R24" s="1"/>
  <c r="Q24" i="6"/>
  <c r="R24" s="1"/>
  <c r="I28"/>
  <c r="J28" s="1"/>
  <c r="K28" s="1"/>
  <c r="Q45" i="4"/>
  <c r="R45" s="1"/>
  <c r="Q8" i="6"/>
  <c r="R8" s="1"/>
  <c r="G18" i="4"/>
  <c r="H18" s="1"/>
  <c r="Q18"/>
  <c r="R18" s="1"/>
  <c r="Q219"/>
  <c r="R219" s="1"/>
  <c r="P222"/>
  <c r="K223"/>
  <c r="P224"/>
  <c r="L241"/>
  <c r="M241" s="1"/>
  <c r="L272"/>
  <c r="M272" s="1"/>
  <c r="P272" s="1"/>
  <c r="B277"/>
  <c r="C277" s="1"/>
  <c r="G279"/>
  <c r="H279" s="1"/>
  <c r="Q343"/>
  <c r="R343" s="1"/>
  <c r="L45"/>
  <c r="M45" s="1"/>
  <c r="I61"/>
  <c r="J61" s="1"/>
  <c r="K61" s="1"/>
  <c r="K118"/>
  <c r="I116"/>
  <c r="J116" s="1"/>
  <c r="K116" s="1"/>
  <c r="S94"/>
  <c r="S92" s="1"/>
  <c r="T92" s="1"/>
  <c r="Q92"/>
  <c r="R92" s="1"/>
  <c r="D106"/>
  <c r="F106" s="1"/>
  <c r="B105"/>
  <c r="C105" s="1"/>
  <c r="D119"/>
  <c r="F119" s="1"/>
  <c r="B116"/>
  <c r="C116" s="1"/>
  <c r="F120"/>
  <c r="L137"/>
  <c r="M137" s="1"/>
  <c r="B144"/>
  <c r="C144" s="1"/>
  <c r="F154"/>
  <c r="P154"/>
  <c r="K155"/>
  <c r="F156"/>
  <c r="P156"/>
  <c r="B172"/>
  <c r="C172" s="1"/>
  <c r="G7" i="5"/>
  <c r="H7" s="1"/>
  <c r="G8" i="6"/>
  <c r="H8" s="1"/>
  <c r="S11"/>
  <c r="U11" s="1"/>
  <c r="G18"/>
  <c r="H18" s="1"/>
  <c r="S18"/>
  <c r="T18" s="1"/>
  <c r="B24"/>
  <c r="C24" s="1"/>
  <c r="G32"/>
  <c r="H32" s="1"/>
  <c r="G151" i="4"/>
  <c r="H151" s="1"/>
  <c r="B151"/>
  <c r="C151" s="1"/>
  <c r="S24" i="6"/>
  <c r="T24" s="1"/>
  <c r="I127" i="4"/>
  <c r="I126" s="1"/>
  <c r="J126" s="1"/>
  <c r="G126"/>
  <c r="H126" s="1"/>
  <c r="D135"/>
  <c r="F135" s="1"/>
  <c r="B134"/>
  <c r="C134" s="1"/>
  <c r="G8"/>
  <c r="H8" s="1"/>
  <c r="S26"/>
  <c r="D133"/>
  <c r="D132" s="1"/>
  <c r="E132" s="1"/>
  <c r="B132"/>
  <c r="C132" s="1"/>
  <c r="F225"/>
  <c r="L32"/>
  <c r="M32" s="1"/>
  <c r="S84"/>
  <c r="S83" s="1"/>
  <c r="T83" s="1"/>
  <c r="Q83"/>
  <c r="R83" s="1"/>
  <c r="I254"/>
  <c r="K254" s="1"/>
  <c r="G252"/>
  <c r="H252" s="1"/>
  <c r="B265"/>
  <c r="C265" s="1"/>
  <c r="B272"/>
  <c r="C272" s="1"/>
  <c r="B343"/>
  <c r="B219"/>
  <c r="C219" s="1"/>
  <c r="F222"/>
  <c r="F224"/>
  <c r="Q252"/>
  <c r="R252" s="1"/>
  <c r="U258"/>
  <c r="I265"/>
  <c r="J265" s="1"/>
  <c r="L277"/>
  <c r="M277" s="1"/>
  <c r="S306"/>
  <c r="T306" s="1"/>
  <c r="U306" s="1"/>
  <c r="L323"/>
  <c r="M323" s="1"/>
  <c r="L343"/>
  <c r="M343" s="1"/>
  <c r="G45"/>
  <c r="H45" s="1"/>
  <c r="B61"/>
  <c r="C61" s="1"/>
  <c r="L67"/>
  <c r="M67" s="1"/>
  <c r="U98"/>
  <c r="L105"/>
  <c r="M105" s="1"/>
  <c r="F157"/>
  <c r="B159"/>
  <c r="C159" s="1"/>
  <c r="L159"/>
  <c r="M159" s="1"/>
  <c r="G172"/>
  <c r="H172" s="1"/>
  <c r="L7" i="5"/>
  <c r="I18" i="6"/>
  <c r="J18" s="1"/>
  <c r="G24"/>
  <c r="H24" s="1"/>
  <c r="B32"/>
  <c r="C32" s="1"/>
  <c r="L32"/>
  <c r="M32" s="1"/>
  <c r="I272" i="4"/>
  <c r="J272" s="1"/>
  <c r="S61"/>
  <c r="T61" s="1"/>
  <c r="U61" s="1"/>
  <c r="G92"/>
  <c r="H92" s="1"/>
  <c r="Q105"/>
  <c r="R105" s="1"/>
  <c r="B137"/>
  <c r="C137" s="1"/>
  <c r="K152"/>
  <c r="L151"/>
  <c r="M151" s="1"/>
  <c r="G159"/>
  <c r="H159" s="1"/>
  <c r="Q159"/>
  <c r="R159" s="1"/>
  <c r="L172"/>
  <c r="M172" s="1"/>
  <c r="B7" i="5"/>
  <c r="Q7"/>
  <c r="L24" i="6"/>
  <c r="M24" s="1"/>
  <c r="Q32"/>
  <c r="R32" s="1"/>
  <c r="K9"/>
  <c r="I8"/>
  <c r="P19"/>
  <c r="N18"/>
  <c r="O18" s="1"/>
  <c r="P25"/>
  <c r="N24"/>
  <c r="O24" s="1"/>
  <c r="P31"/>
  <c r="N28"/>
  <c r="O28" s="1"/>
  <c r="U33"/>
  <c r="S32"/>
  <c r="T32" s="1"/>
  <c r="N32"/>
  <c r="O32" s="1"/>
  <c r="P36"/>
  <c r="U9"/>
  <c r="F25"/>
  <c r="D24"/>
  <c r="E24" s="1"/>
  <c r="K33"/>
  <c r="I32"/>
  <c r="J32" s="1"/>
  <c r="D32"/>
  <c r="E32" s="1"/>
  <c r="F35"/>
  <c r="B8"/>
  <c r="D8"/>
  <c r="L8"/>
  <c r="N8"/>
  <c r="B18"/>
  <c r="C18" s="1"/>
  <c r="D18"/>
  <c r="E18" s="1"/>
  <c r="L18"/>
  <c r="M18" s="1"/>
  <c r="I24"/>
  <c r="J24" s="1"/>
  <c r="D28"/>
  <c r="E28" s="1"/>
  <c r="F28" s="1"/>
  <c r="L28"/>
  <c r="M28" s="1"/>
  <c r="U8" i="5"/>
  <c r="S7"/>
  <c r="N7"/>
  <c r="P10"/>
  <c r="K8"/>
  <c r="I7"/>
  <c r="D7"/>
  <c r="F10"/>
  <c r="S38" i="4"/>
  <c r="S32" s="1"/>
  <c r="T32" s="1"/>
  <c r="Q32"/>
  <c r="R32" s="1"/>
  <c r="N84"/>
  <c r="P84" s="1"/>
  <c r="L83"/>
  <c r="M83" s="1"/>
  <c r="S128"/>
  <c r="U128" s="1"/>
  <c r="Q126"/>
  <c r="R126" s="1"/>
  <c r="I133"/>
  <c r="K133" s="1"/>
  <c r="G132"/>
  <c r="H132" s="1"/>
  <c r="I135"/>
  <c r="K135" s="1"/>
  <c r="G134"/>
  <c r="H134" s="1"/>
  <c r="D244"/>
  <c r="F244" s="1"/>
  <c r="B241"/>
  <c r="C241" s="1"/>
  <c r="F304"/>
  <c r="D301"/>
  <c r="E301" s="1"/>
  <c r="F316"/>
  <c r="D312"/>
  <c r="E312" s="1"/>
  <c r="P321"/>
  <c r="N312"/>
  <c r="O312" s="1"/>
  <c r="K335"/>
  <c r="I330"/>
  <c r="J330" s="1"/>
  <c r="F358"/>
  <c r="D355"/>
  <c r="E355" s="1"/>
  <c r="F58"/>
  <c r="D56"/>
  <c r="E56" s="1"/>
  <c r="K148"/>
  <c r="I144"/>
  <c r="J144" s="1"/>
  <c r="P167"/>
  <c r="N159"/>
  <c r="O159" s="1"/>
  <c r="K31"/>
  <c r="I28"/>
  <c r="J28" s="1"/>
  <c r="K28" s="1"/>
  <c r="U31"/>
  <c r="S28"/>
  <c r="T28" s="1"/>
  <c r="D25"/>
  <c r="D24" s="1"/>
  <c r="E24" s="1"/>
  <c r="B24"/>
  <c r="C24" s="1"/>
  <c r="S25"/>
  <c r="N26"/>
  <c r="P26" s="1"/>
  <c r="L24"/>
  <c r="M24" s="1"/>
  <c r="I33"/>
  <c r="K33" s="1"/>
  <c r="G32"/>
  <c r="H32" s="1"/>
  <c r="D43"/>
  <c r="F43" s="1"/>
  <c r="B40"/>
  <c r="C40" s="1"/>
  <c r="D86"/>
  <c r="F86" s="1"/>
  <c r="N221"/>
  <c r="N219" s="1"/>
  <c r="O219" s="1"/>
  <c r="L219"/>
  <c r="M219" s="1"/>
  <c r="K229"/>
  <c r="I227"/>
  <c r="J227" s="1"/>
  <c r="I277"/>
  <c r="J277" s="1"/>
  <c r="P324"/>
  <c r="N323"/>
  <c r="O323" s="1"/>
  <c r="P359"/>
  <c r="N355"/>
  <c r="O355" s="1"/>
  <c r="F70"/>
  <c r="D67"/>
  <c r="E67" s="1"/>
  <c r="F152"/>
  <c r="D151"/>
  <c r="E151" s="1"/>
  <c r="Q8"/>
  <c r="R8" s="1"/>
  <c r="S18"/>
  <c r="T18" s="1"/>
  <c r="G24"/>
  <c r="H24" s="1"/>
  <c r="Q28"/>
  <c r="R28" s="1"/>
  <c r="B32"/>
  <c r="C32" s="1"/>
  <c r="L40"/>
  <c r="M40" s="1"/>
  <c r="G83"/>
  <c r="H83" s="1"/>
  <c r="Q227"/>
  <c r="R227" s="1"/>
  <c r="U277"/>
  <c r="I343"/>
  <c r="J343" s="1"/>
  <c r="K220"/>
  <c r="K222"/>
  <c r="F223"/>
  <c r="P223"/>
  <c r="K224"/>
  <c r="S219"/>
  <c r="T219" s="1"/>
  <c r="U219" s="1"/>
  <c r="K225"/>
  <c r="P231"/>
  <c r="G265"/>
  <c r="H265" s="1"/>
  <c r="G272"/>
  <c r="H272" s="1"/>
  <c r="S279"/>
  <c r="T279" s="1"/>
  <c r="F305"/>
  <c r="G312"/>
  <c r="H312" s="1"/>
  <c r="Q312"/>
  <c r="R312" s="1"/>
  <c r="B323"/>
  <c r="C323" s="1"/>
  <c r="F326"/>
  <c r="G330"/>
  <c r="H330" s="1"/>
  <c r="Q330"/>
  <c r="R330" s="1"/>
  <c r="G343"/>
  <c r="H343" s="1"/>
  <c r="N343"/>
  <c r="O343" s="1"/>
  <c r="B355"/>
  <c r="C355" s="1"/>
  <c r="G355"/>
  <c r="H355" s="1"/>
  <c r="L355"/>
  <c r="M355" s="1"/>
  <c r="Q355"/>
  <c r="R355" s="1"/>
  <c r="B45"/>
  <c r="C45" s="1"/>
  <c r="B56"/>
  <c r="C56" s="1"/>
  <c r="G56"/>
  <c r="H56" s="1"/>
  <c r="Q56"/>
  <c r="R56" s="1"/>
  <c r="L61"/>
  <c r="M61" s="1"/>
  <c r="B67"/>
  <c r="C67" s="1"/>
  <c r="G67"/>
  <c r="H67" s="1"/>
  <c r="Q67"/>
  <c r="R67" s="1"/>
  <c r="B92"/>
  <c r="C92" s="1"/>
  <c r="L92"/>
  <c r="M92" s="1"/>
  <c r="K98"/>
  <c r="G105"/>
  <c r="H105" s="1"/>
  <c r="L116"/>
  <c r="M116" s="1"/>
  <c r="G219"/>
  <c r="H219" s="1"/>
  <c r="G137"/>
  <c r="H137" s="1"/>
  <c r="S137"/>
  <c r="T137" s="1"/>
  <c r="U137" s="1"/>
  <c r="F140"/>
  <c r="G144"/>
  <c r="H144" s="1"/>
  <c r="L144"/>
  <c r="M144" s="1"/>
  <c r="K154"/>
  <c r="F155"/>
  <c r="P155"/>
  <c r="K156"/>
  <c r="K157"/>
  <c r="Q172"/>
  <c r="R172" s="1"/>
  <c r="K173"/>
  <c r="I172"/>
  <c r="J172" s="1"/>
  <c r="U173"/>
  <c r="S172"/>
  <c r="T172" s="1"/>
  <c r="F173"/>
  <c r="D172"/>
  <c r="E172" s="1"/>
  <c r="P173"/>
  <c r="N172"/>
  <c r="O172" s="1"/>
  <c r="F160"/>
  <c r="D159"/>
  <c r="E159" s="1"/>
  <c r="I159"/>
  <c r="J159" s="1"/>
  <c r="K162"/>
  <c r="S159"/>
  <c r="T159" s="1"/>
  <c r="U163"/>
  <c r="D219"/>
  <c r="E219" s="1"/>
  <c r="I219"/>
  <c r="J219" s="1"/>
  <c r="P153"/>
  <c r="N151"/>
  <c r="O151" s="1"/>
  <c r="S151"/>
  <c r="T151" s="1"/>
  <c r="K153"/>
  <c r="I151"/>
  <c r="J151" s="1"/>
  <c r="F145"/>
  <c r="D144"/>
  <c r="E144" s="1"/>
  <c r="N144"/>
  <c r="O144" s="1"/>
  <c r="S144"/>
  <c r="T144" s="1"/>
  <c r="F138"/>
  <c r="D137"/>
  <c r="E137" s="1"/>
  <c r="K141"/>
  <c r="I137"/>
  <c r="J137" s="1"/>
  <c r="P140"/>
  <c r="N137"/>
  <c r="O137" s="1"/>
  <c r="N301"/>
  <c r="O301" s="1"/>
  <c r="U117"/>
  <c r="S116"/>
  <c r="T116" s="1"/>
  <c r="P118"/>
  <c r="N116"/>
  <c r="O116" s="1"/>
  <c r="N105"/>
  <c r="O105" s="1"/>
  <c r="P106"/>
  <c r="S105"/>
  <c r="T105" s="1"/>
  <c r="K110"/>
  <c r="I105"/>
  <c r="J105" s="1"/>
  <c r="S252"/>
  <c r="T252" s="1"/>
  <c r="U252" s="1"/>
  <c r="P94"/>
  <c r="N92"/>
  <c r="O92" s="1"/>
  <c r="F93"/>
  <c r="D92"/>
  <c r="E92" s="1"/>
  <c r="I92"/>
  <c r="J92" s="1"/>
  <c r="K92" s="1"/>
  <c r="K94"/>
  <c r="K70"/>
  <c r="I67"/>
  <c r="J67" s="1"/>
  <c r="U71"/>
  <c r="S67"/>
  <c r="T67" s="1"/>
  <c r="N67"/>
  <c r="O67" s="1"/>
  <c r="P68"/>
  <c r="F62"/>
  <c r="D61"/>
  <c r="E61" s="1"/>
  <c r="P62"/>
  <c r="N61"/>
  <c r="O61" s="1"/>
  <c r="N241"/>
  <c r="O241" s="1"/>
  <c r="S56"/>
  <c r="T56" s="1"/>
  <c r="I56"/>
  <c r="J56" s="1"/>
  <c r="I45"/>
  <c r="J45" s="1"/>
  <c r="K46"/>
  <c r="S45"/>
  <c r="T45" s="1"/>
  <c r="F48"/>
  <c r="D45"/>
  <c r="E45" s="1"/>
  <c r="P49"/>
  <c r="N45"/>
  <c r="O45" s="1"/>
  <c r="F44"/>
  <c r="K9"/>
  <c r="I8"/>
  <c r="U9"/>
  <c r="S8"/>
  <c r="F33"/>
  <c r="D32"/>
  <c r="E32" s="1"/>
  <c r="F41"/>
  <c r="K84"/>
  <c r="I83"/>
  <c r="J83" s="1"/>
  <c r="U127"/>
  <c r="P19"/>
  <c r="N18"/>
  <c r="O18" s="1"/>
  <c r="P25"/>
  <c r="P31"/>
  <c r="N28"/>
  <c r="O28" s="1"/>
  <c r="P33"/>
  <c r="N32"/>
  <c r="O32" s="1"/>
  <c r="P41"/>
  <c r="N40"/>
  <c r="O40" s="1"/>
  <c r="N229"/>
  <c r="P229" s="1"/>
  <c r="L227"/>
  <c r="M227" s="1"/>
  <c r="D231"/>
  <c r="F231" s="1"/>
  <c r="B227"/>
  <c r="C227" s="1"/>
  <c r="I244"/>
  <c r="K244" s="1"/>
  <c r="G241"/>
  <c r="H241" s="1"/>
  <c r="S245"/>
  <c r="S241" s="1"/>
  <c r="T241" s="1"/>
  <c r="Q241"/>
  <c r="R241" s="1"/>
  <c r="F273"/>
  <c r="D272"/>
  <c r="E272" s="1"/>
  <c r="F278"/>
  <c r="D277"/>
  <c r="E277" s="1"/>
  <c r="N277"/>
  <c r="O277" s="1"/>
  <c r="B8"/>
  <c r="D8"/>
  <c r="L8"/>
  <c r="N8"/>
  <c r="L18"/>
  <c r="M18" s="1"/>
  <c r="I24"/>
  <c r="J24" s="1"/>
  <c r="D28"/>
  <c r="E28" s="1"/>
  <c r="L28"/>
  <c r="M28" s="1"/>
  <c r="G40"/>
  <c r="I40"/>
  <c r="J40" s="1"/>
  <c r="Q40"/>
  <c r="S40"/>
  <c r="T40" s="1"/>
  <c r="B126"/>
  <c r="C126" s="1"/>
  <c r="D126"/>
  <c r="E126" s="1"/>
  <c r="L126"/>
  <c r="M126" s="1"/>
  <c r="N126"/>
  <c r="O126" s="1"/>
  <c r="I134"/>
  <c r="J134" s="1"/>
  <c r="G227"/>
  <c r="H227" s="1"/>
  <c r="S227"/>
  <c r="T227" s="1"/>
  <c r="U242"/>
  <c r="F228"/>
  <c r="P228"/>
  <c r="N252"/>
  <c r="O252" s="1"/>
  <c r="P254"/>
  <c r="F266"/>
  <c r="D265"/>
  <c r="E265" s="1"/>
  <c r="K242"/>
  <c r="K258"/>
  <c r="D295"/>
  <c r="F295" s="1"/>
  <c r="B279"/>
  <c r="C279" s="1"/>
  <c r="N296"/>
  <c r="P296" s="1"/>
  <c r="L279"/>
  <c r="M279" s="1"/>
  <c r="S303"/>
  <c r="U303" s="1"/>
  <c r="Q301"/>
  <c r="R301" s="1"/>
  <c r="K304"/>
  <c r="I301"/>
  <c r="J301" s="1"/>
  <c r="K301" s="1"/>
  <c r="D311"/>
  <c r="F311" s="1"/>
  <c r="B306"/>
  <c r="C306" s="1"/>
  <c r="K315"/>
  <c r="I312"/>
  <c r="J312" s="1"/>
  <c r="K327"/>
  <c r="F331"/>
  <c r="U347"/>
  <c r="S343"/>
  <c r="T343" s="1"/>
  <c r="K358"/>
  <c r="I355"/>
  <c r="J355" s="1"/>
  <c r="U359"/>
  <c r="S355"/>
  <c r="T355" s="1"/>
  <c r="F280"/>
  <c r="P280"/>
  <c r="U302"/>
  <c r="F307"/>
  <c r="N307"/>
  <c r="L306"/>
  <c r="M306" s="1"/>
  <c r="U313"/>
  <c r="S312"/>
  <c r="T312" s="1"/>
  <c r="U324"/>
  <c r="S323"/>
  <c r="T323" s="1"/>
  <c r="U323" s="1"/>
  <c r="I328"/>
  <c r="K328" s="1"/>
  <c r="G323"/>
  <c r="H323" s="1"/>
  <c r="D333"/>
  <c r="F333" s="1"/>
  <c r="B330"/>
  <c r="C330" s="1"/>
  <c r="N334"/>
  <c r="L330"/>
  <c r="M330" s="1"/>
  <c r="D344"/>
  <c r="C343"/>
  <c r="B252"/>
  <c r="C252" s="1"/>
  <c r="D252"/>
  <c r="E252" s="1"/>
  <c r="L252"/>
  <c r="M252" s="1"/>
  <c r="I279"/>
  <c r="J279" s="1"/>
  <c r="Q279"/>
  <c r="R279" s="1"/>
  <c r="B301"/>
  <c r="C301" s="1"/>
  <c r="L301"/>
  <c r="M301" s="1"/>
  <c r="I306"/>
  <c r="J306" s="1"/>
  <c r="K306" s="1"/>
  <c r="B312"/>
  <c r="C312" s="1"/>
  <c r="L312"/>
  <c r="M312" s="1"/>
  <c r="D323"/>
  <c r="E323" s="1"/>
  <c r="S330"/>
  <c r="T330" s="1"/>
  <c r="E34" i="3"/>
  <c r="F34"/>
  <c r="B31"/>
  <c r="P221" i="4" l="1"/>
  <c r="P241"/>
  <c r="P137"/>
  <c r="U343"/>
  <c r="P32"/>
  <c r="P151"/>
  <c r="K159"/>
  <c r="P61"/>
  <c r="U151"/>
  <c r="K127"/>
  <c r="N83"/>
  <c r="O83" s="1"/>
  <c r="P83" s="1"/>
  <c r="P40"/>
  <c r="D105"/>
  <c r="E105" s="1"/>
  <c r="F105" s="1"/>
  <c r="P159"/>
  <c r="I252"/>
  <c r="J252" s="1"/>
  <c r="K137"/>
  <c r="K24" i="6"/>
  <c r="D241" i="4"/>
  <c r="E241" s="1"/>
  <c r="K67"/>
  <c r="P92"/>
  <c r="S24"/>
  <c r="T24" s="1"/>
  <c r="U24" s="1"/>
  <c r="U18" i="6"/>
  <c r="K126" i="4"/>
  <c r="U330"/>
  <c r="K279"/>
  <c r="P277"/>
  <c r="U84"/>
  <c r="P105"/>
  <c r="F32" i="6"/>
  <c r="U24"/>
  <c r="U116" i="4"/>
  <c r="U312"/>
  <c r="K24"/>
  <c r="K18"/>
  <c r="V265"/>
  <c r="D83"/>
  <c r="E83" s="1"/>
  <c r="P116"/>
  <c r="K227"/>
  <c r="V323"/>
  <c r="D18"/>
  <c r="E18" s="1"/>
  <c r="V18" s="1"/>
  <c r="F133"/>
  <c r="P45"/>
  <c r="F67"/>
  <c r="U32" i="6"/>
  <c r="F312" i="4"/>
  <c r="V241"/>
  <c r="V159"/>
  <c r="F24" i="6"/>
  <c r="S28"/>
  <c r="T28" s="1"/>
  <c r="U28" s="1"/>
  <c r="U355" i="4"/>
  <c r="D227"/>
  <c r="E227" s="1"/>
  <c r="F227" s="1"/>
  <c r="I32"/>
  <c r="J32" s="1"/>
  <c r="K32" s="1"/>
  <c r="N24"/>
  <c r="O24" s="1"/>
  <c r="V24" s="1"/>
  <c r="S126"/>
  <c r="T126" s="1"/>
  <c r="U126" s="1"/>
  <c r="K252"/>
  <c r="P301"/>
  <c r="U18"/>
  <c r="K312"/>
  <c r="U56"/>
  <c r="U105"/>
  <c r="K18" i="6"/>
  <c r="K45" i="4"/>
  <c r="K105"/>
  <c r="K219"/>
  <c r="P172"/>
  <c r="G6" i="5"/>
  <c r="H6" s="1"/>
  <c r="D279" i="4"/>
  <c r="E279" s="1"/>
  <c r="V132"/>
  <c r="F28"/>
  <c r="V28"/>
  <c r="F32"/>
  <c r="V32"/>
  <c r="F61"/>
  <c r="V61"/>
  <c r="V137"/>
  <c r="F144"/>
  <c r="V144"/>
  <c r="V56"/>
  <c r="V355"/>
  <c r="V312"/>
  <c r="V301"/>
  <c r="V252"/>
  <c r="V126"/>
  <c r="F277"/>
  <c r="V277"/>
  <c r="V272"/>
  <c r="V45"/>
  <c r="F92"/>
  <c r="V92"/>
  <c r="F219"/>
  <c r="V219"/>
  <c r="F172"/>
  <c r="V172"/>
  <c r="F151"/>
  <c r="V151"/>
  <c r="V67"/>
  <c r="S301"/>
  <c r="T301" s="1"/>
  <c r="U301" s="1"/>
  <c r="P144"/>
  <c r="F9" i="7"/>
  <c r="L9"/>
  <c r="Q9"/>
  <c r="P219" i="4"/>
  <c r="F24"/>
  <c r="F355"/>
  <c r="K265"/>
  <c r="U92"/>
  <c r="I241"/>
  <c r="J241" s="1"/>
  <c r="K241" s="1"/>
  <c r="F241"/>
  <c r="U45"/>
  <c r="F159"/>
  <c r="P312"/>
  <c r="F301"/>
  <c r="U227"/>
  <c r="I132"/>
  <c r="J132" s="1"/>
  <c r="K132" s="1"/>
  <c r="D134"/>
  <c r="E134" s="1"/>
  <c r="D40"/>
  <c r="E40" s="1"/>
  <c r="F25"/>
  <c r="P67"/>
  <c r="D116"/>
  <c r="E116" s="1"/>
  <c r="F137"/>
  <c r="U144"/>
  <c r="K32" i="6"/>
  <c r="S8"/>
  <c r="F265" i="4"/>
  <c r="N227"/>
  <c r="O227" s="1"/>
  <c r="P227" s="1"/>
  <c r="U279"/>
  <c r="D306"/>
  <c r="E306" s="1"/>
  <c r="N279"/>
  <c r="O279" s="1"/>
  <c r="F45"/>
  <c r="K151"/>
  <c r="P343"/>
  <c r="K272"/>
  <c r="P323"/>
  <c r="P32" i="6"/>
  <c r="U241" i="4"/>
  <c r="U32"/>
  <c r="G7" i="6"/>
  <c r="H7" s="1"/>
  <c r="U28" i="4"/>
  <c r="C7" i="5"/>
  <c r="B6"/>
  <c r="F323" i="4"/>
  <c r="K355"/>
  <c r="K134"/>
  <c r="U83"/>
  <c r="U67"/>
  <c r="F252"/>
  <c r="K56"/>
  <c r="U159"/>
  <c r="K172"/>
  <c r="Q6" i="5"/>
  <c r="R7"/>
  <c r="M7"/>
  <c r="L6"/>
  <c r="Q7" i="6"/>
  <c r="R7" s="1"/>
  <c r="P24"/>
  <c r="F18"/>
  <c r="M8"/>
  <c r="L7"/>
  <c r="C8"/>
  <c r="B7"/>
  <c r="P28"/>
  <c r="O8"/>
  <c r="N7"/>
  <c r="E8"/>
  <c r="D7"/>
  <c r="I7"/>
  <c r="J8"/>
  <c r="K8" s="1"/>
  <c r="P18"/>
  <c r="D6" i="5"/>
  <c r="E7"/>
  <c r="N6"/>
  <c r="O7"/>
  <c r="J7"/>
  <c r="K7" s="1"/>
  <c r="I6"/>
  <c r="T7"/>
  <c r="S6"/>
  <c r="K343" i="4"/>
  <c r="U172"/>
  <c r="P355"/>
  <c r="F279"/>
  <c r="D330"/>
  <c r="E330" s="1"/>
  <c r="F330" s="1"/>
  <c r="K277"/>
  <c r="K144"/>
  <c r="F56"/>
  <c r="K330"/>
  <c r="I323"/>
  <c r="J323" s="1"/>
  <c r="K323" s="1"/>
  <c r="F132"/>
  <c r="F272"/>
  <c r="F344"/>
  <c r="D343"/>
  <c r="E343" s="1"/>
  <c r="N330"/>
  <c r="O330" s="1"/>
  <c r="P330" s="1"/>
  <c r="P334"/>
  <c r="N306"/>
  <c r="O306" s="1"/>
  <c r="P306" s="1"/>
  <c r="P307"/>
  <c r="R40"/>
  <c r="U40" s="1"/>
  <c r="Q7"/>
  <c r="H40"/>
  <c r="K40" s="1"/>
  <c r="G7"/>
  <c r="M8"/>
  <c r="L7"/>
  <c r="C8"/>
  <c r="B7"/>
  <c r="P252"/>
  <c r="P126"/>
  <c r="F126"/>
  <c r="P28"/>
  <c r="O8"/>
  <c r="E8"/>
  <c r="T8"/>
  <c r="U8" s="1"/>
  <c r="J8"/>
  <c r="K8" s="1"/>
  <c r="P18"/>
  <c r="K83"/>
  <c r="B7" i="3"/>
  <c r="C7"/>
  <c r="B8"/>
  <c r="C8"/>
  <c r="D8"/>
  <c r="B30"/>
  <c r="C30"/>
  <c r="D30"/>
  <c r="V105" i="4" l="1"/>
  <c r="V83"/>
  <c r="F83"/>
  <c r="S7"/>
  <c r="T7" s="1"/>
  <c r="V279"/>
  <c r="S7" i="6"/>
  <c r="P279" i="4"/>
  <c r="F18"/>
  <c r="P24"/>
  <c r="F343"/>
  <c r="V343"/>
  <c r="F306"/>
  <c r="V306"/>
  <c r="F116"/>
  <c r="V116"/>
  <c r="F134"/>
  <c r="V134"/>
  <c r="V227"/>
  <c r="V8"/>
  <c r="V330"/>
  <c r="F40"/>
  <c r="V40"/>
  <c r="C6" i="5"/>
  <c r="M7" i="6"/>
  <c r="N7" i="4"/>
  <c r="O7" s="1"/>
  <c r="D7"/>
  <c r="E7" s="1"/>
  <c r="H7"/>
  <c r="P7" i="5"/>
  <c r="T8" i="6"/>
  <c r="U8" s="1"/>
  <c r="P8" i="4"/>
  <c r="F8" i="6"/>
  <c r="M6" i="5"/>
  <c r="I7" i="4"/>
  <c r="J7" s="1"/>
  <c r="F8"/>
  <c r="F7" i="5"/>
  <c r="J7" i="6"/>
  <c r="K7" s="1"/>
  <c r="C7"/>
  <c r="R6" i="5"/>
  <c r="U7"/>
  <c r="E7" i="6"/>
  <c r="P8"/>
  <c r="O7"/>
  <c r="T6" i="5"/>
  <c r="E6"/>
  <c r="J6"/>
  <c r="K6" s="1"/>
  <c r="O6"/>
  <c r="R7" i="4"/>
  <c r="C7"/>
  <c r="M7"/>
  <c r="D29" i="3"/>
  <c r="D28"/>
  <c r="C34"/>
  <c r="F6" i="5" l="1"/>
  <c r="U6"/>
  <c r="P7" i="6"/>
  <c r="K7" i="4"/>
  <c r="P7"/>
  <c r="P6" i="5"/>
  <c r="U7" i="4"/>
  <c r="T7" i="6"/>
  <c r="U7" s="1"/>
  <c r="F7" i="4"/>
  <c r="D34" i="3"/>
  <c r="F7" i="6"/>
  <c r="B16" i="3"/>
  <c r="B34" s="1"/>
  <c r="I134" i="2" l="1"/>
  <c r="K134" s="1"/>
  <c r="D134"/>
  <c r="B134"/>
  <c r="I133"/>
  <c r="K133" s="1"/>
  <c r="B133"/>
  <c r="D133" s="1"/>
  <c r="F133" s="1"/>
  <c r="Q132"/>
  <c r="S132" s="1"/>
  <c r="U132" s="1"/>
  <c r="L132"/>
  <c r="N132" s="1"/>
  <c r="P132" s="1"/>
  <c r="I132"/>
  <c r="K132" s="1"/>
  <c r="B132"/>
  <c r="D132" s="1"/>
  <c r="F132" s="1"/>
  <c r="Q131"/>
  <c r="S131" s="1"/>
  <c r="U131" s="1"/>
  <c r="L131"/>
  <c r="N131" s="1"/>
  <c r="P131" s="1"/>
  <c r="S139"/>
  <c r="U139" s="1"/>
  <c r="L139"/>
  <c r="N139" s="1"/>
  <c r="P139" s="1"/>
  <c r="I139"/>
  <c r="K139" s="1"/>
  <c r="B139"/>
  <c r="D139" s="1"/>
  <c r="F139" s="1"/>
  <c r="I138"/>
  <c r="K138" s="1"/>
  <c r="B138"/>
  <c r="D138" s="1"/>
  <c r="F138" s="1"/>
  <c r="S137"/>
  <c r="U137" s="1"/>
  <c r="L137"/>
  <c r="N137" s="1"/>
  <c r="P137" s="1"/>
  <c r="I137"/>
  <c r="K137" s="1"/>
  <c r="B137"/>
  <c r="D137" s="1"/>
  <c r="F137" s="1"/>
  <c r="S136"/>
  <c r="U136" s="1"/>
  <c r="L136"/>
  <c r="N136" s="1"/>
  <c r="P136" s="1"/>
  <c r="I136"/>
  <c r="K136" s="1"/>
  <c r="B136"/>
  <c r="D136" s="1"/>
  <c r="F136" s="1"/>
  <c r="S135"/>
  <c r="U135" s="1"/>
  <c r="L135"/>
  <c r="N135" s="1"/>
  <c r="P135" s="1"/>
  <c r="I135"/>
  <c r="K135" s="1"/>
  <c r="B135"/>
  <c r="D135" s="1"/>
  <c r="F135" s="1"/>
  <c r="S149"/>
  <c r="U149" s="1"/>
  <c r="L149"/>
  <c r="N149" s="1"/>
  <c r="P149" s="1"/>
  <c r="I149"/>
  <c r="K149" s="1"/>
  <c r="B149"/>
  <c r="D149" s="1"/>
  <c r="F149" s="1"/>
  <c r="S148"/>
  <c r="U148" s="1"/>
  <c r="L148"/>
  <c r="N148" s="1"/>
  <c r="P148" s="1"/>
  <c r="I148"/>
  <c r="K148" s="1"/>
  <c r="B148"/>
  <c r="D148" s="1"/>
  <c r="F148" s="1"/>
  <c r="I147"/>
  <c r="K147" s="1"/>
  <c r="B147"/>
  <c r="D147" s="1"/>
  <c r="F147" s="1"/>
  <c r="S146"/>
  <c r="U146" s="1"/>
  <c r="L146"/>
  <c r="N146" s="1"/>
  <c r="P146" s="1"/>
  <c r="I146"/>
  <c r="K146" s="1"/>
  <c r="B146"/>
  <c r="D146" s="1"/>
  <c r="F146" s="1"/>
  <c r="Q145"/>
  <c r="S145" s="1"/>
  <c r="I145"/>
  <c r="K145" s="1"/>
  <c r="B145"/>
  <c r="D145" s="1"/>
  <c r="F145" s="1"/>
  <c r="U144"/>
  <c r="Q144"/>
  <c r="S144" s="1"/>
  <c r="L144"/>
  <c r="N144" s="1"/>
  <c r="P144" s="1"/>
  <c r="G144"/>
  <c r="I144" s="1"/>
  <c r="K144" s="1"/>
  <c r="B144"/>
  <c r="D144" s="1"/>
  <c r="F144" s="1"/>
  <c r="B143"/>
  <c r="D143" s="1"/>
  <c r="F143" s="1"/>
  <c r="S142"/>
  <c r="U142" s="1"/>
  <c r="L142"/>
  <c r="N142" s="1"/>
  <c r="P142" s="1"/>
  <c r="I142"/>
  <c r="K142" s="1"/>
  <c r="B142"/>
  <c r="D142" s="1"/>
  <c r="F142" s="1"/>
  <c r="L141"/>
  <c r="N141" s="1"/>
  <c r="P141" s="1"/>
  <c r="S140"/>
  <c r="U140" s="1"/>
  <c r="L140"/>
  <c r="N140" s="1"/>
  <c r="P140" s="1"/>
  <c r="I140"/>
  <c r="K140" s="1"/>
  <c r="B140"/>
  <c r="D140" s="1"/>
  <c r="F140" s="1"/>
  <c r="I155"/>
  <c r="K155" s="1"/>
  <c r="G154"/>
  <c r="I154" s="1"/>
  <c r="K154" s="1"/>
  <c r="G153"/>
  <c r="I153" s="1"/>
  <c r="K153" s="1"/>
  <c r="B153"/>
  <c r="D153" s="1"/>
  <c r="F153" s="1"/>
  <c r="S152"/>
  <c r="U152" s="1"/>
  <c r="L152"/>
  <c r="N152" s="1"/>
  <c r="P152" s="1"/>
  <c r="I152"/>
  <c r="K152" s="1"/>
  <c r="D152"/>
  <c r="B152"/>
  <c r="S151"/>
  <c r="U151" s="1"/>
  <c r="L151"/>
  <c r="N151" s="1"/>
  <c r="P151" s="1"/>
  <c r="I151"/>
  <c r="K151" s="1"/>
  <c r="B151"/>
  <c r="D151" s="1"/>
  <c r="F151" s="1"/>
  <c r="S150"/>
  <c r="U150" s="1"/>
  <c r="L150"/>
  <c r="N150" s="1"/>
  <c r="P150" s="1"/>
  <c r="I150"/>
  <c r="K150" s="1"/>
  <c r="B150"/>
  <c r="D150" s="1"/>
  <c r="F150" s="1"/>
  <c r="F152" l="1"/>
  <c r="F134"/>
  <c r="Q182"/>
  <c r="S182" s="1"/>
  <c r="L182"/>
  <c r="N182" s="1"/>
  <c r="P182" s="1"/>
  <c r="G182"/>
  <c r="I182" s="1"/>
  <c r="K182" s="1"/>
  <c r="B182"/>
  <c r="D182" s="1"/>
  <c r="F182" s="1"/>
  <c r="G181"/>
  <c r="I181" s="1"/>
  <c r="B181"/>
  <c r="D181" s="1"/>
  <c r="F181" s="1"/>
  <c r="L180"/>
  <c r="N180" s="1"/>
  <c r="P180" s="1"/>
  <c r="G180"/>
  <c r="I180" s="1"/>
  <c r="K180" s="1"/>
  <c r="D180"/>
  <c r="Q179"/>
  <c r="S179" s="1"/>
  <c r="U179" s="1"/>
  <c r="L179"/>
  <c r="N179" s="1"/>
  <c r="B179"/>
  <c r="D179" s="1"/>
  <c r="Q178"/>
  <c r="S178" s="1"/>
  <c r="U178" s="1"/>
  <c r="L178"/>
  <c r="N178" s="1"/>
  <c r="P178" s="1"/>
  <c r="K178"/>
  <c r="G178"/>
  <c r="I178" s="1"/>
  <c r="B178"/>
  <c r="D178" s="1"/>
  <c r="F178" s="1"/>
  <c r="K177"/>
  <c r="G177"/>
  <c r="I177" s="1"/>
  <c r="B177"/>
  <c r="D177" s="1"/>
  <c r="F177" s="1"/>
  <c r="K176"/>
  <c r="G176"/>
  <c r="I176" s="1"/>
  <c r="B176"/>
  <c r="D176" s="1"/>
  <c r="F176" s="1"/>
  <c r="Q175"/>
  <c r="S175" s="1"/>
  <c r="U175" s="1"/>
  <c r="L175"/>
  <c r="N175" s="1"/>
  <c r="P175" s="1"/>
  <c r="K175"/>
  <c r="G175"/>
  <c r="I175" s="1"/>
  <c r="B175"/>
  <c r="D175" s="1"/>
  <c r="F175" s="1"/>
  <c r="Q174"/>
  <c r="S174" s="1"/>
  <c r="L174"/>
  <c r="N174" s="1"/>
  <c r="P174" s="1"/>
  <c r="K174"/>
  <c r="G174"/>
  <c r="I174" s="1"/>
  <c r="B174"/>
  <c r="D174" s="1"/>
  <c r="F174" s="1"/>
  <c r="K173"/>
  <c r="G173"/>
  <c r="I173" s="1"/>
  <c r="B173"/>
  <c r="D173" s="1"/>
  <c r="F173" s="1"/>
  <c r="K172"/>
  <c r="G172"/>
  <c r="I172" s="1"/>
  <c r="B172"/>
  <c r="D172" s="1"/>
  <c r="F172" s="1"/>
  <c r="Q171"/>
  <c r="S171" s="1"/>
  <c r="U171" s="1"/>
  <c r="L171"/>
  <c r="N171" s="1"/>
  <c r="K171"/>
  <c r="G171"/>
  <c r="I171" s="1"/>
  <c r="B171"/>
  <c r="D171" s="1"/>
  <c r="F171" s="1"/>
  <c r="K170"/>
  <c r="G170"/>
  <c r="I170" s="1"/>
  <c r="B170"/>
  <c r="D170" s="1"/>
  <c r="F170" s="1"/>
  <c r="K169"/>
  <c r="G169"/>
  <c r="I169" s="1"/>
  <c r="B169"/>
  <c r="D169" s="1"/>
  <c r="F169" s="1"/>
  <c r="K168"/>
  <c r="G168"/>
  <c r="I168" s="1"/>
  <c r="B168"/>
  <c r="D168" s="1"/>
  <c r="G167"/>
  <c r="I167" s="1"/>
  <c r="K167" s="1"/>
  <c r="B167"/>
  <c r="D167" s="1"/>
  <c r="F167" s="1"/>
  <c r="G166"/>
  <c r="I166" s="1"/>
  <c r="K166" s="1"/>
  <c r="B166"/>
  <c r="D166" s="1"/>
  <c r="F166" s="1"/>
  <c r="Q165"/>
  <c r="S165" s="1"/>
  <c r="U165" s="1"/>
  <c r="L165"/>
  <c r="N165" s="1"/>
  <c r="P165" s="1"/>
  <c r="G165"/>
  <c r="I165" s="1"/>
  <c r="K165" s="1"/>
  <c r="B165"/>
  <c r="D165" s="1"/>
  <c r="F165" s="1"/>
  <c r="Q164"/>
  <c r="S164" s="1"/>
  <c r="U164" s="1"/>
  <c r="L164"/>
  <c r="N164" s="1"/>
  <c r="P164" s="1"/>
  <c r="G164"/>
  <c r="I164" s="1"/>
  <c r="K164" s="1"/>
  <c r="B164"/>
  <c r="D164" s="1"/>
  <c r="F164" s="1"/>
  <c r="Q163"/>
  <c r="S163" s="1"/>
  <c r="U163" s="1"/>
  <c r="L163"/>
  <c r="N163" s="1"/>
  <c r="P163" s="1"/>
  <c r="G163"/>
  <c r="I163" s="1"/>
  <c r="K163" s="1"/>
  <c r="B163"/>
  <c r="D163" s="1"/>
  <c r="F163" s="1"/>
  <c r="G162"/>
  <c r="I162" s="1"/>
  <c r="K162" s="1"/>
  <c r="B162"/>
  <c r="D162" s="1"/>
  <c r="F162" s="1"/>
  <c r="G161"/>
  <c r="I161" s="1"/>
  <c r="K161" s="1"/>
  <c r="B161"/>
  <c r="D161" s="1"/>
  <c r="F161" s="1"/>
  <c r="G160"/>
  <c r="I160" s="1"/>
  <c r="K160" s="1"/>
  <c r="B160"/>
  <c r="D160" s="1"/>
  <c r="F160" s="1"/>
  <c r="Q159"/>
  <c r="S159" s="1"/>
  <c r="L159"/>
  <c r="N159" s="1"/>
  <c r="G159"/>
  <c r="I159" s="1"/>
  <c r="K159" s="1"/>
  <c r="B159"/>
  <c r="D159" s="1"/>
  <c r="F159" s="1"/>
  <c r="G158"/>
  <c r="I158" s="1"/>
  <c r="K158" s="1"/>
  <c r="B158"/>
  <c r="D158" s="1"/>
  <c r="F158" s="1"/>
  <c r="B157"/>
  <c r="D157" s="1"/>
  <c r="F157" s="1"/>
  <c r="G156"/>
  <c r="I156" s="1"/>
  <c r="B156"/>
  <c r="D156" s="1"/>
  <c r="Q130"/>
  <c r="S130" s="1"/>
  <c r="U130" s="1"/>
  <c r="L130"/>
  <c r="N130" s="1"/>
  <c r="P130" s="1"/>
  <c r="G130"/>
  <c r="I130" s="1"/>
  <c r="K130" s="1"/>
  <c r="B130"/>
  <c r="D130" s="1"/>
  <c r="F130" s="1"/>
  <c r="Q129"/>
  <c r="S129" s="1"/>
  <c r="U129" s="1"/>
  <c r="L129"/>
  <c r="N129" s="1"/>
  <c r="P129" s="1"/>
  <c r="G129"/>
  <c r="I129" s="1"/>
  <c r="K129" s="1"/>
  <c r="B129"/>
  <c r="D129" s="1"/>
  <c r="F129" s="1"/>
  <c r="Q128"/>
  <c r="S128" s="1"/>
  <c r="U128" s="1"/>
  <c r="L128"/>
  <c r="N128" s="1"/>
  <c r="P128" s="1"/>
  <c r="G128"/>
  <c r="I128" s="1"/>
  <c r="K128" s="1"/>
  <c r="B128"/>
  <c r="D128" s="1"/>
  <c r="F128" s="1"/>
  <c r="Q127"/>
  <c r="S127" s="1"/>
  <c r="U127" s="1"/>
  <c r="L127"/>
  <c r="N127" s="1"/>
  <c r="P127" s="1"/>
  <c r="G127"/>
  <c r="I127" s="1"/>
  <c r="K127" s="1"/>
  <c r="B127"/>
  <c r="D127" s="1"/>
  <c r="F127" s="1"/>
  <c r="U126"/>
  <c r="Q126"/>
  <c r="S126" s="1"/>
  <c r="L126"/>
  <c r="N126" s="1"/>
  <c r="P126" s="1"/>
  <c r="G126"/>
  <c r="I126" s="1"/>
  <c r="K126" s="1"/>
  <c r="B126"/>
  <c r="D126" s="1"/>
  <c r="F126" s="1"/>
  <c r="G125"/>
  <c r="I125" s="1"/>
  <c r="K125" s="1"/>
  <c r="B125"/>
  <c r="D125" s="1"/>
  <c r="F125" s="1"/>
  <c r="B124"/>
  <c r="D124" s="1"/>
  <c r="F124" s="1"/>
  <c r="G123"/>
  <c r="I123" s="1"/>
  <c r="K123" s="1"/>
  <c r="B123"/>
  <c r="D123" s="1"/>
  <c r="F123" s="1"/>
  <c r="G122"/>
  <c r="I122" s="1"/>
  <c r="K122" s="1"/>
  <c r="B122"/>
  <c r="D122" s="1"/>
  <c r="F122" s="1"/>
  <c r="Q121"/>
  <c r="S121" s="1"/>
  <c r="U121" s="1"/>
  <c r="L121"/>
  <c r="N121" s="1"/>
  <c r="P121" s="1"/>
  <c r="G121"/>
  <c r="I121" s="1"/>
  <c r="K121" s="1"/>
  <c r="B121"/>
  <c r="D121" s="1"/>
  <c r="F121" s="1"/>
  <c r="Q120"/>
  <c r="S120" s="1"/>
  <c r="U120" s="1"/>
  <c r="L120"/>
  <c r="N120" s="1"/>
  <c r="P120" s="1"/>
  <c r="G120"/>
  <c r="I120" s="1"/>
  <c r="K120" s="1"/>
  <c r="B120"/>
  <c r="D120" s="1"/>
  <c r="F120" s="1"/>
  <c r="Q119"/>
  <c r="S119" s="1"/>
  <c r="U119" s="1"/>
  <c r="L119"/>
  <c r="N119" s="1"/>
  <c r="P119" s="1"/>
  <c r="G119"/>
  <c r="I119" s="1"/>
  <c r="K119" s="1"/>
  <c r="B119"/>
  <c r="D119" s="1"/>
  <c r="F119" s="1"/>
  <c r="Q118"/>
  <c r="S118" s="1"/>
  <c r="U118" s="1"/>
  <c r="L118"/>
  <c r="N118" s="1"/>
  <c r="P118" s="1"/>
  <c r="G118"/>
  <c r="I118" s="1"/>
  <c r="K118" s="1"/>
  <c r="B118"/>
  <c r="D118" s="1"/>
  <c r="F118" s="1"/>
  <c r="Q117"/>
  <c r="S117" s="1"/>
  <c r="U117" s="1"/>
  <c r="L117"/>
  <c r="N117" s="1"/>
  <c r="P117" s="1"/>
  <c r="G117"/>
  <c r="I117" s="1"/>
  <c r="K117" s="1"/>
  <c r="B117"/>
  <c r="D117" s="1"/>
  <c r="F117" s="1"/>
  <c r="Q116"/>
  <c r="S116" s="1"/>
  <c r="U116" s="1"/>
  <c r="L116"/>
  <c r="N116" s="1"/>
  <c r="P116" s="1"/>
  <c r="G116"/>
  <c r="I116" s="1"/>
  <c r="K116" s="1"/>
  <c r="B116"/>
  <c r="D116" s="1"/>
  <c r="F116" s="1"/>
  <c r="Q115"/>
  <c r="S115" s="1"/>
  <c r="U115" s="1"/>
  <c r="L115"/>
  <c r="N115" s="1"/>
  <c r="P115" s="1"/>
  <c r="G115"/>
  <c r="I115" s="1"/>
  <c r="K115" s="1"/>
  <c r="B115"/>
  <c r="D115" s="1"/>
  <c r="F115" s="1"/>
  <c r="Q114"/>
  <c r="S114" s="1"/>
  <c r="U114" s="1"/>
  <c r="L114"/>
  <c r="N114" s="1"/>
  <c r="P114" s="1"/>
  <c r="G114"/>
  <c r="I114" s="1"/>
  <c r="K114" s="1"/>
  <c r="B114"/>
  <c r="D114" s="1"/>
  <c r="F114" s="1"/>
  <c r="Q113"/>
  <c r="S113" s="1"/>
  <c r="U113" s="1"/>
  <c r="L113"/>
  <c r="N113" s="1"/>
  <c r="P113" s="1"/>
  <c r="G113"/>
  <c r="I113" s="1"/>
  <c r="K113" s="1"/>
  <c r="B113"/>
  <c r="D113" s="1"/>
  <c r="F113" s="1"/>
  <c r="Q112"/>
  <c r="S112" s="1"/>
  <c r="U112" s="1"/>
  <c r="L112"/>
  <c r="N112" s="1"/>
  <c r="P112" s="1"/>
  <c r="G112"/>
  <c r="I112" s="1"/>
  <c r="K112" s="1"/>
  <c r="B112"/>
  <c r="D112" s="1"/>
  <c r="F112" s="1"/>
  <c r="U111"/>
  <c r="Q111"/>
  <c r="S111" s="1"/>
  <c r="L111"/>
  <c r="N111" s="1"/>
  <c r="P111" s="1"/>
  <c r="G111"/>
  <c r="I111" s="1"/>
  <c r="K111" s="1"/>
  <c r="B111"/>
  <c r="D111" s="1"/>
  <c r="F111" s="1"/>
  <c r="Q110"/>
  <c r="S110" s="1"/>
  <c r="L110"/>
  <c r="N110" s="1"/>
  <c r="G110"/>
  <c r="I110" s="1"/>
  <c r="B110"/>
  <c r="D110" s="1"/>
  <c r="U109"/>
  <c r="Q109"/>
  <c r="S109" s="1"/>
  <c r="P109"/>
  <c r="L109"/>
  <c r="N109" s="1"/>
  <c r="K109"/>
  <c r="G109"/>
  <c r="I109" s="1"/>
  <c r="B109"/>
  <c r="D109" s="1"/>
  <c r="F109" s="1"/>
  <c r="G108"/>
  <c r="I108" s="1"/>
  <c r="K108" s="1"/>
  <c r="B108"/>
  <c r="D108" s="1"/>
  <c r="F108" s="1"/>
  <c r="G107"/>
  <c r="I107" s="1"/>
  <c r="K107" s="1"/>
  <c r="B107"/>
  <c r="D107" s="1"/>
  <c r="F107" s="1"/>
  <c r="G106"/>
  <c r="I106" s="1"/>
  <c r="K106" s="1"/>
  <c r="B106"/>
  <c r="D106" s="1"/>
  <c r="U105"/>
  <c r="Q105"/>
  <c r="S105" s="1"/>
  <c r="P105"/>
  <c r="L105"/>
  <c r="N105" s="1"/>
  <c r="K105"/>
  <c r="G105"/>
  <c r="I105" s="1"/>
  <c r="B105"/>
  <c r="D105" s="1"/>
  <c r="F105" s="1"/>
  <c r="U104"/>
  <c r="Q104"/>
  <c r="S104" s="1"/>
  <c r="P104"/>
  <c r="L104"/>
  <c r="N104" s="1"/>
  <c r="G104"/>
  <c r="I104" s="1"/>
  <c r="K104" s="1"/>
  <c r="B104"/>
  <c r="D104" s="1"/>
  <c r="F104" s="1"/>
  <c r="G103"/>
  <c r="I103" s="1"/>
  <c r="K103" s="1"/>
  <c r="B103"/>
  <c r="D103" s="1"/>
  <c r="F103" s="1"/>
  <c r="G102"/>
  <c r="I102" s="1"/>
  <c r="K102" s="1"/>
  <c r="B102"/>
  <c r="D102" s="1"/>
  <c r="F102" s="1"/>
  <c r="G100"/>
  <c r="I100" s="1"/>
  <c r="K100" s="1"/>
  <c r="B100"/>
  <c r="D100" s="1"/>
  <c r="F100" s="1"/>
  <c r="K99"/>
  <c r="G99"/>
  <c r="I99" s="1"/>
  <c r="B99"/>
  <c r="D99" s="1"/>
  <c r="G98"/>
  <c r="I98" s="1"/>
  <c r="K98" s="1"/>
  <c r="B98"/>
  <c r="D98" s="1"/>
  <c r="F98" s="1"/>
  <c r="G97"/>
  <c r="I97" s="1"/>
  <c r="K97" s="1"/>
  <c r="B97"/>
  <c r="D97" s="1"/>
  <c r="F97" s="1"/>
  <c r="B96"/>
  <c r="D96" s="1"/>
  <c r="F96" s="1"/>
  <c r="I95"/>
  <c r="K95" s="1"/>
  <c r="B95"/>
  <c r="D95" s="1"/>
  <c r="F95" s="1"/>
  <c r="G94"/>
  <c r="I94" s="1"/>
  <c r="K94" s="1"/>
  <c r="B94"/>
  <c r="D94" s="1"/>
  <c r="F94" s="1"/>
  <c r="G93"/>
  <c r="I93" s="1"/>
  <c r="K93" s="1"/>
  <c r="B93"/>
  <c r="D93" s="1"/>
  <c r="F93" s="1"/>
  <c r="T92"/>
  <c r="R92"/>
  <c r="Q92"/>
  <c r="S92" s="1"/>
  <c r="L92"/>
  <c r="N92" s="1"/>
  <c r="P92" s="1"/>
  <c r="J92"/>
  <c r="H92"/>
  <c r="G92"/>
  <c r="I92" s="1"/>
  <c r="B92"/>
  <c r="D92" s="1"/>
  <c r="F92" s="1"/>
  <c r="G91"/>
  <c r="I91" s="1"/>
  <c r="K91" s="1"/>
  <c r="B91"/>
  <c r="D91" s="1"/>
  <c r="F91" s="1"/>
  <c r="G90"/>
  <c r="I90" s="1"/>
  <c r="K90" s="1"/>
  <c r="B90"/>
  <c r="D90" s="1"/>
  <c r="F90" s="1"/>
  <c r="G89"/>
  <c r="I89" s="1"/>
  <c r="K89" s="1"/>
  <c r="B89"/>
  <c r="D89" s="1"/>
  <c r="F89" s="1"/>
  <c r="U88"/>
  <c r="Q88"/>
  <c r="S88" s="1"/>
  <c r="L88"/>
  <c r="N88" s="1"/>
  <c r="G88"/>
  <c r="I88" s="1"/>
  <c r="B88"/>
  <c r="D88" s="1"/>
  <c r="F88" s="1"/>
  <c r="B87"/>
  <c r="D87" s="1"/>
  <c r="G86"/>
  <c r="I86" s="1"/>
  <c r="K86" s="1"/>
  <c r="B86"/>
  <c r="D86" s="1"/>
  <c r="F86" s="1"/>
  <c r="U85"/>
  <c r="Q85"/>
  <c r="S85" s="1"/>
  <c r="L85"/>
  <c r="N85" s="1"/>
  <c r="P85" s="1"/>
  <c r="G85"/>
  <c r="I85" s="1"/>
  <c r="K85" s="1"/>
  <c r="B85"/>
  <c r="D85" s="1"/>
  <c r="F85" s="1"/>
  <c r="G84"/>
  <c r="I84" s="1"/>
  <c r="K84" s="1"/>
  <c r="B84"/>
  <c r="D84" s="1"/>
  <c r="F84" s="1"/>
  <c r="G83"/>
  <c r="I83" s="1"/>
  <c r="K83" s="1"/>
  <c r="B83"/>
  <c r="D83" s="1"/>
  <c r="F83" s="1"/>
  <c r="G82"/>
  <c r="I82" s="1"/>
  <c r="K82" s="1"/>
  <c r="B82"/>
  <c r="D82" s="1"/>
  <c r="F82" s="1"/>
  <c r="U80"/>
  <c r="Q80"/>
  <c r="S80" s="1"/>
  <c r="L80"/>
  <c r="N80" s="1"/>
  <c r="P80" s="1"/>
  <c r="G80"/>
  <c r="I80" s="1"/>
  <c r="K80" s="1"/>
  <c r="B80"/>
  <c r="D80" s="1"/>
  <c r="F80" s="1"/>
  <c r="G79"/>
  <c r="I79" s="1"/>
  <c r="K79" s="1"/>
  <c r="B79"/>
  <c r="D79" s="1"/>
  <c r="F79" s="1"/>
  <c r="I78"/>
  <c r="T77"/>
  <c r="R77"/>
  <c r="Q77"/>
  <c r="S77" s="1"/>
  <c r="L77"/>
  <c r="N77" s="1"/>
  <c r="J77"/>
  <c r="H77"/>
  <c r="G77"/>
  <c r="I77" s="1"/>
  <c r="B77"/>
  <c r="D77" s="1"/>
  <c r="Q76"/>
  <c r="S76" s="1"/>
  <c r="U76" s="1"/>
  <c r="L76"/>
  <c r="N76" s="1"/>
  <c r="P76" s="1"/>
  <c r="G76"/>
  <c r="I76" s="1"/>
  <c r="K76" s="1"/>
  <c r="B76"/>
  <c r="D76" s="1"/>
  <c r="F76" s="1"/>
  <c r="U75"/>
  <c r="Q75"/>
  <c r="S75" s="1"/>
  <c r="L75"/>
  <c r="N75" s="1"/>
  <c r="P75" s="1"/>
  <c r="G75"/>
  <c r="I75" s="1"/>
  <c r="K75" s="1"/>
  <c r="B75"/>
  <c r="D75" s="1"/>
  <c r="F75" s="1"/>
  <c r="S74"/>
  <c r="G74"/>
  <c r="I74" s="1"/>
  <c r="K74" s="1"/>
  <c r="B74"/>
  <c r="D74" s="1"/>
  <c r="F74" s="1"/>
  <c r="Q73"/>
  <c r="S73" s="1"/>
  <c r="U73" s="1"/>
  <c r="L73"/>
  <c r="N73" s="1"/>
  <c r="P73" s="1"/>
  <c r="G73"/>
  <c r="I73" s="1"/>
  <c r="K73" s="1"/>
  <c r="B73"/>
  <c r="D73" s="1"/>
  <c r="F73" s="1"/>
  <c r="Q72"/>
  <c r="S72" s="1"/>
  <c r="U72" s="1"/>
  <c r="L72"/>
  <c r="N72" s="1"/>
  <c r="P72" s="1"/>
  <c r="I72"/>
  <c r="D72"/>
  <c r="Q71"/>
  <c r="S71" s="1"/>
  <c r="U71" s="1"/>
  <c r="L71"/>
  <c r="N71" s="1"/>
  <c r="P71" s="1"/>
  <c r="G71"/>
  <c r="I71" s="1"/>
  <c r="K71" s="1"/>
  <c r="B71"/>
  <c r="D71" s="1"/>
  <c r="F71" s="1"/>
  <c r="S70"/>
  <c r="N70"/>
  <c r="G70"/>
  <c r="I70" s="1"/>
  <c r="K70" s="1"/>
  <c r="B70"/>
  <c r="D70" s="1"/>
  <c r="F70" s="1"/>
  <c r="Q69"/>
  <c r="S69" s="1"/>
  <c r="U69" s="1"/>
  <c r="L69"/>
  <c r="N69" s="1"/>
  <c r="P69" s="1"/>
  <c r="G69"/>
  <c r="I69" s="1"/>
  <c r="K69" s="1"/>
  <c r="B69"/>
  <c r="D69" s="1"/>
  <c r="F69" s="1"/>
  <c r="Q68"/>
  <c r="S68" s="1"/>
  <c r="U68" s="1"/>
  <c r="L68"/>
  <c r="N68" s="1"/>
  <c r="P68" s="1"/>
  <c r="G68"/>
  <c r="I68" s="1"/>
  <c r="K68" s="1"/>
  <c r="B68"/>
  <c r="D68" s="1"/>
  <c r="F68" s="1"/>
  <c r="Q67"/>
  <c r="S67" s="1"/>
  <c r="U67" s="1"/>
  <c r="M67"/>
  <c r="L67"/>
  <c r="N67" s="1"/>
  <c r="G67"/>
  <c r="I67" s="1"/>
  <c r="K67" s="1"/>
  <c r="B67"/>
  <c r="D67" s="1"/>
  <c r="F67" s="1"/>
  <c r="S66"/>
  <c r="N66"/>
  <c r="I66"/>
  <c r="D66"/>
  <c r="Q65"/>
  <c r="S65" s="1"/>
  <c r="U65" s="1"/>
  <c r="L65"/>
  <c r="N65" s="1"/>
  <c r="P65" s="1"/>
  <c r="G65"/>
  <c r="I65" s="1"/>
  <c r="K65" s="1"/>
  <c r="Q64"/>
  <c r="S64" s="1"/>
  <c r="L64"/>
  <c r="N64" s="1"/>
  <c r="G64"/>
  <c r="I64" s="1"/>
  <c r="B64"/>
  <c r="D64" s="1"/>
  <c r="G63"/>
  <c r="I63" s="1"/>
  <c r="B63"/>
  <c r="D63" s="1"/>
  <c r="F63" s="1"/>
  <c r="I62"/>
  <c r="G62"/>
  <c r="D62"/>
  <c r="B62"/>
  <c r="U61"/>
  <c r="Q61"/>
  <c r="S61" s="1"/>
  <c r="N61"/>
  <c r="L61"/>
  <c r="I61"/>
  <c r="G61"/>
  <c r="D61"/>
  <c r="B61"/>
  <c r="U60"/>
  <c r="S60"/>
  <c r="Q60"/>
  <c r="N60"/>
  <c r="L60"/>
  <c r="I60"/>
  <c r="G60"/>
  <c r="D60"/>
  <c r="B60"/>
  <c r="U59"/>
  <c r="S59"/>
  <c r="Q59"/>
  <c r="N59"/>
  <c r="L59"/>
  <c r="I59"/>
  <c r="G59"/>
  <c r="D59"/>
  <c r="B59"/>
  <c r="U58"/>
  <c r="S58"/>
  <c r="Q58"/>
  <c r="L58"/>
  <c r="N58" s="1"/>
  <c r="G58"/>
  <c r="I58" s="1"/>
  <c r="K58" s="1"/>
  <c r="B58"/>
  <c r="D58" s="1"/>
  <c r="F58" s="1"/>
  <c r="I57"/>
  <c r="G57"/>
  <c r="B57"/>
  <c r="D57" s="1"/>
  <c r="G56"/>
  <c r="I56" s="1"/>
  <c r="K56" s="1"/>
  <c r="B56"/>
  <c r="D56" s="1"/>
  <c r="F56" s="1"/>
  <c r="G55"/>
  <c r="I55" s="1"/>
  <c r="B55"/>
  <c r="D55" s="1"/>
  <c r="G54"/>
  <c r="I54" s="1"/>
  <c r="B54"/>
  <c r="D54" s="1"/>
  <c r="S53"/>
  <c r="N53"/>
  <c r="G53"/>
  <c r="I53" s="1"/>
  <c r="K53" s="1"/>
  <c r="B53"/>
  <c r="D53" s="1"/>
  <c r="F53" s="1"/>
  <c r="G52"/>
  <c r="I52" s="1"/>
  <c r="K52" s="1"/>
  <c r="B52"/>
  <c r="D52" s="1"/>
  <c r="F52" s="1"/>
  <c r="Q51"/>
  <c r="S51" s="1"/>
  <c r="U51" s="1"/>
  <c r="L51"/>
  <c r="N51" s="1"/>
  <c r="P51" s="1"/>
  <c r="G51"/>
  <c r="I51" s="1"/>
  <c r="K51" s="1"/>
  <c r="B51"/>
  <c r="D51" s="1"/>
  <c r="F51" s="1"/>
  <c r="Q50"/>
  <c r="S50" s="1"/>
  <c r="U50" s="1"/>
  <c r="N50"/>
  <c r="I50"/>
  <c r="Q49"/>
  <c r="S49" s="1"/>
  <c r="L49"/>
  <c r="N49" s="1"/>
  <c r="G49"/>
  <c r="I49" s="1"/>
  <c r="B49"/>
  <c r="D49" s="1"/>
  <c r="G48"/>
  <c r="I48" s="1"/>
  <c r="K48" s="1"/>
  <c r="B48"/>
  <c r="D48" s="1"/>
  <c r="F48" s="1"/>
  <c r="G47"/>
  <c r="I47" s="1"/>
  <c r="K47" s="1"/>
  <c r="B47"/>
  <c r="D47" s="1"/>
  <c r="F47" s="1"/>
  <c r="G46"/>
  <c r="I46" s="1"/>
  <c r="K46" s="1"/>
  <c r="B46"/>
  <c r="D46" s="1"/>
  <c r="F46" s="1"/>
  <c r="G45"/>
  <c r="I45" s="1"/>
  <c r="K45" s="1"/>
  <c r="B45"/>
  <c r="D45" s="1"/>
  <c r="F45" s="1"/>
  <c r="G44"/>
  <c r="I44" s="1"/>
  <c r="K44" s="1"/>
  <c r="B44"/>
  <c r="D44" s="1"/>
  <c r="F44" s="1"/>
  <c r="G43"/>
  <c r="I43" s="1"/>
  <c r="K43" s="1"/>
  <c r="B43"/>
  <c r="D43" s="1"/>
  <c r="F43" s="1"/>
  <c r="G42"/>
  <c r="I42" s="1"/>
  <c r="K42" s="1"/>
  <c r="B42"/>
  <c r="D42" s="1"/>
  <c r="F42" s="1"/>
  <c r="Q41"/>
  <c r="S41" s="1"/>
  <c r="L41"/>
  <c r="N41" s="1"/>
  <c r="G41"/>
  <c r="I41" s="1"/>
  <c r="B41"/>
  <c r="D41" s="1"/>
  <c r="Q40"/>
  <c r="S40" s="1"/>
  <c r="L40"/>
  <c r="N40" s="1"/>
  <c r="P40" s="1"/>
  <c r="G40"/>
  <c r="I40" s="1"/>
  <c r="E40"/>
  <c r="B40"/>
  <c r="D40" s="1"/>
  <c r="U39"/>
  <c r="Q39"/>
  <c r="S39" s="1"/>
  <c r="L39"/>
  <c r="N39" s="1"/>
  <c r="P39" s="1"/>
  <c r="G39"/>
  <c r="I39" s="1"/>
  <c r="K39" s="1"/>
  <c r="B39"/>
  <c r="D39" s="1"/>
  <c r="F39" s="1"/>
  <c r="Q38"/>
  <c r="S38" s="1"/>
  <c r="U38" s="1"/>
  <c r="B38"/>
  <c r="D38" s="1"/>
  <c r="F38" s="1"/>
  <c r="S37"/>
  <c r="Q37"/>
  <c r="L37"/>
  <c r="N37" s="1"/>
  <c r="G37"/>
  <c r="I37" s="1"/>
  <c r="K37" s="1"/>
  <c r="B37"/>
  <c r="D37" s="1"/>
  <c r="Q36"/>
  <c r="S36" s="1"/>
  <c r="U36" s="1"/>
  <c r="L36"/>
  <c r="N36" s="1"/>
  <c r="P36" s="1"/>
  <c r="G36"/>
  <c r="I36" s="1"/>
  <c r="K36" s="1"/>
  <c r="B36"/>
  <c r="D36" s="1"/>
  <c r="F36" s="1"/>
  <c r="U35"/>
  <c r="Q35"/>
  <c r="S35" s="1"/>
  <c r="L35"/>
  <c r="N35" s="1"/>
  <c r="P35" s="1"/>
  <c r="G35"/>
  <c r="I35" s="1"/>
  <c r="K35" s="1"/>
  <c r="B35"/>
  <c r="D35" s="1"/>
  <c r="F35" s="1"/>
  <c r="U34"/>
  <c r="Q34"/>
  <c r="S34" s="1"/>
  <c r="L34"/>
  <c r="N34" s="1"/>
  <c r="P34" s="1"/>
  <c r="G34"/>
  <c r="I34" s="1"/>
  <c r="B34"/>
  <c r="D34" s="1"/>
  <c r="F34" s="1"/>
  <c r="L33"/>
  <c r="N33" s="1"/>
  <c r="P33" s="1"/>
  <c r="B33"/>
  <c r="D33" s="1"/>
  <c r="F33" s="1"/>
  <c r="B32"/>
  <c r="D32" s="1"/>
  <c r="F32" s="1"/>
  <c r="B31"/>
  <c r="D31" s="1"/>
  <c r="F31" s="1"/>
  <c r="Q30"/>
  <c r="S30" s="1"/>
  <c r="U30" s="1"/>
  <c r="L30"/>
  <c r="N30" s="1"/>
  <c r="G30"/>
  <c r="I30" s="1"/>
  <c r="K30" s="1"/>
  <c r="B30"/>
  <c r="D30" s="1"/>
  <c r="Q29"/>
  <c r="S29" s="1"/>
  <c r="U29" s="1"/>
  <c r="L29"/>
  <c r="N29" s="1"/>
  <c r="I29"/>
  <c r="K29" s="1"/>
  <c r="D29"/>
  <c r="F29" s="1"/>
  <c r="F28"/>
  <c r="N27"/>
  <c r="P27" s="1"/>
  <c r="D27"/>
  <c r="F27" s="1"/>
  <c r="L26"/>
  <c r="N26" s="1"/>
  <c r="P26" s="1"/>
  <c r="D26"/>
  <c r="F26" s="1"/>
  <c r="U25"/>
  <c r="Q25"/>
  <c r="S25" s="1"/>
  <c r="L25"/>
  <c r="N25" s="1"/>
  <c r="P25" s="1"/>
  <c r="G25"/>
  <c r="I25" s="1"/>
  <c r="K25" s="1"/>
  <c r="B25"/>
  <c r="D25" s="1"/>
  <c r="F25" s="1"/>
  <c r="U24"/>
  <c r="Q24"/>
  <c r="S24" s="1"/>
  <c r="L24"/>
  <c r="N24" s="1"/>
  <c r="P24" s="1"/>
  <c r="G24"/>
  <c r="I24" s="1"/>
  <c r="B24"/>
  <c r="D24" s="1"/>
  <c r="F24" s="1"/>
  <c r="Q23"/>
  <c r="S23" s="1"/>
  <c r="L23"/>
  <c r="N23" s="1"/>
  <c r="P23" s="1"/>
  <c r="G23"/>
  <c r="I23" s="1"/>
  <c r="B23"/>
  <c r="D23" s="1"/>
  <c r="F23" s="1"/>
  <c r="B22"/>
  <c r="D22" s="1"/>
  <c r="F22" s="1"/>
  <c r="L21"/>
  <c r="N21" s="1"/>
  <c r="P21" s="1"/>
  <c r="B21"/>
  <c r="D21" s="1"/>
  <c r="F21" s="1"/>
  <c r="L20"/>
  <c r="N20" s="1"/>
  <c r="P20" s="1"/>
  <c r="B20"/>
  <c r="D20" s="1"/>
  <c r="F20" s="1"/>
  <c r="L19"/>
  <c r="N19" s="1"/>
  <c r="P19" s="1"/>
  <c r="B19"/>
  <c r="D19" s="1"/>
  <c r="L18"/>
  <c r="N18" s="1"/>
  <c r="P18" s="1"/>
  <c r="B18"/>
  <c r="D18" s="1"/>
  <c r="F18" s="1"/>
  <c r="U17"/>
  <c r="Q17"/>
  <c r="S17" s="1"/>
  <c r="L17"/>
  <c r="N17" s="1"/>
  <c r="P17" s="1"/>
  <c r="G17"/>
  <c r="I17" s="1"/>
  <c r="K17" s="1"/>
  <c r="B17"/>
  <c r="D17" s="1"/>
  <c r="F17" s="1"/>
  <c r="S16"/>
  <c r="L16"/>
  <c r="N16" s="1"/>
  <c r="P16" s="1"/>
  <c r="G16"/>
  <c r="I16" s="1"/>
  <c r="K16" s="1"/>
  <c r="B16"/>
  <c r="D16" s="1"/>
  <c r="F16" s="1"/>
  <c r="N15"/>
  <c r="B15"/>
  <c r="D15" s="1"/>
  <c r="F15" s="1"/>
  <c r="Q14"/>
  <c r="S14" s="1"/>
  <c r="U14" s="1"/>
  <c r="L14"/>
  <c r="N14" s="1"/>
  <c r="P14" s="1"/>
  <c r="G14"/>
  <c r="I14" s="1"/>
  <c r="K14" s="1"/>
  <c r="B14"/>
  <c r="D14" s="1"/>
  <c r="F14" s="1"/>
  <c r="B13"/>
  <c r="D13" s="1"/>
  <c r="F13" s="1"/>
  <c r="Q12"/>
  <c r="S12" s="1"/>
  <c r="L12"/>
  <c r="N12" s="1"/>
  <c r="P12" s="1"/>
  <c r="G12"/>
  <c r="I12" s="1"/>
  <c r="B12"/>
  <c r="D12" s="1"/>
  <c r="F12" s="1"/>
  <c r="B11"/>
  <c r="D11" s="1"/>
  <c r="F11" s="1"/>
  <c r="Q10"/>
  <c r="S10" s="1"/>
  <c r="U10" s="1"/>
  <c r="L10"/>
  <c r="N10" s="1"/>
  <c r="G10"/>
  <c r="I10" s="1"/>
  <c r="K10" s="1"/>
  <c r="B10"/>
  <c r="D10" s="1"/>
  <c r="B9" l="1"/>
  <c r="C9" s="1"/>
  <c r="G9"/>
  <c r="H9" s="1"/>
  <c r="U92"/>
  <c r="U37"/>
  <c r="F40"/>
  <c r="K59"/>
  <c r="F60"/>
  <c r="P60"/>
  <c r="K61"/>
  <c r="F62"/>
  <c r="P67"/>
  <c r="U77"/>
  <c r="K24"/>
  <c r="F54"/>
  <c r="P88"/>
  <c r="F99"/>
  <c r="F106"/>
  <c r="K57"/>
  <c r="F59"/>
  <c r="P59"/>
  <c r="K60"/>
  <c r="F61"/>
  <c r="P61"/>
  <c r="K62"/>
  <c r="K92"/>
  <c r="P10"/>
  <c r="F10"/>
  <c r="U12"/>
  <c r="U23"/>
  <c r="K12"/>
  <c r="F19"/>
  <c r="K23"/>
  <c r="P29"/>
  <c r="F30"/>
  <c r="P37"/>
  <c r="U40"/>
  <c r="F41"/>
  <c r="P41"/>
  <c r="K49"/>
  <c r="U49"/>
  <c r="K54"/>
  <c r="K55"/>
  <c r="K64"/>
  <c r="U64"/>
  <c r="F87"/>
  <c r="K77"/>
  <c r="P30"/>
  <c r="K34"/>
  <c r="F37"/>
  <c r="K40"/>
  <c r="K41"/>
  <c r="U41"/>
  <c r="F49"/>
  <c r="P49"/>
  <c r="F55"/>
  <c r="F57"/>
  <c r="P58"/>
  <c r="K63"/>
  <c r="F64"/>
  <c r="P64"/>
  <c r="F77"/>
  <c r="P77"/>
  <c r="K88"/>
  <c r="F110"/>
  <c r="P110"/>
  <c r="K156"/>
  <c r="P159"/>
  <c r="P171"/>
  <c r="F179"/>
  <c r="K181"/>
  <c r="U182"/>
  <c r="K110"/>
  <c r="U110"/>
  <c r="F156"/>
  <c r="U159"/>
  <c r="F168"/>
  <c r="U174"/>
  <c r="P179"/>
  <c r="N9" l="1"/>
  <c r="O9" s="1"/>
  <c r="Q9"/>
  <c r="R9" s="1"/>
  <c r="L9"/>
  <c r="M9" s="1"/>
  <c r="I9"/>
  <c r="J9" s="1"/>
  <c r="K9" s="1"/>
  <c r="D9"/>
  <c r="E9" s="1"/>
  <c r="F9" s="1"/>
  <c r="S9"/>
  <c r="T9" s="1"/>
  <c r="P9" l="1"/>
  <c r="U9"/>
  <c r="B184" l="1"/>
</calcChain>
</file>

<file path=xl/comments1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2.xml><?xml version="1.0" encoding="utf-8"?>
<comments xmlns="http://schemas.openxmlformats.org/spreadsheetml/2006/main">
  <authors>
    <author>Берденникова Светлана Николаевна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ТГК 2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Севмаш, Звездочка, Горвик, гарант, Нордхим, ТГК 2
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РЖД, Горводоканал, КЭМЗ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Берденникова Светлана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Жилфонд, РЭП Правобережье, Рочегда</t>
        </r>
      </text>
    </comment>
  </commentList>
</comments>
</file>

<file path=xl/comments3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comments4.xml><?xml version="1.0" encoding="utf-8"?>
<comments xmlns="http://schemas.openxmlformats.org/spreadsheetml/2006/main">
  <authors>
    <author>Щинина Светлана Александровна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31,2 реал орг ВКХ 
МУП Водоочистка
2113,85 подр/орг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112,35 реал орг ВКХ (ВоСток)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Щинина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140,24 реал орг ВКХ (ВоСток)</t>
        </r>
      </text>
    </comment>
  </commentList>
</comments>
</file>

<file path=xl/sharedStrings.xml><?xml version="1.0" encoding="utf-8"?>
<sst xmlns="http://schemas.openxmlformats.org/spreadsheetml/2006/main" count="942" uniqueCount="340">
  <si>
    <t>1 полугодие 2016 года</t>
  </si>
  <si>
    <t>2 полугодие 2016 года</t>
  </si>
  <si>
    <t>ЭОТ</t>
  </si>
  <si>
    <t>Население</t>
  </si>
  <si>
    <t>Питьевое и техническое водоснабжение (без НДС)</t>
  </si>
  <si>
    <t>Водоотведение (без НДС)</t>
  </si>
  <si>
    <t>ПО, т.м3</t>
  </si>
  <si>
    <t>тариф, руб./м3</t>
  </si>
  <si>
    <t>объем, м3</t>
  </si>
  <si>
    <t>Изменение, 1п к 2 п, %</t>
  </si>
  <si>
    <t>ИТОГО по г. Архангельску</t>
  </si>
  <si>
    <t>ООО "РОСА"</t>
  </si>
  <si>
    <t>ОАО "СЦБК"</t>
  </si>
  <si>
    <t>ОАО "АМТП"</t>
  </si>
  <si>
    <t>ИТОГО по г. Коряжме</t>
  </si>
  <si>
    <t>ОАО "РЖД"</t>
  </si>
  <si>
    <t>ОАО "Группа Илим"</t>
  </si>
  <si>
    <t>ПУ ЖКХ</t>
  </si>
  <si>
    <t>ИТОГО по Каргопольскому району</t>
  </si>
  <si>
    <t>ООО "Каргопольский водоканал"</t>
  </si>
  <si>
    <t>МУП "Архангело"</t>
  </si>
  <si>
    <t>МУП "Печниково"</t>
  </si>
  <si>
    <t>МУП "Тихманьга"</t>
  </si>
  <si>
    <t>МУП "Ошевенское"</t>
  </si>
  <si>
    <t>МУП "Казаково"</t>
  </si>
  <si>
    <t>МУП "Павловское"</t>
  </si>
  <si>
    <t>ГАПОУ "Каргопольский индустриальный техникум"</t>
  </si>
  <si>
    <t>МУП "Водоочистка" (питьевая вода)</t>
  </si>
  <si>
    <t>МУП "Водоочистка" (техническая вода)</t>
  </si>
  <si>
    <t>МУП "Водоканал" (питьевая вода)</t>
  </si>
  <si>
    <t>МУП "Водоканал" (техническая вода)</t>
  </si>
  <si>
    <t>ИТОГО по г. Новодвинску</t>
  </si>
  <si>
    <t>АЦБК пит.вода / хоз-быт.стоки</t>
  </si>
  <si>
    <t>АЦБК пхоз.вода /усл-чист стоки</t>
  </si>
  <si>
    <t>АЦБК произ.вода / произ. стоки</t>
  </si>
  <si>
    <t>АЦБК фильт.вода</t>
  </si>
  <si>
    <t>ОАО Сети</t>
  </si>
  <si>
    <t>ИТОГО по Ленскому району</t>
  </si>
  <si>
    <t>Газпром энерго Сев.филиал</t>
  </si>
  <si>
    <t>ООО Тепло</t>
  </si>
  <si>
    <t>ООО Энергосфера</t>
  </si>
  <si>
    <t>Козьминское МУ ППЖКХ</t>
  </si>
  <si>
    <t>ИТОГО по Холмогорскому району</t>
  </si>
  <si>
    <t>МУП Холмогорский Водоканал</t>
  </si>
  <si>
    <t>МУП Холмогорская Водоочистка</t>
  </si>
  <si>
    <t>ООО Пинега</t>
  </si>
  <si>
    <t>ООО Луковецкое</t>
  </si>
  <si>
    <t>ООО Жилкомсервис</t>
  </si>
  <si>
    <t>ООО ПКФ Холмогоры</t>
  </si>
  <si>
    <t>ООО Двина</t>
  </si>
  <si>
    <t>ООО Северная Двина</t>
  </si>
  <si>
    <t>ФКУ ИК-12 УФСИН России</t>
  </si>
  <si>
    <t>ООО Светлый дом</t>
  </si>
  <si>
    <t xml:space="preserve">АО "ГУ ЖКХ" </t>
  </si>
  <si>
    <t>АО "ГУ ЖКХ" Рембуево</t>
  </si>
  <si>
    <t>ИТОГО по г. Мирный</t>
  </si>
  <si>
    <t>МУП ЖЭУ</t>
  </si>
  <si>
    <t>АО ГУ ЖКХ</t>
  </si>
  <si>
    <t>ОАО "АрхоблЭнерго"</t>
  </si>
  <si>
    <t>АО "ГУ ЖКХ"</t>
  </si>
  <si>
    <t>ООО "Северный край"</t>
  </si>
  <si>
    <t>ООО "Комфорт"</t>
  </si>
  <si>
    <t>ООО "Сийское"</t>
  </si>
  <si>
    <t>МУП "Строитель"</t>
  </si>
  <si>
    <t>ООО "АльянсТеплоЭнерго"</t>
  </si>
  <si>
    <t>МП ППЖКХ</t>
  </si>
  <si>
    <t>ИТОГО по Лешуконскому району</t>
  </si>
  <si>
    <t>ИТОГО по Мезенскому району</t>
  </si>
  <si>
    <t>ИТОГО по Пинежскому району</t>
  </si>
  <si>
    <t>ИТОГО Вельский р-он</t>
  </si>
  <si>
    <t>Водоканал</t>
  </si>
  <si>
    <t>Водоканал Кулой</t>
  </si>
  <si>
    <t>Верхнеустькулойское</t>
  </si>
  <si>
    <t>Кулой</t>
  </si>
  <si>
    <t>Водоресурс</t>
  </si>
  <si>
    <t>Низовское</t>
  </si>
  <si>
    <t>Пакшеньгское</t>
  </si>
  <si>
    <t>Судромское</t>
  </si>
  <si>
    <t>ЖКХ Кокшеньга</t>
  </si>
  <si>
    <t>Хозьминское</t>
  </si>
  <si>
    <t>ИТОГО Коношский р-он</t>
  </si>
  <si>
    <t>МРСК Северо-Запада</t>
  </si>
  <si>
    <t>Благоустройство</t>
  </si>
  <si>
    <t>ЖКХ Волошка</t>
  </si>
  <si>
    <t>Ерцевуские теплосети</t>
  </si>
  <si>
    <t>Жилкомсервис</t>
  </si>
  <si>
    <t>Жилкомслужба</t>
  </si>
  <si>
    <t>Жильё</t>
  </si>
  <si>
    <t>ФКУ ОИУ ОУХД-4</t>
  </si>
  <si>
    <t>ФГУ комбинат Полярник</t>
  </si>
  <si>
    <t>Тавреньга</t>
  </si>
  <si>
    <t>ТеплоСервис</t>
  </si>
  <si>
    <t>АО "ГУ ЖКХ" Коноша</t>
  </si>
  <si>
    <t>ИТОГО Онежский р-он</t>
  </si>
  <si>
    <t>Золотухская УК</t>
  </si>
  <si>
    <t>Кодинский ПК</t>
  </si>
  <si>
    <t>Нименьгское коммун.хоз-во</t>
  </si>
  <si>
    <t>Нименьга</t>
  </si>
  <si>
    <t>Шаста</t>
  </si>
  <si>
    <t>Онега-ВК</t>
  </si>
  <si>
    <t>Водоканал 15</t>
  </si>
  <si>
    <t>МПМК</t>
  </si>
  <si>
    <t>УК Сервис</t>
  </si>
  <si>
    <t>Федьковское ЖКХ</t>
  </si>
  <si>
    <t>ИТОГО Верхнетоемский р-он</t>
  </si>
  <si>
    <t>ИТОГО Шенкурский р-он</t>
  </si>
  <si>
    <t>ООО Искра</t>
  </si>
  <si>
    <t>ООО "ВоСток"</t>
  </si>
  <si>
    <t>ООО "Приморская управляющая компания"</t>
  </si>
  <si>
    <t>ООО "Марайс"</t>
  </si>
  <si>
    <t>ООО "Севкрай"</t>
  </si>
  <si>
    <t>ООО "Ремэнерго"</t>
  </si>
  <si>
    <t>Учреждение "Базовый санаторий "Беломорье"</t>
  </si>
  <si>
    <t>ООО "Ремэнерго 2"</t>
  </si>
  <si>
    <t>ООО "Управляющая жилищная компания"</t>
  </si>
  <si>
    <t>ООО "РЭП "Северный округ"</t>
  </si>
  <si>
    <t>ООО "Север"</t>
  </si>
  <si>
    <t>ИТОГО Приморский район</t>
  </si>
  <si>
    <t>АО "ГУ ЖКХ" Приморское Рикасиха</t>
  </si>
  <si>
    <t>АО "ГУ ЖКХ" Лявленское Хорьково</t>
  </si>
  <si>
    <t>АО "ГУ ЖКХ" Лявленское Черный Яр</t>
  </si>
  <si>
    <t>ИТОГО по Красноборскому району</t>
  </si>
  <si>
    <t xml:space="preserve"> ГБУЗ АО Детский туберкулезный  санаторий им. М.Н.Фаворской </t>
  </si>
  <si>
    <t>МУП "Алексеевское" (техническая вода) МО "Алексеевское"</t>
  </si>
  <si>
    <t>ЛПУ "Санаторий "Солониха"</t>
  </si>
  <si>
    <t>МП "Телеговское ЖКХ"</t>
  </si>
  <si>
    <t>ИТОГО по Вилегодскому району</t>
  </si>
  <si>
    <t>ООО "Павловск ЖКХ" МО "Павловское" (техническое водоснабжение)</t>
  </si>
  <si>
    <t>ООО "Управдом" МО "Никольское"</t>
  </si>
  <si>
    <t>ООО "Лето" МО "Ильинское" (техническое водоснабжение)</t>
  </si>
  <si>
    <t>ООО "Лето" МО "Ильинское", МО "Беляевское"  (питьевое водоснабжение)</t>
  </si>
  <si>
    <t>ООО "Вилегодск ЖКХ" МО Вилегодское</t>
  </si>
  <si>
    <t>ИТОГО по Котласскому району</t>
  </si>
  <si>
    <t>МУП Котласского муниципального района "Водотеплоснаб" МО "Сольвычегодское"(кроме деревни Григорово)</t>
  </si>
  <si>
    <t>МУП Котласского муниципального района "Водотеплоснаб" МО "Сольвычегодское"(кроме деревни Григорово) в стадии очистки сточных вод</t>
  </si>
  <si>
    <t>МУП Котласского муниципального района "Водотеплоснаб" МО "Сольвычегодское" на территории деревни Григорово</t>
  </si>
  <si>
    <t>ООО "Удима" МО "Приводинское"</t>
  </si>
  <si>
    <t>ООО "КЭТС" МО "Шипицынское</t>
  </si>
  <si>
    <t>ООО "Водоснаб" МО "Черемушское"</t>
  </si>
  <si>
    <t>ООО "Аквапрофиль" МО "Приводинское" (кроме деревень Курцево, Куимиха, Медведка)</t>
  </si>
  <si>
    <t>ООО "Комфорт" на территории деревень Курцево, Еуимиха, Медведка МО "Приводинское"</t>
  </si>
  <si>
    <t>АО "ГУ ЖКХ" Липово</t>
  </si>
  <si>
    <t>АО "ГУ ЖКХ" Савватия</t>
  </si>
  <si>
    <t>ИТОГО по Няндомскому району</t>
  </si>
  <si>
    <t>МП "Водоканал"</t>
  </si>
  <si>
    <t>МУП "Мошинское ЖКХ"</t>
  </si>
  <si>
    <t>ООО "Родник"</t>
  </si>
  <si>
    <t>МУП "ШЛИТ" (железнод ст. Лельма, Ивакша, Тарза)</t>
  </si>
  <si>
    <t>МУП "ШЛИТ" (ст. Шожма)</t>
  </si>
  <si>
    <t>МУП "ШЛИТ" (Лепша-Новый пос.)</t>
  </si>
  <si>
    <t>ИТОГО по Плесецкому району</t>
  </si>
  <si>
    <t>ФКУ ИК-29 УФСИН России по Архангельской области</t>
  </si>
  <si>
    <t>ФКУ ЛИУ-8 УФСИН России по Архангельской области</t>
  </si>
  <si>
    <t>ФКУ ОИУ ОУХД-2 УФСИН России по Архангельской области</t>
  </si>
  <si>
    <t>ООО "Уют-2" Североонежское</t>
  </si>
  <si>
    <t>ООО "Уют-2" Оксовское</t>
  </si>
  <si>
    <t>ООО "Уют-2" Ярнемское</t>
  </si>
  <si>
    <t>ООО "Северо-западная консалтинговая компания"</t>
  </si>
  <si>
    <t>ООО "Обком"</t>
  </si>
  <si>
    <t>МУП "Плесецк-Ресурс"</t>
  </si>
  <si>
    <t>ООО "Савинскжилсервис"</t>
  </si>
  <si>
    <t>ООО "Газпром теплоэнерго Плесецк" Североонежское</t>
  </si>
  <si>
    <t>ООО "Газпром теплоэнерго Плесецк" Коневское</t>
  </si>
  <si>
    <t>ИТОГО по Устьянскому району</t>
  </si>
  <si>
    <t>МУП "Бестужевское"</t>
  </si>
  <si>
    <t>ООО "Березник"</t>
  </si>
  <si>
    <t>МУП "Лойгинское"</t>
  </si>
  <si>
    <t>ООО "ТеплоСнаб"</t>
  </si>
  <si>
    <t>МУП "Плосское"</t>
  </si>
  <si>
    <t>МУП "Строевское"</t>
  </si>
  <si>
    <t>ООО "УТэК"</t>
  </si>
  <si>
    <t>ООО "ЖКХ "Ростово"</t>
  </si>
  <si>
    <t>ООО "ЖКХ "Малодоры"</t>
  </si>
  <si>
    <t>МУП "Дмитриевское"</t>
  </si>
  <si>
    <t>ООО "Шангальский жилкомсервис"</t>
  </si>
  <si>
    <t>ИТОГО по Виноградовскому району</t>
  </si>
  <si>
    <t>Жилфонд (питьевая вода, ВО)</t>
  </si>
  <si>
    <t>Жилфонд (подвоз воды, очистка)</t>
  </si>
  <si>
    <t>Рочегда (питьевая вода)</t>
  </si>
  <si>
    <t>РЭП Правобережье (питьевая вода, ВО)</t>
  </si>
  <si>
    <t>ИТОГО по г. Северодвинску</t>
  </si>
  <si>
    <t>Севмаш (питьевая вода, ВО)</t>
  </si>
  <si>
    <t>Севмаш (техническая вода)</t>
  </si>
  <si>
    <t>Звездочка (питьевая вода, ВО)</t>
  </si>
  <si>
    <t>ИТОГО по г. Котласу</t>
  </si>
  <si>
    <t>Горводоканал (питьевая вода, ВО)</t>
  </si>
  <si>
    <t>Горводоканал (техническая вода, очистка)</t>
  </si>
  <si>
    <t>РЖД (питьевая вода, ВО)</t>
  </si>
  <si>
    <t>АО "ГУ ЖКХ" тех вода</t>
  </si>
  <si>
    <t>АО "ГУ ЖКХ" Ненокса</t>
  </si>
  <si>
    <t>АО "ГУ ЖКХ" Ягры</t>
  </si>
  <si>
    <t>АО "ГУ ЖКХ" Байка</t>
  </si>
  <si>
    <t>ИТОГО по Архангельской области</t>
  </si>
  <si>
    <t>ВСЕГО Архангельская область</t>
  </si>
  <si>
    <t>МП "Водоканал" Няндома</t>
  </si>
  <si>
    <t xml:space="preserve">Количество </t>
  </si>
  <si>
    <t>РСО</t>
  </si>
  <si>
    <t>льготные тарифы</t>
  </si>
  <si>
    <t>корректировок</t>
  </si>
  <si>
    <t>закрытых дел (не обязательно)</t>
  </si>
  <si>
    <t>ИТОГО</t>
  </si>
  <si>
    <t>Вельский р-он</t>
  </si>
  <si>
    <t>Коношский р-он</t>
  </si>
  <si>
    <t>Онежский р-он</t>
  </si>
  <si>
    <t>В-Тоемский р-он</t>
  </si>
  <si>
    <t>Шенкурский р-он</t>
  </si>
  <si>
    <t>Приморский</t>
  </si>
  <si>
    <t>Пинежский район</t>
  </si>
  <si>
    <t>Няндомскому району</t>
  </si>
  <si>
    <t>Котласскому району</t>
  </si>
  <si>
    <t>Вилегодскому району</t>
  </si>
  <si>
    <t>Красноборскому району</t>
  </si>
  <si>
    <t>г. Архангельску</t>
  </si>
  <si>
    <t>г. Котласу</t>
  </si>
  <si>
    <t>г. Коряжме</t>
  </si>
  <si>
    <t>г. Новодвинску</t>
  </si>
  <si>
    <t>Каргопольскому району</t>
  </si>
  <si>
    <t>Ленскому району</t>
  </si>
  <si>
    <t>Холмогорскому району</t>
  </si>
  <si>
    <t>Плесецкому району:</t>
  </si>
  <si>
    <t>Устьянскому району:</t>
  </si>
  <si>
    <t>г. Северодвинску:</t>
  </si>
  <si>
    <t>Виноградовскому району</t>
  </si>
  <si>
    <t>г. Мирный</t>
  </si>
  <si>
    <t>Архангельск</t>
  </si>
  <si>
    <t>Новодвинск</t>
  </si>
  <si>
    <t>Мирный</t>
  </si>
  <si>
    <t>Коряжма</t>
  </si>
  <si>
    <t>Северодвинск</t>
  </si>
  <si>
    <t>Котлас</t>
  </si>
  <si>
    <t>Верхнетоемский р-он</t>
  </si>
  <si>
    <t>Вилегодский район</t>
  </si>
  <si>
    <t>Виноградовский район</t>
  </si>
  <si>
    <t>Каргопольский район</t>
  </si>
  <si>
    <t>Котласский район</t>
  </si>
  <si>
    <t>Красноборский район</t>
  </si>
  <si>
    <t>Ленский район</t>
  </si>
  <si>
    <t>Лешуконский район</t>
  </si>
  <si>
    <t>Мезенский район</t>
  </si>
  <si>
    <t>Няндомский район</t>
  </si>
  <si>
    <t>Плесецкий район</t>
  </si>
  <si>
    <t>Приморский район</t>
  </si>
  <si>
    <t>Холмогорский район</t>
  </si>
  <si>
    <t>Устьянский район</t>
  </si>
  <si>
    <t>Тарифы на услуги водоснабжения и водоотведения на 2016 год в среднем по Архангельской области и по муниципальным образованиям (городским округам и муниципальным районам)</t>
  </si>
  <si>
    <t>Изменение, 2 п к 1 п, %</t>
  </si>
  <si>
    <t>рост к пред. тарифу, %</t>
  </si>
  <si>
    <t>Прочие потребители (ЭОТ)</t>
  </si>
  <si>
    <t>2 полугодие 2016 г.</t>
  </si>
  <si>
    <t xml:space="preserve">1 полугодие 2016 г. </t>
  </si>
  <si>
    <t>1 полугодие 2016 г.</t>
  </si>
  <si>
    <t>Рост, %</t>
  </si>
  <si>
    <t>Тариф на питьевую и техническую воду, руб./м3 (без НДС)</t>
  </si>
  <si>
    <t>тариф на водоотведение, руб./м3 (без НДС)</t>
  </si>
  <si>
    <t>Тарифы на питьевую и техническую воду и услуги водоотведения на 2016 год по муниципальному образованию "Город Архангельск"</t>
  </si>
  <si>
    <t xml:space="preserve">1 полугодие </t>
  </si>
  <si>
    <t>2 полугодие</t>
  </si>
  <si>
    <t xml:space="preserve">2 полугодие </t>
  </si>
  <si>
    <t>В среднем по МО</t>
  </si>
  <si>
    <t>рост, %</t>
  </si>
  <si>
    <t>Тарифы на питьевую и техническую воду и услуги водоотведения на 2016 год по муниципальному образованию "Северодвинск"</t>
  </si>
  <si>
    <t>ОАО "ПО "Севмаш"(питьевая вода)</t>
  </si>
  <si>
    <t>ОАО "ПО "Севмаш" (техническая вода)</t>
  </si>
  <si>
    <t>ОАО "ЦС "Звездочка" (питьевая вода)</t>
  </si>
  <si>
    <t>Наименование муниципального образования</t>
  </si>
  <si>
    <t>Лисестровское</t>
  </si>
  <si>
    <t>Катунинское</t>
  </si>
  <si>
    <t>Урдомское</t>
  </si>
  <si>
    <t>Двинское</t>
  </si>
  <si>
    <t>Октябрьское</t>
  </si>
  <si>
    <t>Шангальское</t>
  </si>
  <si>
    <t>Город Архангельск</t>
  </si>
  <si>
    <t>Лешуконский муниципальный район</t>
  </si>
  <si>
    <t>Каменское, Мезенское</t>
  </si>
  <si>
    <t>Мезенское</t>
  </si>
  <si>
    <t>Коношское</t>
  </si>
  <si>
    <t>Черемушское</t>
  </si>
  <si>
    <t>Няндомское</t>
  </si>
  <si>
    <t>Мошинское</t>
  </si>
  <si>
    <t>Шалакушское</t>
  </si>
  <si>
    <t>АО "ЦС "Звездочка" (питьевая вода, ВО)</t>
  </si>
  <si>
    <t>Горячее водоснабжение (без НДС)</t>
  </si>
  <si>
    <t>МП "Объединение котельных и тепловых сетей"</t>
  </si>
  <si>
    <t>МП "ПУ ЖКХ пос.Вычегодский"</t>
  </si>
  <si>
    <t>ОАО "РЖД "</t>
  </si>
  <si>
    <t>ОАО "ТГК № 2"</t>
  </si>
  <si>
    <t>ООО "ПКТС"</t>
  </si>
  <si>
    <t>Малошуйское</t>
  </si>
  <si>
    <t>МУП "Жилкомсервис"</t>
  </si>
  <si>
    <t>ООО "Теплоэнерго"</t>
  </si>
  <si>
    <t>ООО "Кулой ЖКХ"</t>
  </si>
  <si>
    <t>Кулойское</t>
  </si>
  <si>
    <t>ООО "Теплосервис"</t>
  </si>
  <si>
    <t>есть</t>
  </si>
  <si>
    <t>нет</t>
  </si>
  <si>
    <t>ОСНО</t>
  </si>
  <si>
    <t>I полугодие 2017</t>
  </si>
  <si>
    <t>II полугодие 2017</t>
  </si>
  <si>
    <t>Система НО</t>
  </si>
  <si>
    <t>Организация</t>
  </si>
  <si>
    <t>Наименование муниципального района, городского округа</t>
  </si>
  <si>
    <t>ОАО "ТГК-2"</t>
  </si>
  <si>
    <t>АО "АрхоблЭнерго"</t>
  </si>
  <si>
    <t>ОАО «Сети»</t>
  </si>
  <si>
    <t>ООО «Соловки Электросбыт» (потребители, получающие горячую воду от котельной «Каргополь-2»)</t>
  </si>
  <si>
    <t>Няндомский</t>
  </si>
  <si>
    <t>Город Новодвинск</t>
  </si>
  <si>
    <t>компонент  на тепловую энергию, руб./Гкал</t>
  </si>
  <si>
    <t>МУП "ПУ ЖКХ"</t>
  </si>
  <si>
    <t>Город Коряжма</t>
  </si>
  <si>
    <t>МУП «Жилищно-эксплуатационное управление»</t>
  </si>
  <si>
    <t>ООО «Сийское»</t>
  </si>
  <si>
    <t>Пинежский</t>
  </si>
  <si>
    <t>Сийское</t>
  </si>
  <si>
    <t>ООО «АльянсТеплоЭнерго»</t>
  </si>
  <si>
    <t>ООО «Газпром теплоэнерго Плесецк»</t>
  </si>
  <si>
    <t>ООО «Уют-2»</t>
  </si>
  <si>
    <t>Шилегское</t>
  </si>
  <si>
    <t>Плесецкое</t>
  </si>
  <si>
    <t>Североонежское</t>
  </si>
  <si>
    <t>Плесецкий</t>
  </si>
  <si>
    <t>МУП "Коношское благоустройство"</t>
  </si>
  <si>
    <t>Коношский</t>
  </si>
  <si>
    <t>ООО «Коношский хлебозавод»</t>
  </si>
  <si>
    <t>УСНО</t>
  </si>
  <si>
    <t>АО "ГУ ЖКХ" (потребители, получающие горячую воду от котельной военного городка № 143)</t>
  </si>
  <si>
    <t>-</t>
  </si>
  <si>
    <t>АО "ГУ ЖКХ" (потребители, получающие горячую воду от котельных военных городков № 4,14)</t>
  </si>
  <si>
    <t>Холмогорский</t>
  </si>
  <si>
    <t>АО "ГУ ЖКХ" (потребители, получающие горячую воду от котельной военного городка № 74)</t>
  </si>
  <si>
    <t>Обозерское</t>
  </si>
  <si>
    <t>АО "ГУ ЖКХ" (потребители, получающие горячую воду от котельной военного городка № 15)</t>
  </si>
  <si>
    <t>АО "ГУ ЖКХ" (за исключением потребителей, получающих горячую воду от котельной военного городка № 15)</t>
  </si>
  <si>
    <t>Тариф для населения (без НДС)</t>
  </si>
  <si>
    <t xml:space="preserve">Тариф для прочих потребителей (без НДС) </t>
  </si>
  <si>
    <r>
      <t xml:space="preserve">УСНО </t>
    </r>
    <r>
      <rPr>
        <sz val="10"/>
        <color theme="1"/>
        <rFont val="Times New Roman"/>
        <family val="1"/>
        <charset val="204"/>
      </rPr>
      <t>(плательщик НДС по концессии)</t>
    </r>
  </si>
  <si>
    <t>Ухтостровское</t>
  </si>
  <si>
    <t>Наименование  поселения</t>
  </si>
  <si>
    <t>1.2. Информация об установленных тарифах в сфере горячего водоснабжения (в открытых системах теплоснабжения) на 2017 год</t>
  </si>
  <si>
    <t>компонент на теплоноситель, руб./куб.м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</si>
</sst>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\-#,##0.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1"/>
      <color rgb="FF7030A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</cellStyleXfs>
  <cellXfs count="252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10" fontId="5" fillId="2" borderId="1" xfId="1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10" fontId="5" fillId="3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10" fontId="7" fillId="4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10" fontId="7" fillId="2" borderId="1" xfId="1" applyNumberFormat="1" applyFont="1" applyFill="1" applyBorder="1" applyAlignment="1">
      <alignment horizontal="center" vertical="center"/>
    </xf>
    <xf numFmtId="10" fontId="7" fillId="2" borderId="1" xfId="1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/>
    </xf>
    <xf numFmtId="0" fontId="5" fillId="3" borderId="1" xfId="1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0" fontId="5" fillId="3" borderId="1" xfId="0" applyFont="1" applyFill="1" applyBorder="1"/>
    <xf numFmtId="4" fontId="5" fillId="2" borderId="1" xfId="0" applyNumberFormat="1" applyFont="1" applyFill="1" applyBorder="1" applyAlignment="1">
      <alignment horizontal="center" vertical="center"/>
    </xf>
    <xf numFmtId="10" fontId="10" fillId="4" borderId="1" xfId="1" applyNumberFormat="1" applyFont="1" applyFill="1" applyBorder="1" applyAlignment="1">
      <alignment horizontal="center" vertical="center"/>
    </xf>
    <xf numFmtId="10" fontId="11" fillId="4" borderId="1" xfId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10" fontId="12" fillId="2" borderId="1" xfId="1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3" fillId="2" borderId="1" xfId="1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10" fontId="12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center"/>
    </xf>
    <xf numFmtId="164" fontId="18" fillId="0" borderId="1" xfId="1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2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2" fontId="17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2" fontId="17" fillId="0" borderId="1" xfId="0" applyNumberFormat="1" applyFont="1" applyFill="1" applyBorder="1" applyAlignment="1">
      <alignment horizontal="center"/>
    </xf>
    <xf numFmtId="0" fontId="17" fillId="0" borderId="1" xfId="1" applyNumberFormat="1" applyFont="1" applyFill="1" applyBorder="1" applyAlignment="1">
      <alignment horizontal="center"/>
    </xf>
    <xf numFmtId="10" fontId="17" fillId="0" borderId="1" xfId="1" applyNumberFormat="1" applyFont="1" applyFill="1" applyBorder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2" fontId="5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13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164" fontId="7" fillId="6" borderId="1" xfId="1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4" fontId="5" fillId="7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4" fontId="1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/>
    </xf>
    <xf numFmtId="4" fontId="5" fillId="8" borderId="1" xfId="1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/>
    <xf numFmtId="0" fontId="14" fillId="0" borderId="0" xfId="3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left" vertical="center" wrapText="1" shrinkToFit="1"/>
    </xf>
    <xf numFmtId="165" fontId="5" fillId="9" borderId="11" xfId="0" applyNumberFormat="1" applyFont="1" applyFill="1" applyBorder="1" applyAlignment="1">
      <alignment horizontal="center" vertical="center" wrapText="1" shrinkToFit="1"/>
    </xf>
    <xf numFmtId="165" fontId="5" fillId="10" borderId="12" xfId="0" applyNumberFormat="1" applyFont="1" applyFill="1" applyBorder="1" applyAlignment="1">
      <alignment horizontal="center" vertical="center" wrapText="1" shrinkToFit="1"/>
    </xf>
    <xf numFmtId="165" fontId="5" fillId="9" borderId="12" xfId="0" applyNumberFormat="1" applyFont="1" applyFill="1" applyBorder="1" applyAlignment="1">
      <alignment horizontal="center" vertical="center" wrapText="1" shrinkToFit="1"/>
    </xf>
    <xf numFmtId="165" fontId="5" fillId="10" borderId="13" xfId="0" applyNumberFormat="1" applyFont="1" applyFill="1" applyBorder="1" applyAlignment="1">
      <alignment horizontal="center" vertical="center" wrapText="1" shrinkToFit="1"/>
    </xf>
    <xf numFmtId="165" fontId="5" fillId="9" borderId="14" xfId="0" applyNumberFormat="1" applyFont="1" applyFill="1" applyBorder="1" applyAlignment="1">
      <alignment horizontal="center" vertical="center" wrapText="1" shrinkToFit="1"/>
    </xf>
    <xf numFmtId="165" fontId="5" fillId="10" borderId="15" xfId="0" applyNumberFormat="1" applyFont="1" applyFill="1" applyBorder="1" applyAlignment="1">
      <alignment horizontal="center" vertical="center" wrapText="1" shrinkToFit="1"/>
    </xf>
    <xf numFmtId="165" fontId="5" fillId="9" borderId="15" xfId="0" applyNumberFormat="1" applyFont="1" applyFill="1" applyBorder="1" applyAlignment="1">
      <alignment horizontal="center" vertical="center" wrapText="1" shrinkToFit="1"/>
    </xf>
    <xf numFmtId="165" fontId="5" fillId="10" borderId="16" xfId="0" applyNumberFormat="1" applyFont="1" applyFill="1" applyBorder="1" applyAlignment="1">
      <alignment horizontal="center" vertical="center" wrapText="1" shrinkToFit="1"/>
    </xf>
    <xf numFmtId="165" fontId="5" fillId="9" borderId="17" xfId="0" applyNumberFormat="1" applyFont="1" applyFill="1" applyBorder="1" applyAlignment="1">
      <alignment horizontal="center" vertical="center" wrapText="1" shrinkToFit="1"/>
    </xf>
    <xf numFmtId="165" fontId="5" fillId="10" borderId="18" xfId="0" applyNumberFormat="1" applyFont="1" applyFill="1" applyBorder="1" applyAlignment="1">
      <alignment horizontal="center" vertical="center" wrapText="1" shrinkToFit="1"/>
    </xf>
    <xf numFmtId="165" fontId="5" fillId="9" borderId="18" xfId="0" applyNumberFormat="1" applyFont="1" applyFill="1" applyBorder="1" applyAlignment="1">
      <alignment horizontal="center" vertical="center" wrapText="1" shrinkToFit="1"/>
    </xf>
    <xf numFmtId="165" fontId="5" fillId="10" borderId="19" xfId="0" applyNumberFormat="1" applyFont="1" applyFill="1" applyBorder="1" applyAlignment="1">
      <alignment horizontal="center" vertical="center" wrapText="1" shrinkToFit="1"/>
    </xf>
    <xf numFmtId="165" fontId="5" fillId="2" borderId="11" xfId="0" applyNumberFormat="1" applyFont="1" applyFill="1" applyBorder="1" applyAlignment="1">
      <alignment horizontal="center" vertical="center" wrapText="1" shrinkToFit="1"/>
    </xf>
    <xf numFmtId="165" fontId="5" fillId="3" borderId="12" xfId="0" applyNumberFormat="1" applyFont="1" applyFill="1" applyBorder="1" applyAlignment="1">
      <alignment horizontal="center" vertical="center" wrapText="1" shrinkToFit="1"/>
    </xf>
    <xf numFmtId="165" fontId="5" fillId="2" borderId="12" xfId="0" applyNumberFormat="1" applyFont="1" applyFill="1" applyBorder="1" applyAlignment="1">
      <alignment horizontal="center" vertical="center" wrapText="1" shrinkToFit="1"/>
    </xf>
    <xf numFmtId="165" fontId="5" fillId="3" borderId="13" xfId="0" applyNumberFormat="1" applyFont="1" applyFill="1" applyBorder="1" applyAlignment="1">
      <alignment horizontal="center" vertical="center" wrapText="1" shrinkToFit="1"/>
    </xf>
    <xf numFmtId="165" fontId="5" fillId="2" borderId="14" xfId="0" applyNumberFormat="1" applyFont="1" applyFill="1" applyBorder="1" applyAlignment="1">
      <alignment horizontal="center" vertical="center" wrapText="1" shrinkToFit="1"/>
    </xf>
    <xf numFmtId="165" fontId="5" fillId="3" borderId="15" xfId="0" applyNumberFormat="1" applyFont="1" applyFill="1" applyBorder="1" applyAlignment="1">
      <alignment horizontal="center" vertical="center" wrapText="1" shrinkToFit="1"/>
    </xf>
    <xf numFmtId="165" fontId="5" fillId="2" borderId="15" xfId="0" applyNumberFormat="1" applyFont="1" applyFill="1" applyBorder="1" applyAlignment="1">
      <alignment horizontal="center" vertical="center" wrapText="1" shrinkToFit="1"/>
    </xf>
    <xf numFmtId="165" fontId="5" fillId="3" borderId="16" xfId="0" applyNumberFormat="1" applyFont="1" applyFill="1" applyBorder="1" applyAlignment="1">
      <alignment horizontal="center" vertical="center" wrapText="1" shrinkToFit="1"/>
    </xf>
    <xf numFmtId="2" fontId="12" fillId="3" borderId="16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 wrapText="1" shrinkToFit="1"/>
    </xf>
    <xf numFmtId="165" fontId="5" fillId="3" borderId="18" xfId="0" applyNumberFormat="1" applyFont="1" applyFill="1" applyBorder="1" applyAlignment="1">
      <alignment horizontal="center" vertical="center" wrapText="1" shrinkToFit="1"/>
    </xf>
    <xf numFmtId="165" fontId="5" fillId="2" borderId="18" xfId="0" applyNumberFormat="1" applyFont="1" applyFill="1" applyBorder="1" applyAlignment="1">
      <alignment horizontal="center" vertical="center" wrapText="1" shrinkToFit="1"/>
    </xf>
    <xf numFmtId="0" fontId="12" fillId="3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4" xfId="2"/>
    <cellStyle name="Обычный 7 2" xfId="3"/>
    <cellStyle name="Процентный" xfId="1" builtinId="5"/>
  </cellStyles>
  <dxfs count="0"/>
  <tableStyles count="0" defaultTableStyle="TableStyleMedium2" defaultPivotStyle="PivotStyleLight16"/>
  <colors>
    <mruColors>
      <color rgb="FFFFFFCC"/>
      <color rgb="FFCCFFCC"/>
      <color rgb="FFFFCC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0;&#1091;&#1083;&#1086;&#1081;%20&#1046;&#1050;&#1061;%20&#1054;&#1054;&#1054;%20(&#1043;&#1042;&#1057;)\2016\&#1055;&#1088;&#1086;&#1090;&#1086;&#1082;&#1086;&#1083;70%20&#1050;&#1091;&#1083;&#1086;&#1081;&#1046;&#1050;&#1061;%20&#1043;&#1042;&#1057;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42;&#1077;&#1083;&#1100;&#1089;&#1082;&#1080;&#1081;%20&#1088;-&#1086;&#1085;\&#1058;&#1077;&#1087;&#1083;&#1086;&#1089;&#1077;&#1088;&#1074;&#1080;&#1089;%20(&#1043;&#1042;&#1057;)\&#1043;&#1042;&#1057;-16\&#1055;&#1088;&#1086;&#1090;&#1086;&#1082;&#1086;&#1083;66%20&#1058;&#1077;&#1087;&#1083;&#1086;&#1089;&#1077;&#1088;&#1074;&#1080;&#1089;%20&#1043;&#1042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46;&#1080;&#1083;&#1082;&#1086;&#1084;&#1089;&#1077;&#1088;&#1074;&#1080;&#1089;%20&#1052;&#1059;&#1055;\&#1043;&#1042;&#1057;\&#1055;&#1088;&#1086;&#1090;&#1086;&#1082;&#1086;&#1083;70%20&#1046;&#1050;&#1057;%20&#1043;&#1042;&#1057;-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0;&#1086;&#1085;&#1086;&#1096;&#1089;&#1082;&#1080;&#1081;%20&#1088;-&#1086;&#1085;\&#1058;&#1077;&#1087;&#1083;&#1086;&#1101;&#1085;&#1077;&#1088;&#1075;&#1086;%20(&#1043;&#1042;&#1057;)\&#1069;&#1047;-&#1058;&#1077;&#1087;&#1083;&#1086;&#1101;&#1085;&#1077;&#1088;&#1075;&#1086;%20&#1043;&#1042;&#1057;-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olov\&#1056;&#1072;&#1073;&#1086;&#1095;&#1080;&#1081;%20&#1089;&#1090;&#1086;&#1083;\&#1069;&#1082;&#1089;&#1087;&#1077;&#1088;&#1090;&#1080;&#1079;&#1072;%20&#1042;&#1054;&#1044;&#1040;\&#1054;&#1085;&#1077;&#1078;&#1089;&#1082;&#1080;&#1081;%20&#1088;-&#1086;&#1085;\&#1055;&#1050;&#1058;&#1057;%20(&#1055;&#1088;&#1077;&#1076;%20&#1082;&#1086;&#1090;.&#1080;%20&#1090;&#1077;&#1087;&#1083;.&#1089;&#1077;&#1090;&#1077;&#1081;%20&#1043;&#1042;&#1057;)\2016\&#1055;&#1050;&#1058;&#1057;%20(&#1054;&#1085;&#1077;&#1075;&#1072;)%20&#1043;&#1042;&#1057;%2016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9.0250000000000004</v>
          </cell>
        </row>
        <row r="41">
          <cell r="D41">
            <v>28.32</v>
          </cell>
        </row>
        <row r="44">
          <cell r="D44">
            <v>30.325999999999997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3">
          <cell r="D23">
            <v>2.0699999999999998</v>
          </cell>
        </row>
        <row r="41">
          <cell r="D41">
            <v>24</v>
          </cell>
        </row>
        <row r="44">
          <cell r="D44">
            <v>25.7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0">
          <cell r="D20">
            <v>44.4</v>
          </cell>
        </row>
        <row r="23">
          <cell r="D23">
            <v>7.71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по реш депутатов"/>
      <sheetName val="НВВ"/>
      <sheetName val="по 0,065"/>
      <sheetName val="ЭЗ-13-14-15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U16">
            <v>6.3940000000000001</v>
          </cell>
        </row>
        <row r="75">
          <cell r="U75">
            <v>52.391999999999996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ля прочих"/>
      <sheetName val="для населн"/>
      <sheetName val="Лист1"/>
      <sheetName val="Лист2"/>
      <sheetName val="НВВ"/>
      <sheetName val="ЭЗ-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I18">
            <v>7.1369999999999996</v>
          </cell>
        </row>
        <row r="20">
          <cell r="I20">
            <v>32.71</v>
          </cell>
        </row>
        <row r="21">
          <cell r="I21">
            <v>34.159999999999997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U184"/>
  <sheetViews>
    <sheetView workbookViewId="0">
      <selection activeCell="E9" sqref="E9"/>
    </sheetView>
  </sheetViews>
  <sheetFormatPr defaultRowHeight="15"/>
  <cols>
    <col min="1" max="1" width="50.42578125" style="5" customWidth="1"/>
    <col min="2" max="2" width="16.140625" style="5" customWidth="1"/>
    <col min="3" max="3" width="15.28515625" style="5" customWidth="1"/>
    <col min="4" max="4" width="18.140625" style="5" customWidth="1"/>
    <col min="5" max="5" width="12.42578125" style="5" customWidth="1"/>
    <col min="6" max="6" width="13.7109375" style="5" customWidth="1"/>
    <col min="7" max="8" width="12.42578125" style="5" customWidth="1"/>
    <col min="9" max="9" width="13.140625" style="5" customWidth="1"/>
    <col min="10" max="10" width="12.28515625" style="5" customWidth="1"/>
    <col min="11" max="11" width="14" style="5" customWidth="1"/>
    <col min="12" max="12" width="11.85546875" style="5" customWidth="1"/>
    <col min="13" max="13" width="13.42578125" style="5" customWidth="1"/>
    <col min="14" max="14" width="13.140625" style="5" customWidth="1"/>
    <col min="15" max="15" width="13.85546875" style="5" customWidth="1"/>
    <col min="16" max="16" width="13.42578125" style="5" customWidth="1"/>
    <col min="17" max="17" width="14.140625" style="5" customWidth="1"/>
    <col min="18" max="18" width="12.5703125" style="5" customWidth="1"/>
    <col min="19" max="19" width="11.28515625" style="5" customWidth="1"/>
    <col min="20" max="20" width="10.85546875" style="5" customWidth="1"/>
    <col min="21" max="21" width="16.28515625" style="5" customWidth="1"/>
  </cols>
  <sheetData>
    <row r="5" spans="1:21">
      <c r="A5" s="226"/>
      <c r="B5" s="227" t="s">
        <v>4</v>
      </c>
      <c r="C5" s="227"/>
      <c r="D5" s="227"/>
      <c r="E5" s="227"/>
      <c r="F5" s="227"/>
      <c r="G5" s="227"/>
      <c r="H5" s="227"/>
      <c r="I5" s="227"/>
      <c r="J5" s="227"/>
      <c r="K5" s="227"/>
      <c r="L5" s="227" t="s">
        <v>5</v>
      </c>
      <c r="M5" s="227"/>
      <c r="N5" s="227"/>
      <c r="O5" s="227"/>
      <c r="P5" s="227"/>
      <c r="Q5" s="227"/>
      <c r="R5" s="227"/>
      <c r="S5" s="227"/>
      <c r="T5" s="227"/>
      <c r="U5" s="227"/>
    </row>
    <row r="6" spans="1:21">
      <c r="A6" s="226"/>
      <c r="B6" s="227" t="s">
        <v>2</v>
      </c>
      <c r="C6" s="227"/>
      <c r="D6" s="227"/>
      <c r="E6" s="227"/>
      <c r="F6" s="227"/>
      <c r="G6" s="227" t="s">
        <v>3</v>
      </c>
      <c r="H6" s="227"/>
      <c r="I6" s="227"/>
      <c r="J6" s="227"/>
      <c r="K6" s="227"/>
      <c r="L6" s="227" t="s">
        <v>2</v>
      </c>
      <c r="M6" s="227"/>
      <c r="N6" s="227"/>
      <c r="O6" s="227"/>
      <c r="P6" s="227"/>
      <c r="Q6" s="227" t="s">
        <v>3</v>
      </c>
      <c r="R6" s="227"/>
      <c r="S6" s="227"/>
      <c r="T6" s="227"/>
      <c r="U6" s="227"/>
    </row>
    <row r="7" spans="1:21" ht="29.25" customHeight="1">
      <c r="A7" s="226"/>
      <c r="B7" s="228" t="s">
        <v>0</v>
      </c>
      <c r="C7" s="229"/>
      <c r="D7" s="228" t="s">
        <v>1</v>
      </c>
      <c r="E7" s="229"/>
      <c r="F7" s="230" t="s">
        <v>9</v>
      </c>
      <c r="G7" s="228" t="s">
        <v>0</v>
      </c>
      <c r="H7" s="229"/>
      <c r="I7" s="227" t="s">
        <v>1</v>
      </c>
      <c r="J7" s="227"/>
      <c r="K7" s="230" t="s">
        <v>9</v>
      </c>
      <c r="L7" s="228" t="s">
        <v>0</v>
      </c>
      <c r="M7" s="229"/>
      <c r="N7" s="228" t="s">
        <v>1</v>
      </c>
      <c r="O7" s="229"/>
      <c r="P7" s="230" t="s">
        <v>9</v>
      </c>
      <c r="Q7" s="228" t="s">
        <v>0</v>
      </c>
      <c r="R7" s="229"/>
      <c r="S7" s="227" t="s">
        <v>1</v>
      </c>
      <c r="T7" s="227"/>
      <c r="U7" s="230" t="s">
        <v>9</v>
      </c>
    </row>
    <row r="8" spans="1:21" ht="25.5">
      <c r="A8" s="226"/>
      <c r="B8" s="38" t="s">
        <v>6</v>
      </c>
      <c r="C8" s="38" t="s">
        <v>7</v>
      </c>
      <c r="D8" s="38" t="s">
        <v>6</v>
      </c>
      <c r="E8" s="38" t="s">
        <v>7</v>
      </c>
      <c r="F8" s="231"/>
      <c r="G8" s="38" t="s">
        <v>8</v>
      </c>
      <c r="H8" s="38" t="s">
        <v>7</v>
      </c>
      <c r="I8" s="38" t="s">
        <v>8</v>
      </c>
      <c r="J8" s="38" t="s">
        <v>7</v>
      </c>
      <c r="K8" s="231"/>
      <c r="L8" s="38" t="s">
        <v>6</v>
      </c>
      <c r="M8" s="38" t="s">
        <v>7</v>
      </c>
      <c r="N8" s="38" t="s">
        <v>6</v>
      </c>
      <c r="O8" s="38" t="s">
        <v>7</v>
      </c>
      <c r="P8" s="231"/>
      <c r="Q8" s="38" t="s">
        <v>8</v>
      </c>
      <c r="R8" s="38" t="s">
        <v>7</v>
      </c>
      <c r="S8" s="38" t="s">
        <v>8</v>
      </c>
      <c r="T8" s="38" t="s">
        <v>7</v>
      </c>
      <c r="U8" s="231"/>
    </row>
    <row r="9" spans="1:21" s="1" customFormat="1">
      <c r="A9" s="9" t="s">
        <v>192</v>
      </c>
      <c r="B9" s="18">
        <f>SUM(B10:B182)</f>
        <v>38368.08391279498</v>
      </c>
      <c r="C9" s="18">
        <f>SUMPRODUCT(B10:B182,C10:C182)/B9</f>
        <v>29.077353026170222</v>
      </c>
      <c r="D9" s="18">
        <f>SUM(D10:D182)</f>
        <v>38368.08391279498</v>
      </c>
      <c r="E9" s="18">
        <f>SUMPRODUCT(D10:D182,E10:E182)/D9</f>
        <v>30.996323775489024</v>
      </c>
      <c r="F9" s="19">
        <f>E9/C9</f>
        <v>1.0659953726734235</v>
      </c>
      <c r="G9" s="18">
        <f>SUM(G10:G182)</f>
        <v>18797.298500000004</v>
      </c>
      <c r="H9" s="18">
        <f>SUMPRODUCT(G10:G182,H10:H182)/G9</f>
        <v>24.061293786156366</v>
      </c>
      <c r="I9" s="18">
        <f>SUM(I10:I182)</f>
        <v>18891.796500000004</v>
      </c>
      <c r="J9" s="18">
        <f>SUMPRODUCT(I10:I182,J10:J182)/I9</f>
        <v>25.508239889072598</v>
      </c>
      <c r="K9" s="19">
        <f>J9/H9</f>
        <v>1.0601358395677265</v>
      </c>
      <c r="L9" s="18">
        <f>SUM(L10:L182)</f>
        <v>33615.305000000022</v>
      </c>
      <c r="M9" s="18">
        <f>SUMPRODUCT(L10:L182,M10:M182)/L9</f>
        <v>25.27158472442833</v>
      </c>
      <c r="N9" s="18">
        <f>SUM(N10:N182)</f>
        <v>33615.305000000022</v>
      </c>
      <c r="O9" s="18">
        <f>SUMPRODUCT(N10:N182,O10:O182)/N9</f>
        <v>27.770326093129288</v>
      </c>
      <c r="P9" s="19">
        <f>O9/M9</f>
        <v>1.0988755313902256</v>
      </c>
      <c r="Q9" s="18">
        <f>SUM(Q10:Q182)</f>
        <v>20588.703500000011</v>
      </c>
      <c r="R9" s="18">
        <f>SUMPRODUCT(Q10:Q182,R10:R182)/Q9</f>
        <v>21.429364576747172</v>
      </c>
      <c r="S9" s="18">
        <f>SUM(S10:S182)</f>
        <v>20588.703500000011</v>
      </c>
      <c r="T9" s="18">
        <f>SUMPRODUCT(S10:S182,T10:T182)/S9</f>
        <v>22.812928404260635</v>
      </c>
      <c r="U9" s="19">
        <f>T9/R9</f>
        <v>1.0645639222086294</v>
      </c>
    </row>
    <row r="10" spans="1:21" s="1" customFormat="1">
      <c r="A10" s="7" t="s">
        <v>29</v>
      </c>
      <c r="B10" s="13">
        <f>18691.5/2</f>
        <v>9345.75</v>
      </c>
      <c r="C10" s="13">
        <v>23.89</v>
      </c>
      <c r="D10" s="13">
        <f t="shared" ref="D10:D18" si="0">B10</f>
        <v>9345.75</v>
      </c>
      <c r="E10" s="13">
        <v>25.3</v>
      </c>
      <c r="F10" s="14">
        <f t="shared" ref="F10:F18" si="1">(E10*D10)/(C10*B10)</f>
        <v>1.0590205106739221</v>
      </c>
      <c r="G10" s="15">
        <f>14951/2</f>
        <v>7475.5</v>
      </c>
      <c r="H10" s="15">
        <v>21.57</v>
      </c>
      <c r="I10" s="15">
        <f>G10</f>
        <v>7475.5</v>
      </c>
      <c r="J10" s="15">
        <v>22.58</v>
      </c>
      <c r="K10" s="14">
        <f>(J10*I10)/(H10*G10)</f>
        <v>1.0468242929995362</v>
      </c>
      <c r="L10" s="13">
        <f>21018.87/2</f>
        <v>10509.434999999999</v>
      </c>
      <c r="M10" s="13">
        <v>19.760000000000002</v>
      </c>
      <c r="N10" s="13">
        <f>L10</f>
        <v>10509.434999999999</v>
      </c>
      <c r="O10" s="13">
        <v>22.88</v>
      </c>
      <c r="P10" s="14">
        <f>(O10*N10)/(M10*L10)</f>
        <v>1.1578947368421051</v>
      </c>
      <c r="Q10" s="13">
        <f>14381.5/2</f>
        <v>7190.75</v>
      </c>
      <c r="R10" s="13">
        <v>19.760000000000002</v>
      </c>
      <c r="S10" s="13">
        <f>Q10</f>
        <v>7190.75</v>
      </c>
      <c r="T10" s="13">
        <v>20.69</v>
      </c>
      <c r="U10" s="14">
        <f>(T10*S10)/(R10*Q10)</f>
        <v>1.0470647773279353</v>
      </c>
    </row>
    <row r="11" spans="1:21" s="1" customFormat="1">
      <c r="A11" s="7" t="s">
        <v>30</v>
      </c>
      <c r="B11" s="13">
        <f>7.79/2</f>
        <v>3.895</v>
      </c>
      <c r="C11" s="13">
        <v>9.7200000000000006</v>
      </c>
      <c r="D11" s="13">
        <f t="shared" si="0"/>
        <v>3.895</v>
      </c>
      <c r="E11" s="13">
        <v>10.199999999999999</v>
      </c>
      <c r="F11" s="14">
        <f t="shared" si="1"/>
        <v>1.0493827160493827</v>
      </c>
      <c r="G11" s="15"/>
      <c r="H11" s="15"/>
      <c r="I11" s="15"/>
      <c r="J11" s="15"/>
      <c r="K11" s="14"/>
      <c r="L11" s="13"/>
      <c r="M11" s="13"/>
      <c r="N11" s="13"/>
      <c r="O11" s="13"/>
      <c r="P11" s="14"/>
      <c r="Q11" s="13"/>
      <c r="R11" s="13"/>
      <c r="S11" s="13"/>
      <c r="T11" s="13"/>
      <c r="U11" s="14"/>
    </row>
    <row r="12" spans="1:21" s="1" customFormat="1">
      <c r="A12" s="7" t="s">
        <v>27</v>
      </c>
      <c r="B12" s="13">
        <f>1117.41/2</f>
        <v>558.70500000000004</v>
      </c>
      <c r="C12" s="13">
        <v>135.32</v>
      </c>
      <c r="D12" s="13">
        <f t="shared" si="0"/>
        <v>558.70500000000004</v>
      </c>
      <c r="E12" s="13">
        <v>148.69</v>
      </c>
      <c r="F12" s="14">
        <f t="shared" si="1"/>
        <v>1.0988028377180019</v>
      </c>
      <c r="G12" s="15">
        <f>847.45/2</f>
        <v>423.72500000000002</v>
      </c>
      <c r="H12" s="15">
        <v>21.57</v>
      </c>
      <c r="I12" s="15">
        <f>G12</f>
        <v>423.72500000000002</v>
      </c>
      <c r="J12" s="15">
        <v>22.58</v>
      </c>
      <c r="K12" s="14">
        <f t="shared" ref="K12:K14" si="2">(J12*I12)/(H12*G12)</f>
        <v>1.0468242929995362</v>
      </c>
      <c r="L12" s="13">
        <f>906/2</f>
        <v>453</v>
      </c>
      <c r="M12" s="13">
        <v>111.34</v>
      </c>
      <c r="N12" s="13">
        <f>L12</f>
        <v>453</v>
      </c>
      <c r="O12" s="13">
        <v>148.13</v>
      </c>
      <c r="P12" s="14">
        <f t="shared" ref="P12" si="3">(O12*N12)/(M12*L12)</f>
        <v>1.3304293156098437</v>
      </c>
      <c r="Q12" s="13">
        <f>718.1/2</f>
        <v>359.05</v>
      </c>
      <c r="R12" s="13">
        <v>19.760000000000002</v>
      </c>
      <c r="S12" s="13">
        <f>Q12</f>
        <v>359.05</v>
      </c>
      <c r="T12" s="13">
        <v>20.69</v>
      </c>
      <c r="U12" s="14">
        <f t="shared" ref="U12:U14" si="4">(T12*S12)/(R12*Q12)</f>
        <v>1.0470647773279353</v>
      </c>
    </row>
    <row r="13" spans="1:21" s="1" customFormat="1">
      <c r="A13" s="7" t="s">
        <v>28</v>
      </c>
      <c r="B13" s="13">
        <f>5.8/2</f>
        <v>2.9</v>
      </c>
      <c r="C13" s="13">
        <v>57.32</v>
      </c>
      <c r="D13" s="13">
        <f t="shared" si="0"/>
        <v>2.9</v>
      </c>
      <c r="E13" s="13">
        <v>60</v>
      </c>
      <c r="F13" s="14">
        <f t="shared" si="1"/>
        <v>1.0467550593161199</v>
      </c>
      <c r="G13" s="15"/>
      <c r="H13" s="15"/>
      <c r="I13" s="15"/>
      <c r="J13" s="15"/>
      <c r="K13" s="14"/>
      <c r="L13" s="13"/>
      <c r="M13" s="13"/>
      <c r="N13" s="13"/>
      <c r="O13" s="13"/>
      <c r="P13" s="14"/>
      <c r="Q13" s="13"/>
      <c r="R13" s="13"/>
      <c r="S13" s="13"/>
      <c r="T13" s="13"/>
      <c r="U13" s="14"/>
    </row>
    <row r="14" spans="1:21" s="1" customFormat="1">
      <c r="A14" s="8" t="s">
        <v>11</v>
      </c>
      <c r="B14" s="13">
        <f>1387.91/2</f>
        <v>693.95500000000004</v>
      </c>
      <c r="C14" s="13">
        <v>38.76</v>
      </c>
      <c r="D14" s="13">
        <f t="shared" si="0"/>
        <v>693.95500000000004</v>
      </c>
      <c r="E14" s="13">
        <v>40.57</v>
      </c>
      <c r="F14" s="14">
        <f t="shared" si="1"/>
        <v>1.0466976264189887</v>
      </c>
      <c r="G14" s="16">
        <f>1194.27/2</f>
        <v>597.13499999999999</v>
      </c>
      <c r="H14" s="16">
        <v>21.57</v>
      </c>
      <c r="I14" s="15">
        <f>G14</f>
        <v>597.13499999999999</v>
      </c>
      <c r="J14" s="16">
        <v>22.58</v>
      </c>
      <c r="K14" s="14">
        <f t="shared" si="2"/>
        <v>1.0468242929995362</v>
      </c>
      <c r="L14" s="13">
        <f>1827.73/2</f>
        <v>913.86500000000001</v>
      </c>
      <c r="M14" s="13">
        <v>26.12</v>
      </c>
      <c r="N14" s="13">
        <f t="shared" ref="N14:N21" si="5">L14</f>
        <v>913.86500000000001</v>
      </c>
      <c r="O14" s="13">
        <v>27.36</v>
      </c>
      <c r="P14" s="14">
        <f>(O14*N14)/(M14*L14)</f>
        <v>1.0474732006125573</v>
      </c>
      <c r="Q14" s="13">
        <f>1194.27/2</f>
        <v>597.13499999999999</v>
      </c>
      <c r="R14" s="13">
        <v>19.760000000000002</v>
      </c>
      <c r="S14" s="13">
        <f>Q14</f>
        <v>597.13499999999999</v>
      </c>
      <c r="T14" s="13">
        <v>20.69</v>
      </c>
      <c r="U14" s="14">
        <f t="shared" si="4"/>
        <v>1.0470647773279351</v>
      </c>
    </row>
    <row r="15" spans="1:21">
      <c r="A15" s="8" t="s">
        <v>12</v>
      </c>
      <c r="B15" s="13">
        <f>62.1/2</f>
        <v>31.05</v>
      </c>
      <c r="C15" s="13">
        <v>18.079999999999998</v>
      </c>
      <c r="D15" s="13">
        <f t="shared" si="0"/>
        <v>31.05</v>
      </c>
      <c r="E15" s="13">
        <v>35.36</v>
      </c>
      <c r="F15" s="14">
        <f t="shared" si="1"/>
        <v>1.9557522123893807</v>
      </c>
      <c r="G15" s="15"/>
      <c r="H15" s="15"/>
      <c r="I15" s="15"/>
      <c r="J15" s="15"/>
      <c r="K15" s="14"/>
      <c r="L15" s="13"/>
      <c r="M15" s="13"/>
      <c r="N15" s="13">
        <f t="shared" si="5"/>
        <v>0</v>
      </c>
      <c r="O15" s="13"/>
      <c r="P15" s="14"/>
      <c r="Q15" s="28"/>
      <c r="R15" s="28"/>
      <c r="S15" s="28"/>
      <c r="T15" s="28"/>
      <c r="U15" s="14"/>
    </row>
    <row r="16" spans="1:21">
      <c r="A16" s="8" t="s">
        <v>15</v>
      </c>
      <c r="B16" s="13">
        <f>(255.069+3.687)/2</f>
        <v>129.37799999999999</v>
      </c>
      <c r="C16" s="13">
        <v>32.71</v>
      </c>
      <c r="D16" s="13">
        <f t="shared" si="0"/>
        <v>129.37799999999999</v>
      </c>
      <c r="E16" s="13">
        <v>34.159999999999997</v>
      </c>
      <c r="F16" s="14">
        <f t="shared" si="1"/>
        <v>1.0443289513910119</v>
      </c>
      <c r="G16" s="15">
        <f>3.687/2</f>
        <v>1.8434999999999999</v>
      </c>
      <c r="H16" s="15">
        <v>21.57</v>
      </c>
      <c r="I16" s="15">
        <f>G16</f>
        <v>1.8434999999999999</v>
      </c>
      <c r="J16" s="15">
        <v>22.58</v>
      </c>
      <c r="K16" s="14">
        <f>(J16*I16)/(H16*G16)</f>
        <v>1.0468242929995364</v>
      </c>
      <c r="L16" s="13">
        <f>(184.8)/2</f>
        <v>92.4</v>
      </c>
      <c r="M16" s="13">
        <v>52.27</v>
      </c>
      <c r="N16" s="13">
        <f t="shared" si="5"/>
        <v>92.4</v>
      </c>
      <c r="O16" s="13">
        <v>55.52</v>
      </c>
      <c r="P16" s="14">
        <f>(O16*N16)/(M16*L16)</f>
        <v>1.0621771570690646</v>
      </c>
      <c r="Q16" s="28">
        <v>0</v>
      </c>
      <c r="R16" s="28"/>
      <c r="S16" s="28">
        <f>Q16</f>
        <v>0</v>
      </c>
      <c r="T16" s="28"/>
      <c r="U16" s="14"/>
    </row>
    <row r="17" spans="1:21">
      <c r="A17" s="8" t="s">
        <v>53</v>
      </c>
      <c r="B17" s="13">
        <f>125.6/2</f>
        <v>62.8</v>
      </c>
      <c r="C17" s="13">
        <v>46.66</v>
      </c>
      <c r="D17" s="13">
        <f>B17</f>
        <v>62.8</v>
      </c>
      <c r="E17" s="13">
        <v>49.52</v>
      </c>
      <c r="F17" s="14">
        <f t="shared" si="1"/>
        <v>1.0612944706386629</v>
      </c>
      <c r="G17" s="13">
        <f>6.88/2</f>
        <v>3.44</v>
      </c>
      <c r="H17" s="13">
        <v>21.57</v>
      </c>
      <c r="I17" s="13">
        <f>G17</f>
        <v>3.44</v>
      </c>
      <c r="J17" s="13">
        <v>22.58</v>
      </c>
      <c r="K17" s="14">
        <f t="shared" ref="K17" si="6">(J17*I17)/(H17*G17)</f>
        <v>1.0468242929995362</v>
      </c>
      <c r="L17" s="13">
        <f>127.02/2</f>
        <v>63.51</v>
      </c>
      <c r="M17" s="13">
        <v>44.74</v>
      </c>
      <c r="N17" s="13">
        <f t="shared" si="5"/>
        <v>63.51</v>
      </c>
      <c r="O17" s="13">
        <v>47.51</v>
      </c>
      <c r="P17" s="14">
        <f t="shared" ref="P17" si="7">(O17*N17)/(M17*L17)</f>
        <v>1.0619132767098791</v>
      </c>
      <c r="Q17" s="28">
        <f>6.88/2</f>
        <v>3.44</v>
      </c>
      <c r="R17" s="28">
        <v>19.760000000000002</v>
      </c>
      <c r="S17" s="28">
        <f>Q17</f>
        <v>3.44</v>
      </c>
      <c r="T17" s="28">
        <v>20.69</v>
      </c>
      <c r="U17" s="36">
        <f t="shared" ref="U17" si="8">T17/R17</f>
        <v>1.0470647773279351</v>
      </c>
    </row>
    <row r="18" spans="1:21">
      <c r="A18" s="8" t="s">
        <v>13</v>
      </c>
      <c r="B18" s="13">
        <f>37.58/2</f>
        <v>18.79</v>
      </c>
      <c r="C18" s="13">
        <v>52.5</v>
      </c>
      <c r="D18" s="13">
        <f t="shared" si="0"/>
        <v>18.79</v>
      </c>
      <c r="E18" s="13">
        <v>52.5</v>
      </c>
      <c r="F18" s="14">
        <f t="shared" si="1"/>
        <v>1</v>
      </c>
      <c r="G18" s="15"/>
      <c r="H18" s="15"/>
      <c r="I18" s="15"/>
      <c r="J18" s="15"/>
      <c r="K18" s="14"/>
      <c r="L18" s="13">
        <f>75.78/2</f>
        <v>37.89</v>
      </c>
      <c r="M18" s="13">
        <v>38.619999999999997</v>
      </c>
      <c r="N18" s="13">
        <f t="shared" si="5"/>
        <v>37.89</v>
      </c>
      <c r="O18" s="13">
        <v>39.020000000000003</v>
      </c>
      <c r="P18" s="14">
        <f>(O18*N18)/(M18*L18)</f>
        <v>1.0103573278094253</v>
      </c>
      <c r="Q18" s="28"/>
      <c r="R18" s="28"/>
      <c r="S18" s="28"/>
      <c r="T18" s="28"/>
      <c r="U18" s="14"/>
    </row>
    <row r="19" spans="1:21">
      <c r="A19" s="8" t="s">
        <v>32</v>
      </c>
      <c r="B19" s="13">
        <f>1.5/2</f>
        <v>0.75</v>
      </c>
      <c r="C19" s="13">
        <v>17.579999999999998</v>
      </c>
      <c r="D19" s="13">
        <f t="shared" ref="D19:D27" si="9">B19</f>
        <v>0.75</v>
      </c>
      <c r="E19" s="13">
        <v>18.09</v>
      </c>
      <c r="F19" s="14">
        <f t="shared" ref="F19:F32" si="10">(E19*D19)/(C19*B19)</f>
        <v>1.0290102389078499</v>
      </c>
      <c r="G19" s="13"/>
      <c r="H19" s="13"/>
      <c r="I19" s="13"/>
      <c r="J19" s="13"/>
      <c r="K19" s="14"/>
      <c r="L19" s="13">
        <f>5285.17/2-3028.63/2-2147.25/2</f>
        <v>54.644999999999982</v>
      </c>
      <c r="M19" s="13">
        <v>7.52</v>
      </c>
      <c r="N19" s="13">
        <f t="shared" si="5"/>
        <v>54.644999999999982</v>
      </c>
      <c r="O19" s="13">
        <v>7.77</v>
      </c>
      <c r="P19" s="14">
        <f>(O19*N19)/(M19*L19)</f>
        <v>1.0332446808510638</v>
      </c>
      <c r="Q19" s="13"/>
      <c r="R19" s="13"/>
      <c r="S19" s="13"/>
      <c r="T19" s="13"/>
      <c r="U19" s="26"/>
    </row>
    <row r="20" spans="1:21">
      <c r="A20" s="8" t="s">
        <v>33</v>
      </c>
      <c r="B20" s="13">
        <f>2194.46/2-31.2/2-2113.85/2</f>
        <v>24.705000000000155</v>
      </c>
      <c r="C20" s="13">
        <v>8.32</v>
      </c>
      <c r="D20" s="13">
        <f t="shared" si="9"/>
        <v>24.705000000000155</v>
      </c>
      <c r="E20" s="13">
        <v>9.77</v>
      </c>
      <c r="F20" s="14">
        <f t="shared" si="10"/>
        <v>1.1742788461538463</v>
      </c>
      <c r="G20" s="13"/>
      <c r="H20" s="13"/>
      <c r="I20" s="13"/>
      <c r="J20" s="13"/>
      <c r="K20" s="14"/>
      <c r="L20" s="13">
        <f>183.61/2</f>
        <v>91.805000000000007</v>
      </c>
      <c r="M20" s="13">
        <v>1.26</v>
      </c>
      <c r="N20" s="13">
        <f t="shared" si="5"/>
        <v>91.805000000000007</v>
      </c>
      <c r="O20" s="13">
        <v>1.33</v>
      </c>
      <c r="P20" s="14">
        <f>(O20*N20)/(M20*L20)</f>
        <v>1.0555555555555556</v>
      </c>
      <c r="Q20" s="13"/>
      <c r="R20" s="13"/>
      <c r="S20" s="13"/>
      <c r="T20" s="13"/>
      <c r="U20" s="26"/>
    </row>
    <row r="21" spans="1:21">
      <c r="A21" s="8" t="s">
        <v>34</v>
      </c>
      <c r="B21" s="13">
        <f>38081.57/2-37759/2</f>
        <v>161.28499999999985</v>
      </c>
      <c r="C21" s="13">
        <v>1.44</v>
      </c>
      <c r="D21" s="13">
        <f t="shared" si="9"/>
        <v>161.28499999999985</v>
      </c>
      <c r="E21" s="13">
        <v>1.66</v>
      </c>
      <c r="F21" s="14">
        <f t="shared" si="10"/>
        <v>1.1527777777777777</v>
      </c>
      <c r="G21" s="13"/>
      <c r="H21" s="13"/>
      <c r="I21" s="13"/>
      <c r="J21" s="13"/>
      <c r="K21" s="14"/>
      <c r="L21" s="13">
        <f>188.11/2</f>
        <v>94.055000000000007</v>
      </c>
      <c r="M21" s="13">
        <v>5.64</v>
      </c>
      <c r="N21" s="13">
        <f t="shared" si="5"/>
        <v>94.055000000000007</v>
      </c>
      <c r="O21" s="13">
        <v>6.21</v>
      </c>
      <c r="P21" s="14">
        <f>(O21*N21)/(M21*L21)</f>
        <v>1.1010638297872342</v>
      </c>
      <c r="Q21" s="13"/>
      <c r="R21" s="13"/>
      <c r="S21" s="13"/>
      <c r="T21" s="13"/>
      <c r="U21" s="26"/>
    </row>
    <row r="22" spans="1:21">
      <c r="A22" s="8" t="s">
        <v>35</v>
      </c>
      <c r="B22" s="13">
        <f>31590.53/2-31570.23/2</f>
        <v>10.149999999999636</v>
      </c>
      <c r="C22" s="13">
        <v>2.73</v>
      </c>
      <c r="D22" s="13">
        <f t="shared" si="9"/>
        <v>10.149999999999636</v>
      </c>
      <c r="E22" s="13">
        <v>3.06</v>
      </c>
      <c r="F22" s="14">
        <f t="shared" si="10"/>
        <v>1.1208791208791209</v>
      </c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3"/>
      <c r="R22" s="13"/>
      <c r="S22" s="13"/>
      <c r="T22" s="13"/>
      <c r="U22" s="26"/>
    </row>
    <row r="23" spans="1:21" ht="18.75" customHeight="1">
      <c r="A23" s="8" t="s">
        <v>36</v>
      </c>
      <c r="B23" s="13">
        <f>1841.99/2-112.35/2</f>
        <v>864.82</v>
      </c>
      <c r="C23" s="13">
        <v>31.77</v>
      </c>
      <c r="D23" s="13">
        <f t="shared" si="9"/>
        <v>864.82</v>
      </c>
      <c r="E23" s="13">
        <v>35.03</v>
      </c>
      <c r="F23" s="14">
        <f t="shared" si="10"/>
        <v>1.102612527541706</v>
      </c>
      <c r="G23" s="13">
        <f>1465.96/2</f>
        <v>732.98</v>
      </c>
      <c r="H23" s="13">
        <v>31.77</v>
      </c>
      <c r="I23" s="13">
        <f>G23</f>
        <v>732.98</v>
      </c>
      <c r="J23" s="13">
        <v>35.03</v>
      </c>
      <c r="K23" s="14">
        <f>(J23*I23)/(H23*G23)</f>
        <v>1.102612527541706</v>
      </c>
      <c r="L23" s="13">
        <f>3028.63/2-140.24/2</f>
        <v>1444.1950000000002</v>
      </c>
      <c r="M23" s="13">
        <v>15.02</v>
      </c>
      <c r="N23" s="13">
        <f>L23</f>
        <v>1444.1950000000002</v>
      </c>
      <c r="O23" s="13">
        <v>17.010000000000002</v>
      </c>
      <c r="P23" s="14">
        <f>(O23*N23)/(M23*L23)</f>
        <v>1.1324900133155793</v>
      </c>
      <c r="Q23" s="13">
        <f>2213.33/2</f>
        <v>1106.665</v>
      </c>
      <c r="R23" s="13">
        <v>15.02</v>
      </c>
      <c r="S23" s="13">
        <f>Q23</f>
        <v>1106.665</v>
      </c>
      <c r="T23" s="13">
        <v>17.010000000000002</v>
      </c>
      <c r="U23" s="14">
        <f>(T23*S23)/(R23*Q23)</f>
        <v>1.1324900133155793</v>
      </c>
    </row>
    <row r="24" spans="1:21">
      <c r="A24" s="2" t="s">
        <v>56</v>
      </c>
      <c r="B24" s="13">
        <f>2180.07/2</f>
        <v>1090.0350000000001</v>
      </c>
      <c r="C24" s="13">
        <v>20.93</v>
      </c>
      <c r="D24" s="13">
        <f t="shared" si="9"/>
        <v>1090.0350000000001</v>
      </c>
      <c r="E24" s="13">
        <v>21.92</v>
      </c>
      <c r="F24" s="14">
        <f t="shared" si="10"/>
        <v>1.0473005255613952</v>
      </c>
      <c r="G24" s="22">
        <f>1790.33/2</f>
        <v>895.16499999999996</v>
      </c>
      <c r="H24" s="22">
        <v>20.93</v>
      </c>
      <c r="I24" s="22">
        <f>G24</f>
        <v>895.16499999999996</v>
      </c>
      <c r="J24" s="22">
        <v>21.92</v>
      </c>
      <c r="K24" s="14">
        <f t="shared" ref="K24:K25" si="11">(J24*I24)/(H24*G24)</f>
        <v>1.0473005255613952</v>
      </c>
      <c r="L24" s="13">
        <f>2024.78/2</f>
        <v>1012.39</v>
      </c>
      <c r="M24" s="13">
        <v>18.59</v>
      </c>
      <c r="N24" s="13">
        <f>L24</f>
        <v>1012.39</v>
      </c>
      <c r="O24" s="13">
        <v>20.66</v>
      </c>
      <c r="P24" s="14">
        <f>(O24*N24)/(M24*L24)</f>
        <v>1.1113501882732653</v>
      </c>
      <c r="Q24" s="28">
        <f>1804.38/2</f>
        <v>902.19</v>
      </c>
      <c r="R24" s="28">
        <v>18.59</v>
      </c>
      <c r="S24" s="28">
        <f>Q24</f>
        <v>902.19</v>
      </c>
      <c r="T24" s="28">
        <v>20.66</v>
      </c>
      <c r="U24" s="36">
        <f t="shared" ref="U24:U25" si="12">T24/R24</f>
        <v>1.1113501882732653</v>
      </c>
    </row>
    <row r="25" spans="1:21">
      <c r="A25" s="2" t="s">
        <v>57</v>
      </c>
      <c r="B25" s="13">
        <f>396.74/2</f>
        <v>198.37</v>
      </c>
      <c r="C25" s="13">
        <v>40.299999999999997</v>
      </c>
      <c r="D25" s="13">
        <f t="shared" si="9"/>
        <v>198.37</v>
      </c>
      <c r="E25" s="13">
        <v>43.11</v>
      </c>
      <c r="F25" s="14">
        <f t="shared" si="10"/>
        <v>1.069727047146402</v>
      </c>
      <c r="G25" s="22">
        <f>111.56/2</f>
        <v>55.78</v>
      </c>
      <c r="H25" s="22">
        <v>20.93</v>
      </c>
      <c r="I25" s="22">
        <f t="shared" ref="I25" si="13">G25</f>
        <v>55.78</v>
      </c>
      <c r="J25" s="22">
        <v>22.42</v>
      </c>
      <c r="K25" s="14">
        <f t="shared" si="11"/>
        <v>1.071189679885332</v>
      </c>
      <c r="L25" s="13">
        <f>580.81/2</f>
        <v>290.40499999999997</v>
      </c>
      <c r="M25" s="13">
        <v>28.01</v>
      </c>
      <c r="N25" s="13">
        <f t="shared" ref="N25:N26" si="14">L25</f>
        <v>290.40499999999997</v>
      </c>
      <c r="O25" s="13">
        <v>29.71</v>
      </c>
      <c r="P25" s="14">
        <f t="shared" ref="P25:P26" si="15">(O25*N25)/(M25*L25)</f>
        <v>1.0606926097822207</v>
      </c>
      <c r="Q25" s="28">
        <f>157.89/2</f>
        <v>78.944999999999993</v>
      </c>
      <c r="R25" s="28">
        <v>18.59</v>
      </c>
      <c r="S25" s="28">
        <f t="shared" ref="S25" si="16">Q25</f>
        <v>78.944999999999993</v>
      </c>
      <c r="T25" s="28">
        <v>19.91</v>
      </c>
      <c r="U25" s="36">
        <f t="shared" si="12"/>
        <v>1.0710059171597632</v>
      </c>
    </row>
    <row r="26" spans="1:21">
      <c r="A26" s="2" t="s">
        <v>57</v>
      </c>
      <c r="B26" s="13">
        <v>775</v>
      </c>
      <c r="C26" s="13">
        <v>52.21</v>
      </c>
      <c r="D26" s="13">
        <f t="shared" si="9"/>
        <v>775</v>
      </c>
      <c r="E26" s="13">
        <v>55.71</v>
      </c>
      <c r="F26" s="14">
        <f t="shared" si="10"/>
        <v>1.0670369660984487</v>
      </c>
      <c r="G26" s="22"/>
      <c r="H26" s="22"/>
      <c r="I26" s="22"/>
      <c r="J26" s="22"/>
      <c r="K26" s="14"/>
      <c r="L26" s="13">
        <f>1285/2</f>
        <v>642.5</v>
      </c>
      <c r="M26" s="13">
        <v>41.89</v>
      </c>
      <c r="N26" s="13">
        <f t="shared" si="14"/>
        <v>642.5</v>
      </c>
      <c r="O26" s="13">
        <v>44.59</v>
      </c>
      <c r="P26" s="14">
        <f t="shared" si="15"/>
        <v>1.0644545237526857</v>
      </c>
      <c r="Q26" s="28"/>
      <c r="R26" s="28"/>
      <c r="S26" s="28"/>
      <c r="T26" s="28"/>
      <c r="U26" s="36"/>
    </row>
    <row r="27" spans="1:21">
      <c r="A27" s="2" t="s">
        <v>16</v>
      </c>
      <c r="B27" s="13">
        <v>709.11199999999997</v>
      </c>
      <c r="C27" s="13">
        <v>5.45</v>
      </c>
      <c r="D27" s="13">
        <f t="shared" si="9"/>
        <v>709.11199999999997</v>
      </c>
      <c r="E27" s="13">
        <v>5.45</v>
      </c>
      <c r="F27" s="14">
        <f t="shared" si="10"/>
        <v>1</v>
      </c>
      <c r="G27" s="16"/>
      <c r="H27" s="16"/>
      <c r="I27" s="16"/>
      <c r="J27" s="16"/>
      <c r="K27" s="14"/>
      <c r="L27" s="13">
        <v>726.18700000000001</v>
      </c>
      <c r="M27" s="13">
        <v>8.84</v>
      </c>
      <c r="N27" s="13">
        <f>L27</f>
        <v>726.18700000000001</v>
      </c>
      <c r="O27" s="13">
        <v>8.84</v>
      </c>
      <c r="P27" s="14">
        <f>(O27*N27)/(M27*L27)</f>
        <v>1</v>
      </c>
      <c r="Q27" s="28"/>
      <c r="R27" s="28"/>
      <c r="S27" s="28"/>
      <c r="T27" s="28"/>
      <c r="U27" s="26"/>
    </row>
    <row r="28" spans="1:21">
      <c r="A28" s="2" t="s">
        <v>16</v>
      </c>
      <c r="B28" s="13">
        <v>325</v>
      </c>
      <c r="C28" s="13">
        <v>1.76</v>
      </c>
      <c r="D28" s="13">
        <v>325</v>
      </c>
      <c r="E28" s="13">
        <v>1.85</v>
      </c>
      <c r="F28" s="14">
        <f t="shared" si="10"/>
        <v>1.0511363636363635</v>
      </c>
      <c r="G28" s="16"/>
      <c r="H28" s="16"/>
      <c r="I28" s="16"/>
      <c r="J28" s="16"/>
      <c r="K28" s="14"/>
      <c r="L28" s="13"/>
      <c r="M28" s="13"/>
      <c r="N28" s="13"/>
      <c r="O28" s="13"/>
      <c r="P28" s="14"/>
      <c r="Q28" s="28"/>
      <c r="R28" s="28"/>
      <c r="S28" s="28"/>
      <c r="T28" s="28"/>
      <c r="U28" s="26"/>
    </row>
    <row r="29" spans="1:21">
      <c r="A29" s="2" t="s">
        <v>17</v>
      </c>
      <c r="B29" s="13">
        <v>886.08</v>
      </c>
      <c r="C29" s="13">
        <v>17.2</v>
      </c>
      <c r="D29" s="13">
        <f>B29</f>
        <v>886.08</v>
      </c>
      <c r="E29" s="13">
        <v>17.3</v>
      </c>
      <c r="F29" s="14">
        <f t="shared" si="10"/>
        <v>1.0058139534883721</v>
      </c>
      <c r="G29" s="16">
        <v>726.42499999999995</v>
      </c>
      <c r="H29" s="16">
        <v>17.2</v>
      </c>
      <c r="I29" s="16">
        <f>G29</f>
        <v>726.42499999999995</v>
      </c>
      <c r="J29" s="16">
        <v>17.3</v>
      </c>
      <c r="K29" s="14">
        <f t="shared" ref="K29" si="17">(J29*I29)/(H29*G29)</f>
        <v>1.0058139534883723</v>
      </c>
      <c r="L29" s="13">
        <f>2501.713/2</f>
        <v>1250.8565000000001</v>
      </c>
      <c r="M29" s="13">
        <v>17.18</v>
      </c>
      <c r="N29" s="13">
        <f>L29</f>
        <v>1250.8565000000001</v>
      </c>
      <c r="O29" s="13">
        <v>18.7</v>
      </c>
      <c r="P29" s="14">
        <f>(O29*N29)/(M29*L29)</f>
        <v>1.088474970896391</v>
      </c>
      <c r="Q29" s="13">
        <f>2501.713/2</f>
        <v>1250.8565000000001</v>
      </c>
      <c r="R29" s="13">
        <v>17.18</v>
      </c>
      <c r="S29" s="13">
        <f>Q29</f>
        <v>1250.8565000000001</v>
      </c>
      <c r="T29" s="13">
        <v>18.7</v>
      </c>
      <c r="U29" s="14">
        <f>(T29*S29)/(R29*Q29)</f>
        <v>1.088474970896391</v>
      </c>
    </row>
    <row r="30" spans="1:21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58">
        <f t="shared" si="10"/>
        <v>1.053884149079479</v>
      </c>
      <c r="G30" s="54">
        <f>5323.98/2</f>
        <v>2661.99</v>
      </c>
      <c r="H30" s="54">
        <v>22.27</v>
      </c>
      <c r="I30" s="54">
        <f>G30</f>
        <v>2661.99</v>
      </c>
      <c r="J30" s="54">
        <v>23.47</v>
      </c>
      <c r="K30" s="52">
        <f>(J30*I30)/(H30*G30)</f>
        <v>1.053884149079479</v>
      </c>
      <c r="L30" s="54">
        <f>17258/2</f>
        <v>8629</v>
      </c>
      <c r="M30" s="54">
        <v>22.13</v>
      </c>
      <c r="N30" s="54">
        <f>L30</f>
        <v>8629</v>
      </c>
      <c r="O30" s="54">
        <v>23.24</v>
      </c>
      <c r="P30" s="52">
        <f>(O30*N30)/(M30*L30)</f>
        <v>1.0501581563488478</v>
      </c>
      <c r="Q30" s="55">
        <f>8520/2</f>
        <v>4260</v>
      </c>
      <c r="R30" s="55">
        <v>22.13</v>
      </c>
      <c r="S30" s="55">
        <f>Q30</f>
        <v>4260</v>
      </c>
      <c r="T30" s="55">
        <v>23.24</v>
      </c>
      <c r="U30" s="52">
        <f t="shared" ref="U30:U40" si="18">(T30*S30)/(R30*Q30)</f>
        <v>1.0501581563488476</v>
      </c>
    </row>
    <row r="31" spans="1:21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58">
        <f t="shared" si="10"/>
        <v>1.4095238095238096</v>
      </c>
      <c r="G31" s="54"/>
      <c r="H31" s="54"/>
      <c r="I31" s="54"/>
      <c r="J31" s="54"/>
      <c r="K31" s="51"/>
      <c r="L31" s="54"/>
      <c r="M31" s="54"/>
      <c r="N31" s="54"/>
      <c r="O31" s="54"/>
      <c r="P31" s="51"/>
      <c r="Q31" s="54"/>
      <c r="R31" s="54"/>
      <c r="S31" s="54"/>
      <c r="T31" s="54"/>
      <c r="U31" s="51"/>
    </row>
    <row r="32" spans="1:2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12">
        <f t="shared" si="10"/>
        <v>1.0266903914590746</v>
      </c>
      <c r="G32" s="13"/>
      <c r="H32" s="13"/>
      <c r="I32" s="13"/>
      <c r="J32" s="13"/>
      <c r="K32" s="14"/>
      <c r="L32" s="13"/>
      <c r="M32" s="13"/>
      <c r="N32" s="13"/>
      <c r="O32" s="13"/>
      <c r="P32" s="14"/>
      <c r="Q32" s="47"/>
      <c r="R32" s="47"/>
      <c r="S32" s="47"/>
      <c r="T32" s="47"/>
      <c r="U32" s="56"/>
    </row>
    <row r="33" spans="1:2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12">
        <f t="shared" ref="F33:F35" si="19">(E33*D33)/(C33*B33)</f>
        <v>1.0216928400319403</v>
      </c>
      <c r="G33" s="13"/>
      <c r="H33" s="13"/>
      <c r="I33" s="13"/>
      <c r="J33" s="13"/>
      <c r="K33" s="14"/>
      <c r="L33" s="13">
        <f>136.84/2</f>
        <v>68.42</v>
      </c>
      <c r="M33" s="13">
        <v>72.7</v>
      </c>
      <c r="N33" s="13">
        <f>L33</f>
        <v>68.42</v>
      </c>
      <c r="O33" s="13">
        <v>76.040000000000006</v>
      </c>
      <c r="P33" s="14">
        <f t="shared" ref="P33:P35" si="20">(O33*N33)/(M33*L33)</f>
        <v>1.0459422283356259</v>
      </c>
      <c r="Q33" s="47"/>
      <c r="R33" s="47"/>
      <c r="S33" s="46"/>
      <c r="T33" s="47"/>
      <c r="U33" s="12"/>
    </row>
    <row r="34" spans="1:21">
      <c r="A34" s="2" t="s">
        <v>189</v>
      </c>
      <c r="B34" s="11">
        <f>98.19/2</f>
        <v>49.094999999999999</v>
      </c>
      <c r="C34" s="11">
        <v>87.02</v>
      </c>
      <c r="D34" s="11">
        <f t="shared" ref="D34:D35" si="21">B34</f>
        <v>49.094999999999999</v>
      </c>
      <c r="E34" s="11">
        <v>96.16</v>
      </c>
      <c r="F34" s="12">
        <f t="shared" si="19"/>
        <v>1.1050333256722591</v>
      </c>
      <c r="G34" s="13">
        <f>29.56/2</f>
        <v>14.78</v>
      </c>
      <c r="H34" s="13">
        <v>22.42</v>
      </c>
      <c r="I34" s="13">
        <f t="shared" ref="I34:I35" si="22">G34</f>
        <v>14.78</v>
      </c>
      <c r="J34" s="13">
        <v>23.47</v>
      </c>
      <c r="K34" s="14">
        <f t="shared" ref="K34:K36" si="23">(J34*I34)/(H34*G34)</f>
        <v>1.0468331846565564</v>
      </c>
      <c r="L34" s="13">
        <f>69.6/2</f>
        <v>34.799999999999997</v>
      </c>
      <c r="M34" s="13">
        <v>54.98</v>
      </c>
      <c r="N34" s="13">
        <f t="shared" ref="N34:N35" si="24">L34</f>
        <v>34.799999999999997</v>
      </c>
      <c r="O34" s="13">
        <v>59.27</v>
      </c>
      <c r="P34" s="14">
        <f t="shared" si="20"/>
        <v>1.0780283739541654</v>
      </c>
      <c r="Q34" s="47">
        <f>44.1/2</f>
        <v>22.05</v>
      </c>
      <c r="R34" s="47">
        <v>15.77</v>
      </c>
      <c r="S34" s="46">
        <f t="shared" ref="S34:S35" si="25">Q34</f>
        <v>22.05</v>
      </c>
      <c r="T34" s="47">
        <v>16.510000000000002</v>
      </c>
      <c r="U34" s="12">
        <f t="shared" ref="U34:U35" si="26">T34/R34</f>
        <v>1.0469245402663285</v>
      </c>
    </row>
    <row r="35" spans="1:21">
      <c r="A35" s="2" t="s">
        <v>190</v>
      </c>
      <c r="B35" s="11">
        <f>56.1/2</f>
        <v>28.05</v>
      </c>
      <c r="C35" s="11">
        <v>40.299999999999997</v>
      </c>
      <c r="D35" s="11">
        <f t="shared" si="21"/>
        <v>28.05</v>
      </c>
      <c r="E35" s="11">
        <v>43.11</v>
      </c>
      <c r="F35" s="12">
        <f t="shared" si="19"/>
        <v>1.069727047146402</v>
      </c>
      <c r="G35" s="13">
        <f>36.11/2</f>
        <v>18.055</v>
      </c>
      <c r="H35" s="13">
        <v>22.42</v>
      </c>
      <c r="I35" s="13">
        <f t="shared" si="22"/>
        <v>18.055</v>
      </c>
      <c r="J35" s="13">
        <v>23.47</v>
      </c>
      <c r="K35" s="14">
        <f t="shared" si="23"/>
        <v>1.0468331846565564</v>
      </c>
      <c r="L35" s="13">
        <f>73.9/2</f>
        <v>36.950000000000003</v>
      </c>
      <c r="M35" s="13">
        <v>28.01</v>
      </c>
      <c r="N35" s="13">
        <f t="shared" si="24"/>
        <v>36.950000000000003</v>
      </c>
      <c r="O35" s="13">
        <v>29.71</v>
      </c>
      <c r="P35" s="14">
        <f t="shared" si="20"/>
        <v>1.0606926097822207</v>
      </c>
      <c r="Q35" s="46">
        <f>40.33/2</f>
        <v>20.164999999999999</v>
      </c>
      <c r="R35" s="47">
        <v>19.829999999999998</v>
      </c>
      <c r="S35" s="46">
        <f t="shared" si="25"/>
        <v>20.164999999999999</v>
      </c>
      <c r="T35" s="47">
        <v>20.76</v>
      </c>
      <c r="U35" s="12">
        <f t="shared" si="26"/>
        <v>1.0468986384266266</v>
      </c>
    </row>
    <row r="36" spans="1:21">
      <c r="A36" s="6" t="s">
        <v>183</v>
      </c>
      <c r="B36" s="57">
        <f>2687.6/2</f>
        <v>1343.8</v>
      </c>
      <c r="C36" s="57">
        <v>35.51</v>
      </c>
      <c r="D36" s="57">
        <f t="shared" ref="D36:D45" si="27">B36</f>
        <v>1343.8</v>
      </c>
      <c r="E36" s="57">
        <v>36.090000000000003</v>
      </c>
      <c r="F36" s="58">
        <f>(E36*D36)/(C36*B36)</f>
        <v>1.0163334272036049</v>
      </c>
      <c r="G36" s="54">
        <f>1120/2</f>
        <v>560</v>
      </c>
      <c r="H36" s="54">
        <v>22.42</v>
      </c>
      <c r="I36" s="54">
        <f>G36</f>
        <v>560</v>
      </c>
      <c r="J36" s="54">
        <v>23.47</v>
      </c>
      <c r="K36" s="52">
        <f t="shared" si="23"/>
        <v>1.0468331846565564</v>
      </c>
      <c r="L36" s="54">
        <f>2628.733/2</f>
        <v>1314.3665000000001</v>
      </c>
      <c r="M36" s="54">
        <v>22.48</v>
      </c>
      <c r="N36" s="54">
        <f>L36</f>
        <v>1314.3665000000001</v>
      </c>
      <c r="O36" s="54">
        <v>23.29</v>
      </c>
      <c r="P36" s="52">
        <f>(O36*N36)/(M36*L36)</f>
        <v>1.0360320284697508</v>
      </c>
      <c r="Q36" s="54">
        <f>1850/2</f>
        <v>925</v>
      </c>
      <c r="R36" s="54">
        <v>19.829999999999998</v>
      </c>
      <c r="S36" s="54">
        <f>Q36</f>
        <v>925</v>
      </c>
      <c r="T36" s="54">
        <v>21.5</v>
      </c>
      <c r="U36" s="52">
        <f t="shared" si="18"/>
        <v>1.0842158345940494</v>
      </c>
    </row>
    <row r="37" spans="1:21">
      <c r="A37" s="6" t="s">
        <v>185</v>
      </c>
      <c r="B37" s="54">
        <f>3989.217/2</f>
        <v>1994.6085</v>
      </c>
      <c r="C37" s="54">
        <v>31.52</v>
      </c>
      <c r="D37" s="54">
        <f t="shared" si="27"/>
        <v>1994.6085</v>
      </c>
      <c r="E37" s="54">
        <v>33.72</v>
      </c>
      <c r="F37" s="52">
        <f>(E37*D37)/(C37*B37)</f>
        <v>1.0697969543147208</v>
      </c>
      <c r="G37" s="54">
        <f>2428.56/2</f>
        <v>1214.28</v>
      </c>
      <c r="H37" s="54">
        <v>25.95</v>
      </c>
      <c r="I37" s="54">
        <f>G37</f>
        <v>1214.28</v>
      </c>
      <c r="J37" s="54">
        <v>27.8</v>
      </c>
      <c r="K37" s="52">
        <f>(J37*I37)/(H37*G37)</f>
        <v>1.071290944123314</v>
      </c>
      <c r="L37" s="54">
        <f>3445/2</f>
        <v>1722.5</v>
      </c>
      <c r="M37" s="54">
        <v>24.29</v>
      </c>
      <c r="N37" s="54">
        <f>L37</f>
        <v>1722.5</v>
      </c>
      <c r="O37" s="54">
        <v>25.13</v>
      </c>
      <c r="P37" s="52">
        <f>(O37*N37)/(M37*L37)</f>
        <v>1.0345821325648414</v>
      </c>
      <c r="Q37" s="55">
        <f>2448/2</f>
        <v>1224</v>
      </c>
      <c r="R37" s="55">
        <v>21.01</v>
      </c>
      <c r="S37" s="55">
        <f>2448/2</f>
        <v>1224</v>
      </c>
      <c r="T37" s="55">
        <v>22.5</v>
      </c>
      <c r="U37" s="52">
        <f t="shared" si="18"/>
        <v>1.0709186101856258</v>
      </c>
    </row>
    <row r="38" spans="1:21">
      <c r="A38" s="6" t="s">
        <v>186</v>
      </c>
      <c r="B38" s="54">
        <f>21.42/2</f>
        <v>10.71</v>
      </c>
      <c r="C38" s="54">
        <v>16.059999999999999</v>
      </c>
      <c r="D38" s="54">
        <f t="shared" si="27"/>
        <v>10.71</v>
      </c>
      <c r="E38" s="54">
        <v>16.059999999999999</v>
      </c>
      <c r="F38" s="52">
        <f>(E38*D38)/(C38*B38)</f>
        <v>1</v>
      </c>
      <c r="G38" s="54"/>
      <c r="H38" s="54"/>
      <c r="I38" s="54"/>
      <c r="J38" s="54"/>
      <c r="K38" s="51"/>
      <c r="L38" s="54"/>
      <c r="M38" s="54"/>
      <c r="N38" s="54"/>
      <c r="O38" s="54"/>
      <c r="P38" s="51"/>
      <c r="Q38" s="55">
        <f>18.93/2</f>
        <v>9.4649999999999999</v>
      </c>
      <c r="R38" s="55">
        <v>13.79</v>
      </c>
      <c r="S38" s="55">
        <f>Q38</f>
        <v>9.4649999999999999</v>
      </c>
      <c r="T38" s="55">
        <v>14.28</v>
      </c>
      <c r="U38" s="52">
        <f t="shared" si="18"/>
        <v>1.0355329949238581</v>
      </c>
    </row>
    <row r="39" spans="1:21">
      <c r="A39" s="2" t="s">
        <v>191</v>
      </c>
      <c r="B39" s="11">
        <f>27/2</f>
        <v>13.5</v>
      </c>
      <c r="C39" s="11">
        <v>40.299999999999997</v>
      </c>
      <c r="D39" s="11">
        <f t="shared" si="27"/>
        <v>13.5</v>
      </c>
      <c r="E39" s="11">
        <v>43.11</v>
      </c>
      <c r="F39" s="14">
        <f t="shared" ref="F39" si="28">(E39*D39)/(C39*B39)</f>
        <v>1.0697270471464022</v>
      </c>
      <c r="G39" s="13">
        <f>18.62/2</f>
        <v>9.31</v>
      </c>
      <c r="H39" s="13">
        <v>25.95</v>
      </c>
      <c r="I39" s="13">
        <f>G39</f>
        <v>9.31</v>
      </c>
      <c r="J39" s="13">
        <v>27.79</v>
      </c>
      <c r="K39" s="14">
        <f t="shared" ref="K39:K40" si="29">(J39*I39)/(H39*G39)</f>
        <v>1.0709055876685933</v>
      </c>
      <c r="L39" s="13">
        <f>18.62/2</f>
        <v>9.31</v>
      </c>
      <c r="M39" s="13">
        <v>28.01</v>
      </c>
      <c r="N39" s="13">
        <f>L39</f>
        <v>9.31</v>
      </c>
      <c r="O39" s="13">
        <v>29.71</v>
      </c>
      <c r="P39" s="14">
        <f t="shared" ref="P39:P40" si="30">(O39*N39)/(M39*L39)</f>
        <v>1.0606926097822205</v>
      </c>
      <c r="Q39" s="59">
        <f>18.62/2</f>
        <v>9.31</v>
      </c>
      <c r="R39" s="59">
        <v>28.01</v>
      </c>
      <c r="S39" s="59">
        <f>Q39</f>
        <v>9.31</v>
      </c>
      <c r="T39" s="59">
        <v>29.71</v>
      </c>
      <c r="U39" s="12">
        <f t="shared" ref="U39" si="31">T39/R39</f>
        <v>1.0606926097822207</v>
      </c>
    </row>
    <row r="40" spans="1:21">
      <c r="A40" s="6" t="s">
        <v>187</v>
      </c>
      <c r="B40" s="54">
        <f>1217.817</f>
        <v>1217.817</v>
      </c>
      <c r="C40" s="54">
        <v>41.75</v>
      </c>
      <c r="D40" s="54">
        <f t="shared" si="27"/>
        <v>1217.817</v>
      </c>
      <c r="E40" s="54">
        <f>41.75</f>
        <v>41.75</v>
      </c>
      <c r="F40" s="52">
        <f t="shared" ref="F40:F45" si="32">(E40*D40)/(C40*B40)</f>
        <v>1</v>
      </c>
      <c r="G40" s="54">
        <f>344.538/2</f>
        <v>172.26900000000001</v>
      </c>
      <c r="H40" s="54">
        <v>25.42</v>
      </c>
      <c r="I40" s="54">
        <f t="shared" ref="I40" si="33">G40</f>
        <v>172.26900000000001</v>
      </c>
      <c r="J40" s="54">
        <v>27.22</v>
      </c>
      <c r="K40" s="52">
        <f t="shared" si="29"/>
        <v>1.0708103855232101</v>
      </c>
      <c r="L40" s="54">
        <f>1164.06/2</f>
        <v>582.03</v>
      </c>
      <c r="M40" s="54">
        <v>39</v>
      </c>
      <c r="N40" s="54">
        <f>L40</f>
        <v>582.03</v>
      </c>
      <c r="O40" s="54">
        <v>40.840000000000003</v>
      </c>
      <c r="P40" s="52">
        <f t="shared" si="30"/>
        <v>1.0471794871794873</v>
      </c>
      <c r="Q40" s="55">
        <f>528.16/2</f>
        <v>264.08</v>
      </c>
      <c r="R40" s="55">
        <v>33.31</v>
      </c>
      <c r="S40" s="55">
        <f>Q40</f>
        <v>264.08</v>
      </c>
      <c r="T40" s="55">
        <v>35.68</v>
      </c>
      <c r="U40" s="52">
        <f t="shared" si="18"/>
        <v>1.0711498048634043</v>
      </c>
    </row>
    <row r="41" spans="1:21" s="1" customFormat="1" ht="14.25" customHeight="1">
      <c r="A41" s="6" t="s">
        <v>19</v>
      </c>
      <c r="B41" s="13">
        <f>168.83/2</f>
        <v>84.415000000000006</v>
      </c>
      <c r="C41" s="13">
        <v>53.5</v>
      </c>
      <c r="D41" s="13">
        <f t="shared" si="27"/>
        <v>84.415000000000006</v>
      </c>
      <c r="E41" s="13">
        <v>53.5</v>
      </c>
      <c r="F41" s="14">
        <f t="shared" si="32"/>
        <v>1</v>
      </c>
      <c r="G41" s="15">
        <f>110.36/2</f>
        <v>55.18</v>
      </c>
      <c r="H41" s="15">
        <v>43</v>
      </c>
      <c r="I41" s="15">
        <f>G41</f>
        <v>55.18</v>
      </c>
      <c r="J41" s="15">
        <v>46.05</v>
      </c>
      <c r="K41" s="14">
        <f>(J41*I41)/(H41*G41)</f>
        <v>1.0709302325581396</v>
      </c>
      <c r="L41" s="13">
        <f>87.61/2</f>
        <v>43.805</v>
      </c>
      <c r="M41" s="13">
        <v>52.4</v>
      </c>
      <c r="N41" s="13">
        <f>L41</f>
        <v>43.805</v>
      </c>
      <c r="O41" s="13">
        <v>59.69</v>
      </c>
      <c r="P41" s="14">
        <f>(O41*N41)/(M41*L41)</f>
        <v>1.1391221374045801</v>
      </c>
      <c r="Q41" s="13">
        <f>48.05/2</f>
        <v>24.024999999999999</v>
      </c>
      <c r="R41" s="13">
        <v>41</v>
      </c>
      <c r="S41" s="13">
        <f>Q41</f>
        <v>24.024999999999999</v>
      </c>
      <c r="T41" s="13">
        <v>43.91</v>
      </c>
      <c r="U41" s="14">
        <f>(T41*S41)/(R41*Q41)</f>
        <v>1.0709756097560974</v>
      </c>
    </row>
    <row r="42" spans="1:21" s="1" customFormat="1" ht="15" customHeight="1">
      <c r="A42" s="6" t="s">
        <v>20</v>
      </c>
      <c r="B42" s="13">
        <f>13.06/2</f>
        <v>6.53</v>
      </c>
      <c r="C42" s="13">
        <v>91.26</v>
      </c>
      <c r="D42" s="13">
        <f t="shared" si="27"/>
        <v>6.53</v>
      </c>
      <c r="E42" s="13">
        <v>94.88</v>
      </c>
      <c r="F42" s="14">
        <f t="shared" si="32"/>
        <v>1.0396668858207319</v>
      </c>
      <c r="G42" s="15">
        <f>8.27/2</f>
        <v>4.1349999999999998</v>
      </c>
      <c r="H42" s="15">
        <v>91.26</v>
      </c>
      <c r="I42" s="15">
        <f t="shared" ref="I42:I48" si="34">G42</f>
        <v>4.1349999999999998</v>
      </c>
      <c r="J42" s="15">
        <v>94.88</v>
      </c>
      <c r="K42" s="14">
        <f>(J42*I42)/(H42*G42)</f>
        <v>1.0396668858207319</v>
      </c>
      <c r="L42" s="13"/>
      <c r="M42" s="13"/>
      <c r="N42" s="13"/>
      <c r="O42" s="13"/>
      <c r="P42" s="14"/>
      <c r="Q42" s="13"/>
      <c r="R42" s="13"/>
      <c r="S42" s="13"/>
      <c r="T42" s="13"/>
      <c r="U42" s="14"/>
    </row>
    <row r="43" spans="1:21" s="1" customFormat="1" ht="14.25" customHeight="1">
      <c r="A43" s="6" t="s">
        <v>21</v>
      </c>
      <c r="B43" s="13">
        <f>13/2</f>
        <v>6.5</v>
      </c>
      <c r="C43" s="13">
        <v>81.069999999999993</v>
      </c>
      <c r="D43" s="13">
        <f t="shared" si="27"/>
        <v>6.5</v>
      </c>
      <c r="E43" s="13">
        <v>84.59</v>
      </c>
      <c r="F43" s="14">
        <f t="shared" si="32"/>
        <v>1.0434192672998646</v>
      </c>
      <c r="G43" s="15">
        <f>8.61/2</f>
        <v>4.3049999999999997</v>
      </c>
      <c r="H43" s="15">
        <v>81.069999999999993</v>
      </c>
      <c r="I43" s="15">
        <f t="shared" si="34"/>
        <v>4.3049999999999997</v>
      </c>
      <c r="J43" s="15">
        <v>84.59</v>
      </c>
      <c r="K43" s="14">
        <f>(J43*I43)/(H43*G43)</f>
        <v>1.0434192672998643</v>
      </c>
      <c r="L43" s="13"/>
      <c r="M43" s="13"/>
      <c r="N43" s="13"/>
      <c r="O43" s="13"/>
      <c r="P43" s="14"/>
      <c r="Q43" s="13"/>
      <c r="R43" s="13"/>
      <c r="S43" s="13"/>
      <c r="T43" s="13"/>
      <c r="U43" s="14"/>
    </row>
    <row r="44" spans="1:21">
      <c r="A44" s="3" t="s">
        <v>22</v>
      </c>
      <c r="B44" s="13">
        <f>7.97/2</f>
        <v>3.9849999999999999</v>
      </c>
      <c r="C44" s="13">
        <v>87.3</v>
      </c>
      <c r="D44" s="13">
        <f t="shared" si="27"/>
        <v>3.9849999999999999</v>
      </c>
      <c r="E44" s="13">
        <v>92.57</v>
      </c>
      <c r="F44" s="14">
        <f t="shared" si="32"/>
        <v>1.0603665521191294</v>
      </c>
      <c r="G44" s="16">
        <f>3.23/2</f>
        <v>1.615</v>
      </c>
      <c r="H44" s="16">
        <v>87.3</v>
      </c>
      <c r="I44" s="15">
        <f t="shared" si="34"/>
        <v>1.615</v>
      </c>
      <c r="J44" s="16">
        <v>92.57</v>
      </c>
      <c r="K44" s="14">
        <f t="shared" ref="K44:K48" si="35">(J44*I44)/(H44*G44)</f>
        <v>1.0603665521191292</v>
      </c>
      <c r="L44" s="13"/>
      <c r="M44" s="13"/>
      <c r="N44" s="13"/>
      <c r="O44" s="13"/>
      <c r="P44" s="14"/>
      <c r="Q44" s="28"/>
      <c r="R44" s="28"/>
      <c r="S44" s="28"/>
      <c r="T44" s="28"/>
      <c r="U44" s="26"/>
    </row>
    <row r="45" spans="1:21">
      <c r="A45" s="3" t="s">
        <v>23</v>
      </c>
      <c r="B45" s="13">
        <f>2.103/2</f>
        <v>1.0515000000000001</v>
      </c>
      <c r="C45" s="13">
        <v>99.44</v>
      </c>
      <c r="D45" s="13">
        <f t="shared" si="27"/>
        <v>1.0515000000000001</v>
      </c>
      <c r="E45" s="13">
        <v>107.89</v>
      </c>
      <c r="F45" s="14">
        <f t="shared" si="32"/>
        <v>1.0849758648431216</v>
      </c>
      <c r="G45" s="16">
        <f>0.55/2</f>
        <v>0.27500000000000002</v>
      </c>
      <c r="H45" s="16">
        <v>99.44</v>
      </c>
      <c r="I45" s="15">
        <f t="shared" si="34"/>
        <v>0.27500000000000002</v>
      </c>
      <c r="J45" s="16">
        <v>107.89</v>
      </c>
      <c r="K45" s="14">
        <f t="shared" si="35"/>
        <v>1.0849758648431216</v>
      </c>
      <c r="L45" s="13"/>
      <c r="M45" s="13"/>
      <c r="N45" s="13"/>
      <c r="O45" s="13"/>
      <c r="P45" s="14"/>
      <c r="Q45" s="28"/>
      <c r="R45" s="28"/>
      <c r="S45" s="28"/>
      <c r="T45" s="28"/>
      <c r="U45" s="26"/>
    </row>
    <row r="46" spans="1:21">
      <c r="A46" s="3" t="s">
        <v>24</v>
      </c>
      <c r="B46" s="28">
        <f>7.4/2</f>
        <v>3.7</v>
      </c>
      <c r="C46" s="28">
        <v>73.23</v>
      </c>
      <c r="D46" s="13">
        <f t="shared" ref="D46:D48" si="36">B46</f>
        <v>3.7</v>
      </c>
      <c r="E46" s="28">
        <v>79.430000000000007</v>
      </c>
      <c r="F46" s="14">
        <f t="shared" ref="F46:F48" si="37">(E46*D46)/(C46*B46)</f>
        <v>1.0846647548818791</v>
      </c>
      <c r="G46" s="15">
        <f>5.27/2</f>
        <v>2.6349999999999998</v>
      </c>
      <c r="H46" s="15">
        <v>73.23</v>
      </c>
      <c r="I46" s="15">
        <f t="shared" si="34"/>
        <v>2.6349999999999998</v>
      </c>
      <c r="J46" s="15">
        <v>79.430000000000007</v>
      </c>
      <c r="K46" s="14">
        <f t="shared" si="35"/>
        <v>1.0846647548818789</v>
      </c>
      <c r="L46" s="28"/>
      <c r="M46" s="28"/>
      <c r="N46" s="28"/>
      <c r="O46" s="28"/>
      <c r="P46" s="26"/>
      <c r="Q46" s="28"/>
      <c r="R46" s="28"/>
      <c r="S46" s="28"/>
      <c r="T46" s="28"/>
      <c r="U46" s="26"/>
    </row>
    <row r="47" spans="1:21">
      <c r="A47" s="3" t="s">
        <v>25</v>
      </c>
      <c r="B47" s="28">
        <f>2.6/2</f>
        <v>1.3</v>
      </c>
      <c r="C47" s="28">
        <v>94.21</v>
      </c>
      <c r="D47" s="13">
        <f t="shared" si="36"/>
        <v>1.3</v>
      </c>
      <c r="E47" s="28">
        <v>102.22</v>
      </c>
      <c r="F47" s="14">
        <f t="shared" si="37"/>
        <v>1.0850228213565438</v>
      </c>
      <c r="G47" s="15">
        <f>2.26/2</f>
        <v>1.1299999999999999</v>
      </c>
      <c r="H47" s="15">
        <v>94.21</v>
      </c>
      <c r="I47" s="15">
        <f t="shared" si="34"/>
        <v>1.1299999999999999</v>
      </c>
      <c r="J47" s="15">
        <v>102.22</v>
      </c>
      <c r="K47" s="14">
        <f t="shared" si="35"/>
        <v>1.0850228213565438</v>
      </c>
      <c r="L47" s="28"/>
      <c r="M47" s="28"/>
      <c r="N47" s="28"/>
      <c r="O47" s="28"/>
      <c r="P47" s="26"/>
      <c r="Q47" s="28"/>
      <c r="R47" s="28"/>
      <c r="S47" s="28"/>
      <c r="T47" s="28"/>
      <c r="U47" s="26"/>
    </row>
    <row r="48" spans="1:21" ht="18" customHeight="1">
      <c r="A48" s="27" t="s">
        <v>26</v>
      </c>
      <c r="B48" s="28">
        <f>18.6/2</f>
        <v>9.3000000000000007</v>
      </c>
      <c r="C48" s="28">
        <v>23.95</v>
      </c>
      <c r="D48" s="13">
        <f t="shared" si="36"/>
        <v>9.3000000000000007</v>
      </c>
      <c r="E48" s="28">
        <v>25.48</v>
      </c>
      <c r="F48" s="14">
        <f t="shared" si="37"/>
        <v>1.0638830897703551</v>
      </c>
      <c r="G48" s="15">
        <f>4.06/2</f>
        <v>2.0299999999999998</v>
      </c>
      <c r="H48" s="15">
        <v>23.95</v>
      </c>
      <c r="I48" s="15">
        <f t="shared" si="34"/>
        <v>2.0299999999999998</v>
      </c>
      <c r="J48" s="15">
        <v>25.48</v>
      </c>
      <c r="K48" s="14">
        <f t="shared" si="35"/>
        <v>1.0638830897703548</v>
      </c>
      <c r="L48" s="28"/>
      <c r="M48" s="28"/>
      <c r="N48" s="28"/>
      <c r="O48" s="28"/>
      <c r="P48" s="26"/>
      <c r="Q48" s="28"/>
      <c r="R48" s="28"/>
      <c r="S48" s="28"/>
      <c r="T48" s="28"/>
      <c r="U48" s="26"/>
    </row>
    <row r="49" spans="1:21" ht="18" customHeight="1">
      <c r="A49" s="2" t="s">
        <v>38</v>
      </c>
      <c r="B49" s="13">
        <f>161.89/2</f>
        <v>80.944999999999993</v>
      </c>
      <c r="C49" s="13">
        <v>36.25</v>
      </c>
      <c r="D49" s="13">
        <f>B49</f>
        <v>80.944999999999993</v>
      </c>
      <c r="E49" s="13">
        <v>48.5</v>
      </c>
      <c r="F49" s="14">
        <f>(E49*D49)/(C49*B49)</f>
        <v>1.3379310344827584</v>
      </c>
      <c r="G49" s="30">
        <f>86.85/2</f>
        <v>43.424999999999997</v>
      </c>
      <c r="H49" s="30">
        <v>16.61</v>
      </c>
      <c r="I49" s="30">
        <f>G49</f>
        <v>43.424999999999997</v>
      </c>
      <c r="J49" s="30">
        <v>17.79</v>
      </c>
      <c r="K49" s="14">
        <f>(J49*I49)/(H49*G49)</f>
        <v>1.0710415412402168</v>
      </c>
      <c r="L49" s="13">
        <f>164.14/2-8.12/2</f>
        <v>78.009999999999991</v>
      </c>
      <c r="M49" s="13">
        <v>61.79</v>
      </c>
      <c r="N49" s="13">
        <f>L49</f>
        <v>78.009999999999991</v>
      </c>
      <c r="O49" s="13">
        <v>71.33</v>
      </c>
      <c r="P49" s="14">
        <f>(O49*N49)/(M49*L49)</f>
        <v>1.1543939148729567</v>
      </c>
      <c r="Q49" s="37">
        <f>78.89/2*0.06</f>
        <v>2.3666999999999998</v>
      </c>
      <c r="R49" s="13">
        <v>35.03</v>
      </c>
      <c r="S49" s="13">
        <f>Q49</f>
        <v>2.3666999999999998</v>
      </c>
      <c r="T49" s="13">
        <v>37.53</v>
      </c>
      <c r="U49" s="14">
        <f>(T49*S49)/(R49*Q49)</f>
        <v>1.0713673993719668</v>
      </c>
    </row>
    <row r="50" spans="1:21" ht="18" customHeight="1">
      <c r="A50" s="2" t="s">
        <v>38</v>
      </c>
      <c r="B50" s="13"/>
      <c r="C50" s="13"/>
      <c r="D50" s="13"/>
      <c r="E50" s="13"/>
      <c r="F50" s="14"/>
      <c r="G50" s="30"/>
      <c r="H50" s="30"/>
      <c r="I50" s="30">
        <f t="shared" ref="I50:I53" si="38">G50</f>
        <v>0</v>
      </c>
      <c r="J50" s="30"/>
      <c r="K50" s="14"/>
      <c r="L50" s="13"/>
      <c r="M50" s="13"/>
      <c r="N50" s="13">
        <f t="shared" ref="N50:N53" si="39">L50</f>
        <v>0</v>
      </c>
      <c r="O50" s="13"/>
      <c r="P50" s="14"/>
      <c r="Q50" s="37">
        <f>78.89/2*0.94</f>
        <v>37.078299999999999</v>
      </c>
      <c r="R50" s="13">
        <v>24.7</v>
      </c>
      <c r="S50" s="13">
        <f>Q50</f>
        <v>37.078299999999999</v>
      </c>
      <c r="T50" s="13">
        <v>26.46</v>
      </c>
      <c r="U50" s="14">
        <f>(T50*S50)/(R50*Q50)</f>
        <v>1.071255060728745</v>
      </c>
    </row>
    <row r="51" spans="1:21" ht="18" customHeight="1">
      <c r="A51" s="2" t="s">
        <v>39</v>
      </c>
      <c r="B51" s="13">
        <f>64.63/2</f>
        <v>32.314999999999998</v>
      </c>
      <c r="C51" s="13">
        <v>57.95</v>
      </c>
      <c r="D51" s="13">
        <f t="shared" ref="D51:D53" si="40">B51</f>
        <v>32.314999999999998</v>
      </c>
      <c r="E51" s="13">
        <v>59.17</v>
      </c>
      <c r="F51" s="14">
        <f t="shared" ref="F51:F53" si="41">(E51*D51)/(C51*B51)</f>
        <v>1.0210526315789472</v>
      </c>
      <c r="G51" s="30">
        <f>35/2</f>
        <v>17.5</v>
      </c>
      <c r="H51" s="30">
        <v>32.200000000000003</v>
      </c>
      <c r="I51" s="30">
        <f t="shared" si="38"/>
        <v>17.5</v>
      </c>
      <c r="J51" s="30">
        <v>34.49</v>
      </c>
      <c r="K51" s="14">
        <f t="shared" ref="K51:K53" si="42">(J51*I51)/(H51*G51)</f>
        <v>1.0711180124223603</v>
      </c>
      <c r="L51" s="13">
        <f>24/2</f>
        <v>12</v>
      </c>
      <c r="M51" s="13">
        <v>67.87</v>
      </c>
      <c r="N51" s="13">
        <f t="shared" si="39"/>
        <v>12</v>
      </c>
      <c r="O51" s="13">
        <v>71.95</v>
      </c>
      <c r="P51" s="14">
        <f t="shared" ref="P51" si="43">(O51*N51)/(M51*L51)</f>
        <v>1.0601149255930455</v>
      </c>
      <c r="Q51" s="37">
        <f>11/2</f>
        <v>5.5</v>
      </c>
      <c r="R51" s="13">
        <v>35.79</v>
      </c>
      <c r="S51" s="13">
        <f t="shared" ref="S51:S53" si="44">Q51</f>
        <v>5.5</v>
      </c>
      <c r="T51" s="13">
        <v>38.33</v>
      </c>
      <c r="U51" s="14">
        <f t="shared" ref="U51" si="45">(T51*S51)/(R51*Q51)</f>
        <v>1.0709695445655212</v>
      </c>
    </row>
    <row r="52" spans="1:21" ht="18" customHeight="1">
      <c r="A52" s="2" t="s">
        <v>40</v>
      </c>
      <c r="B52" s="13">
        <f>32.19/2</f>
        <v>16.094999999999999</v>
      </c>
      <c r="C52" s="13">
        <v>38.909999999999997</v>
      </c>
      <c r="D52" s="13">
        <f t="shared" si="40"/>
        <v>16.094999999999999</v>
      </c>
      <c r="E52" s="13">
        <v>41.03</v>
      </c>
      <c r="F52" s="14">
        <f t="shared" si="41"/>
        <v>1.0544847083012081</v>
      </c>
      <c r="G52" s="30">
        <f>19.19/2</f>
        <v>9.5950000000000006</v>
      </c>
      <c r="H52" s="30">
        <v>38.909999999999997</v>
      </c>
      <c r="I52" s="30">
        <f t="shared" si="38"/>
        <v>9.5950000000000006</v>
      </c>
      <c r="J52" s="30">
        <v>41.03</v>
      </c>
      <c r="K52" s="14">
        <f t="shared" si="42"/>
        <v>1.0544847083012079</v>
      </c>
      <c r="L52" s="13">
        <v>0</v>
      </c>
      <c r="M52" s="13"/>
      <c r="N52" s="13"/>
      <c r="O52" s="13"/>
      <c r="P52" s="14"/>
      <c r="Q52" s="37">
        <v>0</v>
      </c>
      <c r="R52" s="13"/>
      <c r="S52" s="13"/>
      <c r="T52" s="13"/>
      <c r="U52" s="14"/>
    </row>
    <row r="53" spans="1:21" ht="18" customHeight="1">
      <c r="A53" s="2" t="s">
        <v>41</v>
      </c>
      <c r="B53" s="13">
        <f>10.682/2</f>
        <v>5.3410000000000002</v>
      </c>
      <c r="C53" s="13">
        <v>77.88</v>
      </c>
      <c r="D53" s="13">
        <f t="shared" si="40"/>
        <v>5.3410000000000002</v>
      </c>
      <c r="E53" s="13">
        <v>83.07</v>
      </c>
      <c r="F53" s="14">
        <f t="shared" si="41"/>
        <v>1.0666409861325115</v>
      </c>
      <c r="G53" s="30">
        <f>9.422/2</f>
        <v>4.7110000000000003</v>
      </c>
      <c r="H53" s="30">
        <v>38.479999999999997</v>
      </c>
      <c r="I53" s="30">
        <f t="shared" si="38"/>
        <v>4.7110000000000003</v>
      </c>
      <c r="J53" s="30">
        <v>41.21</v>
      </c>
      <c r="K53" s="14">
        <f t="shared" si="42"/>
        <v>1.0709459459459461</v>
      </c>
      <c r="L53" s="13">
        <v>0</v>
      </c>
      <c r="M53" s="13"/>
      <c r="N53" s="13">
        <f t="shared" si="39"/>
        <v>0</v>
      </c>
      <c r="O53" s="13"/>
      <c r="P53" s="14"/>
      <c r="Q53" s="37">
        <v>0</v>
      </c>
      <c r="R53" s="13"/>
      <c r="S53" s="13">
        <f t="shared" si="44"/>
        <v>0</v>
      </c>
      <c r="T53" s="13"/>
      <c r="U53" s="14"/>
    </row>
    <row r="54" spans="1:21" ht="18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14">
        <f>(E54*D54)/(C54*B54)</f>
        <v>1.5027863777089783</v>
      </c>
      <c r="G54" s="22">
        <f>82/2</f>
        <v>41</v>
      </c>
      <c r="H54" s="22">
        <v>45.15</v>
      </c>
      <c r="I54" s="22">
        <f>G54</f>
        <v>41</v>
      </c>
      <c r="J54" s="22">
        <v>48.36</v>
      </c>
      <c r="K54" s="14">
        <f t="shared" ref="K54" si="46">(J54*I54)/(H54*G54)</f>
        <v>1.0710963455149503</v>
      </c>
      <c r="L54" s="13"/>
      <c r="M54" s="13"/>
      <c r="N54" s="13"/>
      <c r="O54" s="13"/>
      <c r="P54" s="14"/>
      <c r="Q54" s="28"/>
      <c r="R54" s="28"/>
      <c r="S54" s="28"/>
      <c r="T54" s="28"/>
      <c r="U54" s="26"/>
    </row>
    <row r="55" spans="1:21" ht="18" customHeight="1">
      <c r="A55" s="3" t="s">
        <v>58</v>
      </c>
      <c r="B55" s="11">
        <f>92.57/2</f>
        <v>46.284999999999997</v>
      </c>
      <c r="C55" s="11">
        <v>64.569999999999993</v>
      </c>
      <c r="D55" s="11">
        <f>B55</f>
        <v>46.284999999999997</v>
      </c>
      <c r="E55" s="11">
        <v>116.1</v>
      </c>
      <c r="F55" s="12">
        <f>(E55*D55)/(C55*B55)</f>
        <v>1.7980486293944558</v>
      </c>
      <c r="G55" s="21">
        <f>58.56/2</f>
        <v>29.28</v>
      </c>
      <c r="H55" s="21">
        <v>48.22</v>
      </c>
      <c r="I55" s="21">
        <f>G55</f>
        <v>29.28</v>
      </c>
      <c r="J55" s="21">
        <v>51.64</v>
      </c>
      <c r="K55" s="12">
        <f t="shared" ref="K55:K56" si="47">(J55*I55)/(H55*G55)</f>
        <v>1.0709249274160102</v>
      </c>
      <c r="L55" s="13"/>
      <c r="M55" s="13"/>
      <c r="N55" s="13"/>
      <c r="O55" s="13"/>
      <c r="P55" s="14"/>
      <c r="Q55" s="28"/>
      <c r="R55" s="28"/>
      <c r="S55" s="28"/>
      <c r="T55" s="28"/>
      <c r="U55" s="26"/>
    </row>
    <row r="56" spans="1:21" ht="18" customHeight="1">
      <c r="A56" s="3" t="s">
        <v>59</v>
      </c>
      <c r="B56" s="11">
        <f>1.18/2</f>
        <v>0.59</v>
      </c>
      <c r="C56" s="11">
        <v>340.36</v>
      </c>
      <c r="D56" s="11">
        <f>B56</f>
        <v>0.59</v>
      </c>
      <c r="E56" s="11">
        <v>361.9</v>
      </c>
      <c r="F56" s="12">
        <f>(E56*D56)/(C56*B56)</f>
        <v>1.0632859325420143</v>
      </c>
      <c r="G56" s="21">
        <f>0.29/2</f>
        <v>0.14499999999999999</v>
      </c>
      <c r="H56" s="21">
        <v>48.22</v>
      </c>
      <c r="I56" s="21">
        <f>G56</f>
        <v>0.14499999999999999</v>
      </c>
      <c r="J56" s="21">
        <v>51.64</v>
      </c>
      <c r="K56" s="12">
        <f t="shared" si="47"/>
        <v>1.07092492741601</v>
      </c>
      <c r="L56" s="13"/>
      <c r="M56" s="13"/>
      <c r="N56" s="13"/>
      <c r="O56" s="13"/>
      <c r="P56" s="14"/>
      <c r="Q56" s="28"/>
      <c r="R56" s="28"/>
      <c r="S56" s="28"/>
      <c r="T56" s="28"/>
      <c r="U56" s="26"/>
    </row>
    <row r="57" spans="1:21" ht="18" customHeight="1">
      <c r="A57" s="2" t="s">
        <v>60</v>
      </c>
      <c r="B57" s="13">
        <f>8.41/2</f>
        <v>4.2050000000000001</v>
      </c>
      <c r="C57" s="13">
        <v>172.04</v>
      </c>
      <c r="D57" s="13">
        <f>B57</f>
        <v>4.2050000000000001</v>
      </c>
      <c r="E57" s="13">
        <v>185.25</v>
      </c>
      <c r="F57" s="14">
        <f>(E57*D57)/(C57*B57)</f>
        <v>1.0767844687282029</v>
      </c>
      <c r="G57" s="13">
        <f>3.578/2</f>
        <v>1.7889999999999999</v>
      </c>
      <c r="H57" s="13">
        <v>66.81</v>
      </c>
      <c r="I57" s="13">
        <f>3.578/2</f>
        <v>1.7889999999999999</v>
      </c>
      <c r="J57" s="13">
        <v>71.55</v>
      </c>
      <c r="K57" s="14">
        <f>(J57*I57)/(H57*G57)</f>
        <v>1.0709474629546476</v>
      </c>
      <c r="L57" s="13"/>
      <c r="M57" s="13"/>
      <c r="N57" s="13"/>
      <c r="O57" s="13"/>
      <c r="P57" s="14"/>
      <c r="Q57" s="28"/>
      <c r="R57" s="28"/>
      <c r="S57" s="28"/>
      <c r="T57" s="28"/>
      <c r="U57" s="32"/>
    </row>
    <row r="58" spans="1:21" ht="18" customHeight="1">
      <c r="A58" s="2" t="s">
        <v>61</v>
      </c>
      <c r="B58" s="13">
        <f>122.838/2</f>
        <v>61.418999999999997</v>
      </c>
      <c r="C58" s="13">
        <v>50.68</v>
      </c>
      <c r="D58" s="13">
        <f>B58</f>
        <v>61.418999999999997</v>
      </c>
      <c r="E58" s="13">
        <v>54.29</v>
      </c>
      <c r="F58" s="14">
        <f t="shared" ref="F58:F63" si="48">(E58*D58)/(C58*B58)</f>
        <v>1.0712312549329124</v>
      </c>
      <c r="G58" s="13">
        <f>63.27/2</f>
        <v>31.635000000000002</v>
      </c>
      <c r="H58" s="13">
        <v>50.68</v>
      </c>
      <c r="I58" s="13">
        <f>G58</f>
        <v>31.635000000000002</v>
      </c>
      <c r="J58" s="13">
        <v>54.29</v>
      </c>
      <c r="K58" s="14">
        <f t="shared" ref="K58:K63" si="49">(J58*I58)/(H58*G58)</f>
        <v>1.0712312549329124</v>
      </c>
      <c r="L58" s="13">
        <f>22.89/2</f>
        <v>11.445</v>
      </c>
      <c r="M58" s="13">
        <v>100.72</v>
      </c>
      <c r="N58" s="13">
        <f>L58</f>
        <v>11.445</v>
      </c>
      <c r="O58" s="13">
        <v>107.98</v>
      </c>
      <c r="P58" s="14">
        <f t="shared" ref="P58:P61" si="50">(O58*N58)/(M58*L58)</f>
        <v>1.0720810166799049</v>
      </c>
      <c r="Q58" s="28">
        <f>7.636/2</f>
        <v>3.8180000000000001</v>
      </c>
      <c r="R58" s="28">
        <v>75.5</v>
      </c>
      <c r="S58" s="28">
        <f>7.636/2</f>
        <v>3.8180000000000001</v>
      </c>
      <c r="T58" s="28">
        <v>80.86</v>
      </c>
      <c r="U58" s="36">
        <f t="shared" ref="U58:U61" si="51">T58/R58</f>
        <v>1.0709933774834437</v>
      </c>
    </row>
    <row r="59" spans="1:21" ht="18" customHeight="1">
      <c r="A59" s="2" t="s">
        <v>62</v>
      </c>
      <c r="B59" s="13">
        <f>103.382/2</f>
        <v>51.691000000000003</v>
      </c>
      <c r="C59" s="13">
        <v>43.56</v>
      </c>
      <c r="D59" s="13">
        <f>103.382/2</f>
        <v>51.691000000000003</v>
      </c>
      <c r="E59" s="13">
        <v>46.65</v>
      </c>
      <c r="F59" s="14">
        <f t="shared" si="48"/>
        <v>1.0709366391184572</v>
      </c>
      <c r="G59" s="13">
        <f>37.679/2</f>
        <v>18.839500000000001</v>
      </c>
      <c r="H59" s="13">
        <v>43.56</v>
      </c>
      <c r="I59" s="13">
        <f>37.679/2</f>
        <v>18.839500000000001</v>
      </c>
      <c r="J59" s="13">
        <v>46.65</v>
      </c>
      <c r="K59" s="14">
        <f t="shared" si="49"/>
        <v>1.0709366391184572</v>
      </c>
      <c r="L59" s="13">
        <f>74.838/2</f>
        <v>37.418999999999997</v>
      </c>
      <c r="M59" s="13">
        <v>60.3</v>
      </c>
      <c r="N59" s="13">
        <f>74.838/2</f>
        <v>37.418999999999997</v>
      </c>
      <c r="O59" s="13">
        <v>64.58</v>
      </c>
      <c r="P59" s="14">
        <f t="shared" si="50"/>
        <v>1.0709784411276948</v>
      </c>
      <c r="Q59" s="28">
        <f>36.72/2</f>
        <v>18.36</v>
      </c>
      <c r="R59" s="28">
        <v>60.3</v>
      </c>
      <c r="S59" s="28">
        <f>36.72/2</f>
        <v>18.36</v>
      </c>
      <c r="T59" s="28">
        <v>64.58</v>
      </c>
      <c r="U59" s="36">
        <f t="shared" si="51"/>
        <v>1.0709784411276948</v>
      </c>
    </row>
    <row r="60" spans="1:21" ht="18" customHeight="1">
      <c r="A60" s="2" t="s">
        <v>63</v>
      </c>
      <c r="B60" s="13">
        <f>44.819/2</f>
        <v>22.409500000000001</v>
      </c>
      <c r="C60" s="13">
        <v>57.5</v>
      </c>
      <c r="D60" s="13">
        <f>44.819/2</f>
        <v>22.409500000000001</v>
      </c>
      <c r="E60" s="13">
        <v>60.11</v>
      </c>
      <c r="F60" s="14">
        <f t="shared" si="48"/>
        <v>1.045391304347826</v>
      </c>
      <c r="G60" s="13">
        <f>35.664/2</f>
        <v>17.832000000000001</v>
      </c>
      <c r="H60" s="13">
        <v>57.5</v>
      </c>
      <c r="I60" s="13">
        <f>35.664/2</f>
        <v>17.832000000000001</v>
      </c>
      <c r="J60" s="13">
        <v>60.11</v>
      </c>
      <c r="K60" s="14">
        <f t="shared" si="49"/>
        <v>1.045391304347826</v>
      </c>
      <c r="L60" s="13">
        <f>35.152/2</f>
        <v>17.576000000000001</v>
      </c>
      <c r="M60" s="13">
        <v>103.44</v>
      </c>
      <c r="N60" s="13">
        <f>35.152/2</f>
        <v>17.576000000000001</v>
      </c>
      <c r="O60" s="13">
        <v>109</v>
      </c>
      <c r="P60" s="14">
        <f t="shared" si="50"/>
        <v>1.0537509667440064</v>
      </c>
      <c r="Q60" s="28">
        <f>32.076/2</f>
        <v>16.038</v>
      </c>
      <c r="R60" s="28">
        <v>64.94</v>
      </c>
      <c r="S60" s="28">
        <f>32.076/2</f>
        <v>16.038</v>
      </c>
      <c r="T60" s="28">
        <v>69.55</v>
      </c>
      <c r="U60" s="36">
        <f t="shared" si="51"/>
        <v>1.0709886048660302</v>
      </c>
    </row>
    <row r="61" spans="1:21" ht="18" customHeight="1">
      <c r="A61" s="2" t="s">
        <v>64</v>
      </c>
      <c r="B61" s="13">
        <f>117.29/2</f>
        <v>58.645000000000003</v>
      </c>
      <c r="C61" s="13">
        <v>52.32</v>
      </c>
      <c r="D61" s="13">
        <f>117.29/2</f>
        <v>58.645000000000003</v>
      </c>
      <c r="E61" s="13">
        <v>53.03</v>
      </c>
      <c r="F61" s="14">
        <f t="shared" si="48"/>
        <v>1.0135703363914372</v>
      </c>
      <c r="G61" s="13">
        <f>36.68/2</f>
        <v>18.34</v>
      </c>
      <c r="H61" s="13">
        <v>52.32</v>
      </c>
      <c r="I61" s="13">
        <f>36.68/2</f>
        <v>18.34</v>
      </c>
      <c r="J61" s="13">
        <v>53.03</v>
      </c>
      <c r="K61" s="14">
        <f t="shared" si="49"/>
        <v>1.0135703363914372</v>
      </c>
      <c r="L61" s="13">
        <f>70.07/2</f>
        <v>35.034999999999997</v>
      </c>
      <c r="M61" s="13">
        <v>57.87</v>
      </c>
      <c r="N61" s="13">
        <f>70.07/2</f>
        <v>35.034999999999997</v>
      </c>
      <c r="O61" s="13">
        <v>61.88</v>
      </c>
      <c r="P61" s="14">
        <f t="shared" si="50"/>
        <v>1.0692932434767584</v>
      </c>
      <c r="Q61" s="28">
        <f>41.51/2</f>
        <v>20.754999999999999</v>
      </c>
      <c r="R61" s="28">
        <v>57.87</v>
      </c>
      <c r="S61" s="28">
        <f>Q61</f>
        <v>20.754999999999999</v>
      </c>
      <c r="T61" s="28">
        <v>61.88</v>
      </c>
      <c r="U61" s="36">
        <f t="shared" si="51"/>
        <v>1.0692932434767584</v>
      </c>
    </row>
    <row r="62" spans="1:21" ht="18" customHeight="1">
      <c r="A62" s="4" t="s">
        <v>64</v>
      </c>
      <c r="B62" s="13">
        <f>1.8/2</f>
        <v>0.9</v>
      </c>
      <c r="C62" s="13">
        <v>224.8</v>
      </c>
      <c r="D62" s="13">
        <f>1.8/2</f>
        <v>0.9</v>
      </c>
      <c r="E62" s="13">
        <v>237.12</v>
      </c>
      <c r="F62" s="14">
        <f t="shared" si="48"/>
        <v>1.0548042704626335</v>
      </c>
      <c r="G62" s="13">
        <f>1.68/2</f>
        <v>0.84</v>
      </c>
      <c r="H62" s="13">
        <v>224.8</v>
      </c>
      <c r="I62" s="13">
        <f>1.68/2</f>
        <v>0.84</v>
      </c>
      <c r="J62" s="13">
        <v>237.12</v>
      </c>
      <c r="K62" s="14">
        <f t="shared" si="49"/>
        <v>1.0548042704626335</v>
      </c>
      <c r="L62" s="13"/>
      <c r="M62" s="13"/>
      <c r="N62" s="13"/>
      <c r="O62" s="13"/>
      <c r="P62" s="14"/>
      <c r="Q62" s="28"/>
      <c r="R62" s="28"/>
      <c r="S62" s="28"/>
      <c r="T62" s="28"/>
      <c r="U62" s="32"/>
    </row>
    <row r="63" spans="1:21" ht="18" customHeight="1">
      <c r="A63" s="2" t="s">
        <v>65</v>
      </c>
      <c r="B63" s="13">
        <f>49.9/2</f>
        <v>24.95</v>
      </c>
      <c r="C63" s="13">
        <v>83.54</v>
      </c>
      <c r="D63" s="13">
        <f>B63</f>
        <v>24.95</v>
      </c>
      <c r="E63" s="13">
        <v>97.42</v>
      </c>
      <c r="F63" s="14">
        <f t="shared" si="48"/>
        <v>1.1661479530763703</v>
      </c>
      <c r="G63" s="22">
        <f>41.2/2</f>
        <v>20.6</v>
      </c>
      <c r="H63" s="22">
        <v>83.54</v>
      </c>
      <c r="I63" s="13">
        <f>G63</f>
        <v>20.6</v>
      </c>
      <c r="J63" s="22">
        <v>90.64</v>
      </c>
      <c r="K63" s="14">
        <f t="shared" si="49"/>
        <v>1.0849892267177399</v>
      </c>
      <c r="L63" s="13"/>
      <c r="M63" s="13"/>
      <c r="N63" s="13"/>
      <c r="O63" s="13"/>
      <c r="P63" s="14"/>
      <c r="Q63" s="28"/>
      <c r="R63" s="28"/>
      <c r="S63" s="28"/>
      <c r="T63" s="28"/>
      <c r="U63" s="32"/>
    </row>
    <row r="64" spans="1:21" ht="18" customHeight="1">
      <c r="A64" s="3" t="s">
        <v>43</v>
      </c>
      <c r="B64" s="13">
        <f>237.35/2</f>
        <v>118.675</v>
      </c>
      <c r="C64" s="13">
        <v>70.02</v>
      </c>
      <c r="D64" s="13">
        <f>B64</f>
        <v>118.675</v>
      </c>
      <c r="E64" s="13">
        <v>74.16</v>
      </c>
      <c r="F64" s="14">
        <f>(E64*D64)/(C64*B64)</f>
        <v>1.0591259640102828</v>
      </c>
      <c r="G64" s="30">
        <f>112.506/2</f>
        <v>56.253</v>
      </c>
      <c r="H64" s="30">
        <v>60.65</v>
      </c>
      <c r="I64" s="30">
        <f>G64</f>
        <v>56.253</v>
      </c>
      <c r="J64" s="30">
        <v>64.959999999999994</v>
      </c>
      <c r="K64" s="14">
        <f>(J64*I64)/(H64*G64)</f>
        <v>1.0710634789777409</v>
      </c>
      <c r="L64" s="13">
        <f>106.37/2</f>
        <v>53.185000000000002</v>
      </c>
      <c r="M64" s="13">
        <v>75.33</v>
      </c>
      <c r="N64" s="13">
        <f>L64</f>
        <v>53.185000000000002</v>
      </c>
      <c r="O64" s="13">
        <v>78.62</v>
      </c>
      <c r="P64" s="14">
        <f>(O64*N64)/(M64*L64)</f>
        <v>1.0436744988716316</v>
      </c>
      <c r="Q64" s="13">
        <f>89.58/2</f>
        <v>44.79</v>
      </c>
      <c r="R64" s="13">
        <v>62.8</v>
      </c>
      <c r="S64" s="13">
        <f>Q64</f>
        <v>44.79</v>
      </c>
      <c r="T64" s="13">
        <v>67.260000000000005</v>
      </c>
      <c r="U64" s="14">
        <f>(T64*S64)/(R64*Q64)</f>
        <v>1.0710191082802549</v>
      </c>
    </row>
    <row r="65" spans="1:21" ht="18" customHeight="1">
      <c r="A65" s="3" t="s">
        <v>43</v>
      </c>
      <c r="B65" s="13"/>
      <c r="C65" s="13"/>
      <c r="D65" s="13"/>
      <c r="E65" s="13"/>
      <c r="F65" s="14"/>
      <c r="G65" s="30">
        <f>40.74/2</f>
        <v>20.37</v>
      </c>
      <c r="H65" s="30">
        <v>57.84</v>
      </c>
      <c r="I65" s="30">
        <f>G65</f>
        <v>20.37</v>
      </c>
      <c r="J65" s="30">
        <v>61.95</v>
      </c>
      <c r="K65" s="14">
        <f>(J65*I65)/(H65*G65)</f>
        <v>1.071058091286307</v>
      </c>
      <c r="L65" s="13">
        <f>50.79/2</f>
        <v>25.395</v>
      </c>
      <c r="M65" s="13">
        <v>110.65</v>
      </c>
      <c r="N65" s="13">
        <f>L65</f>
        <v>25.395</v>
      </c>
      <c r="O65" s="13">
        <v>112.01</v>
      </c>
      <c r="P65" s="14">
        <f>(O65*N65)/(M65*L65)</f>
        <v>1.0122910076818796</v>
      </c>
      <c r="Q65" s="13">
        <f>32.37/2</f>
        <v>16.184999999999999</v>
      </c>
      <c r="R65" s="13">
        <v>98.79</v>
      </c>
      <c r="S65" s="13">
        <f>Q65</f>
        <v>16.184999999999999</v>
      </c>
      <c r="T65" s="13">
        <v>105.8</v>
      </c>
      <c r="U65" s="14">
        <f>(T65*S65)/(R65*Q65)</f>
        <v>1.0709585990484867</v>
      </c>
    </row>
    <row r="66" spans="1:21" ht="18" customHeight="1">
      <c r="A66" s="3" t="s">
        <v>44</v>
      </c>
      <c r="B66" s="13"/>
      <c r="C66" s="13"/>
      <c r="D66" s="13">
        <f t="shared" ref="D66:D76" si="52">B66</f>
        <v>0</v>
      </c>
      <c r="E66" s="13"/>
      <c r="F66" s="14"/>
      <c r="G66" s="30">
        <v>0</v>
      </c>
      <c r="H66" s="30"/>
      <c r="I66" s="30">
        <f t="shared" ref="I66:I76" si="53">G66</f>
        <v>0</v>
      </c>
      <c r="J66" s="30"/>
      <c r="K66" s="14"/>
      <c r="L66" s="13">
        <v>0</v>
      </c>
      <c r="M66" s="13"/>
      <c r="N66" s="13">
        <f t="shared" ref="N66:N76" si="54">L66</f>
        <v>0</v>
      </c>
      <c r="O66" s="13"/>
      <c r="P66" s="14"/>
      <c r="Q66" s="13">
        <v>0</v>
      </c>
      <c r="R66" s="13"/>
      <c r="S66" s="13">
        <f t="shared" ref="S66:S76" si="55">Q66</f>
        <v>0</v>
      </c>
      <c r="T66" s="13"/>
      <c r="U66" s="14"/>
    </row>
    <row r="67" spans="1:21" ht="18" customHeight="1">
      <c r="A67" s="3" t="s">
        <v>45</v>
      </c>
      <c r="B67" s="13">
        <f>24.403/2</f>
        <v>12.201499999999999</v>
      </c>
      <c r="C67" s="13">
        <v>62.34</v>
      </c>
      <c r="D67" s="13">
        <f t="shared" si="52"/>
        <v>12.201499999999999</v>
      </c>
      <c r="E67" s="13">
        <v>62.34</v>
      </c>
      <c r="F67" s="14">
        <f t="shared" ref="F67:F76" si="56">(E67*D67)/(C67*B67)</f>
        <v>1</v>
      </c>
      <c r="G67" s="30">
        <f>19.611/2</f>
        <v>9.8055000000000003</v>
      </c>
      <c r="H67" s="30">
        <v>60.3</v>
      </c>
      <c r="I67" s="30">
        <f t="shared" si="53"/>
        <v>9.8055000000000003</v>
      </c>
      <c r="J67" s="30">
        <v>62.34</v>
      </c>
      <c r="K67" s="14">
        <f t="shared" ref="K67:K76" si="57">(J67*I67)/(H67*G67)</f>
        <v>1.0338308457711445</v>
      </c>
      <c r="L67" s="13">
        <f>24.849/2</f>
        <v>12.4245</v>
      </c>
      <c r="M67" s="13">
        <f>148.33</f>
        <v>148.33000000000001</v>
      </c>
      <c r="N67" s="13">
        <f t="shared" si="54"/>
        <v>12.4245</v>
      </c>
      <c r="O67" s="13">
        <v>157.13999999999999</v>
      </c>
      <c r="P67" s="14">
        <f t="shared" ref="P67:P76" si="58">(O67*N67)/(M67*L67)</f>
        <v>1.0593945931369244</v>
      </c>
      <c r="Q67" s="13">
        <f>22.32/2</f>
        <v>11.16</v>
      </c>
      <c r="R67" s="13">
        <v>141.80000000000001</v>
      </c>
      <c r="S67" s="13">
        <f t="shared" si="55"/>
        <v>11.16</v>
      </c>
      <c r="T67" s="13">
        <v>141.80000000000001</v>
      </c>
      <c r="U67" s="14">
        <f t="shared" ref="U67:U76" si="59">(T67*S67)/(R67*Q67)</f>
        <v>1</v>
      </c>
    </row>
    <row r="68" spans="1:21" ht="18" customHeight="1">
      <c r="A68" s="3" t="s">
        <v>46</v>
      </c>
      <c r="B68" s="13">
        <f>118.14/2</f>
        <v>59.07</v>
      </c>
      <c r="C68" s="13">
        <v>31.49</v>
      </c>
      <c r="D68" s="13">
        <f t="shared" si="52"/>
        <v>59.07</v>
      </c>
      <c r="E68" s="13">
        <v>33.369999999999997</v>
      </c>
      <c r="F68" s="14">
        <f t="shared" si="56"/>
        <v>1.0597014925373134</v>
      </c>
      <c r="G68" s="30">
        <f>97.69/2</f>
        <v>48.844999999999999</v>
      </c>
      <c r="H68" s="30">
        <v>31.49</v>
      </c>
      <c r="I68" s="30">
        <f t="shared" si="53"/>
        <v>48.844999999999999</v>
      </c>
      <c r="J68" s="30">
        <v>33.369999999999997</v>
      </c>
      <c r="K68" s="14">
        <f t="shared" si="57"/>
        <v>1.0597014925373134</v>
      </c>
      <c r="L68" s="13">
        <f>116.32/2</f>
        <v>58.16</v>
      </c>
      <c r="M68" s="13">
        <v>44.47</v>
      </c>
      <c r="N68" s="13">
        <f t="shared" si="54"/>
        <v>58.16</v>
      </c>
      <c r="O68" s="13">
        <v>46.96</v>
      </c>
      <c r="P68" s="14">
        <f t="shared" si="58"/>
        <v>1.055992804137621</v>
      </c>
      <c r="Q68" s="13">
        <f>109.08/2</f>
        <v>54.54</v>
      </c>
      <c r="R68" s="13">
        <v>44.47</v>
      </c>
      <c r="S68" s="13">
        <f t="shared" si="55"/>
        <v>54.54</v>
      </c>
      <c r="T68" s="13">
        <v>46.96</v>
      </c>
      <c r="U68" s="14">
        <f t="shared" si="59"/>
        <v>1.055992804137621</v>
      </c>
    </row>
    <row r="69" spans="1:21" ht="18" customHeight="1">
      <c r="A69" s="3" t="s">
        <v>47</v>
      </c>
      <c r="B69" s="13">
        <f>21.27/2</f>
        <v>10.635</v>
      </c>
      <c r="C69" s="13">
        <v>107.52</v>
      </c>
      <c r="D69" s="13">
        <f t="shared" si="52"/>
        <v>10.635</v>
      </c>
      <c r="E69" s="13">
        <v>110.2</v>
      </c>
      <c r="F69" s="14">
        <f t="shared" si="56"/>
        <v>1.0249255952380953</v>
      </c>
      <c r="G69" s="30">
        <f>15.9/2</f>
        <v>7.95</v>
      </c>
      <c r="H69" s="30">
        <v>80</v>
      </c>
      <c r="I69" s="30">
        <f t="shared" si="53"/>
        <v>7.95</v>
      </c>
      <c r="J69" s="30">
        <v>83.6</v>
      </c>
      <c r="K69" s="14">
        <f t="shared" si="57"/>
        <v>1.0449999999999999</v>
      </c>
      <c r="L69" s="13">
        <f>15.76/2</f>
        <v>7.88</v>
      </c>
      <c r="M69" s="13">
        <v>121.67</v>
      </c>
      <c r="N69" s="13">
        <f t="shared" si="54"/>
        <v>7.88</v>
      </c>
      <c r="O69" s="13">
        <v>121.67</v>
      </c>
      <c r="P69" s="14">
        <f t="shared" si="58"/>
        <v>1</v>
      </c>
      <c r="Q69" s="13">
        <f>13.57/2</f>
        <v>6.7850000000000001</v>
      </c>
      <c r="R69" s="13">
        <v>80</v>
      </c>
      <c r="S69" s="13">
        <f t="shared" si="55"/>
        <v>6.7850000000000001</v>
      </c>
      <c r="T69" s="13">
        <v>83.6</v>
      </c>
      <c r="U69" s="14">
        <f t="shared" si="59"/>
        <v>1.0450000000000002</v>
      </c>
    </row>
    <row r="70" spans="1:21" ht="18" customHeight="1">
      <c r="A70" s="3" t="s">
        <v>48</v>
      </c>
      <c r="B70" s="13">
        <f>16.63/2</f>
        <v>8.3149999999999995</v>
      </c>
      <c r="C70" s="13">
        <v>70</v>
      </c>
      <c r="D70" s="13">
        <f t="shared" si="52"/>
        <v>8.3149999999999995</v>
      </c>
      <c r="E70" s="13">
        <v>72.55</v>
      </c>
      <c r="F70" s="14">
        <f t="shared" si="56"/>
        <v>1.0364285714285715</v>
      </c>
      <c r="G70" s="30">
        <f>13.7/2</f>
        <v>6.85</v>
      </c>
      <c r="H70" s="30">
        <v>70</v>
      </c>
      <c r="I70" s="30">
        <f t="shared" si="53"/>
        <v>6.85</v>
      </c>
      <c r="J70" s="30">
        <v>72.55</v>
      </c>
      <c r="K70" s="14">
        <f t="shared" si="57"/>
        <v>1.0364285714285715</v>
      </c>
      <c r="L70" s="13"/>
      <c r="M70" s="13"/>
      <c r="N70" s="13">
        <f t="shared" si="54"/>
        <v>0</v>
      </c>
      <c r="O70" s="13"/>
      <c r="P70" s="14"/>
      <c r="Q70" s="13"/>
      <c r="R70" s="13"/>
      <c r="S70" s="13">
        <f t="shared" si="55"/>
        <v>0</v>
      </c>
      <c r="T70" s="13"/>
      <c r="U70" s="14"/>
    </row>
    <row r="71" spans="1:21" ht="18" customHeight="1">
      <c r="A71" s="3" t="s">
        <v>49</v>
      </c>
      <c r="B71" s="13">
        <f>60.25/2</f>
        <v>30.125</v>
      </c>
      <c r="C71" s="13">
        <v>58.66</v>
      </c>
      <c r="D71" s="13">
        <f t="shared" si="52"/>
        <v>30.125</v>
      </c>
      <c r="E71" s="13">
        <v>60.16</v>
      </c>
      <c r="F71" s="14">
        <f t="shared" si="56"/>
        <v>1.0255710876235935</v>
      </c>
      <c r="G71" s="30">
        <f>46.08/2</f>
        <v>23.04</v>
      </c>
      <c r="H71" s="30">
        <v>56.31</v>
      </c>
      <c r="I71" s="30">
        <f t="shared" si="53"/>
        <v>23.04</v>
      </c>
      <c r="J71" s="30">
        <v>60.16</v>
      </c>
      <c r="K71" s="14">
        <f t="shared" si="57"/>
        <v>1.0683715148286272</v>
      </c>
      <c r="L71" s="13">
        <f>19.014/2</f>
        <v>9.5069999999999997</v>
      </c>
      <c r="M71" s="13">
        <v>166.77</v>
      </c>
      <c r="N71" s="13">
        <f t="shared" si="54"/>
        <v>9.5069999999999997</v>
      </c>
      <c r="O71" s="13">
        <v>181.18</v>
      </c>
      <c r="P71" s="14">
        <f t="shared" si="58"/>
        <v>1.0864064280146308</v>
      </c>
      <c r="Q71" s="13">
        <f>11.219/2</f>
        <v>5.6094999999999997</v>
      </c>
      <c r="R71" s="13">
        <v>162.15</v>
      </c>
      <c r="S71" s="13">
        <f t="shared" si="55"/>
        <v>5.6094999999999997</v>
      </c>
      <c r="T71" s="13">
        <v>162.15</v>
      </c>
      <c r="U71" s="14">
        <f t="shared" si="59"/>
        <v>1</v>
      </c>
    </row>
    <row r="72" spans="1:21" ht="18" customHeight="1">
      <c r="A72" s="3" t="s">
        <v>49</v>
      </c>
      <c r="B72" s="13"/>
      <c r="C72" s="13"/>
      <c r="D72" s="13">
        <f t="shared" si="52"/>
        <v>0</v>
      </c>
      <c r="E72" s="13"/>
      <c r="F72" s="14"/>
      <c r="G72" s="30"/>
      <c r="H72" s="30"/>
      <c r="I72" s="30">
        <f t="shared" si="53"/>
        <v>0</v>
      </c>
      <c r="J72" s="30"/>
      <c r="K72" s="14"/>
      <c r="L72" s="13">
        <f>4.61/2</f>
        <v>2.3050000000000002</v>
      </c>
      <c r="M72" s="13">
        <v>120.12</v>
      </c>
      <c r="N72" s="13">
        <f t="shared" si="54"/>
        <v>2.3050000000000002</v>
      </c>
      <c r="O72" s="13">
        <v>126.37</v>
      </c>
      <c r="P72" s="14">
        <f t="shared" si="58"/>
        <v>1.0520313020313021</v>
      </c>
      <c r="Q72" s="13">
        <f>4.61/2</f>
        <v>2.3050000000000002</v>
      </c>
      <c r="R72" s="13">
        <v>120.12</v>
      </c>
      <c r="S72" s="13">
        <f t="shared" si="55"/>
        <v>2.3050000000000002</v>
      </c>
      <c r="T72" s="13">
        <v>126.37</v>
      </c>
      <c r="U72" s="14">
        <f t="shared" si="59"/>
        <v>1.0520313020313021</v>
      </c>
    </row>
    <row r="73" spans="1:21" ht="18" customHeight="1">
      <c r="A73" s="3" t="s">
        <v>50</v>
      </c>
      <c r="B73" s="13">
        <f>13.9/2</f>
        <v>6.95</v>
      </c>
      <c r="C73" s="13">
        <v>114.2</v>
      </c>
      <c r="D73" s="13">
        <f t="shared" si="52"/>
        <v>6.95</v>
      </c>
      <c r="E73" s="13">
        <v>116.94</v>
      </c>
      <c r="F73" s="14">
        <f t="shared" si="56"/>
        <v>1.0239929947460595</v>
      </c>
      <c r="G73" s="30">
        <f>12.15/2</f>
        <v>6.0750000000000002</v>
      </c>
      <c r="H73" s="30">
        <v>104</v>
      </c>
      <c r="I73" s="30">
        <f t="shared" si="53"/>
        <v>6.0750000000000002</v>
      </c>
      <c r="J73" s="30">
        <v>111.38</v>
      </c>
      <c r="K73" s="14">
        <f t="shared" si="57"/>
        <v>1.0709615384615383</v>
      </c>
      <c r="L73" s="13">
        <f>2.9/2</f>
        <v>1.45</v>
      </c>
      <c r="M73" s="13">
        <v>30.83</v>
      </c>
      <c r="N73" s="13">
        <f t="shared" si="54"/>
        <v>1.45</v>
      </c>
      <c r="O73" s="13">
        <v>32.770000000000003</v>
      </c>
      <c r="P73" s="14">
        <f t="shared" si="58"/>
        <v>1.0629257216996433</v>
      </c>
      <c r="Q73" s="13">
        <f>2.1/2</f>
        <v>1.05</v>
      </c>
      <c r="R73" s="13">
        <v>30.83</v>
      </c>
      <c r="S73" s="13">
        <f t="shared" si="55"/>
        <v>1.05</v>
      </c>
      <c r="T73" s="13">
        <v>32.770000000000003</v>
      </c>
      <c r="U73" s="14">
        <f t="shared" si="59"/>
        <v>1.0629257216996435</v>
      </c>
    </row>
    <row r="74" spans="1:21" ht="18" customHeight="1">
      <c r="A74" s="3" t="s">
        <v>51</v>
      </c>
      <c r="B74" s="13">
        <f>1.2/2</f>
        <v>0.6</v>
      </c>
      <c r="C74" s="13">
        <v>15</v>
      </c>
      <c r="D74" s="13">
        <f t="shared" si="52"/>
        <v>0.6</v>
      </c>
      <c r="E74" s="13">
        <v>15.93</v>
      </c>
      <c r="F74" s="14">
        <f t="shared" si="56"/>
        <v>1.0620000000000001</v>
      </c>
      <c r="G74" s="30">
        <f>1.2/2</f>
        <v>0.6</v>
      </c>
      <c r="H74" s="30">
        <v>15</v>
      </c>
      <c r="I74" s="30">
        <f t="shared" si="53"/>
        <v>0.6</v>
      </c>
      <c r="J74" s="30">
        <v>15.93</v>
      </c>
      <c r="K74" s="14">
        <f t="shared" si="57"/>
        <v>1.0620000000000001</v>
      </c>
      <c r="L74" s="13"/>
      <c r="M74" s="13"/>
      <c r="N74" s="13"/>
      <c r="O74" s="13"/>
      <c r="P74" s="14"/>
      <c r="Q74" s="13"/>
      <c r="R74" s="13"/>
      <c r="S74" s="13">
        <f t="shared" si="55"/>
        <v>0</v>
      </c>
      <c r="T74" s="13"/>
      <c r="U74" s="14"/>
    </row>
    <row r="75" spans="1:21" ht="18" customHeight="1">
      <c r="A75" s="2" t="s">
        <v>54</v>
      </c>
      <c r="B75" s="13">
        <f>69.25/2</f>
        <v>34.625</v>
      </c>
      <c r="C75" s="13">
        <v>48.05</v>
      </c>
      <c r="D75" s="13">
        <f>B75</f>
        <v>34.625</v>
      </c>
      <c r="E75" s="13">
        <v>51.18</v>
      </c>
      <c r="F75" s="14">
        <f t="shared" si="56"/>
        <v>1.0651404786680543</v>
      </c>
      <c r="G75" s="13">
        <f>20.76/2</f>
        <v>10.38</v>
      </c>
      <c r="H75" s="13">
        <v>48.05</v>
      </c>
      <c r="I75" s="13">
        <f>G75</f>
        <v>10.38</v>
      </c>
      <c r="J75" s="13">
        <v>51.18</v>
      </c>
      <c r="K75" s="14">
        <f t="shared" si="57"/>
        <v>1.0651404786680543</v>
      </c>
      <c r="L75" s="13">
        <f>48.9/2</f>
        <v>24.45</v>
      </c>
      <c r="M75" s="13">
        <v>34.53</v>
      </c>
      <c r="N75" s="13">
        <f>L75</f>
        <v>24.45</v>
      </c>
      <c r="O75" s="13">
        <v>37</v>
      </c>
      <c r="P75" s="14">
        <f t="shared" ref="P75" si="60">(O75*N75)/(M75*L75)</f>
        <v>1.0715320011584129</v>
      </c>
      <c r="Q75" s="28">
        <f>20.76/2</f>
        <v>10.38</v>
      </c>
      <c r="R75" s="28">
        <v>34.53</v>
      </c>
      <c r="S75" s="28">
        <f>Q75</f>
        <v>10.38</v>
      </c>
      <c r="T75" s="37">
        <v>37</v>
      </c>
      <c r="U75" s="36">
        <f t="shared" ref="U75" si="61">T75/R75</f>
        <v>1.0715320011584129</v>
      </c>
    </row>
    <row r="76" spans="1:21" ht="18" customHeight="1">
      <c r="A76" s="3" t="s">
        <v>52</v>
      </c>
      <c r="B76" s="28">
        <f>82.15/2</f>
        <v>41.075000000000003</v>
      </c>
      <c r="C76" s="28">
        <v>49.78</v>
      </c>
      <c r="D76" s="13">
        <f t="shared" si="52"/>
        <v>41.075000000000003</v>
      </c>
      <c r="E76" s="28">
        <v>52.37</v>
      </c>
      <c r="F76" s="14">
        <f t="shared" si="56"/>
        <v>1.0520289272800318</v>
      </c>
      <c r="G76" s="13">
        <f>65.17/2</f>
        <v>32.585000000000001</v>
      </c>
      <c r="H76" s="13">
        <v>49.78</v>
      </c>
      <c r="I76" s="30">
        <f t="shared" si="53"/>
        <v>32.585000000000001</v>
      </c>
      <c r="J76" s="13">
        <v>52.37</v>
      </c>
      <c r="K76" s="14">
        <f t="shared" si="57"/>
        <v>1.0520289272800321</v>
      </c>
      <c r="L76" s="28">
        <f>79.32/2</f>
        <v>39.659999999999997</v>
      </c>
      <c r="M76" s="28">
        <v>88.71</v>
      </c>
      <c r="N76" s="13">
        <f t="shared" si="54"/>
        <v>39.659999999999997</v>
      </c>
      <c r="O76" s="28">
        <v>88.71</v>
      </c>
      <c r="P76" s="14">
        <f t="shared" si="58"/>
        <v>1</v>
      </c>
      <c r="Q76" s="13">
        <f>63.26/2</f>
        <v>31.63</v>
      </c>
      <c r="R76" s="13">
        <v>78.2</v>
      </c>
      <c r="S76" s="13">
        <f t="shared" si="55"/>
        <v>31.63</v>
      </c>
      <c r="T76" s="13">
        <v>81.72</v>
      </c>
      <c r="U76" s="14">
        <f t="shared" si="59"/>
        <v>1.0450127877237851</v>
      </c>
    </row>
    <row r="77" spans="1:21" ht="18" customHeight="1">
      <c r="A77" s="8" t="s">
        <v>70</v>
      </c>
      <c r="B77" s="13">
        <f>1079.32/2</f>
        <v>539.66</v>
      </c>
      <c r="C77" s="13">
        <v>27.7</v>
      </c>
      <c r="D77" s="13">
        <f>B77</f>
        <v>539.66</v>
      </c>
      <c r="E77" s="13">
        <v>28.94</v>
      </c>
      <c r="F77" s="14">
        <f>(E77*D77)/(C77*B77)</f>
        <v>1.0447653429602888</v>
      </c>
      <c r="G77" s="13">
        <f>680/2</f>
        <v>340</v>
      </c>
      <c r="H77" s="13">
        <f>26.5/1.18</f>
        <v>22.457627118644069</v>
      </c>
      <c r="I77" s="13">
        <f>G77</f>
        <v>340</v>
      </c>
      <c r="J77" s="13">
        <f>28.38/1.18</f>
        <v>24.050847457627118</v>
      </c>
      <c r="K77" s="14">
        <f>(J77*I77)/(H77*G77)</f>
        <v>1.070943396226415</v>
      </c>
      <c r="L77" s="13">
        <f>997.16/2</f>
        <v>498.58</v>
      </c>
      <c r="M77" s="13">
        <v>28.28</v>
      </c>
      <c r="N77" s="13">
        <f>L77</f>
        <v>498.58</v>
      </c>
      <c r="O77" s="13">
        <v>30.39</v>
      </c>
      <c r="P77" s="14">
        <f>(O77*N77)/(M77*L77)</f>
        <v>1.0746110325318246</v>
      </c>
      <c r="Q77" s="28">
        <f>613.77/2</f>
        <v>306.88499999999999</v>
      </c>
      <c r="R77" s="37">
        <f>26/1.18</f>
        <v>22.033898305084747</v>
      </c>
      <c r="S77" s="37">
        <f>Q77</f>
        <v>306.88499999999999</v>
      </c>
      <c r="T77" s="37">
        <f>27.85/1.18</f>
        <v>23.601694915254239</v>
      </c>
      <c r="U77" s="36">
        <f t="shared" ref="U77:U85" si="62">T77/R77</f>
        <v>1.0711538461538461</v>
      </c>
    </row>
    <row r="78" spans="1:21" ht="18" customHeight="1">
      <c r="A78" s="8" t="s">
        <v>71</v>
      </c>
      <c r="B78" s="13"/>
      <c r="C78" s="13"/>
      <c r="D78" s="13"/>
      <c r="E78" s="13"/>
      <c r="F78" s="14"/>
      <c r="G78" s="13"/>
      <c r="H78" s="13"/>
      <c r="I78" s="13">
        <f t="shared" ref="I78:I86" si="63">G78</f>
        <v>0</v>
      </c>
      <c r="J78" s="13"/>
      <c r="K78" s="14"/>
      <c r="L78" s="13"/>
      <c r="M78" s="13"/>
      <c r="N78" s="13"/>
      <c r="O78" s="13"/>
      <c r="P78" s="14"/>
      <c r="Q78" s="28"/>
      <c r="R78" s="37"/>
      <c r="S78" s="37"/>
      <c r="T78" s="37"/>
      <c r="U78" s="36"/>
    </row>
    <row r="79" spans="1:21" ht="18" customHeight="1">
      <c r="A79" s="39" t="s">
        <v>72</v>
      </c>
      <c r="B79" s="13">
        <f>13.994/2</f>
        <v>6.9969999999999999</v>
      </c>
      <c r="C79" s="13">
        <v>39.14</v>
      </c>
      <c r="D79" s="13">
        <f>B79</f>
        <v>6.9969999999999999</v>
      </c>
      <c r="E79" s="13">
        <v>40.5</v>
      </c>
      <c r="F79" s="14">
        <f t="shared" ref="F79:F85" si="64">(E79*D79)/(C79*B79)</f>
        <v>1.0347470618293306</v>
      </c>
      <c r="G79" s="13">
        <f>10.73/2</f>
        <v>5.3650000000000002</v>
      </c>
      <c r="H79" s="13">
        <v>14.8</v>
      </c>
      <c r="I79" s="13">
        <f t="shared" si="63"/>
        <v>5.3650000000000002</v>
      </c>
      <c r="J79" s="13">
        <v>17</v>
      </c>
      <c r="K79" s="14">
        <f t="shared" ref="K79:K86" si="65">(J79*I79)/(H79*G79)</f>
        <v>1.1486486486486487</v>
      </c>
      <c r="L79" s="13"/>
      <c r="M79" s="13"/>
      <c r="N79" s="13"/>
      <c r="O79" s="13"/>
      <c r="P79" s="14"/>
      <c r="Q79" s="28"/>
      <c r="R79" s="28"/>
      <c r="S79" s="28"/>
      <c r="T79" s="28"/>
      <c r="U79" s="36"/>
    </row>
    <row r="80" spans="1:21" ht="18" customHeight="1">
      <c r="A80" s="39" t="s">
        <v>73</v>
      </c>
      <c r="B80" s="13">
        <f>349.684/2</f>
        <v>174.84200000000001</v>
      </c>
      <c r="C80" s="13">
        <v>34.19</v>
      </c>
      <c r="D80" s="13">
        <f t="shared" ref="D80:D85" si="66">B80</f>
        <v>174.84200000000001</v>
      </c>
      <c r="E80" s="13">
        <v>35.79</v>
      </c>
      <c r="F80" s="14">
        <f t="shared" si="64"/>
        <v>1.0467973091547236</v>
      </c>
      <c r="G80" s="13">
        <f>169.416/2</f>
        <v>84.707999999999998</v>
      </c>
      <c r="H80" s="13">
        <v>24</v>
      </c>
      <c r="I80" s="13">
        <f t="shared" si="63"/>
        <v>84.707999999999998</v>
      </c>
      <c r="J80" s="13">
        <v>25.7</v>
      </c>
      <c r="K80" s="14">
        <f t="shared" si="65"/>
        <v>1.0708333333333333</v>
      </c>
      <c r="L80" s="13">
        <f>227.962/2</f>
        <v>113.98099999999999</v>
      </c>
      <c r="M80" s="13">
        <v>45.85</v>
      </c>
      <c r="N80" s="13">
        <f t="shared" ref="N80" si="67">L80</f>
        <v>113.98099999999999</v>
      </c>
      <c r="O80" s="13">
        <v>48.83</v>
      </c>
      <c r="P80" s="14">
        <f t="shared" ref="P80:P85" si="68">(O80*N80)/(M80*L80)</f>
        <v>1.0649945474372955</v>
      </c>
      <c r="Q80" s="37">
        <f>119.911/2</f>
        <v>59.955500000000001</v>
      </c>
      <c r="R80" s="28">
        <v>28.63</v>
      </c>
      <c r="S80" s="37">
        <f>Q80</f>
        <v>59.955500000000001</v>
      </c>
      <c r="T80" s="28">
        <v>30.66</v>
      </c>
      <c r="U80" s="36">
        <f t="shared" si="62"/>
        <v>1.0709046454767726</v>
      </c>
    </row>
    <row r="81" spans="1:21" ht="18" customHeight="1">
      <c r="A81" s="8" t="s">
        <v>74</v>
      </c>
      <c r="B81" s="13"/>
      <c r="C81" s="13"/>
      <c r="D81" s="13"/>
      <c r="E81" s="13"/>
      <c r="F81" s="14"/>
      <c r="G81" s="13"/>
      <c r="H81" s="13"/>
      <c r="I81" s="13"/>
      <c r="J81" s="13"/>
      <c r="K81" s="14"/>
      <c r="L81" s="13"/>
      <c r="M81" s="13"/>
      <c r="N81" s="13"/>
      <c r="O81" s="13"/>
      <c r="P81" s="14"/>
      <c r="Q81" s="28"/>
      <c r="R81" s="28"/>
      <c r="S81" s="28"/>
      <c r="T81" s="28"/>
      <c r="U81" s="36"/>
    </row>
    <row r="82" spans="1:21" ht="18" customHeight="1">
      <c r="A82" s="39" t="s">
        <v>75</v>
      </c>
      <c r="B82" s="13">
        <f>12.92/2*1.08321</f>
        <v>6.9975366000000001</v>
      </c>
      <c r="C82" s="13">
        <v>32.33</v>
      </c>
      <c r="D82" s="13">
        <f t="shared" si="66"/>
        <v>6.9975366000000001</v>
      </c>
      <c r="E82" s="13">
        <v>36.61</v>
      </c>
      <c r="F82" s="14">
        <f t="shared" si="64"/>
        <v>1.1323847819362822</v>
      </c>
      <c r="G82" s="13">
        <f>12.92/2</f>
        <v>6.46</v>
      </c>
      <c r="H82" s="13">
        <v>18</v>
      </c>
      <c r="I82" s="13">
        <f t="shared" si="63"/>
        <v>6.46</v>
      </c>
      <c r="J82" s="13">
        <v>19.399999999999999</v>
      </c>
      <c r="K82" s="14">
        <f t="shared" si="65"/>
        <v>1.0777777777777777</v>
      </c>
      <c r="L82" s="13"/>
      <c r="M82" s="13"/>
      <c r="N82" s="13"/>
      <c r="O82" s="13"/>
      <c r="P82" s="14"/>
      <c r="Q82" s="28"/>
      <c r="R82" s="28"/>
      <c r="S82" s="28"/>
      <c r="T82" s="28"/>
      <c r="U82" s="36"/>
    </row>
    <row r="83" spans="1:21" ht="18" customHeight="1">
      <c r="A83" s="39" t="s">
        <v>76</v>
      </c>
      <c r="B83" s="13">
        <f>10.735/2*1.08321</f>
        <v>5.8141296749999993</v>
      </c>
      <c r="C83" s="13">
        <v>32.33</v>
      </c>
      <c r="D83" s="13">
        <f t="shared" si="66"/>
        <v>5.8141296749999993</v>
      </c>
      <c r="E83" s="13">
        <v>36.61</v>
      </c>
      <c r="F83" s="14">
        <f t="shared" si="64"/>
        <v>1.132384781936282</v>
      </c>
      <c r="G83" s="13">
        <f>10.735/2</f>
        <v>5.3674999999999997</v>
      </c>
      <c r="H83" s="13">
        <v>26.6</v>
      </c>
      <c r="I83" s="13">
        <f t="shared" si="63"/>
        <v>5.3674999999999997</v>
      </c>
      <c r="J83" s="13">
        <v>28.55</v>
      </c>
      <c r="K83" s="14">
        <f t="shared" si="65"/>
        <v>1.0733082706766917</v>
      </c>
      <c r="L83" s="13"/>
      <c r="M83" s="13"/>
      <c r="N83" s="13"/>
      <c r="O83" s="13"/>
      <c r="P83" s="14"/>
      <c r="Q83" s="28"/>
      <c r="R83" s="28"/>
      <c r="S83" s="28"/>
      <c r="T83" s="28"/>
      <c r="U83" s="36"/>
    </row>
    <row r="84" spans="1:21" ht="18" customHeight="1">
      <c r="A84" s="39" t="s">
        <v>77</v>
      </c>
      <c r="B84" s="13">
        <f>28.624/2*1.08321</f>
        <v>15.50290152</v>
      </c>
      <c r="C84" s="13">
        <v>32.33</v>
      </c>
      <c r="D84" s="13">
        <f t="shared" si="66"/>
        <v>15.50290152</v>
      </c>
      <c r="E84" s="13">
        <v>36.61</v>
      </c>
      <c r="F84" s="14">
        <f t="shared" si="64"/>
        <v>1.1323847819362822</v>
      </c>
      <c r="G84" s="13">
        <f>28.624/2</f>
        <v>14.311999999999999</v>
      </c>
      <c r="H84" s="13">
        <v>23.8</v>
      </c>
      <c r="I84" s="13">
        <f t="shared" si="63"/>
        <v>14.311999999999999</v>
      </c>
      <c r="J84" s="13">
        <v>25.58</v>
      </c>
      <c r="K84" s="14">
        <f t="shared" si="65"/>
        <v>1.0747899159663865</v>
      </c>
      <c r="L84" s="13"/>
      <c r="M84" s="13"/>
      <c r="N84" s="13"/>
      <c r="O84" s="13"/>
      <c r="P84" s="14"/>
      <c r="Q84" s="28"/>
      <c r="R84" s="28"/>
      <c r="S84" s="28"/>
      <c r="T84" s="28"/>
      <c r="U84" s="36"/>
    </row>
    <row r="85" spans="1:21">
      <c r="A85" s="8" t="s">
        <v>78</v>
      </c>
      <c r="B85" s="13">
        <f>7.641/2</f>
        <v>3.8205</v>
      </c>
      <c r="C85" s="13">
        <v>43.62</v>
      </c>
      <c r="D85" s="13">
        <f t="shared" si="66"/>
        <v>3.8205</v>
      </c>
      <c r="E85" s="13">
        <v>45.26</v>
      </c>
      <c r="F85" s="14">
        <f t="shared" si="64"/>
        <v>1.0375974323704724</v>
      </c>
      <c r="G85" s="13">
        <f>4.841/2</f>
        <v>2.4205000000000001</v>
      </c>
      <c r="H85" s="13">
        <v>27</v>
      </c>
      <c r="I85" s="13">
        <f t="shared" si="63"/>
        <v>2.4205000000000001</v>
      </c>
      <c r="J85" s="13">
        <v>28.92</v>
      </c>
      <c r="K85" s="14">
        <f t="shared" si="65"/>
        <v>1.0711111111111111</v>
      </c>
      <c r="L85" s="13">
        <f>3.354/2</f>
        <v>1.677</v>
      </c>
      <c r="M85" s="13">
        <v>51.98</v>
      </c>
      <c r="N85" s="13">
        <f>L85</f>
        <v>1.677</v>
      </c>
      <c r="O85" s="13">
        <v>51.98</v>
      </c>
      <c r="P85" s="14">
        <f t="shared" si="68"/>
        <v>1</v>
      </c>
      <c r="Q85" s="28">
        <f>1.644/2</f>
        <v>0.82199999999999995</v>
      </c>
      <c r="R85" s="37">
        <v>22</v>
      </c>
      <c r="S85" s="28">
        <f>Q85</f>
        <v>0.82199999999999995</v>
      </c>
      <c r="T85" s="28">
        <v>23.56</v>
      </c>
      <c r="U85" s="36">
        <f t="shared" si="62"/>
        <v>1.0709090909090908</v>
      </c>
    </row>
    <row r="86" spans="1:21">
      <c r="A86" s="8" t="s">
        <v>79</v>
      </c>
      <c r="B86" s="13">
        <f>6.923/2</f>
        <v>3.4615</v>
      </c>
      <c r="C86" s="13">
        <v>41.91</v>
      </c>
      <c r="D86" s="13">
        <f>B86</f>
        <v>3.4615</v>
      </c>
      <c r="E86" s="13">
        <v>44.85</v>
      </c>
      <c r="F86" s="14">
        <f>(E86*D86)/(C86*B86)</f>
        <v>1.0701503221188262</v>
      </c>
      <c r="G86" s="13">
        <f>3.02/2</f>
        <v>1.51</v>
      </c>
      <c r="H86" s="13">
        <v>27</v>
      </c>
      <c r="I86" s="13">
        <f t="shared" si="63"/>
        <v>1.51</v>
      </c>
      <c r="J86" s="13">
        <v>28.92</v>
      </c>
      <c r="K86" s="14">
        <f t="shared" si="65"/>
        <v>1.0711111111111111</v>
      </c>
      <c r="L86" s="13"/>
      <c r="M86" s="13"/>
      <c r="N86" s="13"/>
      <c r="O86" s="13"/>
      <c r="P86" s="14"/>
      <c r="Q86" s="28"/>
      <c r="R86" s="28"/>
      <c r="S86" s="28"/>
      <c r="T86" s="28"/>
      <c r="U86" s="36"/>
    </row>
    <row r="87" spans="1:21">
      <c r="A87" s="2" t="s">
        <v>81</v>
      </c>
      <c r="B87" s="13">
        <f>0.98369/2</f>
        <v>0.49184499999999998</v>
      </c>
      <c r="C87" s="13">
        <v>34.85</v>
      </c>
      <c r="D87" s="13">
        <f>B87</f>
        <v>0.49184499999999998</v>
      </c>
      <c r="E87" s="13">
        <v>37.07</v>
      </c>
      <c r="F87" s="14">
        <f>(E87*D87)/(C87*B87)</f>
        <v>1.0637015781922525</v>
      </c>
      <c r="G87" s="13"/>
      <c r="H87" s="13"/>
      <c r="I87" s="13"/>
      <c r="J87" s="13"/>
      <c r="K87" s="14"/>
      <c r="L87" s="13"/>
      <c r="M87" s="13"/>
      <c r="N87" s="13"/>
      <c r="O87" s="13"/>
      <c r="P87" s="14"/>
      <c r="Q87" s="28"/>
      <c r="R87" s="37"/>
      <c r="S87" s="37"/>
      <c r="T87" s="37"/>
      <c r="U87" s="32"/>
    </row>
    <row r="88" spans="1:21">
      <c r="A88" s="2" t="s">
        <v>92</v>
      </c>
      <c r="B88" s="13">
        <f>14.76/2</f>
        <v>7.38</v>
      </c>
      <c r="C88" s="13">
        <v>93.81</v>
      </c>
      <c r="D88" s="13">
        <f>B88</f>
        <v>7.38</v>
      </c>
      <c r="E88" s="13">
        <v>100.11</v>
      </c>
      <c r="F88" s="14">
        <f t="shared" ref="F88" si="69">(E88*D88)/(C88*B88)</f>
        <v>1.0671570195075151</v>
      </c>
      <c r="G88" s="13">
        <f>7.09/2</f>
        <v>3.5449999999999999</v>
      </c>
      <c r="H88" s="13">
        <v>30.53</v>
      </c>
      <c r="I88" s="13">
        <f>G88</f>
        <v>3.5449999999999999</v>
      </c>
      <c r="J88" s="13">
        <v>32.700000000000003</v>
      </c>
      <c r="K88" s="14">
        <f t="shared" ref="K88:K95" si="70">(J88*I88)/(H88*G88)</f>
        <v>1.07107762856207</v>
      </c>
      <c r="L88" s="13">
        <f>14.76/2</f>
        <v>7.38</v>
      </c>
      <c r="M88" s="13">
        <v>110.48</v>
      </c>
      <c r="N88" s="13">
        <f>L88</f>
        <v>7.38</v>
      </c>
      <c r="O88" s="13">
        <v>118.37</v>
      </c>
      <c r="P88" s="14">
        <f t="shared" ref="P88" si="71">(O88*N88)/(M88*L88)</f>
        <v>1.0714156408399711</v>
      </c>
      <c r="Q88" s="28">
        <f>9.12/2</f>
        <v>4.5599999999999996</v>
      </c>
      <c r="R88" s="28">
        <v>51.35</v>
      </c>
      <c r="S88" s="28">
        <f>Q88</f>
        <v>4.5599999999999996</v>
      </c>
      <c r="T88" s="37">
        <v>55</v>
      </c>
      <c r="U88" s="36">
        <f t="shared" ref="U88:U92" si="72">T88/R88</f>
        <v>1.071080817916261</v>
      </c>
    </row>
    <row r="89" spans="1:21">
      <c r="A89" s="2" t="s">
        <v>82</v>
      </c>
      <c r="B89" s="13">
        <f>4.92/2</f>
        <v>2.46</v>
      </c>
      <c r="C89" s="13">
        <v>57.33</v>
      </c>
      <c r="D89" s="13">
        <f>B89</f>
        <v>2.46</v>
      </c>
      <c r="E89" s="13">
        <v>59.81</v>
      </c>
      <c r="F89" s="14">
        <f>(E89*D89)/(C89*B89)</f>
        <v>1.0432583289726147</v>
      </c>
      <c r="G89" s="13">
        <f>3.04/2</f>
        <v>1.52</v>
      </c>
      <c r="H89" s="13">
        <v>57.33</v>
      </c>
      <c r="I89" s="13">
        <f t="shared" ref="I89:I95" si="73">G89</f>
        <v>1.52</v>
      </c>
      <c r="J89" s="13">
        <v>59.81</v>
      </c>
      <c r="K89" s="14">
        <f t="shared" si="70"/>
        <v>1.0432583289726147</v>
      </c>
      <c r="L89" s="13"/>
      <c r="M89" s="13"/>
      <c r="N89" s="13"/>
      <c r="O89" s="13"/>
      <c r="P89" s="14"/>
      <c r="Q89" s="28"/>
      <c r="R89" s="37"/>
      <c r="S89" s="37"/>
      <c r="T89" s="37"/>
      <c r="U89" s="32"/>
    </row>
    <row r="90" spans="1:21">
      <c r="A90" s="2" t="s">
        <v>83</v>
      </c>
      <c r="B90" s="13">
        <f>5.59/2</f>
        <v>2.7949999999999999</v>
      </c>
      <c r="C90" s="13">
        <v>71.900000000000006</v>
      </c>
      <c r="D90" s="13">
        <f>B90</f>
        <v>2.7949999999999999</v>
      </c>
      <c r="E90" s="13">
        <v>75</v>
      </c>
      <c r="F90" s="14">
        <f t="shared" ref="F90:F98" si="74">(E90*D90)/(C90*B90)</f>
        <v>1.0431154381084839</v>
      </c>
      <c r="G90" s="13">
        <f>3.74/2</f>
        <v>1.87</v>
      </c>
      <c r="H90" s="13">
        <v>39.18</v>
      </c>
      <c r="I90" s="13">
        <f t="shared" si="73"/>
        <v>1.87</v>
      </c>
      <c r="J90" s="13">
        <v>42.51</v>
      </c>
      <c r="K90" s="14">
        <f t="shared" si="70"/>
        <v>1.0849923430321593</v>
      </c>
      <c r="L90" s="13"/>
      <c r="M90" s="13"/>
      <c r="N90" s="13"/>
      <c r="O90" s="13"/>
      <c r="P90" s="14"/>
      <c r="Q90" s="28"/>
      <c r="R90" s="28"/>
      <c r="S90" s="28"/>
      <c r="T90" s="28"/>
      <c r="U90" s="32"/>
    </row>
    <row r="91" spans="1:21">
      <c r="A91" s="2" t="s">
        <v>84</v>
      </c>
      <c r="B91" s="13">
        <f>51.206/2</f>
        <v>25.603000000000002</v>
      </c>
      <c r="C91" s="13">
        <v>63.85</v>
      </c>
      <c r="D91" s="13">
        <f t="shared" ref="D91:D98" si="75">B91</f>
        <v>25.603000000000002</v>
      </c>
      <c r="E91" s="13">
        <v>63.85</v>
      </c>
      <c r="F91" s="14">
        <f t="shared" si="74"/>
        <v>1</v>
      </c>
      <c r="G91" s="13">
        <f>39.507/2</f>
        <v>19.753499999999999</v>
      </c>
      <c r="H91" s="13">
        <v>41</v>
      </c>
      <c r="I91" s="13">
        <f t="shared" si="73"/>
        <v>19.753499999999999</v>
      </c>
      <c r="J91" s="13">
        <v>43.91</v>
      </c>
      <c r="K91" s="14">
        <f t="shared" si="70"/>
        <v>1.0709756097560974</v>
      </c>
      <c r="L91" s="13"/>
      <c r="M91" s="13"/>
      <c r="N91" s="13"/>
      <c r="O91" s="13"/>
      <c r="P91" s="14"/>
      <c r="Q91" s="37"/>
      <c r="R91" s="28"/>
      <c r="S91" s="37"/>
      <c r="T91" s="28"/>
      <c r="U91" s="32"/>
    </row>
    <row r="92" spans="1:21">
      <c r="A92" s="2" t="s">
        <v>85</v>
      </c>
      <c r="B92" s="13">
        <f>340.636/2</f>
        <v>170.31800000000001</v>
      </c>
      <c r="C92" s="13">
        <v>44.4</v>
      </c>
      <c r="D92" s="13">
        <f t="shared" si="75"/>
        <v>170.31800000000001</v>
      </c>
      <c r="E92" s="13">
        <v>44.4</v>
      </c>
      <c r="F92" s="14">
        <f t="shared" si="74"/>
        <v>1</v>
      </c>
      <c r="G92" s="13">
        <f>163.416/2</f>
        <v>81.707999999999998</v>
      </c>
      <c r="H92" s="13">
        <f>42.1/1.18</f>
        <v>35.677966101694921</v>
      </c>
      <c r="I92" s="13">
        <f t="shared" si="73"/>
        <v>81.707999999999998</v>
      </c>
      <c r="J92" s="13">
        <f>45.09/1.18</f>
        <v>38.211864406779668</v>
      </c>
      <c r="K92" s="14">
        <f t="shared" si="70"/>
        <v>1.0710213776722091</v>
      </c>
      <c r="L92" s="13">
        <f>194.732/2</f>
        <v>97.366</v>
      </c>
      <c r="M92" s="13">
        <v>73.709999999999994</v>
      </c>
      <c r="N92" s="13">
        <f t="shared" ref="N92" si="76">L92</f>
        <v>97.366</v>
      </c>
      <c r="O92" s="13">
        <v>75.459999999999994</v>
      </c>
      <c r="P92" s="14">
        <f t="shared" ref="P92" si="77">(O92*N92)/(M92*L92)</f>
        <v>1.0237416904083572</v>
      </c>
      <c r="Q92" s="37">
        <f>144.352/2</f>
        <v>72.176000000000002</v>
      </c>
      <c r="R92" s="37">
        <f>60.59/1.18</f>
        <v>51.347457627118651</v>
      </c>
      <c r="S92" s="37">
        <f>Q92</f>
        <v>72.176000000000002</v>
      </c>
      <c r="T92" s="37">
        <f>64.89/1.18</f>
        <v>54.991525423728817</v>
      </c>
      <c r="U92" s="36">
        <f t="shared" si="72"/>
        <v>1.0709688067337844</v>
      </c>
    </row>
    <row r="93" spans="1:21">
      <c r="A93" s="2" t="s">
        <v>86</v>
      </c>
      <c r="B93" s="13">
        <f>4.612/2</f>
        <v>2.306</v>
      </c>
      <c r="C93" s="13">
        <v>70.38</v>
      </c>
      <c r="D93" s="13">
        <f t="shared" si="75"/>
        <v>2.306</v>
      </c>
      <c r="E93" s="13">
        <v>71.069999999999993</v>
      </c>
      <c r="F93" s="14">
        <f t="shared" si="74"/>
        <v>1.0098039215686274</v>
      </c>
      <c r="G93" s="13">
        <f>3/2</f>
        <v>1.5</v>
      </c>
      <c r="H93" s="13">
        <v>42.1</v>
      </c>
      <c r="I93" s="13">
        <f t="shared" si="73"/>
        <v>1.5</v>
      </c>
      <c r="J93" s="13">
        <v>45.68</v>
      </c>
      <c r="K93" s="14">
        <f t="shared" si="70"/>
        <v>1.0850356294536816</v>
      </c>
      <c r="L93" s="13"/>
      <c r="M93" s="13"/>
      <c r="N93" s="13"/>
      <c r="O93" s="13"/>
      <c r="P93" s="14"/>
      <c r="Q93" s="28"/>
      <c r="R93" s="28"/>
      <c r="S93" s="28"/>
      <c r="T93" s="28"/>
      <c r="U93" s="32"/>
    </row>
    <row r="94" spans="1:21">
      <c r="A94" s="2" t="s">
        <v>87</v>
      </c>
      <c r="B94" s="13">
        <f>16.1/2</f>
        <v>8.0500000000000007</v>
      </c>
      <c r="C94" s="13">
        <v>48.63</v>
      </c>
      <c r="D94" s="13">
        <f t="shared" si="75"/>
        <v>8.0500000000000007</v>
      </c>
      <c r="E94" s="13">
        <v>48.63</v>
      </c>
      <c r="F94" s="14">
        <f t="shared" si="74"/>
        <v>1</v>
      </c>
      <c r="G94" s="13">
        <f>11.83/2</f>
        <v>5.915</v>
      </c>
      <c r="H94" s="13">
        <v>42.1</v>
      </c>
      <c r="I94" s="13">
        <f t="shared" si="73"/>
        <v>5.915</v>
      </c>
      <c r="J94" s="13">
        <v>45.68</v>
      </c>
      <c r="K94" s="14">
        <f t="shared" si="70"/>
        <v>1.0850356294536818</v>
      </c>
      <c r="L94" s="13"/>
      <c r="M94" s="13"/>
      <c r="N94" s="13"/>
      <c r="O94" s="13"/>
      <c r="P94" s="14"/>
      <c r="Q94" s="28"/>
      <c r="R94" s="28"/>
      <c r="S94" s="28"/>
      <c r="T94" s="28"/>
      <c r="U94" s="32"/>
    </row>
    <row r="95" spans="1:21">
      <c r="A95" s="2" t="s">
        <v>88</v>
      </c>
      <c r="B95" s="13">
        <f>84.507/2</f>
        <v>42.253500000000003</v>
      </c>
      <c r="C95" s="13">
        <v>34.61</v>
      </c>
      <c r="D95" s="13">
        <f t="shared" si="75"/>
        <v>42.253500000000003</v>
      </c>
      <c r="E95" s="13">
        <v>34.61</v>
      </c>
      <c r="F95" s="14">
        <f t="shared" si="74"/>
        <v>1</v>
      </c>
      <c r="G95" s="13">
        <v>0.17499999999999999</v>
      </c>
      <c r="H95" s="13">
        <v>34.61</v>
      </c>
      <c r="I95" s="13">
        <f t="shared" si="73"/>
        <v>0.17499999999999999</v>
      </c>
      <c r="J95" s="13">
        <v>34.61</v>
      </c>
      <c r="K95" s="14">
        <f t="shared" si="70"/>
        <v>1</v>
      </c>
      <c r="L95" s="13"/>
      <c r="M95" s="13"/>
      <c r="N95" s="13"/>
      <c r="O95" s="13"/>
      <c r="P95" s="14"/>
      <c r="Q95" s="28"/>
      <c r="R95" s="28"/>
      <c r="S95" s="28"/>
      <c r="T95" s="28"/>
      <c r="U95" s="32"/>
    </row>
    <row r="96" spans="1:21">
      <c r="A96" s="2" t="s">
        <v>89</v>
      </c>
      <c r="B96" s="13">
        <f>(41-8.3)/2</f>
        <v>16.350000000000001</v>
      </c>
      <c r="C96" s="13">
        <v>24.41</v>
      </c>
      <c r="D96" s="13">
        <f t="shared" si="75"/>
        <v>16.350000000000001</v>
      </c>
      <c r="E96" s="13">
        <v>26.38</v>
      </c>
      <c r="F96" s="14">
        <f t="shared" si="74"/>
        <v>1.0807046292503073</v>
      </c>
      <c r="G96" s="13"/>
      <c r="H96" s="13"/>
      <c r="I96" s="13"/>
      <c r="J96" s="13"/>
      <c r="K96" s="14"/>
      <c r="L96" s="13"/>
      <c r="M96" s="13"/>
      <c r="N96" s="13"/>
      <c r="O96" s="13"/>
      <c r="P96" s="14"/>
      <c r="Q96" s="28"/>
      <c r="R96" s="28"/>
      <c r="S96" s="28"/>
      <c r="T96" s="28"/>
      <c r="U96" s="32"/>
    </row>
    <row r="97" spans="1:21">
      <c r="A97" s="2" t="s">
        <v>90</v>
      </c>
      <c r="B97" s="13">
        <f>10.8/2</f>
        <v>5.4</v>
      </c>
      <c r="C97" s="13">
        <v>36</v>
      </c>
      <c r="D97" s="13">
        <f t="shared" si="75"/>
        <v>5.4</v>
      </c>
      <c r="E97" s="13">
        <v>38.65</v>
      </c>
      <c r="F97" s="14">
        <f t="shared" si="74"/>
        <v>1.0736111111111111</v>
      </c>
      <c r="G97" s="13">
        <f>1.4/2</f>
        <v>0.7</v>
      </c>
      <c r="H97" s="13">
        <v>36</v>
      </c>
      <c r="I97" s="13">
        <f t="shared" ref="I97:I98" si="78">G97</f>
        <v>0.7</v>
      </c>
      <c r="J97" s="13">
        <v>38.65</v>
      </c>
      <c r="K97" s="14">
        <f t="shared" ref="K97:K98" si="79">(J97*I97)/(H97*G97)</f>
        <v>1.0736111111111111</v>
      </c>
      <c r="L97" s="13"/>
      <c r="M97" s="13"/>
      <c r="N97" s="13"/>
      <c r="O97" s="13"/>
      <c r="P97" s="14"/>
      <c r="Q97" s="28"/>
      <c r="R97" s="28"/>
      <c r="S97" s="28"/>
      <c r="T97" s="28"/>
      <c r="U97" s="32"/>
    </row>
    <row r="98" spans="1:21">
      <c r="A98" s="2" t="s">
        <v>91</v>
      </c>
      <c r="B98" s="13">
        <f>6.455/2</f>
        <v>3.2275</v>
      </c>
      <c r="C98" s="13">
        <v>58.56</v>
      </c>
      <c r="D98" s="13">
        <f t="shared" si="75"/>
        <v>3.2275</v>
      </c>
      <c r="E98" s="13">
        <v>66.61</v>
      </c>
      <c r="F98" s="14">
        <f t="shared" si="74"/>
        <v>1.1374658469945353</v>
      </c>
      <c r="G98" s="13">
        <f>4.783/2</f>
        <v>2.3915000000000002</v>
      </c>
      <c r="H98" s="13">
        <v>39.18</v>
      </c>
      <c r="I98" s="13">
        <f t="shared" si="78"/>
        <v>2.3915000000000002</v>
      </c>
      <c r="J98" s="13">
        <v>42.51</v>
      </c>
      <c r="K98" s="14">
        <f t="shared" si="79"/>
        <v>1.0849923430321593</v>
      </c>
      <c r="L98" s="13"/>
      <c r="M98" s="13"/>
      <c r="N98" s="13"/>
      <c r="O98" s="13"/>
      <c r="P98" s="14"/>
      <c r="Q98" s="28"/>
      <c r="R98" s="28"/>
      <c r="S98" s="28"/>
      <c r="T98" s="28"/>
      <c r="U98" s="32"/>
    </row>
    <row r="99" spans="1:21">
      <c r="A99" s="2" t="s">
        <v>94</v>
      </c>
      <c r="B99" s="13">
        <f>12.075/2</f>
        <v>6.0374999999999996</v>
      </c>
      <c r="C99" s="13">
        <v>19.920000000000002</v>
      </c>
      <c r="D99" s="13">
        <f>B99</f>
        <v>6.0374999999999996</v>
      </c>
      <c r="E99" s="13">
        <v>21.32</v>
      </c>
      <c r="F99" s="14">
        <f>(E99*D99)/(C99*B99)</f>
        <v>1.0702811244979917</v>
      </c>
      <c r="G99" s="13">
        <f>11.78/2</f>
        <v>5.89</v>
      </c>
      <c r="H99" s="13">
        <v>19.920000000000002</v>
      </c>
      <c r="I99" s="13">
        <f>G99</f>
        <v>5.89</v>
      </c>
      <c r="J99" s="13">
        <v>21.32</v>
      </c>
      <c r="K99" s="36">
        <f>J99/H99</f>
        <v>1.070281124497992</v>
      </c>
      <c r="L99" s="13"/>
      <c r="M99" s="13"/>
      <c r="N99" s="13"/>
      <c r="O99" s="13"/>
      <c r="P99" s="14"/>
      <c r="Q99" s="28"/>
      <c r="R99" s="37"/>
      <c r="S99" s="37"/>
      <c r="T99" s="37"/>
      <c r="U99" s="36"/>
    </row>
    <row r="100" spans="1:21">
      <c r="A100" s="2" t="s">
        <v>95</v>
      </c>
      <c r="B100" s="13">
        <f>50.8/2</f>
        <v>25.4</v>
      </c>
      <c r="C100" s="13">
        <v>30.43</v>
      </c>
      <c r="D100" s="13">
        <f>B100</f>
        <v>25.4</v>
      </c>
      <c r="E100" s="13">
        <v>32.57</v>
      </c>
      <c r="F100" s="14">
        <f>(E100*D100)/(C100*B100)</f>
        <v>1.0703253368386461</v>
      </c>
      <c r="G100" s="13">
        <f>31.2/2</f>
        <v>15.6</v>
      </c>
      <c r="H100" s="13">
        <v>30.43</v>
      </c>
      <c r="I100" s="13">
        <f>G100</f>
        <v>15.6</v>
      </c>
      <c r="J100" s="13">
        <v>32.57</v>
      </c>
      <c r="K100" s="14">
        <f>(J100*I100)/(H100*G100)</f>
        <v>1.0703253368386461</v>
      </c>
      <c r="L100" s="13"/>
      <c r="M100" s="13"/>
      <c r="N100" s="13"/>
      <c r="O100" s="13"/>
      <c r="P100" s="14"/>
      <c r="Q100" s="28"/>
      <c r="R100" s="37"/>
      <c r="S100" s="37"/>
      <c r="T100" s="37"/>
      <c r="U100" s="36"/>
    </row>
    <row r="101" spans="1:21">
      <c r="A101" s="2" t="s">
        <v>96</v>
      </c>
      <c r="B101" s="13"/>
      <c r="C101" s="13"/>
      <c r="D101" s="13"/>
      <c r="E101" s="13"/>
      <c r="F101" s="14"/>
      <c r="G101" s="13"/>
      <c r="H101" s="13"/>
      <c r="I101" s="13"/>
      <c r="J101" s="13"/>
      <c r="K101" s="14"/>
      <c r="L101" s="13"/>
      <c r="M101" s="13"/>
      <c r="N101" s="13"/>
      <c r="O101" s="13"/>
      <c r="P101" s="14"/>
      <c r="Q101" s="28"/>
      <c r="R101" s="28"/>
      <c r="S101" s="28"/>
      <c r="T101" s="28"/>
      <c r="U101" s="36"/>
    </row>
    <row r="102" spans="1:21">
      <c r="A102" s="40" t="s">
        <v>97</v>
      </c>
      <c r="B102" s="13">
        <f>18.602/2</f>
        <v>9.3010000000000002</v>
      </c>
      <c r="C102" s="13">
        <v>84.06</v>
      </c>
      <c r="D102" s="13">
        <f t="shared" ref="D102:D104" si="80">B102</f>
        <v>9.3010000000000002</v>
      </c>
      <c r="E102" s="13">
        <v>84.06</v>
      </c>
      <c r="F102" s="14">
        <f t="shared" ref="F102:F104" si="81">(E102*D102)/(C102*B102)</f>
        <v>1</v>
      </c>
      <c r="G102" s="13">
        <f>16.986/2</f>
        <v>8.4930000000000003</v>
      </c>
      <c r="H102" s="13">
        <v>29</v>
      </c>
      <c r="I102" s="13">
        <f t="shared" ref="I102:I111" si="82">G102</f>
        <v>8.4930000000000003</v>
      </c>
      <c r="J102" s="13">
        <v>31.06</v>
      </c>
      <c r="K102" s="14">
        <f>(J102*I102)/(H102*G102)</f>
        <v>1.0710344827586207</v>
      </c>
      <c r="L102" s="13"/>
      <c r="M102" s="13"/>
      <c r="N102" s="13"/>
      <c r="O102" s="13"/>
      <c r="P102" s="14"/>
      <c r="Q102" s="37"/>
      <c r="R102" s="28"/>
      <c r="S102" s="37"/>
      <c r="T102" s="28"/>
      <c r="U102" s="36"/>
    </row>
    <row r="103" spans="1:21">
      <c r="A103" s="40" t="s">
        <v>98</v>
      </c>
      <c r="B103" s="13">
        <f>14.763/2</f>
        <v>7.3815</v>
      </c>
      <c r="C103" s="13">
        <v>41.1</v>
      </c>
      <c r="D103" s="13">
        <f t="shared" si="80"/>
        <v>7.3815</v>
      </c>
      <c r="E103" s="13">
        <v>43.59</v>
      </c>
      <c r="F103" s="14">
        <f t="shared" si="81"/>
        <v>1.0605839416058394</v>
      </c>
      <c r="G103" s="13">
        <f>16.668/2</f>
        <v>8.3339999999999996</v>
      </c>
      <c r="H103" s="13">
        <v>25.2</v>
      </c>
      <c r="I103" s="13">
        <f t="shared" si="82"/>
        <v>8.3339999999999996</v>
      </c>
      <c r="J103" s="13">
        <v>26.99</v>
      </c>
      <c r="K103" s="14">
        <f>(J103*I103)/(H103*G103)</f>
        <v>1.071031746031746</v>
      </c>
      <c r="L103" s="13"/>
      <c r="M103" s="13"/>
      <c r="N103" s="13"/>
      <c r="O103" s="13"/>
      <c r="P103" s="14"/>
      <c r="Q103" s="28"/>
      <c r="R103" s="37"/>
      <c r="S103" s="37"/>
      <c r="T103" s="37"/>
      <c r="U103" s="36"/>
    </row>
    <row r="104" spans="1:21">
      <c r="A104" s="2" t="s">
        <v>99</v>
      </c>
      <c r="B104" s="13">
        <f>843/2</f>
        <v>421.5</v>
      </c>
      <c r="C104" s="13">
        <v>42.44</v>
      </c>
      <c r="D104" s="13">
        <f t="shared" si="80"/>
        <v>421.5</v>
      </c>
      <c r="E104" s="13">
        <v>42.44</v>
      </c>
      <c r="F104" s="14">
        <f t="shared" si="81"/>
        <v>1</v>
      </c>
      <c r="G104" s="13">
        <f>514/2</f>
        <v>257</v>
      </c>
      <c r="H104" s="13">
        <v>31</v>
      </c>
      <c r="I104" s="13">
        <f t="shared" si="82"/>
        <v>257</v>
      </c>
      <c r="J104" s="13">
        <v>33.200000000000003</v>
      </c>
      <c r="K104" s="14">
        <f>(J104*I104)/(H104*G104)</f>
        <v>1.0709677419354842</v>
      </c>
      <c r="L104" s="13">
        <f>500/2</f>
        <v>250</v>
      </c>
      <c r="M104" s="13">
        <v>51.3</v>
      </c>
      <c r="N104" s="13">
        <f>L104</f>
        <v>250</v>
      </c>
      <c r="O104" s="13">
        <v>51.3</v>
      </c>
      <c r="P104" s="14">
        <f>O104/M104</f>
        <v>1</v>
      </c>
      <c r="Q104" s="28">
        <f>310/2</f>
        <v>155</v>
      </c>
      <c r="R104" s="28">
        <v>39</v>
      </c>
      <c r="S104" s="28">
        <f>Q104</f>
        <v>155</v>
      </c>
      <c r="T104" s="28">
        <v>41.77</v>
      </c>
      <c r="U104" s="14">
        <f>T104/R104</f>
        <v>1.0710256410256411</v>
      </c>
    </row>
    <row r="105" spans="1:21">
      <c r="A105" s="2" t="s">
        <v>100</v>
      </c>
      <c r="B105" s="13">
        <f>145.04/2</f>
        <v>72.52</v>
      </c>
      <c r="C105" s="13">
        <v>43.04</v>
      </c>
      <c r="D105" s="13">
        <f>B105</f>
        <v>72.52</v>
      </c>
      <c r="E105" s="13">
        <v>44.79</v>
      </c>
      <c r="F105" s="14">
        <f>(E105*D105)/(C105*B105)</f>
        <v>1.0406598513011154</v>
      </c>
      <c r="G105" s="13">
        <f>55.6/2</f>
        <v>27.8</v>
      </c>
      <c r="H105" s="13">
        <v>30</v>
      </c>
      <c r="I105" s="13">
        <f t="shared" si="82"/>
        <v>27.8</v>
      </c>
      <c r="J105" s="13">
        <v>32.130000000000003</v>
      </c>
      <c r="K105" s="36">
        <f>J105/H105</f>
        <v>1.0710000000000002</v>
      </c>
      <c r="L105" s="13">
        <f>107.415/2</f>
        <v>53.707500000000003</v>
      </c>
      <c r="M105" s="13">
        <v>49.63</v>
      </c>
      <c r="N105" s="13">
        <f>L105</f>
        <v>53.707500000000003</v>
      </c>
      <c r="O105" s="13">
        <v>50.71</v>
      </c>
      <c r="P105" s="14">
        <f>O105/M105</f>
        <v>1.0217610316340922</v>
      </c>
      <c r="Q105" s="28">
        <f>49.15/2</f>
        <v>24.574999999999999</v>
      </c>
      <c r="R105" s="37">
        <v>35</v>
      </c>
      <c r="S105" s="37">
        <f>Q105</f>
        <v>24.574999999999999</v>
      </c>
      <c r="T105" s="37">
        <v>37.49</v>
      </c>
      <c r="U105" s="14">
        <f>T105/R105</f>
        <v>1.0711428571428572</v>
      </c>
    </row>
    <row r="106" spans="1:21">
      <c r="A106" s="2" t="s">
        <v>101</v>
      </c>
      <c r="B106" s="13">
        <f>66.934/2</f>
        <v>33.466999999999999</v>
      </c>
      <c r="C106" s="13">
        <v>43.1</v>
      </c>
      <c r="D106" s="13">
        <f>B106</f>
        <v>33.466999999999999</v>
      </c>
      <c r="E106" s="13">
        <v>45.06</v>
      </c>
      <c r="F106" s="14">
        <f>(E106*D106)/(C106*B106)</f>
        <v>1.0454756380510442</v>
      </c>
      <c r="G106" s="13">
        <f>45.344/2</f>
        <v>22.672000000000001</v>
      </c>
      <c r="H106" s="13">
        <v>30</v>
      </c>
      <c r="I106" s="13">
        <f t="shared" si="82"/>
        <v>22.672000000000001</v>
      </c>
      <c r="J106" s="13">
        <v>32.130000000000003</v>
      </c>
      <c r="K106" s="14">
        <f>(J106*I106)/(H106*G106)</f>
        <v>1.0710000000000002</v>
      </c>
      <c r="L106" s="13"/>
      <c r="M106" s="13"/>
      <c r="N106" s="13"/>
      <c r="O106" s="13"/>
      <c r="P106" s="14"/>
      <c r="Q106" s="28"/>
      <c r="R106" s="37"/>
      <c r="S106" s="37"/>
      <c r="T106" s="37"/>
      <c r="U106" s="36"/>
    </row>
    <row r="107" spans="1:21">
      <c r="A107" s="2" t="s">
        <v>102</v>
      </c>
      <c r="B107" s="13">
        <f>1.942/2</f>
        <v>0.97099999999999997</v>
      </c>
      <c r="C107" s="13">
        <v>82.19</v>
      </c>
      <c r="D107" s="13">
        <f>B107</f>
        <v>0.97099999999999997</v>
      </c>
      <c r="E107" s="13">
        <v>82.19</v>
      </c>
      <c r="F107" s="14">
        <f>(E107*D107)/(C107*B107)</f>
        <v>1</v>
      </c>
      <c r="G107" s="13">
        <f>1.314/2</f>
        <v>0.65700000000000003</v>
      </c>
      <c r="H107" s="13">
        <v>30</v>
      </c>
      <c r="I107" s="13">
        <f t="shared" si="82"/>
        <v>0.65700000000000003</v>
      </c>
      <c r="J107" s="13">
        <v>32.130000000000003</v>
      </c>
      <c r="K107" s="14">
        <f>(J107*I107)/(H107*G107)</f>
        <v>1.0710000000000002</v>
      </c>
      <c r="L107" s="13"/>
      <c r="M107" s="13"/>
      <c r="N107" s="13"/>
      <c r="O107" s="13"/>
      <c r="P107" s="14"/>
      <c r="Q107" s="28"/>
      <c r="R107" s="28"/>
      <c r="S107" s="28"/>
      <c r="T107" s="28"/>
      <c r="U107" s="36"/>
    </row>
    <row r="108" spans="1:21">
      <c r="A108" s="2" t="s">
        <v>103</v>
      </c>
      <c r="B108" s="13">
        <f>18.5/2</f>
        <v>9.25</v>
      </c>
      <c r="C108" s="13">
        <v>42.76</v>
      </c>
      <c r="D108" s="13">
        <f t="shared" ref="D108" si="83">B108</f>
        <v>9.25</v>
      </c>
      <c r="E108" s="13">
        <v>45.21</v>
      </c>
      <c r="F108" s="14">
        <f t="shared" ref="F108" si="84">(E108*D108)/(C108*B108)</f>
        <v>1.0572965388213285</v>
      </c>
      <c r="G108" s="13">
        <f>13.6/2</f>
        <v>6.8</v>
      </c>
      <c r="H108" s="13">
        <v>30</v>
      </c>
      <c r="I108" s="13">
        <f t="shared" si="82"/>
        <v>6.8</v>
      </c>
      <c r="J108" s="13">
        <v>32.130000000000003</v>
      </c>
      <c r="K108" s="14">
        <f>(J108*I108)/(H108*G108)</f>
        <v>1.071</v>
      </c>
      <c r="L108" s="13"/>
      <c r="M108" s="13"/>
      <c r="N108" s="13"/>
      <c r="O108" s="13"/>
      <c r="P108" s="36"/>
      <c r="Q108" s="28"/>
      <c r="R108" s="28"/>
      <c r="S108" s="28"/>
      <c r="T108" s="28"/>
      <c r="U108" s="36"/>
    </row>
    <row r="109" spans="1:21">
      <c r="A109" s="8" t="s">
        <v>106</v>
      </c>
      <c r="B109" s="13">
        <f>57.051/2</f>
        <v>28.525500000000001</v>
      </c>
      <c r="C109" s="13">
        <v>46.03</v>
      </c>
      <c r="D109" s="13">
        <f>B109</f>
        <v>28.525500000000001</v>
      </c>
      <c r="E109" s="13">
        <v>48.06</v>
      </c>
      <c r="F109" s="14">
        <f>(E109*D109)/(C109*B109)</f>
        <v>1.0441016728220727</v>
      </c>
      <c r="G109" s="13">
        <f>19.115/2</f>
        <v>9.5574999999999992</v>
      </c>
      <c r="H109" s="13">
        <v>28.5</v>
      </c>
      <c r="I109" s="13">
        <f t="shared" si="82"/>
        <v>9.5574999999999992</v>
      </c>
      <c r="J109" s="13">
        <v>30.52</v>
      </c>
      <c r="K109" s="36">
        <f>J109/H109</f>
        <v>1.0708771929824561</v>
      </c>
      <c r="L109" s="13">
        <f>33.017/2</f>
        <v>16.508500000000002</v>
      </c>
      <c r="M109" s="13">
        <v>41.3</v>
      </c>
      <c r="N109" s="13">
        <f>L109</f>
        <v>16.508500000000002</v>
      </c>
      <c r="O109" s="13">
        <v>42.64</v>
      </c>
      <c r="P109" s="36">
        <f>O109/M109</f>
        <v>1.0324455205811138</v>
      </c>
      <c r="Q109" s="28">
        <f>13.434/2</f>
        <v>6.7169999999999996</v>
      </c>
      <c r="R109" s="37">
        <v>32</v>
      </c>
      <c r="S109" s="37">
        <f>Q109</f>
        <v>6.7169999999999996</v>
      </c>
      <c r="T109" s="37">
        <v>34.270000000000003</v>
      </c>
      <c r="U109" s="14">
        <f>T109/R109</f>
        <v>1.0709375000000001</v>
      </c>
    </row>
    <row r="110" spans="1:21">
      <c r="A110" s="2" t="s">
        <v>107</v>
      </c>
      <c r="B110" s="11">
        <f>112.85/2</f>
        <v>56.424999999999997</v>
      </c>
      <c r="C110" s="11">
        <v>64.41</v>
      </c>
      <c r="D110" s="11">
        <f>B110</f>
        <v>56.424999999999997</v>
      </c>
      <c r="E110" s="11">
        <v>68.03</v>
      </c>
      <c r="F110" s="12">
        <f>(E110*D110)/(C110*B110)</f>
        <v>1.0562024530352432</v>
      </c>
      <c r="G110" s="11">
        <f>39.548/2</f>
        <v>19.774000000000001</v>
      </c>
      <c r="H110" s="11">
        <v>25.26</v>
      </c>
      <c r="I110" s="11">
        <f t="shared" si="82"/>
        <v>19.774000000000001</v>
      </c>
      <c r="J110" s="11">
        <v>27.05</v>
      </c>
      <c r="K110" s="12">
        <f>(J110*I110)/(H110*G110)</f>
        <v>1.0708630245447346</v>
      </c>
      <c r="L110" s="11">
        <f>140.24/2</f>
        <v>70.12</v>
      </c>
      <c r="M110" s="11">
        <v>42.43</v>
      </c>
      <c r="N110" s="11">
        <f>L110</f>
        <v>70.12</v>
      </c>
      <c r="O110" s="11">
        <v>44.51</v>
      </c>
      <c r="P110" s="12">
        <f>(O110*N110)/(M110*L110)</f>
        <v>1.049021918453924</v>
      </c>
      <c r="Q110" s="35">
        <f>37.5/2</f>
        <v>18.75</v>
      </c>
      <c r="R110" s="35">
        <v>23.59</v>
      </c>
      <c r="S110" s="35">
        <f>Q110</f>
        <v>18.75</v>
      </c>
      <c r="T110" s="35">
        <v>25.26</v>
      </c>
      <c r="U110" s="12">
        <f>(T110*S110)/(R110*Q110)</f>
        <v>1.0707927087749047</v>
      </c>
    </row>
    <row r="111" spans="1:21">
      <c r="A111" s="3" t="s">
        <v>58</v>
      </c>
      <c r="B111" s="11">
        <f>43.84/2</f>
        <v>21.92</v>
      </c>
      <c r="C111" s="11">
        <v>109.08</v>
      </c>
      <c r="D111" s="11">
        <f>B111</f>
        <v>21.92</v>
      </c>
      <c r="E111" s="11">
        <v>128.27000000000001</v>
      </c>
      <c r="F111" s="12">
        <f>(E111*D111)/(C111*B111)</f>
        <v>1.1759259259259258</v>
      </c>
      <c r="G111" s="21">
        <f>25.181/2</f>
        <v>12.5905</v>
      </c>
      <c r="H111" s="21">
        <v>38.93</v>
      </c>
      <c r="I111" s="21">
        <f t="shared" si="82"/>
        <v>12.5905</v>
      </c>
      <c r="J111" s="21">
        <v>41.69</v>
      </c>
      <c r="K111" s="12">
        <f t="shared" ref="K111:K130" si="85">(J111*I111)/(H111*G111)</f>
        <v>1.0708964808630874</v>
      </c>
      <c r="L111" s="11">
        <f>28.19/2</f>
        <v>14.095000000000001</v>
      </c>
      <c r="M111" s="11">
        <v>43.07</v>
      </c>
      <c r="N111" s="11">
        <f>L111</f>
        <v>14.095000000000001</v>
      </c>
      <c r="O111" s="11">
        <v>46.2</v>
      </c>
      <c r="P111" s="12">
        <f>(O111*N111)/(M111*L111)</f>
        <v>1.0726723937775715</v>
      </c>
      <c r="Q111" s="35">
        <f>20.54/2</f>
        <v>10.27</v>
      </c>
      <c r="R111" s="35">
        <v>33.06</v>
      </c>
      <c r="S111" s="35">
        <f>Q111</f>
        <v>10.27</v>
      </c>
      <c r="T111" s="35">
        <v>35.409999999999997</v>
      </c>
      <c r="U111" s="34">
        <f t="shared" ref="U111" si="86">T111/R111</f>
        <v>1.0710828796128249</v>
      </c>
    </row>
    <row r="112" spans="1:21">
      <c r="A112" s="2" t="s">
        <v>108</v>
      </c>
      <c r="B112" s="11">
        <f>168.1/2</f>
        <v>84.05</v>
      </c>
      <c r="C112" s="11">
        <v>62.63</v>
      </c>
      <c r="D112" s="11">
        <f>B112</f>
        <v>84.05</v>
      </c>
      <c r="E112" s="11">
        <v>62.63</v>
      </c>
      <c r="F112" s="12">
        <f t="shared" ref="F112:F128" si="87">(E112*D112)/(C112*B112)</f>
        <v>1</v>
      </c>
      <c r="G112" s="11">
        <f>132.62/2</f>
        <v>66.31</v>
      </c>
      <c r="H112" s="11">
        <v>30.72</v>
      </c>
      <c r="I112" s="11">
        <f t="shared" ref="I112:I128" si="88">G112</f>
        <v>66.31</v>
      </c>
      <c r="J112" s="11">
        <v>32.9</v>
      </c>
      <c r="K112" s="12">
        <f t="shared" si="85"/>
        <v>1.0709635416666667</v>
      </c>
      <c r="L112" s="11">
        <f>198.7/2</f>
        <v>99.35</v>
      </c>
      <c r="M112" s="11">
        <v>28.36</v>
      </c>
      <c r="N112" s="11">
        <f t="shared" ref="N112:N129" si="89">L112</f>
        <v>99.35</v>
      </c>
      <c r="O112" s="11">
        <v>28.36</v>
      </c>
      <c r="P112" s="12">
        <f t="shared" ref="P112:P129" si="90">(O112*N112)/(M112*L112)</f>
        <v>1</v>
      </c>
      <c r="Q112" s="35">
        <f>132.62/2</f>
        <v>66.31</v>
      </c>
      <c r="R112" s="35">
        <v>27.59</v>
      </c>
      <c r="S112" s="35">
        <f t="shared" ref="S112:S130" si="91">Q112</f>
        <v>66.31</v>
      </c>
      <c r="T112" s="35">
        <v>28.36</v>
      </c>
      <c r="U112" s="12">
        <f t="shared" ref="U112:U130" si="92">(T112*S112)/(R112*Q112)</f>
        <v>1.0279086625588982</v>
      </c>
    </row>
    <row r="113" spans="1:21">
      <c r="A113" s="2" t="s">
        <v>109</v>
      </c>
      <c r="B113" s="11">
        <f>66.883/2</f>
        <v>33.441499999999998</v>
      </c>
      <c r="C113" s="11">
        <v>54.83</v>
      </c>
      <c r="D113" s="11">
        <f t="shared" ref="D113:D128" si="93">B113</f>
        <v>33.441499999999998</v>
      </c>
      <c r="E113" s="11">
        <v>58.63</v>
      </c>
      <c r="F113" s="12">
        <f t="shared" si="87"/>
        <v>1.0693051249316068</v>
      </c>
      <c r="G113" s="11">
        <f>55.925/2</f>
        <v>27.962499999999999</v>
      </c>
      <c r="H113" s="11">
        <v>21</v>
      </c>
      <c r="I113" s="11">
        <f t="shared" si="88"/>
        <v>27.962499999999999</v>
      </c>
      <c r="J113" s="11">
        <v>22.5</v>
      </c>
      <c r="K113" s="12">
        <f t="shared" si="85"/>
        <v>1.0714285714285714</v>
      </c>
      <c r="L113" s="11">
        <f>56.428/2</f>
        <v>28.213999999999999</v>
      </c>
      <c r="M113" s="11">
        <v>37.86</v>
      </c>
      <c r="N113" s="11">
        <f t="shared" si="89"/>
        <v>28.213999999999999</v>
      </c>
      <c r="O113" s="11">
        <v>40.54</v>
      </c>
      <c r="P113" s="12">
        <f t="shared" si="90"/>
        <v>1.0707871104067619</v>
      </c>
      <c r="Q113" s="35">
        <f>54.845/2</f>
        <v>27.422499999999999</v>
      </c>
      <c r="R113" s="35">
        <v>16.3</v>
      </c>
      <c r="S113" s="35">
        <f t="shared" si="91"/>
        <v>27.422499999999999</v>
      </c>
      <c r="T113" s="35">
        <v>17.46</v>
      </c>
      <c r="U113" s="12">
        <f t="shared" si="92"/>
        <v>1.0711656441717792</v>
      </c>
    </row>
    <row r="114" spans="1:21">
      <c r="A114" s="2" t="s">
        <v>109</v>
      </c>
      <c r="B114" s="11">
        <f>53.1/2</f>
        <v>26.55</v>
      </c>
      <c r="C114" s="11">
        <v>39.86</v>
      </c>
      <c r="D114" s="11">
        <f t="shared" si="93"/>
        <v>26.55</v>
      </c>
      <c r="E114" s="11">
        <v>42.67</v>
      </c>
      <c r="F114" s="12">
        <f t="shared" si="87"/>
        <v>1.0704967385850477</v>
      </c>
      <c r="G114" s="11">
        <f>44.496/2</f>
        <v>22.248000000000001</v>
      </c>
      <c r="H114" s="11">
        <v>21</v>
      </c>
      <c r="I114" s="11">
        <f t="shared" si="88"/>
        <v>22.248000000000001</v>
      </c>
      <c r="J114" s="11">
        <v>22.5</v>
      </c>
      <c r="K114" s="12">
        <f t="shared" si="85"/>
        <v>1.0714285714285714</v>
      </c>
      <c r="L114" s="11">
        <f>50.322/2</f>
        <v>25.161000000000001</v>
      </c>
      <c r="M114" s="11">
        <v>46.74</v>
      </c>
      <c r="N114" s="11">
        <f t="shared" si="89"/>
        <v>25.161000000000001</v>
      </c>
      <c r="O114" s="11">
        <v>50.04</v>
      </c>
      <c r="P114" s="12">
        <f t="shared" si="90"/>
        <v>1.0706033376123234</v>
      </c>
      <c r="Q114" s="35">
        <f>43.52/2</f>
        <v>21.76</v>
      </c>
      <c r="R114" s="35">
        <v>20.7</v>
      </c>
      <c r="S114" s="35">
        <f t="shared" si="91"/>
        <v>21.76</v>
      </c>
      <c r="T114" s="35">
        <v>22.17</v>
      </c>
      <c r="U114" s="12">
        <f t="shared" si="92"/>
        <v>1.0710144927536231</v>
      </c>
    </row>
    <row r="115" spans="1:21">
      <c r="A115" s="2" t="s">
        <v>109</v>
      </c>
      <c r="B115" s="11">
        <f>37.65/2</f>
        <v>18.824999999999999</v>
      </c>
      <c r="C115" s="11">
        <v>78.2</v>
      </c>
      <c r="D115" s="11">
        <f t="shared" si="93"/>
        <v>18.824999999999999</v>
      </c>
      <c r="E115" s="11">
        <v>83.74</v>
      </c>
      <c r="F115" s="12">
        <f t="shared" si="87"/>
        <v>1.0708439897698208</v>
      </c>
      <c r="G115" s="11">
        <f>30.238/2</f>
        <v>15.119</v>
      </c>
      <c r="H115" s="11">
        <v>30.72</v>
      </c>
      <c r="I115" s="11">
        <f t="shared" si="88"/>
        <v>15.119</v>
      </c>
      <c r="J115" s="11">
        <v>32.9</v>
      </c>
      <c r="K115" s="12">
        <f t="shared" si="85"/>
        <v>1.0709635416666667</v>
      </c>
      <c r="L115" s="11">
        <f>28.742/2</f>
        <v>14.371</v>
      </c>
      <c r="M115" s="11">
        <v>36.36</v>
      </c>
      <c r="N115" s="11">
        <f t="shared" si="89"/>
        <v>14.371</v>
      </c>
      <c r="O115" s="11">
        <v>38.93</v>
      </c>
      <c r="P115" s="12">
        <f t="shared" si="90"/>
        <v>1.0706820682068205</v>
      </c>
      <c r="Q115" s="35">
        <f>24.884/2</f>
        <v>12.442</v>
      </c>
      <c r="R115" s="35">
        <v>28.64</v>
      </c>
      <c r="S115" s="35">
        <f t="shared" si="91"/>
        <v>12.442</v>
      </c>
      <c r="T115" s="35">
        <v>30.67</v>
      </c>
      <c r="U115" s="12">
        <f t="shared" si="92"/>
        <v>1.0708798882681565</v>
      </c>
    </row>
    <row r="116" spans="1:21">
      <c r="A116" s="2" t="s">
        <v>109</v>
      </c>
      <c r="B116" s="11">
        <f>3.344/2</f>
        <v>1.6719999999999999</v>
      </c>
      <c r="C116" s="11">
        <v>187.17</v>
      </c>
      <c r="D116" s="11">
        <f t="shared" si="93"/>
        <v>1.6719999999999999</v>
      </c>
      <c r="E116" s="11">
        <v>200.41</v>
      </c>
      <c r="F116" s="12">
        <f t="shared" si="87"/>
        <v>1.0707378319175083</v>
      </c>
      <c r="G116" s="11">
        <f>3.144/2</f>
        <v>1.5720000000000001</v>
      </c>
      <c r="H116" s="11">
        <v>30.72</v>
      </c>
      <c r="I116" s="11">
        <f t="shared" si="88"/>
        <v>1.5720000000000001</v>
      </c>
      <c r="J116" s="11">
        <v>32.9</v>
      </c>
      <c r="K116" s="12">
        <f t="shared" si="85"/>
        <v>1.0709635416666667</v>
      </c>
      <c r="L116" s="11">
        <f>3.284/2</f>
        <v>1.6419999999999999</v>
      </c>
      <c r="M116" s="11">
        <v>163.77000000000001</v>
      </c>
      <c r="N116" s="11">
        <f t="shared" si="89"/>
        <v>1.6419999999999999</v>
      </c>
      <c r="O116" s="11">
        <v>175.34</v>
      </c>
      <c r="P116" s="12">
        <f t="shared" si="90"/>
        <v>1.0706478598033826</v>
      </c>
      <c r="Q116" s="35">
        <f>3.144/2</f>
        <v>1.5720000000000001</v>
      </c>
      <c r="R116" s="35">
        <v>28.64</v>
      </c>
      <c r="S116" s="35">
        <f t="shared" si="91"/>
        <v>1.5720000000000001</v>
      </c>
      <c r="T116" s="35">
        <v>30.67</v>
      </c>
      <c r="U116" s="12">
        <f t="shared" si="92"/>
        <v>1.0708798882681565</v>
      </c>
    </row>
    <row r="117" spans="1:21">
      <c r="A117" s="2" t="s">
        <v>110</v>
      </c>
      <c r="B117" s="11">
        <f>19.1/2</f>
        <v>9.5500000000000007</v>
      </c>
      <c r="C117" s="11">
        <v>68.34</v>
      </c>
      <c r="D117" s="11">
        <f t="shared" si="93"/>
        <v>9.5500000000000007</v>
      </c>
      <c r="E117" s="11">
        <v>69.94</v>
      </c>
      <c r="F117" s="12">
        <f t="shared" si="87"/>
        <v>1.0234123500146326</v>
      </c>
      <c r="G117" s="11">
        <f>17.6/2</f>
        <v>8.8000000000000007</v>
      </c>
      <c r="H117" s="11">
        <v>30.04</v>
      </c>
      <c r="I117" s="11">
        <f t="shared" si="88"/>
        <v>8.8000000000000007</v>
      </c>
      <c r="J117" s="11">
        <v>32.18</v>
      </c>
      <c r="K117" s="12">
        <f t="shared" si="85"/>
        <v>1.0712383488681758</v>
      </c>
      <c r="L117" s="11">
        <f>14.369/2</f>
        <v>7.1844999999999999</v>
      </c>
      <c r="M117" s="11">
        <v>92.01</v>
      </c>
      <c r="N117" s="11">
        <f t="shared" si="89"/>
        <v>7.1844999999999999</v>
      </c>
      <c r="O117" s="11">
        <v>94.3</v>
      </c>
      <c r="P117" s="12">
        <f t="shared" si="90"/>
        <v>1.0248885990653189</v>
      </c>
      <c r="Q117" s="35">
        <f>13.645/2</f>
        <v>6.8224999999999998</v>
      </c>
      <c r="R117" s="35">
        <v>28.6</v>
      </c>
      <c r="S117" s="35">
        <f t="shared" si="91"/>
        <v>6.8224999999999998</v>
      </c>
      <c r="T117" s="35">
        <v>30.63</v>
      </c>
      <c r="U117" s="12">
        <f t="shared" si="92"/>
        <v>1.0709790209790209</v>
      </c>
    </row>
    <row r="118" spans="1:21">
      <c r="A118" s="2" t="s">
        <v>111</v>
      </c>
      <c r="B118" s="11">
        <f>108.212/2</f>
        <v>54.106000000000002</v>
      </c>
      <c r="C118" s="11">
        <v>75.290000000000006</v>
      </c>
      <c r="D118" s="11">
        <f t="shared" si="93"/>
        <v>54.106000000000002</v>
      </c>
      <c r="E118" s="11">
        <v>75.290000000000006</v>
      </c>
      <c r="F118" s="12">
        <f t="shared" si="87"/>
        <v>1</v>
      </c>
      <c r="G118" s="11">
        <f>88.68/2</f>
        <v>44.34</v>
      </c>
      <c r="H118" s="11">
        <v>25.46</v>
      </c>
      <c r="I118" s="11">
        <f t="shared" si="88"/>
        <v>44.34</v>
      </c>
      <c r="J118" s="11">
        <v>27.27</v>
      </c>
      <c r="K118" s="12">
        <f t="shared" si="85"/>
        <v>1.0710919088766693</v>
      </c>
      <c r="L118" s="11">
        <f>106.845/2</f>
        <v>53.422499999999999</v>
      </c>
      <c r="M118" s="11">
        <v>65.900000000000006</v>
      </c>
      <c r="N118" s="11">
        <f t="shared" si="89"/>
        <v>53.422499999999999</v>
      </c>
      <c r="O118" s="11">
        <v>65.900000000000006</v>
      </c>
      <c r="P118" s="12">
        <f t="shared" si="90"/>
        <v>1</v>
      </c>
      <c r="Q118" s="35">
        <f>88.671/2</f>
        <v>44.335500000000003</v>
      </c>
      <c r="R118" s="35">
        <v>24.24</v>
      </c>
      <c r="S118" s="35">
        <f t="shared" si="91"/>
        <v>44.335500000000003</v>
      </c>
      <c r="T118" s="35">
        <v>25.96</v>
      </c>
      <c r="U118" s="12">
        <f t="shared" si="92"/>
        <v>1.0709570957095711</v>
      </c>
    </row>
    <row r="119" spans="1:21">
      <c r="A119" s="2" t="s">
        <v>111</v>
      </c>
      <c r="B119" s="11">
        <f>9.587/2</f>
        <v>4.7934999999999999</v>
      </c>
      <c r="C119" s="11">
        <v>59.48</v>
      </c>
      <c r="D119" s="11">
        <f t="shared" si="93"/>
        <v>4.7934999999999999</v>
      </c>
      <c r="E119" s="11">
        <v>63.77</v>
      </c>
      <c r="F119" s="12">
        <f t="shared" si="87"/>
        <v>1.0721250840618697</v>
      </c>
      <c r="G119" s="11">
        <f>9.027/2</f>
        <v>4.5134999999999996</v>
      </c>
      <c r="H119" s="11">
        <v>24</v>
      </c>
      <c r="I119" s="11">
        <f t="shared" si="88"/>
        <v>4.5134999999999996</v>
      </c>
      <c r="J119" s="11">
        <v>26.04</v>
      </c>
      <c r="K119" s="12">
        <f t="shared" si="85"/>
        <v>1.0850000000000002</v>
      </c>
      <c r="L119" s="11">
        <f>14.824/2</f>
        <v>7.4119999999999999</v>
      </c>
      <c r="M119" s="11">
        <v>44.67</v>
      </c>
      <c r="N119" s="11">
        <f t="shared" si="89"/>
        <v>7.4119999999999999</v>
      </c>
      <c r="O119" s="11">
        <v>48.32</v>
      </c>
      <c r="P119" s="12">
        <f t="shared" si="90"/>
        <v>1.0817103201253637</v>
      </c>
      <c r="Q119" s="35">
        <f>14.264/2</f>
        <v>7.1319999999999997</v>
      </c>
      <c r="R119" s="35">
        <v>21.47</v>
      </c>
      <c r="S119" s="35">
        <f t="shared" si="91"/>
        <v>7.1319999999999997</v>
      </c>
      <c r="T119" s="35">
        <v>22.99</v>
      </c>
      <c r="U119" s="12">
        <f t="shared" si="92"/>
        <v>1.0707964601769913</v>
      </c>
    </row>
    <row r="120" spans="1:21">
      <c r="A120" s="2" t="s">
        <v>112</v>
      </c>
      <c r="B120" s="11">
        <f>86.547/2</f>
        <v>43.273499999999999</v>
      </c>
      <c r="C120" s="11">
        <v>27.18</v>
      </c>
      <c r="D120" s="11">
        <f t="shared" si="93"/>
        <v>43.273499999999999</v>
      </c>
      <c r="E120" s="11">
        <v>28.8</v>
      </c>
      <c r="F120" s="12">
        <f t="shared" si="87"/>
        <v>1.0596026490066226</v>
      </c>
      <c r="G120" s="11">
        <f>1.896/2</f>
        <v>0.94799999999999995</v>
      </c>
      <c r="H120" s="11">
        <v>20.34</v>
      </c>
      <c r="I120" s="11">
        <f t="shared" si="88"/>
        <v>0.94799999999999995</v>
      </c>
      <c r="J120" s="11">
        <v>21.78</v>
      </c>
      <c r="K120" s="12">
        <f t="shared" si="85"/>
        <v>1.0707964601769913</v>
      </c>
      <c r="L120" s="11">
        <f>84.508/2</f>
        <v>42.253999999999998</v>
      </c>
      <c r="M120" s="11">
        <v>21.94</v>
      </c>
      <c r="N120" s="11">
        <f t="shared" si="89"/>
        <v>42.253999999999998</v>
      </c>
      <c r="O120" s="11">
        <v>22.3</v>
      </c>
      <c r="P120" s="12">
        <f t="shared" si="90"/>
        <v>1.0164083865086599</v>
      </c>
      <c r="Q120" s="35">
        <f>1.408/2</f>
        <v>0.70399999999999996</v>
      </c>
      <c r="R120" s="35">
        <v>18.190000000000001</v>
      </c>
      <c r="S120" s="35">
        <f t="shared" si="91"/>
        <v>0.70399999999999996</v>
      </c>
      <c r="T120" s="35">
        <v>19.48</v>
      </c>
      <c r="U120" s="12">
        <f t="shared" si="92"/>
        <v>1.0709180868609127</v>
      </c>
    </row>
    <row r="121" spans="1:21">
      <c r="A121" s="2" t="s">
        <v>113</v>
      </c>
      <c r="B121" s="11">
        <f>275.76/2</f>
        <v>137.88</v>
      </c>
      <c r="C121" s="11">
        <v>25.48</v>
      </c>
      <c r="D121" s="11">
        <f t="shared" si="93"/>
        <v>137.88</v>
      </c>
      <c r="E121" s="11">
        <v>27.09</v>
      </c>
      <c r="F121" s="12">
        <f t="shared" si="87"/>
        <v>1.0631868131868132</v>
      </c>
      <c r="G121" s="11">
        <f>196.8/2</f>
        <v>98.4</v>
      </c>
      <c r="H121" s="11">
        <v>24</v>
      </c>
      <c r="I121" s="11">
        <f t="shared" si="88"/>
        <v>98.4</v>
      </c>
      <c r="J121" s="11">
        <v>26.04</v>
      </c>
      <c r="K121" s="12">
        <f t="shared" si="85"/>
        <v>1.085</v>
      </c>
      <c r="L121" s="11">
        <f>224.247/2</f>
        <v>112.12350000000001</v>
      </c>
      <c r="M121" s="11">
        <v>19.39</v>
      </c>
      <c r="N121" s="11">
        <f t="shared" si="89"/>
        <v>112.12350000000001</v>
      </c>
      <c r="O121" s="11">
        <v>20.12</v>
      </c>
      <c r="P121" s="12">
        <f t="shared" si="90"/>
        <v>1.037648272305312</v>
      </c>
      <c r="Q121" s="35">
        <f>217.103/2</f>
        <v>108.5515</v>
      </c>
      <c r="R121" s="35">
        <v>19.39</v>
      </c>
      <c r="S121" s="35">
        <f t="shared" si="91"/>
        <v>108.5515</v>
      </c>
      <c r="T121" s="35">
        <v>20.12</v>
      </c>
      <c r="U121" s="12">
        <f t="shared" si="92"/>
        <v>1.037648272305312</v>
      </c>
    </row>
    <row r="122" spans="1:21">
      <c r="A122" s="2" t="s">
        <v>114</v>
      </c>
      <c r="B122" s="11">
        <f>85.894/2</f>
        <v>42.947000000000003</v>
      </c>
      <c r="C122" s="11">
        <v>57.83</v>
      </c>
      <c r="D122" s="11">
        <f t="shared" si="93"/>
        <v>42.947000000000003</v>
      </c>
      <c r="E122" s="11">
        <v>61.93</v>
      </c>
      <c r="F122" s="12">
        <f t="shared" si="87"/>
        <v>1.0708974580667474</v>
      </c>
      <c r="G122" s="11">
        <f>78.809/2</f>
        <v>39.404499999999999</v>
      </c>
      <c r="H122" s="11">
        <v>35.4</v>
      </c>
      <c r="I122" s="11">
        <f t="shared" si="88"/>
        <v>39.404499999999999</v>
      </c>
      <c r="J122" s="11">
        <v>37.909999999999997</v>
      </c>
      <c r="K122" s="12">
        <f t="shared" si="85"/>
        <v>1.0709039548022599</v>
      </c>
      <c r="L122" s="11"/>
      <c r="M122" s="11"/>
      <c r="N122" s="11"/>
      <c r="O122" s="11"/>
      <c r="P122" s="12"/>
      <c r="Q122" s="35"/>
      <c r="R122" s="35"/>
      <c r="S122" s="35"/>
      <c r="T122" s="35"/>
      <c r="U122" s="12"/>
    </row>
    <row r="123" spans="1:21">
      <c r="A123" s="2" t="s">
        <v>114</v>
      </c>
      <c r="B123" s="11">
        <f>8.612/2</f>
        <v>4.306</v>
      </c>
      <c r="C123" s="11">
        <v>65.73</v>
      </c>
      <c r="D123" s="11">
        <f t="shared" si="93"/>
        <v>4.306</v>
      </c>
      <c r="E123" s="11">
        <v>70.41</v>
      </c>
      <c r="F123" s="12">
        <f t="shared" si="87"/>
        <v>1.0712003651300774</v>
      </c>
      <c r="G123" s="11">
        <f>8.572/2</f>
        <v>4.2859999999999996</v>
      </c>
      <c r="H123" s="11">
        <v>35.4</v>
      </c>
      <c r="I123" s="11">
        <f t="shared" si="88"/>
        <v>4.2859999999999996</v>
      </c>
      <c r="J123" s="11">
        <v>37.909999999999997</v>
      </c>
      <c r="K123" s="12">
        <f t="shared" si="85"/>
        <v>1.0709039548022599</v>
      </c>
      <c r="L123" s="11"/>
      <c r="M123" s="11"/>
      <c r="N123" s="11"/>
      <c r="O123" s="11"/>
      <c r="P123" s="12"/>
      <c r="Q123" s="35"/>
      <c r="R123" s="35"/>
      <c r="S123" s="35"/>
      <c r="T123" s="35"/>
      <c r="U123" s="12"/>
    </row>
    <row r="124" spans="1:21">
      <c r="A124" s="2" t="s">
        <v>118</v>
      </c>
      <c r="B124" s="11">
        <f>1.22/2</f>
        <v>0.61</v>
      </c>
      <c r="C124" s="11">
        <v>40.299999999999997</v>
      </c>
      <c r="D124" s="11">
        <f>B124</f>
        <v>0.61</v>
      </c>
      <c r="E124" s="11">
        <v>43.11</v>
      </c>
      <c r="F124" s="12">
        <f>(E124*D124)/(C124*B124)</f>
        <v>1.069727047146402</v>
      </c>
      <c r="G124" s="11"/>
      <c r="H124" s="11"/>
      <c r="I124" s="11"/>
      <c r="J124" s="11"/>
      <c r="K124" s="12"/>
      <c r="L124" s="11"/>
      <c r="M124" s="11"/>
      <c r="N124" s="11"/>
      <c r="O124" s="11"/>
      <c r="P124" s="12"/>
      <c r="Q124" s="35"/>
      <c r="R124" s="35"/>
      <c r="S124" s="35"/>
      <c r="T124" s="35"/>
      <c r="U124" s="33"/>
    </row>
    <row r="125" spans="1:21">
      <c r="A125" s="2" t="s">
        <v>119</v>
      </c>
      <c r="B125" s="11">
        <f>2.46/2</f>
        <v>1.23</v>
      </c>
      <c r="C125" s="11">
        <v>40.299999999999997</v>
      </c>
      <c r="D125" s="11">
        <f>B125</f>
        <v>1.23</v>
      </c>
      <c r="E125" s="11">
        <v>43.11</v>
      </c>
      <c r="F125" s="12">
        <f t="shared" ref="F125:F126" si="94">(E125*D125)/(C125*B125)</f>
        <v>1.0697270471464022</v>
      </c>
      <c r="G125" s="11">
        <f>1.11/2</f>
        <v>0.55500000000000005</v>
      </c>
      <c r="H125" s="11">
        <v>26.03</v>
      </c>
      <c r="I125" s="11">
        <f t="shared" ref="I125:I126" si="95">G125</f>
        <v>0.55500000000000005</v>
      </c>
      <c r="J125" s="11">
        <v>27.88</v>
      </c>
      <c r="K125" s="12">
        <f t="shared" ref="K125:K126" si="96">(J125*I125)/(H125*G125)</f>
        <v>1.0710718401844026</v>
      </c>
      <c r="L125" s="11"/>
      <c r="M125" s="11"/>
      <c r="N125" s="11"/>
      <c r="O125" s="11"/>
      <c r="P125" s="12"/>
      <c r="Q125" s="35"/>
      <c r="R125" s="35"/>
      <c r="S125" s="35"/>
      <c r="T125" s="35"/>
      <c r="U125" s="34"/>
    </row>
    <row r="126" spans="1:21">
      <c r="A126" s="2" t="s">
        <v>120</v>
      </c>
      <c r="B126" s="11">
        <f>50.39/2</f>
        <v>25.195</v>
      </c>
      <c r="C126" s="11">
        <v>69.78</v>
      </c>
      <c r="D126" s="11">
        <f t="shared" ref="D126" si="97">B126</f>
        <v>25.195</v>
      </c>
      <c r="E126" s="11">
        <v>74.45</v>
      </c>
      <c r="F126" s="12">
        <f t="shared" si="94"/>
        <v>1.0669246202350244</v>
      </c>
      <c r="G126" s="11">
        <f>7.71/2</f>
        <v>3.855</v>
      </c>
      <c r="H126" s="11">
        <v>26.03</v>
      </c>
      <c r="I126" s="11">
        <f t="shared" si="95"/>
        <v>3.855</v>
      </c>
      <c r="J126" s="11">
        <v>27.88</v>
      </c>
      <c r="K126" s="12">
        <f t="shared" si="96"/>
        <v>1.0710718401844024</v>
      </c>
      <c r="L126" s="11">
        <f>26.47/2</f>
        <v>13.234999999999999</v>
      </c>
      <c r="M126" s="11">
        <v>65.22</v>
      </c>
      <c r="N126" s="11">
        <f t="shared" ref="N126" si="98">L126</f>
        <v>13.234999999999999</v>
      </c>
      <c r="O126" s="11">
        <v>70.39</v>
      </c>
      <c r="P126" s="12">
        <f t="shared" ref="P126" si="99">(O126*N126)/(M126*L126)</f>
        <v>1.0792701625268322</v>
      </c>
      <c r="Q126" s="35">
        <f>7.71/2</f>
        <v>3.855</v>
      </c>
      <c r="R126" s="35">
        <v>25.48</v>
      </c>
      <c r="S126" s="35">
        <f t="shared" ref="S126" si="100">Q126</f>
        <v>3.855</v>
      </c>
      <c r="T126" s="35">
        <v>27.29</v>
      </c>
      <c r="U126" s="34">
        <f t="shared" ref="U126" si="101">T126/R126</f>
        <v>1.0710361067503924</v>
      </c>
    </row>
    <row r="127" spans="1:21">
      <c r="A127" s="2" t="s">
        <v>115</v>
      </c>
      <c r="B127" s="11">
        <f>21.081/2</f>
        <v>10.5405</v>
      </c>
      <c r="C127" s="11">
        <v>37.26</v>
      </c>
      <c r="D127" s="11">
        <f t="shared" si="93"/>
        <v>10.5405</v>
      </c>
      <c r="E127" s="11">
        <v>40.299999999999997</v>
      </c>
      <c r="F127" s="12">
        <f t="shared" si="87"/>
        <v>1.0815888352120235</v>
      </c>
      <c r="G127" s="11">
        <f>20.271/2</f>
        <v>10.1355</v>
      </c>
      <c r="H127" s="11">
        <v>23</v>
      </c>
      <c r="I127" s="11">
        <f t="shared" si="88"/>
        <v>10.1355</v>
      </c>
      <c r="J127" s="11">
        <v>24.96</v>
      </c>
      <c r="K127" s="12">
        <f t="shared" si="85"/>
        <v>1.0852173913043479</v>
      </c>
      <c r="L127" s="11">
        <f>22.13/2</f>
        <v>11.065</v>
      </c>
      <c r="M127" s="11">
        <v>61.79</v>
      </c>
      <c r="N127" s="11">
        <f>L127</f>
        <v>11.065</v>
      </c>
      <c r="O127" s="11">
        <v>66.930000000000007</v>
      </c>
      <c r="P127" s="12">
        <f t="shared" si="90"/>
        <v>1.0831849813885743</v>
      </c>
      <c r="Q127" s="35">
        <f>21.32/2</f>
        <v>10.66</v>
      </c>
      <c r="R127" s="35">
        <v>25.69</v>
      </c>
      <c r="S127" s="35">
        <f>Q127</f>
        <v>10.66</v>
      </c>
      <c r="T127" s="35">
        <v>28</v>
      </c>
      <c r="U127" s="12">
        <f t="shared" si="92"/>
        <v>1.0899182561307901</v>
      </c>
    </row>
    <row r="128" spans="1:21">
      <c r="A128" s="2" t="s">
        <v>116</v>
      </c>
      <c r="B128" s="11">
        <f>15.972/2</f>
        <v>7.9859999999999998</v>
      </c>
      <c r="C128" s="11">
        <v>54.14</v>
      </c>
      <c r="D128" s="11">
        <f t="shared" si="93"/>
        <v>7.9859999999999998</v>
      </c>
      <c r="E128" s="11">
        <v>58.29</v>
      </c>
      <c r="F128" s="12">
        <f t="shared" si="87"/>
        <v>1.0766531215367565</v>
      </c>
      <c r="G128" s="11">
        <f>13.797/2</f>
        <v>6.8985000000000003</v>
      </c>
      <c r="H128" s="11">
        <v>23</v>
      </c>
      <c r="I128" s="11">
        <f t="shared" si="88"/>
        <v>6.8985000000000003</v>
      </c>
      <c r="J128" s="11">
        <v>24.96</v>
      </c>
      <c r="K128" s="12">
        <f t="shared" si="85"/>
        <v>1.0852173913043479</v>
      </c>
      <c r="L128" s="11">
        <f>13.438/2</f>
        <v>6.7190000000000003</v>
      </c>
      <c r="M128" s="11">
        <v>63.82</v>
      </c>
      <c r="N128" s="11">
        <f t="shared" si="89"/>
        <v>6.7190000000000003</v>
      </c>
      <c r="O128" s="11">
        <v>68.84</v>
      </c>
      <c r="P128" s="12">
        <f t="shared" si="90"/>
        <v>1.0786587276715764</v>
      </c>
      <c r="Q128" s="35">
        <f>12.436/2</f>
        <v>6.218</v>
      </c>
      <c r="R128" s="35">
        <v>25.69</v>
      </c>
      <c r="S128" s="35">
        <f t="shared" si="91"/>
        <v>6.218</v>
      </c>
      <c r="T128" s="35">
        <v>28</v>
      </c>
      <c r="U128" s="12">
        <f t="shared" si="92"/>
        <v>1.0899182561307901</v>
      </c>
    </row>
    <row r="129" spans="1:21">
      <c r="A129" s="2" t="s">
        <v>116</v>
      </c>
      <c r="B129" s="11">
        <f>23.972/2</f>
        <v>11.986000000000001</v>
      </c>
      <c r="C129" s="11">
        <v>75.59</v>
      </c>
      <c r="D129" s="11">
        <f>B129</f>
        <v>11.986000000000001</v>
      </c>
      <c r="E129" s="11">
        <v>81.150000000000006</v>
      </c>
      <c r="F129" s="12">
        <f>(E129*D129)/(C129*B129)</f>
        <v>1.0735547030030428</v>
      </c>
      <c r="G129" s="11">
        <f>19.86/2</f>
        <v>9.93</v>
      </c>
      <c r="H129" s="11">
        <v>30.72</v>
      </c>
      <c r="I129" s="11">
        <f>G129</f>
        <v>9.93</v>
      </c>
      <c r="J129" s="11">
        <v>33.33</v>
      </c>
      <c r="K129" s="12">
        <f t="shared" si="85"/>
        <v>1.0849609374999998</v>
      </c>
      <c r="L129" s="11">
        <f>21.068/2</f>
        <v>10.534000000000001</v>
      </c>
      <c r="M129" s="11">
        <v>73.180000000000007</v>
      </c>
      <c r="N129" s="11">
        <f t="shared" si="89"/>
        <v>10.534000000000001</v>
      </c>
      <c r="O129" s="11">
        <v>78.63</v>
      </c>
      <c r="P129" s="12">
        <f t="shared" si="90"/>
        <v>1.07447389997267</v>
      </c>
      <c r="Q129" s="35">
        <f>18.354/2</f>
        <v>9.1769999999999996</v>
      </c>
      <c r="R129" s="35">
        <v>29.99</v>
      </c>
      <c r="S129" s="35">
        <f t="shared" si="91"/>
        <v>9.1769999999999996</v>
      </c>
      <c r="T129" s="35">
        <v>32.700000000000003</v>
      </c>
      <c r="U129" s="12">
        <f t="shared" si="92"/>
        <v>1.0903634544848284</v>
      </c>
    </row>
    <row r="130" spans="1:21">
      <c r="A130" s="2" t="s">
        <v>116</v>
      </c>
      <c r="B130" s="11">
        <f>21.407/2</f>
        <v>10.7035</v>
      </c>
      <c r="C130" s="11">
        <v>173.01</v>
      </c>
      <c r="D130" s="11">
        <f>B130</f>
        <v>10.7035</v>
      </c>
      <c r="E130" s="11">
        <v>191.67</v>
      </c>
      <c r="F130" s="12">
        <f>(E130*D130)/(C130*B130)</f>
        <v>1.107855037281082</v>
      </c>
      <c r="G130" s="21">
        <f>19.583/2</f>
        <v>9.7914999999999992</v>
      </c>
      <c r="H130" s="21">
        <v>23</v>
      </c>
      <c r="I130" s="11">
        <f>G130</f>
        <v>9.7914999999999992</v>
      </c>
      <c r="J130" s="41">
        <v>24.96</v>
      </c>
      <c r="K130" s="12">
        <f t="shared" si="85"/>
        <v>1.0852173913043479</v>
      </c>
      <c r="L130" s="11">
        <f>19.482/2</f>
        <v>9.7409999999999997</v>
      </c>
      <c r="M130" s="11">
        <v>144.81</v>
      </c>
      <c r="N130" s="11">
        <f>L130</f>
        <v>9.7409999999999997</v>
      </c>
      <c r="O130" s="11">
        <v>185.22</v>
      </c>
      <c r="P130" s="12">
        <f>(O130*N130)/(M130*L130)</f>
        <v>1.2790553138595402</v>
      </c>
      <c r="Q130" s="35">
        <f>18.937/2</f>
        <v>9.4685000000000006</v>
      </c>
      <c r="R130" s="35">
        <v>22.01</v>
      </c>
      <c r="S130" s="35">
        <f t="shared" si="91"/>
        <v>9.4685000000000006</v>
      </c>
      <c r="T130" s="35">
        <v>23</v>
      </c>
      <c r="U130" s="12">
        <f t="shared" si="92"/>
        <v>1.044979554747842</v>
      </c>
    </row>
    <row r="131" spans="1:21" ht="30">
      <c r="A131" s="23" t="s">
        <v>122</v>
      </c>
      <c r="B131" s="13"/>
      <c r="C131" s="13"/>
      <c r="D131" s="13"/>
      <c r="E131" s="13"/>
      <c r="F131" s="14"/>
      <c r="G131" s="28"/>
      <c r="H131" s="28"/>
      <c r="I131" s="28"/>
      <c r="J131" s="28"/>
      <c r="K131" s="14"/>
      <c r="L131" s="13">
        <f>7.28/2</f>
        <v>3.64</v>
      </c>
      <c r="M131" s="13">
        <v>69.150000000000006</v>
      </c>
      <c r="N131" s="13">
        <f>L131</f>
        <v>3.64</v>
      </c>
      <c r="O131" s="13">
        <v>73.11</v>
      </c>
      <c r="P131" s="14">
        <f>(O131*N131)/(M131*L131)</f>
        <v>1.0572668112798265</v>
      </c>
      <c r="Q131" s="13">
        <f>7.28/2</f>
        <v>3.64</v>
      </c>
      <c r="R131" s="13">
        <v>40</v>
      </c>
      <c r="S131" s="13">
        <f>Q131</f>
        <v>3.64</v>
      </c>
      <c r="T131" s="28">
        <v>42.84</v>
      </c>
      <c r="U131" s="14">
        <f>(T131*S131)/(R131*Q131)</f>
        <v>1.0710000000000002</v>
      </c>
    </row>
    <row r="132" spans="1:21" ht="30">
      <c r="A132" s="23" t="s">
        <v>123</v>
      </c>
      <c r="B132" s="13">
        <f>39.5/2</f>
        <v>19.75</v>
      </c>
      <c r="C132" s="13">
        <v>38.21</v>
      </c>
      <c r="D132" s="13">
        <f>B132</f>
        <v>19.75</v>
      </c>
      <c r="E132" s="13">
        <v>40.229999999999997</v>
      </c>
      <c r="F132" s="14">
        <f t="shared" ref="F132:F134" si="102">(E132*D132)/(C132*B132)</f>
        <v>1.0528657419523684</v>
      </c>
      <c r="G132" s="13">
        <v>12.67</v>
      </c>
      <c r="H132" s="13">
        <v>15</v>
      </c>
      <c r="I132" s="13">
        <f t="shared" ref="I132:I140" si="103">G132</f>
        <v>12.67</v>
      </c>
      <c r="J132" s="22">
        <v>16.07</v>
      </c>
      <c r="K132" s="14">
        <f t="shared" ref="K132:K134" si="104">(J132*I132)/(H132*G132)</f>
        <v>1.0713333333333332</v>
      </c>
      <c r="L132" s="13">
        <f>12.8/2</f>
        <v>6.4</v>
      </c>
      <c r="M132" s="13">
        <v>60.05</v>
      </c>
      <c r="N132" s="13">
        <f>L132</f>
        <v>6.4</v>
      </c>
      <c r="O132" s="13">
        <v>62.45</v>
      </c>
      <c r="P132" s="14">
        <f>(O132*N132)/(M132*L132)</f>
        <v>1.0399666944213157</v>
      </c>
      <c r="Q132" s="13">
        <f>12.8/2</f>
        <v>6.4</v>
      </c>
      <c r="R132" s="13">
        <v>60.05</v>
      </c>
      <c r="S132" s="13">
        <f>Q132</f>
        <v>6.4</v>
      </c>
      <c r="T132" s="28">
        <v>62.45</v>
      </c>
      <c r="U132" s="14">
        <f>(T132*S132)/(R132*Q132)</f>
        <v>1.0399666944213157</v>
      </c>
    </row>
    <row r="133" spans="1:21">
      <c r="A133" s="3" t="s">
        <v>124</v>
      </c>
      <c r="B133" s="13">
        <f>14/2</f>
        <v>7</v>
      </c>
      <c r="C133" s="13">
        <v>32.549999999999997</v>
      </c>
      <c r="D133" s="13">
        <f>B133</f>
        <v>7</v>
      </c>
      <c r="E133" s="13">
        <v>32.99</v>
      </c>
      <c r="F133" s="14">
        <f t="shared" si="102"/>
        <v>1.0135176651305686</v>
      </c>
      <c r="G133" s="13">
        <v>0.25</v>
      </c>
      <c r="H133" s="13">
        <v>20</v>
      </c>
      <c r="I133" s="13">
        <f t="shared" si="103"/>
        <v>0.25</v>
      </c>
      <c r="J133" s="22">
        <v>21.42</v>
      </c>
      <c r="K133" s="14">
        <f t="shared" si="104"/>
        <v>1.0710000000000002</v>
      </c>
      <c r="L133" s="13"/>
      <c r="M133" s="13"/>
      <c r="N133" s="13"/>
      <c r="O133" s="13"/>
      <c r="P133" s="14"/>
      <c r="Q133" s="28"/>
      <c r="R133" s="28"/>
      <c r="S133" s="28"/>
      <c r="T133" s="28"/>
      <c r="U133" s="14"/>
    </row>
    <row r="134" spans="1:21">
      <c r="A134" s="3" t="s">
        <v>125</v>
      </c>
      <c r="B134" s="37">
        <f>19.241/2</f>
        <v>9.6204999999999998</v>
      </c>
      <c r="C134" s="37">
        <v>39.42</v>
      </c>
      <c r="D134" s="37">
        <f>19.241/2</f>
        <v>9.6204999999999998</v>
      </c>
      <c r="E134" s="28">
        <v>43.09</v>
      </c>
      <c r="F134" s="14">
        <f t="shared" si="102"/>
        <v>1.0930999492643327</v>
      </c>
      <c r="G134" s="37">
        <v>5.9390000000000001</v>
      </c>
      <c r="H134" s="37">
        <v>20</v>
      </c>
      <c r="I134" s="13">
        <f t="shared" si="103"/>
        <v>5.9390000000000001</v>
      </c>
      <c r="J134" s="37">
        <v>21.42</v>
      </c>
      <c r="K134" s="14">
        <f t="shared" si="104"/>
        <v>1.0710000000000002</v>
      </c>
      <c r="L134" s="28"/>
      <c r="M134" s="28"/>
      <c r="N134" s="28"/>
      <c r="O134" s="28"/>
      <c r="P134" s="14"/>
      <c r="Q134" s="28"/>
      <c r="R134" s="28"/>
      <c r="S134" s="28"/>
      <c r="T134" s="28"/>
      <c r="U134" s="14"/>
    </row>
    <row r="135" spans="1:21" ht="30">
      <c r="A135" s="7" t="s">
        <v>127</v>
      </c>
      <c r="B135" s="13">
        <f>11.18/2</f>
        <v>5.59</v>
      </c>
      <c r="C135" s="13">
        <v>33.020000000000003</v>
      </c>
      <c r="D135" s="13">
        <f t="shared" ref="D135:D140" si="105">B135</f>
        <v>5.59</v>
      </c>
      <c r="E135" s="13">
        <v>34.04</v>
      </c>
      <c r="F135" s="14">
        <f t="shared" ref="F135:F140" si="106">(E135*D135)/(C135*B135)</f>
        <v>1.0308903694730465</v>
      </c>
      <c r="G135" s="13">
        <v>3.9</v>
      </c>
      <c r="H135" s="13">
        <v>33.020000000000003</v>
      </c>
      <c r="I135" s="13">
        <f t="shared" si="103"/>
        <v>3.9</v>
      </c>
      <c r="J135" s="22">
        <v>34.04</v>
      </c>
      <c r="K135" s="14">
        <f>(J135*I135)/(H135*G135)</f>
        <v>1.0308903694730465</v>
      </c>
      <c r="L135" s="13">
        <f>6.54/2</f>
        <v>3.27</v>
      </c>
      <c r="M135" s="13">
        <v>78.03</v>
      </c>
      <c r="N135" s="13">
        <f>L135</f>
        <v>3.27</v>
      </c>
      <c r="O135" s="13">
        <v>81.98</v>
      </c>
      <c r="P135" s="14">
        <f>(O135*N135)/(M135*L135)</f>
        <v>1.0506215558118672</v>
      </c>
      <c r="Q135" s="13">
        <v>3.1</v>
      </c>
      <c r="R135" s="13">
        <v>57.08</v>
      </c>
      <c r="S135" s="13">
        <f>Q135</f>
        <v>3.1</v>
      </c>
      <c r="T135" s="28">
        <v>61.93</v>
      </c>
      <c r="U135" s="14">
        <f>(T135*S135)/(R135*Q135)</f>
        <v>1.084968465311843</v>
      </c>
    </row>
    <row r="136" spans="1:21">
      <c r="A136" s="7" t="s">
        <v>128</v>
      </c>
      <c r="B136" s="13">
        <f>35.646/2</f>
        <v>17.823</v>
      </c>
      <c r="C136" s="13">
        <v>30.78</v>
      </c>
      <c r="D136" s="13">
        <f t="shared" si="105"/>
        <v>17.823</v>
      </c>
      <c r="E136" s="13">
        <v>32.83</v>
      </c>
      <c r="F136" s="14">
        <f t="shared" si="106"/>
        <v>1.0666016894087069</v>
      </c>
      <c r="G136" s="13">
        <v>7.22</v>
      </c>
      <c r="H136" s="13">
        <v>30.78</v>
      </c>
      <c r="I136" s="13">
        <f t="shared" si="103"/>
        <v>7.22</v>
      </c>
      <c r="J136" s="22">
        <v>32.83</v>
      </c>
      <c r="K136" s="14">
        <f>(J136*I136)/(H136*G136)</f>
        <v>1.0666016894087067</v>
      </c>
      <c r="L136" s="13">
        <f>10.78/2</f>
        <v>5.39</v>
      </c>
      <c r="M136" s="13">
        <v>52.31</v>
      </c>
      <c r="N136" s="13">
        <f>L136</f>
        <v>5.39</v>
      </c>
      <c r="O136" s="13">
        <v>55.77</v>
      </c>
      <c r="P136" s="14">
        <f>(O136*N136)/(M136*L136)</f>
        <v>1.066144140699675</v>
      </c>
      <c r="Q136" s="13">
        <v>4.2300000000000004</v>
      </c>
      <c r="R136" s="13">
        <v>52.31</v>
      </c>
      <c r="S136" s="13">
        <f>Q136</f>
        <v>4.2300000000000004</v>
      </c>
      <c r="T136" s="28">
        <v>55.77</v>
      </c>
      <c r="U136" s="14">
        <f>(T136*S136)/(R136*Q136)</f>
        <v>1.066144140699675</v>
      </c>
    </row>
    <row r="137" spans="1:21" ht="30">
      <c r="A137" s="7" t="s">
        <v>129</v>
      </c>
      <c r="B137" s="13">
        <f>(59.46)/2</f>
        <v>29.73</v>
      </c>
      <c r="C137" s="13">
        <v>42.48</v>
      </c>
      <c r="D137" s="13">
        <f t="shared" si="105"/>
        <v>29.73</v>
      </c>
      <c r="E137" s="13">
        <v>44.87</v>
      </c>
      <c r="F137" s="14">
        <f t="shared" si="106"/>
        <v>1.0562617702448209</v>
      </c>
      <c r="G137" s="13">
        <v>22.53</v>
      </c>
      <c r="H137" s="13">
        <v>42.48</v>
      </c>
      <c r="I137" s="13">
        <f t="shared" si="103"/>
        <v>22.53</v>
      </c>
      <c r="J137" s="22">
        <v>44.87</v>
      </c>
      <c r="K137" s="14">
        <f>(J137*I137)/(H137*G137)</f>
        <v>1.0562617702448212</v>
      </c>
      <c r="L137" s="13">
        <f>122.041/2</f>
        <v>61.020499999999998</v>
      </c>
      <c r="M137" s="13">
        <v>27.85</v>
      </c>
      <c r="N137" s="13">
        <f>L137</f>
        <v>61.020499999999998</v>
      </c>
      <c r="O137" s="13">
        <v>29.86</v>
      </c>
      <c r="P137" s="14">
        <f>(O137*N137)/(M137*L137)</f>
        <v>1.0721723518850987</v>
      </c>
      <c r="Q137" s="28">
        <v>54.57</v>
      </c>
      <c r="R137" s="28">
        <v>27.85</v>
      </c>
      <c r="S137" s="28">
        <f>Q137</f>
        <v>54.57</v>
      </c>
      <c r="T137" s="28">
        <v>29.86</v>
      </c>
      <c r="U137" s="14">
        <f>(T137*S137)/(R137*Q137)</f>
        <v>1.0721723518850987</v>
      </c>
    </row>
    <row r="138" spans="1:21" ht="30">
      <c r="A138" s="7" t="s">
        <v>130</v>
      </c>
      <c r="B138" s="13">
        <f>91.933/2</f>
        <v>45.966500000000003</v>
      </c>
      <c r="C138" s="13">
        <v>44.41</v>
      </c>
      <c r="D138" s="13">
        <f t="shared" si="105"/>
        <v>45.966500000000003</v>
      </c>
      <c r="E138" s="13">
        <v>46.07</v>
      </c>
      <c r="F138" s="14">
        <f t="shared" si="106"/>
        <v>1.0373789687007431</v>
      </c>
      <c r="G138" s="13">
        <v>37.76</v>
      </c>
      <c r="H138" s="13">
        <v>44.41</v>
      </c>
      <c r="I138" s="13">
        <f t="shared" si="103"/>
        <v>37.76</v>
      </c>
      <c r="J138" s="22">
        <v>46.07</v>
      </c>
      <c r="K138" s="14">
        <f>(J138*I138)/(H138*G138)</f>
        <v>1.0373789687007433</v>
      </c>
      <c r="L138" s="13"/>
      <c r="M138" s="13"/>
      <c r="N138" s="13"/>
      <c r="O138" s="13"/>
      <c r="P138" s="14"/>
      <c r="Q138" s="28"/>
      <c r="R138" s="28"/>
      <c r="S138" s="28"/>
      <c r="T138" s="28"/>
      <c r="U138" s="14"/>
    </row>
    <row r="139" spans="1:21">
      <c r="A139" s="8" t="s">
        <v>131</v>
      </c>
      <c r="B139" s="13">
        <f>10/2</f>
        <v>5</v>
      </c>
      <c r="C139" s="13">
        <v>27.22</v>
      </c>
      <c r="D139" s="13">
        <f t="shared" si="105"/>
        <v>5</v>
      </c>
      <c r="E139" s="13">
        <v>29</v>
      </c>
      <c r="F139" s="14">
        <f t="shared" si="106"/>
        <v>1.0653930933137399</v>
      </c>
      <c r="G139" s="22">
        <v>3.5</v>
      </c>
      <c r="H139" s="22">
        <v>27.22</v>
      </c>
      <c r="I139" s="22">
        <f t="shared" si="103"/>
        <v>3.5</v>
      </c>
      <c r="J139" s="22">
        <v>29</v>
      </c>
      <c r="K139" s="14">
        <f>(J139*I139)/(H139*G139)</f>
        <v>1.0653930933137399</v>
      </c>
      <c r="L139" s="13">
        <f>8.5/2</f>
        <v>4.25</v>
      </c>
      <c r="M139" s="13">
        <v>48.98</v>
      </c>
      <c r="N139" s="13">
        <f>L139</f>
        <v>4.25</v>
      </c>
      <c r="O139" s="13">
        <v>48.98</v>
      </c>
      <c r="P139" s="14">
        <f>(O139*N139)/(M139*L139)</f>
        <v>1</v>
      </c>
      <c r="Q139" s="28">
        <v>2.75</v>
      </c>
      <c r="R139" s="28">
        <v>48.98</v>
      </c>
      <c r="S139" s="28">
        <f>Q139</f>
        <v>2.75</v>
      </c>
      <c r="T139" s="28">
        <v>48.98</v>
      </c>
      <c r="U139" s="14">
        <f>(T139*S139)/(R139*Q139)</f>
        <v>1</v>
      </c>
    </row>
    <row r="140" spans="1:21" ht="45">
      <c r="A140" s="7" t="s">
        <v>133</v>
      </c>
      <c r="B140" s="13">
        <f>217.298/2</f>
        <v>108.649</v>
      </c>
      <c r="C140" s="13">
        <v>43.02</v>
      </c>
      <c r="D140" s="13">
        <f t="shared" si="105"/>
        <v>108.649</v>
      </c>
      <c r="E140" s="13">
        <v>43.46</v>
      </c>
      <c r="F140" s="14">
        <f t="shared" si="106"/>
        <v>1.0102278010227801</v>
      </c>
      <c r="G140" s="13">
        <v>30.9</v>
      </c>
      <c r="H140" s="13">
        <v>43.02</v>
      </c>
      <c r="I140" s="13">
        <f t="shared" si="103"/>
        <v>30.9</v>
      </c>
      <c r="J140" s="22">
        <v>43.46</v>
      </c>
      <c r="K140" s="14">
        <f t="shared" ref="K140:K149" si="107">(J140*I140)/(H140*G140)</f>
        <v>1.0102278010227801</v>
      </c>
      <c r="L140" s="13">
        <f>122.645/2</f>
        <v>61.322499999999998</v>
      </c>
      <c r="M140" s="13">
        <v>68.87</v>
      </c>
      <c r="N140" s="13">
        <f>L140</f>
        <v>61.322499999999998</v>
      </c>
      <c r="O140" s="13">
        <v>71.14</v>
      </c>
      <c r="P140" s="14">
        <f>(O140*N140)/(M140*L140)</f>
        <v>1.0329606505009439</v>
      </c>
      <c r="Q140" s="13">
        <v>29.31</v>
      </c>
      <c r="R140" s="13">
        <v>68.87</v>
      </c>
      <c r="S140" s="13">
        <f>Q140</f>
        <v>29.31</v>
      </c>
      <c r="T140" s="28">
        <v>71.14</v>
      </c>
      <c r="U140" s="14">
        <f>(T140*S140)/(R140*Q140)</f>
        <v>1.0329606505009437</v>
      </c>
    </row>
    <row r="141" spans="1:21" ht="45">
      <c r="A141" s="7" t="s">
        <v>134</v>
      </c>
      <c r="B141" s="13">
        <v>0</v>
      </c>
      <c r="C141" s="13">
        <v>0</v>
      </c>
      <c r="D141" s="13">
        <v>0</v>
      </c>
      <c r="E141" s="13">
        <v>0</v>
      </c>
      <c r="F141" s="44">
        <v>0</v>
      </c>
      <c r="G141" s="22">
        <v>0</v>
      </c>
      <c r="H141" s="22">
        <v>0</v>
      </c>
      <c r="I141" s="22">
        <v>0</v>
      </c>
      <c r="J141" s="22">
        <v>0</v>
      </c>
      <c r="K141" s="44">
        <v>0</v>
      </c>
      <c r="L141" s="13">
        <f>10.165/2</f>
        <v>5.0824999999999996</v>
      </c>
      <c r="M141" s="13">
        <v>51.78</v>
      </c>
      <c r="N141" s="13">
        <f>L141</f>
        <v>5.0824999999999996</v>
      </c>
      <c r="O141" s="13">
        <v>51.78</v>
      </c>
      <c r="P141" s="14">
        <f>(O141*N141)/(M141*L141)</f>
        <v>1</v>
      </c>
      <c r="Q141" s="37">
        <v>0</v>
      </c>
      <c r="R141" s="37">
        <v>0</v>
      </c>
      <c r="S141" s="37">
        <v>0</v>
      </c>
      <c r="T141" s="37">
        <v>0</v>
      </c>
      <c r="U141" s="44">
        <v>0</v>
      </c>
    </row>
    <row r="142" spans="1:21" ht="45">
      <c r="A142" s="7" t="s">
        <v>135</v>
      </c>
      <c r="B142" s="13">
        <f>25.234/2</f>
        <v>12.617000000000001</v>
      </c>
      <c r="C142" s="13">
        <v>116.64</v>
      </c>
      <c r="D142" s="13">
        <f>B142</f>
        <v>12.617000000000001</v>
      </c>
      <c r="E142" s="13">
        <v>117.23</v>
      </c>
      <c r="F142" s="14">
        <f>(E142*D142)/(C142*B142)</f>
        <v>1.0050582990397805</v>
      </c>
      <c r="G142" s="13">
        <v>9.8800000000000008</v>
      </c>
      <c r="H142" s="13">
        <v>70.739999999999995</v>
      </c>
      <c r="I142" s="13">
        <f>G142</f>
        <v>9.8800000000000008</v>
      </c>
      <c r="J142" s="22">
        <v>75.760000000000005</v>
      </c>
      <c r="K142" s="14">
        <f t="shared" si="107"/>
        <v>1.0709640938648572</v>
      </c>
      <c r="L142" s="13">
        <f>20.976/2</f>
        <v>10.488</v>
      </c>
      <c r="M142" s="13">
        <v>101</v>
      </c>
      <c r="N142" s="13">
        <f>L142</f>
        <v>10.488</v>
      </c>
      <c r="O142" s="13">
        <v>103.89</v>
      </c>
      <c r="P142" s="14">
        <f>(O142*N142)/(M142*L142)</f>
        <v>1.0286138613861386</v>
      </c>
      <c r="Q142" s="28">
        <v>9.6105</v>
      </c>
      <c r="R142" s="28">
        <v>84.08</v>
      </c>
      <c r="S142" s="28">
        <f>Q142</f>
        <v>9.6105</v>
      </c>
      <c r="T142" s="28">
        <v>90.05</v>
      </c>
      <c r="U142" s="14">
        <f t="shared" ref="U142" si="108">(T142*S142)/(R142*Q142)</f>
        <v>1.0710038058991436</v>
      </c>
    </row>
    <row r="143" spans="1:21">
      <c r="A143" s="2" t="s">
        <v>141</v>
      </c>
      <c r="B143" s="13">
        <f>3.13/2</f>
        <v>1.5649999999999999</v>
      </c>
      <c r="C143" s="13">
        <v>291.20999999999998</v>
      </c>
      <c r="D143" s="13">
        <f>B143</f>
        <v>1.5649999999999999</v>
      </c>
      <c r="E143" s="13">
        <v>301.67</v>
      </c>
      <c r="F143" s="14">
        <f>(E143*D143)/(C143*B143)</f>
        <v>1.0359190961848839</v>
      </c>
      <c r="G143" s="13"/>
      <c r="H143" s="13"/>
      <c r="I143" s="13"/>
      <c r="J143" s="13"/>
      <c r="K143" s="14"/>
      <c r="L143" s="13"/>
      <c r="M143" s="13"/>
      <c r="N143" s="13"/>
      <c r="O143" s="13"/>
      <c r="P143" s="14"/>
      <c r="Q143" s="28"/>
      <c r="R143" s="28"/>
      <c r="S143" s="28"/>
      <c r="T143" s="28"/>
      <c r="U143" s="32"/>
    </row>
    <row r="144" spans="1:21">
      <c r="A144" s="2" t="s">
        <v>142</v>
      </c>
      <c r="B144" s="13">
        <f>136.93/2</f>
        <v>68.465000000000003</v>
      </c>
      <c r="C144" s="13">
        <v>33.83</v>
      </c>
      <c r="D144" s="13">
        <f>B144</f>
        <v>68.465000000000003</v>
      </c>
      <c r="E144" s="13">
        <v>36.35</v>
      </c>
      <c r="F144" s="14">
        <f t="shared" ref="F144:F149" si="109">(E144*D144)/(C144*B144)</f>
        <v>1.0744900975465563</v>
      </c>
      <c r="G144" s="13">
        <f>66.76/2</f>
        <v>33.380000000000003</v>
      </c>
      <c r="H144" s="13">
        <v>19.420000000000002</v>
      </c>
      <c r="I144" s="13">
        <f>G144</f>
        <v>33.380000000000003</v>
      </c>
      <c r="J144" s="13">
        <v>20.8</v>
      </c>
      <c r="K144" s="14">
        <f t="shared" ref="K144" si="110">(J144*I144)/(H144*G144)</f>
        <v>1.0710607621009269</v>
      </c>
      <c r="L144" s="13">
        <f>109.73/2</f>
        <v>54.865000000000002</v>
      </c>
      <c r="M144" s="13">
        <v>30.5</v>
      </c>
      <c r="N144" s="13">
        <f>L144</f>
        <v>54.865000000000002</v>
      </c>
      <c r="O144" s="13">
        <v>32.479999999999997</v>
      </c>
      <c r="P144" s="14">
        <f t="shared" ref="P144" si="111">(O144*N144)/(M144*L144)</f>
        <v>1.064918032786885</v>
      </c>
      <c r="Q144" s="28">
        <f>66.9/2</f>
        <v>33.450000000000003</v>
      </c>
      <c r="R144" s="28">
        <v>21.27</v>
      </c>
      <c r="S144" s="28">
        <f>Q144</f>
        <v>33.450000000000003</v>
      </c>
      <c r="T144" s="28">
        <v>22.78</v>
      </c>
      <c r="U144" s="14">
        <f t="shared" ref="U144" si="112">T144/R144</f>
        <v>1.070992007522332</v>
      </c>
    </row>
    <row r="145" spans="1:21">
      <c r="A145" s="8" t="s">
        <v>136</v>
      </c>
      <c r="B145" s="13">
        <f>7.807/2</f>
        <v>3.9035000000000002</v>
      </c>
      <c r="C145" s="13">
        <v>118.97</v>
      </c>
      <c r="D145" s="13">
        <f t="shared" ref="D145:D149" si="113">B145</f>
        <v>3.9035000000000002</v>
      </c>
      <c r="E145" s="13">
        <v>118.97</v>
      </c>
      <c r="F145" s="14">
        <f t="shared" si="109"/>
        <v>1</v>
      </c>
      <c r="G145" s="22">
        <v>2.06</v>
      </c>
      <c r="H145" s="13">
        <v>74.45</v>
      </c>
      <c r="I145" s="22">
        <f>G145</f>
        <v>2.06</v>
      </c>
      <c r="J145" s="13">
        <v>80.78</v>
      </c>
      <c r="K145" s="14">
        <f t="shared" si="107"/>
        <v>1.0850235057085291</v>
      </c>
      <c r="L145" s="13">
        <v>0</v>
      </c>
      <c r="M145" s="13">
        <v>0</v>
      </c>
      <c r="N145" s="13">
        <v>0</v>
      </c>
      <c r="O145" s="13">
        <v>0</v>
      </c>
      <c r="P145" s="14"/>
      <c r="Q145" s="13">
        <f>L145</f>
        <v>0</v>
      </c>
      <c r="R145" s="28">
        <v>0</v>
      </c>
      <c r="S145" s="13">
        <f>Q145</f>
        <v>0</v>
      </c>
      <c r="T145" s="28">
        <v>0</v>
      </c>
      <c r="U145" s="14"/>
    </row>
    <row r="146" spans="1:21">
      <c r="A146" s="8" t="s">
        <v>137</v>
      </c>
      <c r="B146" s="13">
        <f>79.676/2</f>
        <v>39.838000000000001</v>
      </c>
      <c r="C146" s="13">
        <v>84.6</v>
      </c>
      <c r="D146" s="13">
        <f t="shared" si="113"/>
        <v>39.838000000000001</v>
      </c>
      <c r="E146" s="13">
        <v>87.97</v>
      </c>
      <c r="F146" s="14">
        <f t="shared" si="109"/>
        <v>1.0398345153664303</v>
      </c>
      <c r="G146" s="13">
        <v>21.58</v>
      </c>
      <c r="H146" s="13">
        <v>84.6</v>
      </c>
      <c r="I146" s="13">
        <f t="shared" ref="I146" si="114">G146</f>
        <v>21.58</v>
      </c>
      <c r="J146" s="22">
        <v>87.97</v>
      </c>
      <c r="K146" s="14">
        <f t="shared" si="107"/>
        <v>1.0398345153664303</v>
      </c>
      <c r="L146" s="13">
        <f>52.429/2</f>
        <v>26.214500000000001</v>
      </c>
      <c r="M146" s="13">
        <v>88.27</v>
      </c>
      <c r="N146" s="13">
        <f>L146</f>
        <v>26.214500000000001</v>
      </c>
      <c r="O146" s="13">
        <v>89.16</v>
      </c>
      <c r="P146" s="14">
        <f t="shared" ref="P146" si="115">(O146*N146)/(M146*L146)</f>
        <v>1.0100827008043503</v>
      </c>
      <c r="Q146" s="13">
        <v>0.2</v>
      </c>
      <c r="R146" s="13">
        <v>88.27</v>
      </c>
      <c r="S146" s="13">
        <f>Q146</f>
        <v>0.2</v>
      </c>
      <c r="T146" s="28">
        <v>89.16</v>
      </c>
      <c r="U146" s="14">
        <f t="shared" ref="U146" si="116">(T146*S146)/(R146*Q146)</f>
        <v>1.0100827008043503</v>
      </c>
    </row>
    <row r="147" spans="1:21">
      <c r="A147" s="8" t="s">
        <v>138</v>
      </c>
      <c r="B147" s="13">
        <f>6.025/2</f>
        <v>3.0125000000000002</v>
      </c>
      <c r="C147" s="13">
        <v>145</v>
      </c>
      <c r="D147" s="13">
        <f t="shared" si="113"/>
        <v>3.0125000000000002</v>
      </c>
      <c r="E147" s="13">
        <v>148.31</v>
      </c>
      <c r="F147" s="14">
        <f t="shared" si="109"/>
        <v>1.0228275862068965</v>
      </c>
      <c r="G147" s="22">
        <v>2.34</v>
      </c>
      <c r="H147" s="22">
        <v>93.96</v>
      </c>
      <c r="I147" s="22">
        <f>G147</f>
        <v>2.34</v>
      </c>
      <c r="J147" s="22">
        <v>93.96</v>
      </c>
      <c r="K147" s="14">
        <f t="shared" si="107"/>
        <v>1</v>
      </c>
      <c r="L147" s="13"/>
      <c r="M147" s="13"/>
      <c r="N147" s="13"/>
      <c r="O147" s="13"/>
      <c r="P147" s="14"/>
      <c r="Q147" s="28"/>
      <c r="R147" s="28"/>
      <c r="S147" s="28"/>
      <c r="T147" s="28"/>
      <c r="U147" s="14"/>
    </row>
    <row r="148" spans="1:21" ht="30">
      <c r="A148" s="7" t="s">
        <v>139</v>
      </c>
      <c r="B148" s="13">
        <f>165.666/2</f>
        <v>82.832999999999998</v>
      </c>
      <c r="C148" s="13">
        <v>39.01</v>
      </c>
      <c r="D148" s="13">
        <f t="shared" si="113"/>
        <v>82.832999999999998</v>
      </c>
      <c r="E148" s="13">
        <v>44.13</v>
      </c>
      <c r="F148" s="14">
        <f t="shared" si="109"/>
        <v>1.1312483978467061</v>
      </c>
      <c r="G148" s="13">
        <v>61.75</v>
      </c>
      <c r="H148" s="13">
        <v>33.5</v>
      </c>
      <c r="I148" s="13">
        <f t="shared" ref="I148:I149" si="117">G148</f>
        <v>61.75</v>
      </c>
      <c r="J148" s="22">
        <v>35</v>
      </c>
      <c r="K148" s="14">
        <f t="shared" si="107"/>
        <v>1.044776119402985</v>
      </c>
      <c r="L148" s="13">
        <f>144.314/2</f>
        <v>72.156999999999996</v>
      </c>
      <c r="M148" s="13">
        <v>41.35</v>
      </c>
      <c r="N148" s="13">
        <f>L148</f>
        <v>72.156999999999996</v>
      </c>
      <c r="O148" s="13">
        <v>46.74</v>
      </c>
      <c r="P148" s="14">
        <f>(O148*N148)/(M148*L148)</f>
        <v>1.1303506650544135</v>
      </c>
      <c r="Q148" s="13">
        <v>51.87</v>
      </c>
      <c r="R148" s="13">
        <v>48.79</v>
      </c>
      <c r="S148" s="13">
        <f>Q148</f>
        <v>51.87</v>
      </c>
      <c r="T148" s="28">
        <v>55.16</v>
      </c>
      <c r="U148" s="14">
        <f>(T148*S148)/(R148*Q148)</f>
        <v>1.1305595408895266</v>
      </c>
    </row>
    <row r="149" spans="1:21" ht="30">
      <c r="A149" s="7" t="s">
        <v>140</v>
      </c>
      <c r="B149" s="13">
        <f>43.76/2</f>
        <v>21.88</v>
      </c>
      <c r="C149" s="13">
        <v>153.36000000000001</v>
      </c>
      <c r="D149" s="13">
        <f t="shared" si="113"/>
        <v>21.88</v>
      </c>
      <c r="E149" s="13">
        <v>172.82</v>
      </c>
      <c r="F149" s="14">
        <f t="shared" si="109"/>
        <v>1.1268909754825247</v>
      </c>
      <c r="G149" s="13">
        <v>13.77</v>
      </c>
      <c r="H149" s="13">
        <v>34.85</v>
      </c>
      <c r="I149" s="13">
        <f t="shared" si="117"/>
        <v>13.77</v>
      </c>
      <c r="J149" s="22">
        <v>37.31</v>
      </c>
      <c r="K149" s="14">
        <f t="shared" si="107"/>
        <v>1.0705882352941176</v>
      </c>
      <c r="L149" s="13">
        <f>19.16/2</f>
        <v>9.58</v>
      </c>
      <c r="M149" s="13">
        <v>171.86</v>
      </c>
      <c r="N149" s="13">
        <f>L149</f>
        <v>9.58</v>
      </c>
      <c r="O149" s="13">
        <v>200.67</v>
      </c>
      <c r="P149" s="14">
        <f>(O149*N149)/(M149*L149)</f>
        <v>1.1676364482718491</v>
      </c>
      <c r="Q149" s="13">
        <v>8.48</v>
      </c>
      <c r="R149" s="13">
        <v>41.97</v>
      </c>
      <c r="S149" s="13">
        <f>Q149</f>
        <v>8.48</v>
      </c>
      <c r="T149" s="28">
        <v>44.95</v>
      </c>
      <c r="U149" s="14">
        <f>(T149*S149)/(R149*Q149)</f>
        <v>1.07100309745056</v>
      </c>
    </row>
    <row r="150" spans="1:21">
      <c r="A150" s="8" t="s">
        <v>194</v>
      </c>
      <c r="B150" s="13">
        <f>430.581/2</f>
        <v>215.29050000000001</v>
      </c>
      <c r="C150" s="13">
        <v>55.17</v>
      </c>
      <c r="D150" s="13">
        <f>B150</f>
        <v>215.29050000000001</v>
      </c>
      <c r="E150" s="13">
        <v>95.72</v>
      </c>
      <c r="F150" s="14">
        <f>(E150*D150)/(C150*B150)</f>
        <v>1.7350009062896503</v>
      </c>
      <c r="G150" s="13">
        <v>164.86</v>
      </c>
      <c r="H150" s="13">
        <v>27.42</v>
      </c>
      <c r="I150" s="13">
        <f>G150</f>
        <v>164.86</v>
      </c>
      <c r="J150" s="13">
        <v>35.03</v>
      </c>
      <c r="K150" s="14">
        <f>(J150*I150)/(H150*G150)</f>
        <v>1.2775346462436177</v>
      </c>
      <c r="L150" s="13">
        <f>765.458/2</f>
        <v>382.72899999999998</v>
      </c>
      <c r="M150" s="13">
        <v>33.86</v>
      </c>
      <c r="N150" s="13">
        <f>L150</f>
        <v>382.72899999999998</v>
      </c>
      <c r="O150" s="13">
        <v>39.33</v>
      </c>
      <c r="P150" s="14">
        <f>(O150*N150)/(M150*L150)</f>
        <v>1.1615475487300648</v>
      </c>
      <c r="Q150" s="37">
        <v>225.18700000000001</v>
      </c>
      <c r="R150" s="28">
        <v>25.08</v>
      </c>
      <c r="S150" s="28">
        <f>Q150</f>
        <v>225.18700000000001</v>
      </c>
      <c r="T150" s="28">
        <v>31.69</v>
      </c>
      <c r="U150" s="17">
        <f>(T150*S150)/(R150*Q150)</f>
        <v>1.2635566188197769</v>
      </c>
    </row>
    <row r="151" spans="1:21">
      <c r="A151" s="8" t="s">
        <v>145</v>
      </c>
      <c r="B151" s="13">
        <f>11.3/2</f>
        <v>5.65</v>
      </c>
      <c r="C151" s="13">
        <v>62.62</v>
      </c>
      <c r="D151" s="13">
        <f>B151</f>
        <v>5.65</v>
      </c>
      <c r="E151" s="13">
        <v>62.62</v>
      </c>
      <c r="F151" s="14">
        <f>(E151*D151)/(C151*B151)</f>
        <v>1</v>
      </c>
      <c r="G151" s="13">
        <v>4.71</v>
      </c>
      <c r="H151" s="13">
        <v>32.36</v>
      </c>
      <c r="I151" s="13">
        <f>G151</f>
        <v>4.71</v>
      </c>
      <c r="J151" s="13">
        <v>34.659999999999997</v>
      </c>
      <c r="K151" s="14">
        <f t="shared" ref="K151:K155" si="118">(J151*I151)/(H151*G151)</f>
        <v>1.0710754017305315</v>
      </c>
      <c r="L151" s="13">
        <f>5.8/2</f>
        <v>2.9</v>
      </c>
      <c r="M151" s="13">
        <v>54.9</v>
      </c>
      <c r="N151" s="13">
        <f t="shared" ref="N151:N152" si="119">L151</f>
        <v>2.9</v>
      </c>
      <c r="O151" s="13">
        <v>54.9</v>
      </c>
      <c r="P151" s="14">
        <f t="shared" ref="P151:P152" si="120">(O151*N151)/(M151*L151)</f>
        <v>1</v>
      </c>
      <c r="Q151" s="28">
        <v>2.42</v>
      </c>
      <c r="R151" s="28">
        <v>29.59</v>
      </c>
      <c r="S151" s="28">
        <f>Q151</f>
        <v>2.42</v>
      </c>
      <c r="T151" s="28">
        <v>31.69</v>
      </c>
      <c r="U151" s="17">
        <f>(T151*S151)/(R151*Q151)</f>
        <v>1.0709699222710376</v>
      </c>
    </row>
    <row r="152" spans="1:21">
      <c r="A152" s="8" t="s">
        <v>146</v>
      </c>
      <c r="B152" s="13">
        <f>410.776/2</f>
        <v>205.38800000000001</v>
      </c>
      <c r="C152" s="13">
        <v>34.270000000000003</v>
      </c>
      <c r="D152" s="13">
        <f>410.776/2</f>
        <v>205.38800000000001</v>
      </c>
      <c r="E152" s="13">
        <v>34.78</v>
      </c>
      <c r="F152" s="14">
        <f>(E152*D152)/(C152*B152)</f>
        <v>1.0148818208345491</v>
      </c>
      <c r="G152" s="13">
        <v>110.89</v>
      </c>
      <c r="H152" s="13">
        <v>32.36</v>
      </c>
      <c r="I152" s="13">
        <f>410.776/2</f>
        <v>205.38800000000001</v>
      </c>
      <c r="J152" s="13">
        <v>34.659999999999997</v>
      </c>
      <c r="K152" s="14">
        <f t="shared" si="118"/>
        <v>1.9838221175095174</v>
      </c>
      <c r="L152" s="13">
        <f>13.217/2</f>
        <v>6.6085000000000003</v>
      </c>
      <c r="M152" s="13">
        <v>140.25</v>
      </c>
      <c r="N152" s="13">
        <f t="shared" si="119"/>
        <v>6.6085000000000003</v>
      </c>
      <c r="O152" s="13">
        <v>140.44</v>
      </c>
      <c r="P152" s="14">
        <f t="shared" si="120"/>
        <v>1.001354723707665</v>
      </c>
      <c r="Q152" s="13">
        <v>6.43</v>
      </c>
      <c r="R152" s="28">
        <v>29.59</v>
      </c>
      <c r="S152" s="13">
        <f>Q152</f>
        <v>6.43</v>
      </c>
      <c r="T152" s="28">
        <v>31.69</v>
      </c>
      <c r="U152" s="17">
        <f>(T152*S152)/(R152*Q152)</f>
        <v>1.0709699222710374</v>
      </c>
    </row>
    <row r="153" spans="1:21">
      <c r="A153" s="8" t="s">
        <v>147</v>
      </c>
      <c r="B153" s="13">
        <f>13.882/2</f>
        <v>6.9409999999999998</v>
      </c>
      <c r="C153" s="13">
        <v>164.26</v>
      </c>
      <c r="D153" s="13">
        <f>B153</f>
        <v>6.9409999999999998</v>
      </c>
      <c r="E153" s="13">
        <v>175.2</v>
      </c>
      <c r="F153" s="14">
        <f>(E153*D153)/(C153*B153)</f>
        <v>1.066601728966273</v>
      </c>
      <c r="G153" s="13">
        <f>1.553/2</f>
        <v>0.77649999999999997</v>
      </c>
      <c r="H153" s="13">
        <v>68.25</v>
      </c>
      <c r="I153" s="13">
        <f>G153</f>
        <v>0.77649999999999997</v>
      </c>
      <c r="J153" s="22">
        <v>73.099999999999994</v>
      </c>
      <c r="K153" s="14">
        <f t="shared" si="118"/>
        <v>1.0710622710622708</v>
      </c>
      <c r="L153" s="13"/>
      <c r="M153" s="13"/>
      <c r="N153" s="13"/>
      <c r="O153" s="13"/>
      <c r="P153" s="14"/>
      <c r="Q153" s="28"/>
      <c r="R153" s="28"/>
      <c r="S153" s="28"/>
      <c r="T153" s="28"/>
      <c r="U153" s="17"/>
    </row>
    <row r="154" spans="1:21">
      <c r="A154" s="8" t="s">
        <v>148</v>
      </c>
      <c r="B154" s="13"/>
      <c r="C154" s="13"/>
      <c r="D154" s="13"/>
      <c r="E154" s="13"/>
      <c r="F154" s="14"/>
      <c r="G154" s="13">
        <f>1.005/2</f>
        <v>0.50249999999999995</v>
      </c>
      <c r="H154" s="13">
        <v>57.23</v>
      </c>
      <c r="I154" s="13">
        <f>G154</f>
        <v>0.50249999999999995</v>
      </c>
      <c r="J154" s="22">
        <v>61.29</v>
      </c>
      <c r="K154" s="14">
        <f t="shared" si="118"/>
        <v>1.0709418137340556</v>
      </c>
      <c r="L154" s="13"/>
      <c r="M154" s="13"/>
      <c r="N154" s="13"/>
      <c r="O154" s="13"/>
      <c r="P154" s="14"/>
      <c r="Q154" s="28"/>
      <c r="R154" s="28"/>
      <c r="S154" s="28"/>
      <c r="T154" s="28"/>
      <c r="U154" s="17"/>
    </row>
    <row r="155" spans="1:21">
      <c r="A155" s="8" t="s">
        <v>149</v>
      </c>
      <c r="B155" s="13"/>
      <c r="C155" s="13"/>
      <c r="D155" s="13"/>
      <c r="E155" s="13"/>
      <c r="F155" s="14"/>
      <c r="G155" s="13">
        <v>5.42</v>
      </c>
      <c r="H155" s="13">
        <v>17.18</v>
      </c>
      <c r="I155" s="13">
        <f>G155</f>
        <v>5.42</v>
      </c>
      <c r="J155" s="22">
        <v>18.399999999999999</v>
      </c>
      <c r="K155" s="14">
        <f t="shared" si="118"/>
        <v>1.0710128055878929</v>
      </c>
      <c r="L155" s="13"/>
      <c r="M155" s="13"/>
      <c r="N155" s="13"/>
      <c r="O155" s="13"/>
      <c r="P155" s="14"/>
      <c r="Q155" s="28"/>
      <c r="R155" s="28"/>
      <c r="S155" s="28"/>
      <c r="T155" s="28"/>
      <c r="U155" s="17"/>
    </row>
    <row r="156" spans="1:21" ht="30">
      <c r="A156" s="6" t="s">
        <v>151</v>
      </c>
      <c r="B156" s="13">
        <f>35.93/2</f>
        <v>17.965</v>
      </c>
      <c r="C156" s="13">
        <v>9.75</v>
      </c>
      <c r="D156" s="13">
        <f t="shared" ref="D156:D167" si="121">B156</f>
        <v>17.965</v>
      </c>
      <c r="E156" s="13">
        <v>9.85</v>
      </c>
      <c r="F156" s="14">
        <f t="shared" ref="F156:F167" si="122">(E156*D156)/(C156*B156)</f>
        <v>1.0102564102564102</v>
      </c>
      <c r="G156" s="13">
        <f>1.58/2</f>
        <v>0.79</v>
      </c>
      <c r="H156" s="13">
        <v>9.75</v>
      </c>
      <c r="I156" s="13">
        <f t="shared" ref="I156:I167" si="123">G156</f>
        <v>0.79</v>
      </c>
      <c r="J156" s="13">
        <v>9.85</v>
      </c>
      <c r="K156" s="14">
        <f>(J156*I156)/(H156*G156)</f>
        <v>1.0102564102564102</v>
      </c>
      <c r="L156" s="13"/>
      <c r="M156" s="13"/>
      <c r="N156" s="13"/>
      <c r="O156" s="13"/>
      <c r="P156" s="14"/>
      <c r="Q156" s="37"/>
      <c r="R156" s="37"/>
      <c r="S156" s="37"/>
      <c r="T156" s="37"/>
      <c r="U156" s="26"/>
    </row>
    <row r="157" spans="1:21" ht="30">
      <c r="A157" s="6" t="s">
        <v>152</v>
      </c>
      <c r="B157" s="13">
        <f>21.5/2-5.95/2</f>
        <v>7.7750000000000004</v>
      </c>
      <c r="C157" s="13">
        <v>31.1</v>
      </c>
      <c r="D157" s="13">
        <f t="shared" si="121"/>
        <v>7.7750000000000004</v>
      </c>
      <c r="E157" s="13">
        <v>32.130000000000003</v>
      </c>
      <c r="F157" s="14">
        <f t="shared" si="122"/>
        <v>1.0331189710610933</v>
      </c>
      <c r="G157" s="13"/>
      <c r="H157" s="13"/>
      <c r="I157" s="13"/>
      <c r="J157" s="13"/>
      <c r="K157" s="14"/>
      <c r="L157" s="13"/>
      <c r="M157" s="13"/>
      <c r="N157" s="13"/>
      <c r="O157" s="13"/>
      <c r="P157" s="14"/>
      <c r="Q157" s="37"/>
      <c r="R157" s="37"/>
      <c r="S157" s="37"/>
      <c r="T157" s="37"/>
      <c r="U157" s="26"/>
    </row>
    <row r="158" spans="1:21" ht="30">
      <c r="A158" s="6" t="s">
        <v>153</v>
      </c>
      <c r="B158" s="13">
        <f>57.54/2</f>
        <v>28.77</v>
      </c>
      <c r="C158" s="13">
        <v>37.520000000000003</v>
      </c>
      <c r="D158" s="13">
        <f t="shared" si="121"/>
        <v>28.77</v>
      </c>
      <c r="E158" s="13">
        <v>38</v>
      </c>
      <c r="F158" s="14">
        <f t="shared" si="122"/>
        <v>1.0127931769722813</v>
      </c>
      <c r="G158" s="22">
        <f>4.54/2</f>
        <v>2.27</v>
      </c>
      <c r="H158" s="22">
        <v>24.14</v>
      </c>
      <c r="I158" s="13">
        <f t="shared" si="123"/>
        <v>2.27</v>
      </c>
      <c r="J158" s="22">
        <v>26.7</v>
      </c>
      <c r="K158" s="14">
        <f t="shared" ref="K158:K167" si="124">(J158*I158)/(H158*G158)</f>
        <v>1.1060480530240264</v>
      </c>
      <c r="L158" s="13"/>
      <c r="M158" s="13"/>
      <c r="N158" s="13"/>
      <c r="O158" s="13"/>
      <c r="P158" s="14"/>
      <c r="Q158" s="37"/>
      <c r="R158" s="37"/>
      <c r="S158" s="37"/>
      <c r="T158" s="37"/>
      <c r="U158" s="26"/>
    </row>
    <row r="159" spans="1:21">
      <c r="A159" s="6" t="s">
        <v>154</v>
      </c>
      <c r="B159" s="13">
        <f>229.28/2</f>
        <v>114.64</v>
      </c>
      <c r="C159" s="13">
        <v>19.170000000000002</v>
      </c>
      <c r="D159" s="13">
        <f t="shared" si="121"/>
        <v>114.64</v>
      </c>
      <c r="E159" s="13">
        <v>20.149999999999999</v>
      </c>
      <c r="F159" s="14">
        <f t="shared" si="122"/>
        <v>1.0511215440792903</v>
      </c>
      <c r="G159" s="37">
        <f>191/2</f>
        <v>95.5</v>
      </c>
      <c r="H159" s="37">
        <v>19.170000000000002</v>
      </c>
      <c r="I159" s="13">
        <f t="shared" si="123"/>
        <v>95.5</v>
      </c>
      <c r="J159" s="37">
        <v>20.149999999999999</v>
      </c>
      <c r="K159" s="14">
        <f t="shared" si="124"/>
        <v>1.0511215440792905</v>
      </c>
      <c r="L159" s="13">
        <f>356.276/2</f>
        <v>178.13800000000001</v>
      </c>
      <c r="M159" s="13">
        <v>20.68</v>
      </c>
      <c r="N159" s="13">
        <f>L159</f>
        <v>178.13800000000001</v>
      </c>
      <c r="O159" s="13">
        <v>21.86</v>
      </c>
      <c r="P159" s="14">
        <f t="shared" ref="P159:P165" si="125">(O159*N159)/(M159*L159)</f>
        <v>1.0570599613152805</v>
      </c>
      <c r="Q159" s="37">
        <f>281.7/2</f>
        <v>140.85</v>
      </c>
      <c r="R159" s="37">
        <v>20.68</v>
      </c>
      <c r="S159" s="37">
        <f t="shared" ref="S159:S165" si="126">Q159</f>
        <v>140.85</v>
      </c>
      <c r="T159" s="37">
        <v>21.86</v>
      </c>
      <c r="U159" s="14">
        <f t="shared" ref="U159:U165" si="127">(T159*S159)/(R159*Q159)</f>
        <v>1.0570599613152805</v>
      </c>
    </row>
    <row r="160" spans="1:21">
      <c r="A160" s="6" t="s">
        <v>155</v>
      </c>
      <c r="B160" s="13">
        <f>29.434/2</f>
        <v>14.717000000000001</v>
      </c>
      <c r="C160" s="13">
        <v>79.73</v>
      </c>
      <c r="D160" s="13">
        <f t="shared" si="121"/>
        <v>14.717000000000001</v>
      </c>
      <c r="E160" s="13">
        <v>85.39</v>
      </c>
      <c r="F160" s="14">
        <f t="shared" si="122"/>
        <v>1.0709895898657971</v>
      </c>
      <c r="G160" s="37">
        <f>21.28/2</f>
        <v>10.64</v>
      </c>
      <c r="H160" s="37">
        <v>67.540000000000006</v>
      </c>
      <c r="I160" s="13">
        <f t="shared" si="123"/>
        <v>10.64</v>
      </c>
      <c r="J160" s="37">
        <v>72.34</v>
      </c>
      <c r="K160" s="14">
        <f t="shared" si="124"/>
        <v>1.0710689961504294</v>
      </c>
      <c r="L160" s="13"/>
      <c r="M160" s="13"/>
      <c r="N160" s="13"/>
      <c r="O160" s="13"/>
      <c r="P160" s="14"/>
      <c r="Q160" s="37"/>
      <c r="R160" s="37"/>
      <c r="S160" s="37"/>
      <c r="T160" s="37"/>
      <c r="U160" s="14"/>
    </row>
    <row r="161" spans="1:21">
      <c r="A161" s="6" t="s">
        <v>156</v>
      </c>
      <c r="B161" s="13">
        <f>4.944/2</f>
        <v>2.472</v>
      </c>
      <c r="C161" s="13">
        <v>83.81</v>
      </c>
      <c r="D161" s="13">
        <f t="shared" si="121"/>
        <v>2.472</v>
      </c>
      <c r="E161" s="13">
        <v>88.86</v>
      </c>
      <c r="F161" s="14">
        <f t="shared" si="122"/>
        <v>1.0602553394582985</v>
      </c>
      <c r="G161" s="22">
        <f>3.69/2</f>
        <v>1.845</v>
      </c>
      <c r="H161" s="22">
        <v>56.89</v>
      </c>
      <c r="I161" s="13">
        <f t="shared" si="123"/>
        <v>1.845</v>
      </c>
      <c r="J161" s="22">
        <v>60.93</v>
      </c>
      <c r="K161" s="14">
        <f t="shared" si="124"/>
        <v>1.071014238003164</v>
      </c>
      <c r="L161" s="13"/>
      <c r="M161" s="13"/>
      <c r="N161" s="13"/>
      <c r="O161" s="13"/>
      <c r="P161" s="14"/>
      <c r="Q161" s="37"/>
      <c r="R161" s="37"/>
      <c r="S161" s="37"/>
      <c r="T161" s="37"/>
      <c r="U161" s="14"/>
    </row>
    <row r="162" spans="1:21">
      <c r="A162" s="6" t="s">
        <v>157</v>
      </c>
      <c r="B162" s="13">
        <f>25.57/2</f>
        <v>12.785</v>
      </c>
      <c r="C162" s="13">
        <v>67.62</v>
      </c>
      <c r="D162" s="13">
        <f t="shared" si="121"/>
        <v>12.785</v>
      </c>
      <c r="E162" s="13">
        <v>68.67</v>
      </c>
      <c r="F162" s="14">
        <f t="shared" si="122"/>
        <v>1.015527950310559</v>
      </c>
      <c r="G162" s="37">
        <f>20.87/2</f>
        <v>10.435</v>
      </c>
      <c r="H162" s="37">
        <v>24.5</v>
      </c>
      <c r="I162" s="13">
        <f t="shared" si="123"/>
        <v>10.435</v>
      </c>
      <c r="J162" s="37">
        <v>26.24</v>
      </c>
      <c r="K162" s="14">
        <f t="shared" si="124"/>
        <v>1.0710204081632653</v>
      </c>
      <c r="L162" s="13"/>
      <c r="M162" s="13"/>
      <c r="N162" s="13"/>
      <c r="O162" s="13"/>
      <c r="P162" s="14"/>
      <c r="Q162" s="37"/>
      <c r="R162" s="37"/>
      <c r="S162" s="37"/>
      <c r="T162" s="37"/>
      <c r="U162" s="14"/>
    </row>
    <row r="163" spans="1:21">
      <c r="A163" s="6" t="s">
        <v>158</v>
      </c>
      <c r="B163" s="13">
        <f>95.72/2</f>
        <v>47.86</v>
      </c>
      <c r="C163" s="13">
        <v>55.58</v>
      </c>
      <c r="D163" s="13">
        <f t="shared" si="121"/>
        <v>47.86</v>
      </c>
      <c r="E163" s="13">
        <v>58.59</v>
      </c>
      <c r="F163" s="14">
        <f t="shared" si="122"/>
        <v>1.0541561712846348</v>
      </c>
      <c r="G163" s="37">
        <f>84.19/2</f>
        <v>42.094999999999999</v>
      </c>
      <c r="H163" s="37">
        <v>26.45</v>
      </c>
      <c r="I163" s="13">
        <f t="shared" si="123"/>
        <v>42.094999999999999</v>
      </c>
      <c r="J163" s="37">
        <v>28.33</v>
      </c>
      <c r="K163" s="14">
        <f t="shared" si="124"/>
        <v>1.071077504725898</v>
      </c>
      <c r="L163" s="13">
        <f>33.71/2</f>
        <v>16.855</v>
      </c>
      <c r="M163" s="13">
        <v>33.79</v>
      </c>
      <c r="N163" s="13">
        <f>L163</f>
        <v>16.855</v>
      </c>
      <c r="O163" s="13">
        <v>35.94</v>
      </c>
      <c r="P163" s="14">
        <f t="shared" si="125"/>
        <v>1.0636282923941995</v>
      </c>
      <c r="Q163" s="37">
        <f>31.915/2</f>
        <v>15.9575</v>
      </c>
      <c r="R163" s="37">
        <v>26.24</v>
      </c>
      <c r="S163" s="37">
        <f t="shared" si="126"/>
        <v>15.9575</v>
      </c>
      <c r="T163" s="37">
        <v>28.1</v>
      </c>
      <c r="U163" s="14">
        <f t="shared" si="127"/>
        <v>1.0708841463414636</v>
      </c>
    </row>
    <row r="164" spans="1:21">
      <c r="A164" s="6" t="s">
        <v>159</v>
      </c>
      <c r="B164" s="13">
        <f>410.93/2</f>
        <v>205.465</v>
      </c>
      <c r="C164" s="13">
        <v>58.12</v>
      </c>
      <c r="D164" s="13">
        <f t="shared" si="121"/>
        <v>205.465</v>
      </c>
      <c r="E164" s="13">
        <v>60.11</v>
      </c>
      <c r="F164" s="14">
        <f t="shared" si="122"/>
        <v>1.0342395044735031</v>
      </c>
      <c r="G164" s="22">
        <f>325.43/2</f>
        <v>162.715</v>
      </c>
      <c r="H164" s="22">
        <v>36.729999999999997</v>
      </c>
      <c r="I164" s="13">
        <f t="shared" si="123"/>
        <v>162.715</v>
      </c>
      <c r="J164" s="22">
        <v>39.340000000000003</v>
      </c>
      <c r="K164" s="14">
        <f t="shared" si="124"/>
        <v>1.0710590797713044</v>
      </c>
      <c r="L164" s="13">
        <f>292.94/2</f>
        <v>146.47</v>
      </c>
      <c r="M164" s="13">
        <v>53.58</v>
      </c>
      <c r="N164" s="13">
        <f>L164</f>
        <v>146.47</v>
      </c>
      <c r="O164" s="13">
        <v>53.58</v>
      </c>
      <c r="P164" s="14">
        <f t="shared" si="125"/>
        <v>1</v>
      </c>
      <c r="Q164" s="37">
        <f>241.34/2</f>
        <v>120.67</v>
      </c>
      <c r="R164" s="37">
        <v>26.7</v>
      </c>
      <c r="S164" s="37">
        <f t="shared" si="126"/>
        <v>120.67</v>
      </c>
      <c r="T164" s="37">
        <v>28.6</v>
      </c>
      <c r="U164" s="14">
        <f t="shared" si="127"/>
        <v>1.0711610486891385</v>
      </c>
    </row>
    <row r="165" spans="1:21">
      <c r="A165" s="6" t="s">
        <v>160</v>
      </c>
      <c r="B165" s="13">
        <f>481.61/2</f>
        <v>240.80500000000001</v>
      </c>
      <c r="C165" s="13">
        <v>26.65</v>
      </c>
      <c r="D165" s="13">
        <f t="shared" si="121"/>
        <v>240.80500000000001</v>
      </c>
      <c r="E165" s="13">
        <v>26.65</v>
      </c>
      <c r="F165" s="14">
        <f t="shared" si="122"/>
        <v>1</v>
      </c>
      <c r="G165" s="22">
        <f>327.54/2</f>
        <v>163.77000000000001</v>
      </c>
      <c r="H165" s="22">
        <v>20.46</v>
      </c>
      <c r="I165" s="13">
        <f t="shared" si="123"/>
        <v>163.77000000000001</v>
      </c>
      <c r="J165" s="22">
        <v>21.91</v>
      </c>
      <c r="K165" s="14">
        <f t="shared" si="124"/>
        <v>1.0708699902248289</v>
      </c>
      <c r="L165" s="13">
        <f>400.11/2</f>
        <v>200.05500000000001</v>
      </c>
      <c r="M165" s="13">
        <v>32.74</v>
      </c>
      <c r="N165" s="13">
        <f>L165</f>
        <v>200.05500000000001</v>
      </c>
      <c r="O165" s="13">
        <v>36.83</v>
      </c>
      <c r="P165" s="14">
        <f t="shared" si="125"/>
        <v>1.124923640806353</v>
      </c>
      <c r="Q165" s="37">
        <f>287.24/2</f>
        <v>143.62</v>
      </c>
      <c r="R165" s="37">
        <v>15.16</v>
      </c>
      <c r="S165" s="37">
        <f t="shared" si="126"/>
        <v>143.62</v>
      </c>
      <c r="T165" s="37">
        <v>16.239999999999998</v>
      </c>
      <c r="U165" s="14">
        <f t="shared" si="127"/>
        <v>1.0712401055408971</v>
      </c>
    </row>
    <row r="166" spans="1:21" ht="20.25" customHeight="1">
      <c r="A166" s="6" t="s">
        <v>161</v>
      </c>
      <c r="B166" s="13">
        <f>111.26/2</f>
        <v>55.63</v>
      </c>
      <c r="C166" s="13">
        <v>19.84</v>
      </c>
      <c r="D166" s="13">
        <f t="shared" si="121"/>
        <v>55.63</v>
      </c>
      <c r="E166" s="13">
        <v>21.16</v>
      </c>
      <c r="F166" s="14">
        <f t="shared" si="122"/>
        <v>1.0665322580645162</v>
      </c>
      <c r="G166" s="22">
        <f>82.27/2</f>
        <v>41.134999999999998</v>
      </c>
      <c r="H166" s="22">
        <v>19.84</v>
      </c>
      <c r="I166" s="13">
        <f t="shared" si="123"/>
        <v>41.134999999999998</v>
      </c>
      <c r="J166" s="22">
        <v>21.16</v>
      </c>
      <c r="K166" s="14">
        <f t="shared" si="124"/>
        <v>1.0665322580645162</v>
      </c>
      <c r="L166" s="13"/>
      <c r="M166" s="13"/>
      <c r="N166" s="13"/>
      <c r="O166" s="13"/>
      <c r="P166" s="14"/>
      <c r="Q166" s="37"/>
      <c r="R166" s="37"/>
      <c r="S166" s="37"/>
      <c r="T166" s="37"/>
      <c r="U166" s="14"/>
    </row>
    <row r="167" spans="1:21">
      <c r="A167" s="6" t="s">
        <v>162</v>
      </c>
      <c r="B167" s="13">
        <f>5.22/2</f>
        <v>2.61</v>
      </c>
      <c r="C167" s="13">
        <v>51.53</v>
      </c>
      <c r="D167" s="13">
        <f t="shared" si="121"/>
        <v>2.61</v>
      </c>
      <c r="E167" s="13">
        <v>52.89</v>
      </c>
      <c r="F167" s="14">
        <f t="shared" si="122"/>
        <v>1.0263923927809042</v>
      </c>
      <c r="G167" s="22">
        <f>3.495/2</f>
        <v>1.7475000000000001</v>
      </c>
      <c r="H167" s="22">
        <v>26.44</v>
      </c>
      <c r="I167" s="13">
        <f t="shared" si="123"/>
        <v>1.7475000000000001</v>
      </c>
      <c r="J167" s="22">
        <v>28.32</v>
      </c>
      <c r="K167" s="14">
        <f t="shared" si="124"/>
        <v>1.0711043872919819</v>
      </c>
      <c r="L167" s="13"/>
      <c r="M167" s="13"/>
      <c r="N167" s="13"/>
      <c r="O167" s="13"/>
      <c r="P167" s="14"/>
      <c r="Q167" s="37"/>
      <c r="R167" s="37"/>
      <c r="S167" s="37"/>
      <c r="T167" s="37"/>
      <c r="U167" s="14"/>
    </row>
    <row r="168" spans="1:21">
      <c r="A168" s="6" t="s">
        <v>164</v>
      </c>
      <c r="B168" s="13">
        <f>16.111/2</f>
        <v>8.0555000000000003</v>
      </c>
      <c r="C168" s="13">
        <v>55.15</v>
      </c>
      <c r="D168" s="13">
        <f>B168</f>
        <v>8.0555000000000003</v>
      </c>
      <c r="E168" s="13">
        <v>59.56</v>
      </c>
      <c r="F168" s="14">
        <f>(E168*D168)/(C168*B168)</f>
        <v>1.0799637352674525</v>
      </c>
      <c r="G168" s="22">
        <f>13.222/2</f>
        <v>6.6109999999999998</v>
      </c>
      <c r="H168" s="22">
        <v>25.05</v>
      </c>
      <c r="I168" s="22">
        <f>G168</f>
        <v>6.6109999999999998</v>
      </c>
      <c r="J168" s="22">
        <v>27.18</v>
      </c>
      <c r="K168" s="14">
        <f t="shared" ref="K168:K178" si="128">J168/H168</f>
        <v>1.0850299401197605</v>
      </c>
      <c r="L168" s="13"/>
      <c r="M168" s="13"/>
      <c r="N168" s="13"/>
      <c r="O168" s="13"/>
      <c r="P168" s="14"/>
      <c r="Q168" s="28"/>
      <c r="R168" s="28"/>
      <c r="S168" s="28"/>
      <c r="T168" s="28"/>
      <c r="U168" s="26"/>
    </row>
    <row r="169" spans="1:21">
      <c r="A169" s="6" t="s">
        <v>165</v>
      </c>
      <c r="B169" s="13">
        <f>9.752/2</f>
        <v>4.8760000000000003</v>
      </c>
      <c r="C169" s="13">
        <v>56.42</v>
      </c>
      <c r="D169" s="13">
        <f t="shared" ref="D169:D178" si="129">B169</f>
        <v>4.8760000000000003</v>
      </c>
      <c r="E169" s="13">
        <v>59.68</v>
      </c>
      <c r="F169" s="14">
        <f t="shared" ref="F169:F178" si="130">(E169*D169)/(C169*B169)</f>
        <v>1.0577809287486706</v>
      </c>
      <c r="G169" s="22">
        <f>6.022/2</f>
        <v>3.0110000000000001</v>
      </c>
      <c r="H169" s="22">
        <v>25.05</v>
      </c>
      <c r="I169" s="22">
        <f t="shared" ref="I169:I178" si="131">G169</f>
        <v>3.0110000000000001</v>
      </c>
      <c r="J169" s="22">
        <v>27.18</v>
      </c>
      <c r="K169" s="14">
        <f t="shared" si="128"/>
        <v>1.0850299401197605</v>
      </c>
      <c r="L169" s="13"/>
      <c r="M169" s="13"/>
      <c r="N169" s="13"/>
      <c r="O169" s="13"/>
      <c r="P169" s="14"/>
      <c r="Q169" s="13"/>
      <c r="R169" s="13"/>
      <c r="S169" s="13"/>
      <c r="T169" s="13"/>
      <c r="U169" s="26"/>
    </row>
    <row r="170" spans="1:21">
      <c r="A170" s="6" t="s">
        <v>166</v>
      </c>
      <c r="B170" s="13">
        <f>14.85/2</f>
        <v>7.4249999999999998</v>
      </c>
      <c r="C170" s="13">
        <v>41.44</v>
      </c>
      <c r="D170" s="13">
        <f t="shared" si="129"/>
        <v>7.4249999999999998</v>
      </c>
      <c r="E170" s="13">
        <v>44.23</v>
      </c>
      <c r="F170" s="14">
        <f t="shared" si="130"/>
        <v>1.067326254826255</v>
      </c>
      <c r="G170" s="22">
        <f>12.82/2</f>
        <v>6.41</v>
      </c>
      <c r="H170" s="22">
        <v>25.05</v>
      </c>
      <c r="I170" s="22">
        <f t="shared" si="131"/>
        <v>6.41</v>
      </c>
      <c r="J170" s="22">
        <v>26.83</v>
      </c>
      <c r="K170" s="14">
        <f t="shared" si="128"/>
        <v>1.0710578842315368</v>
      </c>
      <c r="L170" s="13"/>
      <c r="M170" s="13"/>
      <c r="N170" s="13"/>
      <c r="O170" s="13"/>
      <c r="P170" s="14"/>
      <c r="Q170" s="13"/>
      <c r="R170" s="13"/>
      <c r="S170" s="13"/>
      <c r="T170" s="13"/>
      <c r="U170" s="26"/>
    </row>
    <row r="171" spans="1:21">
      <c r="A171" s="6" t="s">
        <v>167</v>
      </c>
      <c r="B171" s="13">
        <f>74.3/2</f>
        <v>37.15</v>
      </c>
      <c r="C171" s="13">
        <v>43.06</v>
      </c>
      <c r="D171" s="13">
        <f t="shared" si="129"/>
        <v>37.15</v>
      </c>
      <c r="E171" s="13">
        <v>43.06</v>
      </c>
      <c r="F171" s="14">
        <f t="shared" si="130"/>
        <v>1</v>
      </c>
      <c r="G171" s="22">
        <f>63.28/2</f>
        <v>31.64</v>
      </c>
      <c r="H171" s="22">
        <v>25.05</v>
      </c>
      <c r="I171" s="22">
        <f t="shared" si="131"/>
        <v>31.64</v>
      </c>
      <c r="J171" s="22">
        <v>26.83</v>
      </c>
      <c r="K171" s="14">
        <f t="shared" si="128"/>
        <v>1.0710578842315368</v>
      </c>
      <c r="L171" s="13">
        <f>33.34/2</f>
        <v>16.670000000000002</v>
      </c>
      <c r="M171" s="13">
        <v>111.8</v>
      </c>
      <c r="N171" s="13">
        <f t="shared" ref="N171:N178" si="132">L171</f>
        <v>16.670000000000002</v>
      </c>
      <c r="O171" s="13">
        <v>119.65</v>
      </c>
      <c r="P171" s="14">
        <f t="shared" ref="P171:P178" si="133">(O171*N171)/(M171*L171)</f>
        <v>1.0702146690518786</v>
      </c>
      <c r="Q171" s="13">
        <f>29.19/2</f>
        <v>14.595000000000001</v>
      </c>
      <c r="R171" s="13">
        <v>25.05</v>
      </c>
      <c r="S171" s="13">
        <f t="shared" ref="S171:S178" si="134">Q171</f>
        <v>14.595000000000001</v>
      </c>
      <c r="T171" s="13">
        <v>26.83</v>
      </c>
      <c r="U171" s="14">
        <f t="shared" ref="U171:U178" si="135">(T171*S171)/(R171*Q171)</f>
        <v>1.0710578842315368</v>
      </c>
    </row>
    <row r="172" spans="1:21">
      <c r="A172" s="6" t="s">
        <v>168</v>
      </c>
      <c r="B172" s="13">
        <f>6.91/2</f>
        <v>3.4550000000000001</v>
      </c>
      <c r="C172" s="13">
        <v>47.16</v>
      </c>
      <c r="D172" s="13">
        <f t="shared" si="129"/>
        <v>3.4550000000000001</v>
      </c>
      <c r="E172" s="13">
        <v>49.78</v>
      </c>
      <c r="F172" s="14">
        <f t="shared" si="130"/>
        <v>1.0555555555555558</v>
      </c>
      <c r="G172" s="22">
        <f>2.19/2</f>
        <v>1.095</v>
      </c>
      <c r="H172" s="22">
        <v>25.05</v>
      </c>
      <c r="I172" s="22">
        <f t="shared" si="131"/>
        <v>1.095</v>
      </c>
      <c r="J172" s="22">
        <v>26.83</v>
      </c>
      <c r="K172" s="14">
        <f t="shared" si="128"/>
        <v>1.0710578842315368</v>
      </c>
      <c r="L172" s="13"/>
      <c r="M172" s="13"/>
      <c r="N172" s="13"/>
      <c r="O172" s="13"/>
      <c r="P172" s="14"/>
      <c r="Q172" s="13"/>
      <c r="R172" s="13"/>
      <c r="S172" s="13"/>
      <c r="T172" s="13"/>
      <c r="U172" s="14"/>
    </row>
    <row r="173" spans="1:21">
      <c r="A173" s="6" t="s">
        <v>169</v>
      </c>
      <c r="B173" s="13">
        <f>12.995/2</f>
        <v>6.4974999999999996</v>
      </c>
      <c r="C173" s="13">
        <v>48.36</v>
      </c>
      <c r="D173" s="13">
        <f t="shared" si="129"/>
        <v>6.4974999999999996</v>
      </c>
      <c r="E173" s="13">
        <v>48.36</v>
      </c>
      <c r="F173" s="14">
        <f t="shared" si="130"/>
        <v>1</v>
      </c>
      <c r="G173" s="22">
        <f>6.385/2</f>
        <v>3.1924999999999999</v>
      </c>
      <c r="H173" s="22">
        <v>25.05</v>
      </c>
      <c r="I173" s="22">
        <f t="shared" si="131"/>
        <v>3.1924999999999999</v>
      </c>
      <c r="J173" s="22">
        <v>26.83</v>
      </c>
      <c r="K173" s="14">
        <f t="shared" si="128"/>
        <v>1.0710578842315368</v>
      </c>
      <c r="L173" s="13"/>
      <c r="M173" s="13"/>
      <c r="N173" s="13"/>
      <c r="O173" s="13"/>
      <c r="P173" s="14"/>
      <c r="Q173" s="13"/>
      <c r="R173" s="13"/>
      <c r="S173" s="13"/>
      <c r="T173" s="13"/>
      <c r="U173" s="14"/>
    </row>
    <row r="174" spans="1:21">
      <c r="A174" s="6" t="s">
        <v>170</v>
      </c>
      <c r="B174" s="13">
        <f>347.5/2</f>
        <v>173.75</v>
      </c>
      <c r="C174" s="13">
        <v>36.14</v>
      </c>
      <c r="D174" s="13">
        <f t="shared" si="129"/>
        <v>173.75</v>
      </c>
      <c r="E174" s="13">
        <v>38.97</v>
      </c>
      <c r="F174" s="14">
        <f t="shared" si="130"/>
        <v>1.07830658550083</v>
      </c>
      <c r="G174" s="22">
        <f>254.2/2</f>
        <v>127.1</v>
      </c>
      <c r="H174" s="22">
        <v>24.58</v>
      </c>
      <c r="I174" s="22">
        <f t="shared" si="131"/>
        <v>127.1</v>
      </c>
      <c r="J174" s="22">
        <v>26.83</v>
      </c>
      <c r="K174" s="14">
        <f t="shared" si="128"/>
        <v>1.0915378356387306</v>
      </c>
      <c r="L174" s="13">
        <f>365.545/2</f>
        <v>182.77250000000001</v>
      </c>
      <c r="M174" s="13">
        <v>40.869999999999997</v>
      </c>
      <c r="N174" s="13">
        <f t="shared" si="132"/>
        <v>182.77250000000001</v>
      </c>
      <c r="O174" s="13">
        <v>43.44</v>
      </c>
      <c r="P174" s="14">
        <f t="shared" si="133"/>
        <v>1.0628823097626621</v>
      </c>
      <c r="Q174" s="13">
        <f>281.581/2</f>
        <v>140.79050000000001</v>
      </c>
      <c r="R174" s="13">
        <v>24.88</v>
      </c>
      <c r="S174" s="13">
        <f t="shared" si="134"/>
        <v>140.79050000000001</v>
      </c>
      <c r="T174" s="13">
        <v>26.83</v>
      </c>
      <c r="U174" s="14">
        <f t="shared" si="135"/>
        <v>1.0783762057877813</v>
      </c>
    </row>
    <row r="175" spans="1:21">
      <c r="A175" s="6" t="s">
        <v>171</v>
      </c>
      <c r="B175" s="13">
        <f>15.444/2</f>
        <v>7.7220000000000004</v>
      </c>
      <c r="C175" s="13">
        <v>31.6</v>
      </c>
      <c r="D175" s="13">
        <f t="shared" si="129"/>
        <v>7.7220000000000004</v>
      </c>
      <c r="E175" s="13">
        <v>32.619999999999997</v>
      </c>
      <c r="F175" s="14">
        <f t="shared" si="130"/>
        <v>1.0322784810126582</v>
      </c>
      <c r="G175" s="22">
        <f>11.343/2</f>
        <v>5.6715</v>
      </c>
      <c r="H175" s="22">
        <v>25.05</v>
      </c>
      <c r="I175" s="22">
        <f t="shared" si="131"/>
        <v>5.6715</v>
      </c>
      <c r="J175" s="22">
        <v>26.83</v>
      </c>
      <c r="K175" s="14">
        <f t="shared" si="128"/>
        <v>1.0710578842315368</v>
      </c>
      <c r="L175" s="13">
        <f>9.599/2</f>
        <v>4.7995000000000001</v>
      </c>
      <c r="M175" s="13">
        <v>54.41</v>
      </c>
      <c r="N175" s="13">
        <f t="shared" si="132"/>
        <v>4.7995000000000001</v>
      </c>
      <c r="O175" s="13">
        <v>55.51</v>
      </c>
      <c r="P175" s="14">
        <f t="shared" si="133"/>
        <v>1.0202168718985483</v>
      </c>
      <c r="Q175" s="13">
        <f>6.425/2</f>
        <v>3.2124999999999999</v>
      </c>
      <c r="R175" s="13">
        <v>24</v>
      </c>
      <c r="S175" s="13">
        <f t="shared" si="134"/>
        <v>3.2124999999999999</v>
      </c>
      <c r="T175" s="13">
        <v>25.7</v>
      </c>
      <c r="U175" s="14">
        <f t="shared" si="135"/>
        <v>1.0708333333333335</v>
      </c>
    </row>
    <row r="176" spans="1:21">
      <c r="A176" s="6" t="s">
        <v>172</v>
      </c>
      <c r="B176" s="13">
        <f>24.16/2</f>
        <v>12.08</v>
      </c>
      <c r="C176" s="13">
        <v>50</v>
      </c>
      <c r="D176" s="13">
        <f t="shared" si="129"/>
        <v>12.08</v>
      </c>
      <c r="E176" s="13">
        <v>53.25</v>
      </c>
      <c r="F176" s="14">
        <f t="shared" si="130"/>
        <v>1.0649999999999999</v>
      </c>
      <c r="G176" s="22">
        <f>22.38/2</f>
        <v>11.19</v>
      </c>
      <c r="H176" s="22">
        <v>25.05</v>
      </c>
      <c r="I176" s="22">
        <f t="shared" si="131"/>
        <v>11.19</v>
      </c>
      <c r="J176" s="22">
        <v>26.83</v>
      </c>
      <c r="K176" s="14">
        <f t="shared" si="128"/>
        <v>1.0710578842315368</v>
      </c>
      <c r="L176" s="13"/>
      <c r="M176" s="13"/>
      <c r="N176" s="13"/>
      <c r="O176" s="13"/>
      <c r="P176" s="14"/>
      <c r="Q176" s="13"/>
      <c r="R176" s="13"/>
      <c r="S176" s="13"/>
      <c r="T176" s="13"/>
      <c r="U176" s="14"/>
    </row>
    <row r="177" spans="1:21">
      <c r="A177" s="6" t="s">
        <v>173</v>
      </c>
      <c r="B177" s="13">
        <f>5.322/2</f>
        <v>2.661</v>
      </c>
      <c r="C177" s="13">
        <v>44.92</v>
      </c>
      <c r="D177" s="13">
        <f t="shared" si="129"/>
        <v>2.661</v>
      </c>
      <c r="E177" s="13">
        <v>44.92</v>
      </c>
      <c r="F177" s="14">
        <f t="shared" si="130"/>
        <v>1</v>
      </c>
      <c r="G177" s="22">
        <f>4.54/2</f>
        <v>2.27</v>
      </c>
      <c r="H177" s="22">
        <v>25.05</v>
      </c>
      <c r="I177" s="22">
        <f t="shared" si="131"/>
        <v>2.27</v>
      </c>
      <c r="J177" s="22">
        <v>26.83</v>
      </c>
      <c r="K177" s="14">
        <f t="shared" si="128"/>
        <v>1.0710578842315368</v>
      </c>
      <c r="L177" s="13"/>
      <c r="M177" s="13"/>
      <c r="N177" s="13"/>
      <c r="O177" s="13"/>
      <c r="P177" s="14"/>
      <c r="Q177" s="13"/>
      <c r="R177" s="13"/>
      <c r="S177" s="13"/>
      <c r="T177" s="13"/>
      <c r="U177" s="14"/>
    </row>
    <row r="178" spans="1:21">
      <c r="A178" s="6" t="s">
        <v>174</v>
      </c>
      <c r="B178" s="13">
        <f>48.146/2</f>
        <v>24.073</v>
      </c>
      <c r="C178" s="13">
        <v>51.55</v>
      </c>
      <c r="D178" s="13">
        <f t="shared" si="129"/>
        <v>24.073</v>
      </c>
      <c r="E178" s="13">
        <v>51.55</v>
      </c>
      <c r="F178" s="14">
        <f t="shared" si="130"/>
        <v>1</v>
      </c>
      <c r="G178" s="22">
        <f>33.925/2</f>
        <v>16.962499999999999</v>
      </c>
      <c r="H178" s="22">
        <v>29</v>
      </c>
      <c r="I178" s="22">
        <f t="shared" si="131"/>
        <v>16.962499999999999</v>
      </c>
      <c r="J178" s="22">
        <v>31.06</v>
      </c>
      <c r="K178" s="14">
        <f t="shared" si="128"/>
        <v>1.0710344827586207</v>
      </c>
      <c r="L178" s="13">
        <f>23.345/2</f>
        <v>11.672499999999999</v>
      </c>
      <c r="M178" s="13">
        <v>55.69</v>
      </c>
      <c r="N178" s="13">
        <f t="shared" si="132"/>
        <v>11.672499999999999</v>
      </c>
      <c r="O178" s="13">
        <v>55.69</v>
      </c>
      <c r="P178" s="14">
        <f t="shared" si="133"/>
        <v>1</v>
      </c>
      <c r="Q178" s="13">
        <f>17.385/2</f>
        <v>8.6925000000000008</v>
      </c>
      <c r="R178" s="13">
        <v>29.36</v>
      </c>
      <c r="S178" s="13">
        <f t="shared" si="134"/>
        <v>8.6925000000000008</v>
      </c>
      <c r="T178" s="13">
        <v>31.44</v>
      </c>
      <c r="U178" s="14">
        <f t="shared" si="135"/>
        <v>1.0708446866485015</v>
      </c>
    </row>
    <row r="179" spans="1:21">
      <c r="A179" s="23" t="s">
        <v>176</v>
      </c>
      <c r="B179" s="13">
        <f>19.48/2</f>
        <v>9.74</v>
      </c>
      <c r="C179" s="13">
        <v>62.83</v>
      </c>
      <c r="D179" s="13">
        <f>B179</f>
        <v>9.74</v>
      </c>
      <c r="E179" s="13">
        <v>67.180000000000007</v>
      </c>
      <c r="F179" s="14">
        <f>(E179*D179)/(C179*B179)</f>
        <v>1.069234442145472</v>
      </c>
      <c r="G179" s="13"/>
      <c r="H179" s="13"/>
      <c r="I179" s="13"/>
      <c r="J179" s="13"/>
      <c r="K179" s="48"/>
      <c r="L179" s="13">
        <f>7/2</f>
        <v>3.5</v>
      </c>
      <c r="M179" s="13">
        <v>109.19</v>
      </c>
      <c r="N179" s="13">
        <f>L179</f>
        <v>3.5</v>
      </c>
      <c r="O179" s="13">
        <v>117.04</v>
      </c>
      <c r="P179" s="14">
        <f>(O179*N179)/(M179*L179)</f>
        <v>1.0718930304972984</v>
      </c>
      <c r="Q179" s="13">
        <f>7/2</f>
        <v>3.5</v>
      </c>
      <c r="R179" s="13">
        <v>30</v>
      </c>
      <c r="S179" s="13">
        <f>Q179</f>
        <v>3.5</v>
      </c>
      <c r="T179" s="13">
        <v>32.130000000000003</v>
      </c>
      <c r="U179" s="14">
        <f>(T179*S179)/(R179*Q179)</f>
        <v>1.0710000000000002</v>
      </c>
    </row>
    <row r="180" spans="1:21">
      <c r="A180" s="23" t="s">
        <v>177</v>
      </c>
      <c r="B180" s="13">
        <v>0</v>
      </c>
      <c r="C180" s="13"/>
      <c r="D180" s="13">
        <f>B180</f>
        <v>0</v>
      </c>
      <c r="E180" s="13"/>
      <c r="F180" s="14"/>
      <c r="G180" s="13">
        <f>3.378/2</f>
        <v>1.6890000000000001</v>
      </c>
      <c r="H180" s="13">
        <v>474.41</v>
      </c>
      <c r="I180" s="13">
        <f>G180</f>
        <v>1.6890000000000001</v>
      </c>
      <c r="J180" s="13">
        <v>476.39</v>
      </c>
      <c r="K180" s="14">
        <f t="shared" ref="K180:K182" si="136">(J180*I180)/(H180*G180)</f>
        <v>1.0041736051095045</v>
      </c>
      <c r="L180" s="13">
        <f>3.18/2</f>
        <v>1.59</v>
      </c>
      <c r="M180" s="13">
        <v>62.78</v>
      </c>
      <c r="N180" s="13">
        <f>L180</f>
        <v>1.59</v>
      </c>
      <c r="O180" s="13">
        <v>66.72</v>
      </c>
      <c r="P180" s="14">
        <f>(O180*N180)/(M180*L180)</f>
        <v>1.0627588403950303</v>
      </c>
      <c r="Q180" s="13"/>
      <c r="R180" s="13"/>
      <c r="S180" s="13"/>
      <c r="T180" s="13"/>
      <c r="U180" s="48"/>
    </row>
    <row r="181" spans="1:21">
      <c r="A181" s="23" t="s">
        <v>178</v>
      </c>
      <c r="B181" s="13">
        <f>13.4/2</f>
        <v>6.7</v>
      </c>
      <c r="C181" s="13">
        <v>53.07</v>
      </c>
      <c r="D181" s="13">
        <f>B181</f>
        <v>6.7</v>
      </c>
      <c r="E181" s="13">
        <v>56.7</v>
      </c>
      <c r="F181" s="14">
        <f>(E181*D181)/(C181*B181)</f>
        <v>1.06840022611645</v>
      </c>
      <c r="G181" s="13">
        <f>10.8/2</f>
        <v>5.4</v>
      </c>
      <c r="H181" s="13">
        <v>53.07</v>
      </c>
      <c r="I181" s="13">
        <f>G181</f>
        <v>5.4</v>
      </c>
      <c r="J181" s="13">
        <v>56.7</v>
      </c>
      <c r="K181" s="14">
        <f t="shared" si="136"/>
        <v>1.06840022611645</v>
      </c>
      <c r="L181" s="13"/>
      <c r="M181" s="13"/>
      <c r="N181" s="13"/>
      <c r="O181" s="13"/>
      <c r="P181" s="48"/>
      <c r="Q181" s="13"/>
      <c r="R181" s="13"/>
      <c r="S181" s="13"/>
      <c r="T181" s="13"/>
      <c r="U181" s="48"/>
    </row>
    <row r="182" spans="1:21">
      <c r="A182" s="23" t="s">
        <v>179</v>
      </c>
      <c r="B182" s="13">
        <f>77.8/2</f>
        <v>38.9</v>
      </c>
      <c r="C182" s="13">
        <v>39.75</v>
      </c>
      <c r="D182" s="13">
        <f>B182</f>
        <v>38.9</v>
      </c>
      <c r="E182" s="13">
        <v>41.95</v>
      </c>
      <c r="F182" s="14">
        <f>(E182*D182)/(C182*B182)</f>
        <v>1.0553459119496857</v>
      </c>
      <c r="G182" s="13">
        <f>47.6/2</f>
        <v>23.8</v>
      </c>
      <c r="H182" s="13">
        <v>20</v>
      </c>
      <c r="I182" s="13">
        <f>G182</f>
        <v>23.8</v>
      </c>
      <c r="J182" s="13">
        <v>22</v>
      </c>
      <c r="K182" s="14">
        <f t="shared" si="136"/>
        <v>1.1000000000000001</v>
      </c>
      <c r="L182" s="13">
        <f>53.6/2</f>
        <v>26.8</v>
      </c>
      <c r="M182" s="13">
        <v>57.41</v>
      </c>
      <c r="N182" s="13">
        <f>L182</f>
        <v>26.8</v>
      </c>
      <c r="O182" s="13">
        <v>59.22</v>
      </c>
      <c r="P182" s="14">
        <f>(O182*N182)/(M182*L182)</f>
        <v>1.0315276084305871</v>
      </c>
      <c r="Q182" s="28">
        <f>47.1/2</f>
        <v>23.55</v>
      </c>
      <c r="R182" s="28">
        <v>30</v>
      </c>
      <c r="S182" s="28">
        <f>Q182</f>
        <v>23.55</v>
      </c>
      <c r="T182" s="28">
        <v>32.130000000000003</v>
      </c>
      <c r="U182" s="14">
        <f t="shared" ref="U182" si="137">(T182*S182)/(R182*Q182)</f>
        <v>1.0710000000000002</v>
      </c>
    </row>
    <row r="184" spans="1:21">
      <c r="B184" s="63" t="e">
        <f>#REF!-Лист2!B9</f>
        <v>#REF!</v>
      </c>
    </row>
  </sheetData>
  <mergeCells count="19">
    <mergeCell ref="L7:M7"/>
    <mergeCell ref="N7:O7"/>
    <mergeCell ref="P7:P8"/>
    <mergeCell ref="A5:A8"/>
    <mergeCell ref="B5:K5"/>
    <mergeCell ref="L5:U5"/>
    <mergeCell ref="B6:F6"/>
    <mergeCell ref="G6:K6"/>
    <mergeCell ref="L6:P6"/>
    <mergeCell ref="Q6:U6"/>
    <mergeCell ref="B7:C7"/>
    <mergeCell ref="D7:E7"/>
    <mergeCell ref="F7:F8"/>
    <mergeCell ref="Q7:R7"/>
    <mergeCell ref="S7:T7"/>
    <mergeCell ref="U7:U8"/>
    <mergeCell ref="G7:H7"/>
    <mergeCell ref="I7:J7"/>
    <mergeCell ref="K7:K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3:F34"/>
  <sheetViews>
    <sheetView workbookViewId="0">
      <selection activeCell="C14" sqref="C14"/>
    </sheetView>
  </sheetViews>
  <sheetFormatPr defaultRowHeight="15"/>
  <cols>
    <col min="1" max="1" width="40.42578125" style="5" customWidth="1"/>
    <col min="2" max="2" width="11.7109375" style="5" customWidth="1"/>
    <col min="3" max="3" width="13.85546875" style="5" customWidth="1"/>
    <col min="4" max="4" width="16" style="5" customWidth="1"/>
    <col min="5" max="5" width="15.5703125" style="5" customWidth="1"/>
    <col min="6" max="6" width="17.42578125" style="5" customWidth="1"/>
  </cols>
  <sheetData>
    <row r="3" spans="1:6">
      <c r="A3" s="232"/>
      <c r="B3" s="234" t="s">
        <v>195</v>
      </c>
      <c r="C3" s="234"/>
      <c r="D3" s="234"/>
      <c r="E3" s="234"/>
      <c r="F3" s="234"/>
    </row>
    <row r="4" spans="1:6" ht="40.5" customHeight="1">
      <c r="A4" s="233"/>
      <c r="B4" s="64" t="s">
        <v>196</v>
      </c>
      <c r="C4" s="64" t="s">
        <v>2</v>
      </c>
      <c r="D4" s="64" t="s">
        <v>197</v>
      </c>
      <c r="E4" s="64" t="s">
        <v>198</v>
      </c>
      <c r="F4" s="66" t="s">
        <v>199</v>
      </c>
    </row>
    <row r="5" spans="1:6">
      <c r="A5" s="3" t="s">
        <v>212</v>
      </c>
      <c r="B5" s="59">
        <v>7</v>
      </c>
      <c r="C5" s="59">
        <v>19</v>
      </c>
      <c r="D5" s="59">
        <v>7</v>
      </c>
      <c r="E5" s="59"/>
      <c r="F5" s="59"/>
    </row>
    <row r="6" spans="1:6">
      <c r="A6" s="3" t="s">
        <v>212</v>
      </c>
      <c r="B6" s="59">
        <v>1</v>
      </c>
      <c r="C6" s="59"/>
      <c r="D6" s="59"/>
      <c r="E6" s="59">
        <v>6</v>
      </c>
      <c r="F6" s="59"/>
    </row>
    <row r="7" spans="1:6">
      <c r="A7" s="3" t="s">
        <v>221</v>
      </c>
      <c r="B7" s="59">
        <f>1+1+1+1+1+1</f>
        <v>6</v>
      </c>
      <c r="C7" s="59">
        <f>3+2+2+2+1</f>
        <v>10</v>
      </c>
      <c r="D7" s="59">
        <v>2</v>
      </c>
      <c r="E7" s="59">
        <v>2</v>
      </c>
      <c r="F7" s="59"/>
    </row>
    <row r="8" spans="1:6">
      <c r="A8" s="3" t="s">
        <v>213</v>
      </c>
      <c r="B8" s="59">
        <f>1+1+1</f>
        <v>3</v>
      </c>
      <c r="C8" s="59">
        <f>4+2+2</f>
        <v>8</v>
      </c>
      <c r="D8" s="59">
        <f>2+2</f>
        <v>4</v>
      </c>
      <c r="E8" s="59"/>
      <c r="F8" s="59">
        <v>2</v>
      </c>
    </row>
    <row r="9" spans="1:6">
      <c r="A9" s="3" t="s">
        <v>214</v>
      </c>
      <c r="B9" s="59">
        <v>2</v>
      </c>
      <c r="C9" s="59">
        <v>4</v>
      </c>
      <c r="D9" s="59">
        <v>0</v>
      </c>
      <c r="E9" s="59"/>
      <c r="F9" s="59"/>
    </row>
    <row r="10" spans="1:6">
      <c r="A10" s="3" t="s">
        <v>215</v>
      </c>
      <c r="B10" s="59">
        <v>2</v>
      </c>
      <c r="C10" s="59">
        <v>9</v>
      </c>
      <c r="D10" s="59">
        <v>0</v>
      </c>
      <c r="E10" s="59"/>
      <c r="F10" s="59"/>
    </row>
    <row r="11" spans="1:6">
      <c r="A11" s="3" t="s">
        <v>223</v>
      </c>
      <c r="B11" s="59">
        <v>1</v>
      </c>
      <c r="C11" s="59">
        <v>2</v>
      </c>
      <c r="D11" s="59"/>
      <c r="E11" s="59"/>
      <c r="F11" s="59"/>
    </row>
    <row r="12" spans="1:6">
      <c r="A12" s="3" t="s">
        <v>208</v>
      </c>
      <c r="B12" s="59">
        <v>4</v>
      </c>
      <c r="C12" s="59">
        <v>7</v>
      </c>
      <c r="D12" s="59">
        <v>9</v>
      </c>
      <c r="E12" s="59"/>
      <c r="F12" s="59"/>
    </row>
    <row r="13" spans="1:6">
      <c r="A13" s="3" t="s">
        <v>209</v>
      </c>
      <c r="B13" s="59">
        <v>6</v>
      </c>
      <c r="C13" s="59">
        <v>13</v>
      </c>
      <c r="D13" s="59">
        <v>10</v>
      </c>
      <c r="E13" s="59"/>
      <c r="F13" s="59"/>
    </row>
    <row r="14" spans="1:6">
      <c r="A14" s="3" t="s">
        <v>210</v>
      </c>
      <c r="B14" s="59">
        <v>4</v>
      </c>
      <c r="C14" s="59">
        <v>9</v>
      </c>
      <c r="D14" s="59">
        <v>1</v>
      </c>
      <c r="E14" s="59"/>
      <c r="F14" s="59"/>
    </row>
    <row r="15" spans="1:6">
      <c r="A15" s="3" t="s">
        <v>211</v>
      </c>
      <c r="B15" s="59">
        <v>4</v>
      </c>
      <c r="C15" s="59">
        <v>5</v>
      </c>
      <c r="D15" s="59">
        <v>4</v>
      </c>
      <c r="E15" s="59"/>
      <c r="F15" s="59"/>
    </row>
    <row r="16" spans="1:6">
      <c r="A16" s="3" t="s">
        <v>201</v>
      </c>
      <c r="B16" s="59">
        <f>1+1+1+1+1+1</f>
        <v>6</v>
      </c>
      <c r="C16" s="59">
        <v>15</v>
      </c>
      <c r="D16" s="59">
        <v>14</v>
      </c>
      <c r="E16" s="59"/>
      <c r="F16" s="59"/>
    </row>
    <row r="17" spans="1:6">
      <c r="A17" s="3" t="s">
        <v>202</v>
      </c>
      <c r="B17" s="59">
        <v>11</v>
      </c>
      <c r="C17" s="59">
        <v>12</v>
      </c>
      <c r="D17" s="59">
        <v>10</v>
      </c>
      <c r="E17" s="59"/>
      <c r="F17" s="59"/>
    </row>
    <row r="18" spans="1:6">
      <c r="A18" s="3" t="s">
        <v>203</v>
      </c>
      <c r="B18" s="59">
        <v>4</v>
      </c>
      <c r="C18" s="59">
        <v>6</v>
      </c>
      <c r="D18" s="59">
        <v>6</v>
      </c>
      <c r="E18" s="59"/>
      <c r="F18" s="59"/>
    </row>
    <row r="19" spans="1:6">
      <c r="A19" s="3" t="s">
        <v>204</v>
      </c>
      <c r="B19" s="59">
        <v>4</v>
      </c>
      <c r="C19" s="59">
        <v>5</v>
      </c>
      <c r="D19" s="59">
        <v>5</v>
      </c>
      <c r="E19" s="59"/>
      <c r="F19" s="59"/>
    </row>
    <row r="20" spans="1:6">
      <c r="A20" s="3" t="s">
        <v>205</v>
      </c>
      <c r="B20" s="59">
        <v>1</v>
      </c>
      <c r="C20" s="59">
        <v>2</v>
      </c>
      <c r="D20" s="59">
        <v>2</v>
      </c>
      <c r="E20" s="59"/>
      <c r="F20" s="59"/>
    </row>
    <row r="21" spans="1:6">
      <c r="A21" s="3" t="s">
        <v>216</v>
      </c>
      <c r="B21" s="59">
        <v>8</v>
      </c>
      <c r="C21" s="59">
        <v>9</v>
      </c>
      <c r="D21" s="59">
        <v>2</v>
      </c>
      <c r="E21" s="59"/>
      <c r="F21" s="59"/>
    </row>
    <row r="22" spans="1:6">
      <c r="A22" s="3" t="s">
        <v>217</v>
      </c>
      <c r="B22" s="59">
        <v>5</v>
      </c>
      <c r="C22" s="59">
        <v>8</v>
      </c>
      <c r="D22" s="59">
        <v>5</v>
      </c>
      <c r="E22" s="59"/>
      <c r="F22" s="59">
        <v>1</v>
      </c>
    </row>
    <row r="23" spans="1:6" hidden="1">
      <c r="A23" s="3"/>
      <c r="B23" s="59"/>
      <c r="C23" s="59"/>
      <c r="D23" s="59"/>
      <c r="E23" s="59"/>
      <c r="F23" s="59"/>
    </row>
    <row r="24" spans="1:6" hidden="1">
      <c r="A24" s="3"/>
      <c r="B24" s="59"/>
      <c r="C24" s="59"/>
      <c r="D24" s="59"/>
      <c r="E24" s="59"/>
      <c r="F24" s="59"/>
    </row>
    <row r="25" spans="1:6" hidden="1">
      <c r="A25" s="3"/>
      <c r="B25" s="59"/>
      <c r="C25" s="59"/>
      <c r="D25" s="59"/>
      <c r="E25" s="59"/>
      <c r="F25" s="59"/>
    </row>
    <row r="26" spans="1:6">
      <c r="A26" s="3" t="s">
        <v>218</v>
      </c>
      <c r="B26" s="59">
        <v>10</v>
      </c>
      <c r="C26" s="59">
        <v>20</v>
      </c>
      <c r="D26" s="59">
        <v>12</v>
      </c>
      <c r="E26" s="59"/>
      <c r="F26" s="59"/>
    </row>
    <row r="27" spans="1:6" ht="15.75">
      <c r="A27" s="67" t="s">
        <v>206</v>
      </c>
      <c r="B27" s="68">
        <v>17</v>
      </c>
      <c r="C27" s="68">
        <v>47</v>
      </c>
      <c r="D27" s="68">
        <v>41</v>
      </c>
      <c r="E27" s="68"/>
      <c r="F27" s="68"/>
    </row>
    <row r="28" spans="1:6">
      <c r="A28" s="3" t="s">
        <v>219</v>
      </c>
      <c r="B28" s="59">
        <v>9</v>
      </c>
      <c r="C28" s="59">
        <v>16</v>
      </c>
      <c r="D28" s="59">
        <f>9+3</f>
        <v>12</v>
      </c>
      <c r="E28" s="59"/>
      <c r="F28" s="59">
        <v>1</v>
      </c>
    </row>
    <row r="29" spans="1:6">
      <c r="A29" s="3" t="s">
        <v>220</v>
      </c>
      <c r="B29" s="59">
        <v>11</v>
      </c>
      <c r="C29" s="59">
        <v>15</v>
      </c>
      <c r="D29" s="59">
        <f>11+3</f>
        <v>14</v>
      </c>
      <c r="E29" s="59"/>
      <c r="F29" s="59">
        <v>1</v>
      </c>
    </row>
    <row r="30" spans="1:6">
      <c r="A30" s="3" t="s">
        <v>222</v>
      </c>
      <c r="B30" s="59">
        <f>1+1+1</f>
        <v>3</v>
      </c>
      <c r="C30" s="59">
        <f>4+2+1</f>
        <v>7</v>
      </c>
      <c r="D30" s="59">
        <f>1+2</f>
        <v>3</v>
      </c>
      <c r="E30" s="59"/>
      <c r="F30" s="59"/>
    </row>
    <row r="31" spans="1:6">
      <c r="A31" s="3" t="s">
        <v>207</v>
      </c>
      <c r="B31" s="59">
        <f>1+1+1+1+1+1</f>
        <v>6</v>
      </c>
      <c r="C31" s="59">
        <v>11</v>
      </c>
      <c r="D31" s="59">
        <v>6</v>
      </c>
      <c r="E31" s="59"/>
      <c r="F31" s="59"/>
    </row>
    <row r="32" spans="1:6">
      <c r="A32" s="3" t="s">
        <v>58</v>
      </c>
      <c r="B32" s="59">
        <v>1</v>
      </c>
      <c r="C32" s="59">
        <v>4</v>
      </c>
      <c r="D32" s="59">
        <v>4</v>
      </c>
      <c r="E32" s="59"/>
      <c r="F32" s="59"/>
    </row>
    <row r="33" spans="1:6">
      <c r="A33" s="3" t="s">
        <v>59</v>
      </c>
      <c r="B33" s="59">
        <v>1</v>
      </c>
      <c r="C33" s="59">
        <v>23</v>
      </c>
      <c r="D33" s="59">
        <v>16</v>
      </c>
      <c r="E33" s="59"/>
      <c r="F33" s="59"/>
    </row>
    <row r="34" spans="1:6">
      <c r="A34" s="65" t="s">
        <v>200</v>
      </c>
      <c r="B34" s="69">
        <f>SUM(B5:B33)</f>
        <v>137</v>
      </c>
      <c r="C34" s="69">
        <f t="shared" ref="C34:F34" si="0">SUM(C5:C33)</f>
        <v>286</v>
      </c>
      <c r="D34" s="69">
        <f t="shared" si="0"/>
        <v>189</v>
      </c>
      <c r="E34" s="69">
        <f t="shared" si="0"/>
        <v>8</v>
      </c>
      <c r="F34" s="69">
        <f t="shared" si="0"/>
        <v>5</v>
      </c>
    </row>
  </sheetData>
  <mergeCells count="2"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V359"/>
  <sheetViews>
    <sheetView workbookViewId="0">
      <selection activeCell="E363" sqref="E363"/>
    </sheetView>
  </sheetViews>
  <sheetFormatPr defaultRowHeight="15"/>
  <cols>
    <col min="1" max="1" width="20.85546875" customWidth="1"/>
    <col min="2" max="2" width="10" customWidth="1"/>
    <col min="3" max="3" width="7.85546875" customWidth="1"/>
    <col min="4" max="4" width="9.42578125" customWidth="1"/>
    <col min="5" max="5" width="8" customWidth="1"/>
    <col min="6" max="6" width="7.7109375" customWidth="1"/>
    <col min="11" max="11" width="8.28515625" customWidth="1"/>
    <col min="12" max="12" width="9.42578125" customWidth="1"/>
    <col min="13" max="13" width="8.28515625" customWidth="1"/>
    <col min="14" max="14" width="9.5703125" customWidth="1"/>
    <col min="15" max="15" width="8.28515625" customWidth="1"/>
    <col min="16" max="16" width="8.140625" customWidth="1"/>
    <col min="17" max="17" width="8.85546875" customWidth="1"/>
    <col min="18" max="18" width="8.42578125" customWidth="1"/>
    <col min="20" max="21" width="8.28515625" customWidth="1"/>
    <col min="22" max="22" width="10.7109375" customWidth="1"/>
  </cols>
  <sheetData>
    <row r="1" spans="1:22" ht="15.75">
      <c r="A1" s="240" t="s">
        <v>244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3" spans="1:22">
      <c r="A3" s="241"/>
      <c r="B3" s="239" t="s">
        <v>4</v>
      </c>
      <c r="C3" s="239"/>
      <c r="D3" s="239"/>
      <c r="E3" s="239"/>
      <c r="F3" s="239"/>
      <c r="G3" s="239"/>
      <c r="H3" s="239"/>
      <c r="I3" s="239"/>
      <c r="J3" s="239"/>
      <c r="K3" s="239"/>
      <c r="L3" s="239" t="s">
        <v>5</v>
      </c>
      <c r="M3" s="239"/>
      <c r="N3" s="239"/>
      <c r="O3" s="239"/>
      <c r="P3" s="239"/>
      <c r="Q3" s="239"/>
      <c r="R3" s="239"/>
      <c r="S3" s="239"/>
      <c r="T3" s="239"/>
      <c r="U3" s="239"/>
    </row>
    <row r="4" spans="1:22">
      <c r="A4" s="241"/>
      <c r="B4" s="239" t="s">
        <v>247</v>
      </c>
      <c r="C4" s="239"/>
      <c r="D4" s="239"/>
      <c r="E4" s="239"/>
      <c r="F4" s="239"/>
      <c r="G4" s="239" t="s">
        <v>3</v>
      </c>
      <c r="H4" s="239"/>
      <c r="I4" s="239"/>
      <c r="J4" s="239"/>
      <c r="K4" s="239"/>
      <c r="L4" s="239" t="s">
        <v>247</v>
      </c>
      <c r="M4" s="239"/>
      <c r="N4" s="239"/>
      <c r="O4" s="239"/>
      <c r="P4" s="239"/>
      <c r="Q4" s="239" t="s">
        <v>3</v>
      </c>
      <c r="R4" s="239"/>
      <c r="S4" s="239"/>
      <c r="T4" s="239"/>
      <c r="U4" s="239"/>
    </row>
    <row r="5" spans="1:22" ht="15" customHeight="1">
      <c r="A5" s="241"/>
      <c r="B5" s="237" t="s">
        <v>249</v>
      </c>
      <c r="C5" s="238"/>
      <c r="D5" s="237" t="s">
        <v>248</v>
      </c>
      <c r="E5" s="238"/>
      <c r="F5" s="235" t="s">
        <v>246</v>
      </c>
      <c r="G5" s="237" t="s">
        <v>250</v>
      </c>
      <c r="H5" s="238"/>
      <c r="I5" s="239" t="s">
        <v>248</v>
      </c>
      <c r="J5" s="239"/>
      <c r="K5" s="235" t="s">
        <v>246</v>
      </c>
      <c r="L5" s="237" t="s">
        <v>250</v>
      </c>
      <c r="M5" s="238"/>
      <c r="N5" s="237" t="s">
        <v>248</v>
      </c>
      <c r="O5" s="238"/>
      <c r="P5" s="235" t="s">
        <v>246</v>
      </c>
      <c r="Q5" s="237" t="s">
        <v>250</v>
      </c>
      <c r="R5" s="238"/>
      <c r="S5" s="239" t="s">
        <v>248</v>
      </c>
      <c r="T5" s="239"/>
      <c r="U5" s="235" t="s">
        <v>246</v>
      </c>
    </row>
    <row r="6" spans="1:22" ht="39" customHeight="1">
      <c r="A6" s="241"/>
      <c r="B6" s="72" t="s">
        <v>6</v>
      </c>
      <c r="C6" s="72" t="s">
        <v>7</v>
      </c>
      <c r="D6" s="72" t="s">
        <v>6</v>
      </c>
      <c r="E6" s="72" t="s">
        <v>7</v>
      </c>
      <c r="F6" s="236"/>
      <c r="G6" s="72" t="s">
        <v>8</v>
      </c>
      <c r="H6" s="72" t="s">
        <v>7</v>
      </c>
      <c r="I6" s="72" t="s">
        <v>8</v>
      </c>
      <c r="J6" s="72" t="s">
        <v>7</v>
      </c>
      <c r="K6" s="236"/>
      <c r="L6" s="72" t="s">
        <v>6</v>
      </c>
      <c r="M6" s="72" t="s">
        <v>7</v>
      </c>
      <c r="N6" s="72" t="s">
        <v>6</v>
      </c>
      <c r="O6" s="72" t="s">
        <v>7</v>
      </c>
      <c r="P6" s="236"/>
      <c r="Q6" s="72" t="s">
        <v>8</v>
      </c>
      <c r="R6" s="72" t="s">
        <v>7</v>
      </c>
      <c r="S6" s="72" t="s">
        <v>8</v>
      </c>
      <c r="T6" s="72" t="s">
        <v>7</v>
      </c>
      <c r="U6" s="236"/>
    </row>
    <row r="7" spans="1:22" ht="42.75" customHeight="1">
      <c r="A7" s="89" t="s">
        <v>193</v>
      </c>
      <c r="B7" s="73">
        <f>B8+B18+B24+B28+B32+B40+B83+B126+B132+B134+B219+B227+B241+B252+B265+B272+B277+B279+B301+B306+B312+B323+B330+B343+B355</f>
        <v>38368.083912795002</v>
      </c>
      <c r="C7" s="74">
        <f>(B8*C8+B18*C18+B24*C24+B28*C28+B32*C32+B40*C40+B83+C83+B126*C126+B132*C132+B134*C134+B219*C219+B227*C227+B241*C241+B252*C252+B265*C265+B272*C272+B277*C277+B279*C279+B301*C301+B306*C306+B312*C312+B323*C323+B330*C330+B343*C343+B355*C355)/B7</f>
        <v>28.907068878714384</v>
      </c>
      <c r="D7" s="73">
        <f>D8+D18+D24+D28+D32+D40+D83+D126+D132+D134+D219+D227+D241+D252+D265+D272+D277+D279+D301+D306+D312+D323+D330+D343+D355</f>
        <v>38368.083912795002</v>
      </c>
      <c r="E7" s="74">
        <f>(D8*E8+D18*E18+D24*E24+D28*E28+D32*E32+D40*E40+D83+E83+D126*E126+D132*E132+D134*E134+D219*E219+D227*E227+D241*E241+D252*E252+D265*E265+D272*E272+D277*E277+D279*E279+D301*E301+D306*E306+D312*E312+D323*E323+D330*E330+D343*E343+D355*E355)/D7</f>
        <v>30.82283579260223</v>
      </c>
      <c r="F7" s="75">
        <f>E7/C7</f>
        <v>1.0662733022820765</v>
      </c>
      <c r="G7" s="73">
        <f>G8+G18+G24+G28+G32+G40+G83+G126+G132+G134+G219+G227+G241+G252+G265+G272+G277+G279+G301+G306+G312+G323+G330+G343+G355</f>
        <v>18797.298500000001</v>
      </c>
      <c r="H7" s="74">
        <f>(G8*H8+G18*H18+G24*H24+G28*H28+G32*H32+G40*H40+G83+H83+G126*H126+G132*H132+G134*H134+G219*H219+G227*H227+G241*H241+G252*H252+G265*H265+G272*H272+G277*H277+G279*H279+G301*H301+G306*H306+G312*H312+G323*H323+G330*H330+G343*H343+G355*H355)/G7</f>
        <v>23.875444240906539</v>
      </c>
      <c r="I7" s="73">
        <f>I8+I18+I24+I28+I32+I40+I83+I126+I132+I134+I219+I227+I241+I252+I265+I272+I277+I279+I301+I306+I312+I323+I330+I343+I355</f>
        <v>18891.7965</v>
      </c>
      <c r="J7" s="74">
        <f>(I8*J8+I18*J18+I24*J24+I28*J28+I32*J32+I40*J40+I83+J83+I126*J126+I132*J132+I134*J134+I219*J219+I227*J227+I241*J241+I252*J252+I265*J265+I272*J272+I277*J277+I279*J279+I301*J301+I306*J306+I312*J312+I323*J323+I330*J330+I343*J343+I355*J355)/I7</f>
        <v>25.310911625153469</v>
      </c>
      <c r="K7" s="75">
        <f>J7/H7</f>
        <v>1.0601231696366722</v>
      </c>
      <c r="L7" s="73">
        <f>L8+L18+L24+L28+L32+L40+L83+L126+L132+L134+L219+L227+L241+L252+L265+L272+L277+L279+L301+L306+L312+L323+L330+L343+L355</f>
        <v>33615.304999999993</v>
      </c>
      <c r="M7" s="74">
        <f>(L8*M8+L18*M18+L24*M24+L28*M28+L32*M32+L40*M40+L83+M83+L126*M126+L132*M132+L134*M134+L219*M219+L227*M227+L241*M241+L252*M252+L265*M265+L272*M272+L277*M277+L279*M279+L301*M301+L306*M306+L312*M312+L323*M323+L330*M330+L343*M343+L355*M355)/L7</f>
        <v>25.206162828062997</v>
      </c>
      <c r="N7" s="73">
        <f>N8+N18+N24+N28+N32+N40+N83+N126+N132+N134+N219+N227+N241+N252+N265+N272+N277+N279+N301+N306+N312+N323+N330+N343+N355</f>
        <v>33615.304999999993</v>
      </c>
      <c r="O7" s="74">
        <f>(N8*O8+N18*O18+N24*O24+N28*O28+N32*O32+N40*O40+N83+O83+N126*O126+N132*O132+N134*O134+N219*O219+N227*O227+N241*O241+N252*O252+N265*O265+N272*O272+N277*O277+N279*O279+N301*O301+N306*O306+N312*O312+N323*O323+N330*O330+N343*O343+N355*O355)/N7</f>
        <v>27.695621268942826</v>
      </c>
      <c r="P7" s="75">
        <f>O7/M7</f>
        <v>1.0987638800027197</v>
      </c>
      <c r="Q7" s="73">
        <f>Q8+Q18+Q24+Q28+Q32+Q40+Q83+Q126+Q132+Q134+Q219+Q227+Q241+Q252+Q265+Q272+Q277+Q279+Q301+Q306+Q312+Q323+Q330+Q343+Q355</f>
        <v>20588.703500000003</v>
      </c>
      <c r="R7" s="74">
        <f>(Q8*R8+Q18*R18+Q24*R24+Q28*R28+Q32*R32+Q40*R40+Q83+R83+Q126*R126+Q132*R132+Q134*R134+Q219*R219+Q227*R227+Q241*R241+Q252*R252+Q265*R265+Q272*R272+Q277*R277+Q279*R279+Q301*R301+Q306*R306+Q312*R312+Q323*R323+Q330*R330+Q343*R343+Q355*R355)/Q7</f>
        <v>21.384679878655341</v>
      </c>
      <c r="S7" s="73">
        <f>S8+S18+S24+S28+S32+S40+S83+S126+S132+S134+S219+S227+S241+S252+S265+S272+S277+S279+S301+S306+S312+S323+S330+S343+S355</f>
        <v>20588.703500000003</v>
      </c>
      <c r="T7" s="74">
        <f>(S8*T8+S18*T18+S24*T24+S28*T28+S32*T32+S40*T40+S83+T83+S126*T126+S132*T132+S134*T134+S219*T219+S227*T227+S241*T241+S252*T252+S265*T265+S272*T272+S277*T277+S279*T279+S301*T301+S306*T306+S312*T312+S323*T323+S330*T330+S343*T343+S355*T355)/S7</f>
        <v>22.764989360891551</v>
      </c>
      <c r="U7" s="75">
        <f>T7/R7</f>
        <v>1.0645466516248361</v>
      </c>
    </row>
    <row r="8" spans="1:22">
      <c r="A8" s="90" t="s">
        <v>224</v>
      </c>
      <c r="B8" s="91">
        <f>SUM(B9:B17)</f>
        <v>10847.223</v>
      </c>
      <c r="C8" s="91">
        <f>SUMPRODUCT(B9:B17,C9:C17)/B8</f>
        <v>30.85451204239094</v>
      </c>
      <c r="D8" s="91">
        <f>SUM(D9:D17)</f>
        <v>10847.223</v>
      </c>
      <c r="E8" s="91">
        <f>SUMPRODUCT(D9:D17,E9:E17)/D8</f>
        <v>32.957985309235369</v>
      </c>
      <c r="F8" s="92">
        <f>E8/C8</f>
        <v>1.0681739274941204</v>
      </c>
      <c r="G8" s="91">
        <f>SUM(G9:G17)</f>
        <v>8501.6435000000019</v>
      </c>
      <c r="H8" s="91">
        <f>SUMPRODUCT(G9:G17,H9:H17)/G8</f>
        <v>21.569999999999993</v>
      </c>
      <c r="I8" s="91">
        <f>SUM(I9:I17)</f>
        <v>8501.6435000000019</v>
      </c>
      <c r="J8" s="91">
        <f>SUMPRODUCT(I9:I17,J9:J17)/I8</f>
        <v>22.579999999999991</v>
      </c>
      <c r="K8" s="92">
        <f>J8/H8</f>
        <v>1.0468242929995364</v>
      </c>
      <c r="L8" s="91">
        <f>SUM(L9:L17)</f>
        <v>12070.099999999999</v>
      </c>
      <c r="M8" s="91">
        <f>SUMPRODUCT(L9:L17,M9:M17)/L8</f>
        <v>24.118118872254584</v>
      </c>
      <c r="N8" s="91">
        <f>SUM(N9:N17)</f>
        <v>12070.099999999999</v>
      </c>
      <c r="O8" s="91">
        <f>SUMPRODUCT(N9:N17,O9:O17)/N8</f>
        <v>28.350053860365694</v>
      </c>
      <c r="P8" s="92">
        <f>O8/M8</f>
        <v>1.1754670424557661</v>
      </c>
      <c r="Q8" s="91">
        <f>SUM(Q9:Q17)</f>
        <v>8150.375</v>
      </c>
      <c r="R8" s="91">
        <f>SUMPRODUCT(Q9:Q17,R9:R17)/Q8</f>
        <v>19.760000000000002</v>
      </c>
      <c r="S8" s="91">
        <f>SUM(S9:S17)</f>
        <v>8150.375</v>
      </c>
      <c r="T8" s="91">
        <f>SUMPRODUCT(S9:S17,T9:T17)/S8</f>
        <v>20.690000000000005</v>
      </c>
      <c r="U8" s="92">
        <f>T8/R8</f>
        <v>1.0470647773279353</v>
      </c>
      <c r="V8" s="171">
        <f>(E8+O8)/(C8+M8)</f>
        <v>1.1152465899766077</v>
      </c>
    </row>
    <row r="9" spans="1:22" ht="25.5" hidden="1">
      <c r="A9" s="93" t="s">
        <v>29</v>
      </c>
      <c r="B9" s="91">
        <f>18691.5/2</f>
        <v>9345.75</v>
      </c>
      <c r="C9" s="91">
        <v>23.89</v>
      </c>
      <c r="D9" s="91">
        <f t="shared" ref="D9:D17" si="0">B9</f>
        <v>9345.75</v>
      </c>
      <c r="E9" s="91">
        <v>25.3</v>
      </c>
      <c r="F9" s="92">
        <f t="shared" ref="F9:F17" si="1">(E9*D9)/(C9*B9)</f>
        <v>1.0590205106739221</v>
      </c>
      <c r="G9" s="94">
        <f>14951/2</f>
        <v>7475.5</v>
      </c>
      <c r="H9" s="94">
        <v>21.57</v>
      </c>
      <c r="I9" s="94">
        <f>G9</f>
        <v>7475.5</v>
      </c>
      <c r="J9" s="94">
        <v>22.58</v>
      </c>
      <c r="K9" s="92">
        <f>(J9*I9)/(H9*G9)</f>
        <v>1.0468242929995362</v>
      </c>
      <c r="L9" s="91">
        <f>21018.87/2</f>
        <v>10509.434999999999</v>
      </c>
      <c r="M9" s="91">
        <v>19.760000000000002</v>
      </c>
      <c r="N9" s="91">
        <f>L9</f>
        <v>10509.434999999999</v>
      </c>
      <c r="O9" s="91">
        <v>22.88</v>
      </c>
      <c r="P9" s="92">
        <f>(O9*N9)/(M9*L9)</f>
        <v>1.1578947368421051</v>
      </c>
      <c r="Q9" s="91">
        <f>14381.5/2</f>
        <v>7190.75</v>
      </c>
      <c r="R9" s="91">
        <v>19.760000000000002</v>
      </c>
      <c r="S9" s="91">
        <f>Q9</f>
        <v>7190.75</v>
      </c>
      <c r="T9" s="91">
        <v>20.69</v>
      </c>
      <c r="U9" s="92">
        <f>(T9*S9)/(R9*Q9)</f>
        <v>1.0470647773279353</v>
      </c>
      <c r="V9" s="171">
        <f t="shared" ref="V9:V72" si="2">(E9+O9)/(C9+M9)</f>
        <v>1.1037800687285222</v>
      </c>
    </row>
    <row r="10" spans="1:22" ht="25.5" hidden="1">
      <c r="A10" s="93" t="s">
        <v>30</v>
      </c>
      <c r="B10" s="91">
        <f>7.79/2</f>
        <v>3.895</v>
      </c>
      <c r="C10" s="91">
        <v>9.7200000000000006</v>
      </c>
      <c r="D10" s="91">
        <f t="shared" si="0"/>
        <v>3.895</v>
      </c>
      <c r="E10" s="91">
        <v>10.199999999999999</v>
      </c>
      <c r="F10" s="92">
        <f t="shared" si="1"/>
        <v>1.0493827160493827</v>
      </c>
      <c r="G10" s="94"/>
      <c r="H10" s="94"/>
      <c r="I10" s="94"/>
      <c r="J10" s="94"/>
      <c r="K10" s="92"/>
      <c r="L10" s="91"/>
      <c r="M10" s="91"/>
      <c r="N10" s="91"/>
      <c r="O10" s="91"/>
      <c r="P10" s="92"/>
      <c r="Q10" s="91"/>
      <c r="R10" s="91"/>
      <c r="S10" s="91"/>
      <c r="T10" s="91"/>
      <c r="U10" s="92"/>
      <c r="V10" s="171">
        <f t="shared" si="2"/>
        <v>1.0493827160493825</v>
      </c>
    </row>
    <row r="11" spans="1:22" ht="25.5" hidden="1">
      <c r="A11" s="93" t="s">
        <v>27</v>
      </c>
      <c r="B11" s="91">
        <f>1117.41/2</f>
        <v>558.70500000000004</v>
      </c>
      <c r="C11" s="91">
        <v>135.32</v>
      </c>
      <c r="D11" s="91">
        <f t="shared" si="0"/>
        <v>558.70500000000004</v>
      </c>
      <c r="E11" s="91">
        <v>148.69</v>
      </c>
      <c r="F11" s="92">
        <f t="shared" si="1"/>
        <v>1.0988028377180019</v>
      </c>
      <c r="G11" s="94">
        <f>847.45/2</f>
        <v>423.72500000000002</v>
      </c>
      <c r="H11" s="94">
        <v>21.57</v>
      </c>
      <c r="I11" s="94">
        <f>G11</f>
        <v>423.72500000000002</v>
      </c>
      <c r="J11" s="94">
        <v>22.58</v>
      </c>
      <c r="K11" s="92">
        <f t="shared" ref="K11:K13" si="3">(J11*I11)/(H11*G11)</f>
        <v>1.0468242929995362</v>
      </c>
      <c r="L11" s="91">
        <f>906/2</f>
        <v>453</v>
      </c>
      <c r="M11" s="91">
        <v>111.34</v>
      </c>
      <c r="N11" s="91">
        <f>L11</f>
        <v>453</v>
      </c>
      <c r="O11" s="91">
        <v>148.13</v>
      </c>
      <c r="P11" s="92">
        <f t="shared" ref="P11" si="4">(O11*N11)/(M11*L11)</f>
        <v>1.3304293156098437</v>
      </c>
      <c r="Q11" s="91">
        <f>718.1/2</f>
        <v>359.05</v>
      </c>
      <c r="R11" s="91">
        <v>19.760000000000002</v>
      </c>
      <c r="S11" s="91">
        <f>Q11</f>
        <v>359.05</v>
      </c>
      <c r="T11" s="91">
        <v>20.69</v>
      </c>
      <c r="U11" s="92">
        <f t="shared" ref="U11:U13" si="5">(T11*S11)/(R11*Q11)</f>
        <v>1.0470647773279353</v>
      </c>
      <c r="V11" s="171">
        <f t="shared" si="2"/>
        <v>1.2033568474823644</v>
      </c>
    </row>
    <row r="12" spans="1:22" ht="25.5" hidden="1">
      <c r="A12" s="93" t="s">
        <v>28</v>
      </c>
      <c r="B12" s="91">
        <f>5.8/2</f>
        <v>2.9</v>
      </c>
      <c r="C12" s="91">
        <v>57.32</v>
      </c>
      <c r="D12" s="91">
        <f t="shared" si="0"/>
        <v>2.9</v>
      </c>
      <c r="E12" s="91">
        <v>60</v>
      </c>
      <c r="F12" s="92">
        <f t="shared" si="1"/>
        <v>1.0467550593161199</v>
      </c>
      <c r="G12" s="94"/>
      <c r="H12" s="94"/>
      <c r="I12" s="94"/>
      <c r="J12" s="94"/>
      <c r="K12" s="92"/>
      <c r="L12" s="91"/>
      <c r="M12" s="91"/>
      <c r="N12" s="91"/>
      <c r="O12" s="91"/>
      <c r="P12" s="92"/>
      <c r="Q12" s="91"/>
      <c r="R12" s="91"/>
      <c r="S12" s="91"/>
      <c r="T12" s="91"/>
      <c r="U12" s="92"/>
      <c r="V12" s="171">
        <f t="shared" si="2"/>
        <v>1.0467550593161201</v>
      </c>
    </row>
    <row r="13" spans="1:22" hidden="1">
      <c r="A13" s="90" t="s">
        <v>11</v>
      </c>
      <c r="B13" s="91">
        <f>1387.91/2</f>
        <v>693.95500000000004</v>
      </c>
      <c r="C13" s="91">
        <v>38.76</v>
      </c>
      <c r="D13" s="91">
        <f t="shared" si="0"/>
        <v>693.95500000000004</v>
      </c>
      <c r="E13" s="91">
        <v>40.57</v>
      </c>
      <c r="F13" s="92">
        <f t="shared" si="1"/>
        <v>1.0466976264189887</v>
      </c>
      <c r="G13" s="95">
        <f>1194.27/2</f>
        <v>597.13499999999999</v>
      </c>
      <c r="H13" s="95">
        <v>21.57</v>
      </c>
      <c r="I13" s="94">
        <f>G13</f>
        <v>597.13499999999999</v>
      </c>
      <c r="J13" s="95">
        <v>22.58</v>
      </c>
      <c r="K13" s="92">
        <f t="shared" si="3"/>
        <v>1.0468242929995362</v>
      </c>
      <c r="L13" s="91">
        <f>1827.73/2</f>
        <v>913.86500000000001</v>
      </c>
      <c r="M13" s="91">
        <v>26.12</v>
      </c>
      <c r="N13" s="91">
        <f>L13</f>
        <v>913.86500000000001</v>
      </c>
      <c r="O13" s="91">
        <v>27.36</v>
      </c>
      <c r="P13" s="92">
        <f>(O13*N13)/(M13*L13)</f>
        <v>1.0474732006125573</v>
      </c>
      <c r="Q13" s="91">
        <f>1194.27/2</f>
        <v>597.13499999999999</v>
      </c>
      <c r="R13" s="91">
        <v>19.760000000000002</v>
      </c>
      <c r="S13" s="91">
        <f>Q13</f>
        <v>597.13499999999999</v>
      </c>
      <c r="T13" s="91">
        <v>20.69</v>
      </c>
      <c r="U13" s="92">
        <f t="shared" si="5"/>
        <v>1.0470647773279351</v>
      </c>
      <c r="V13" s="171">
        <f t="shared" si="2"/>
        <v>1.0470098643649817</v>
      </c>
    </row>
    <row r="14" spans="1:22" hidden="1">
      <c r="A14" s="90" t="s">
        <v>12</v>
      </c>
      <c r="B14" s="91">
        <f>62.1/2</f>
        <v>31.05</v>
      </c>
      <c r="C14" s="91">
        <v>18.079999999999998</v>
      </c>
      <c r="D14" s="91">
        <f t="shared" si="0"/>
        <v>31.05</v>
      </c>
      <c r="E14" s="91">
        <v>35.36</v>
      </c>
      <c r="F14" s="92">
        <f t="shared" si="1"/>
        <v>1.9557522123893807</v>
      </c>
      <c r="G14" s="94"/>
      <c r="H14" s="94"/>
      <c r="I14" s="94"/>
      <c r="J14" s="94"/>
      <c r="K14" s="92"/>
      <c r="L14" s="91"/>
      <c r="M14" s="91"/>
      <c r="N14" s="91">
        <f>L14</f>
        <v>0</v>
      </c>
      <c r="O14" s="91"/>
      <c r="P14" s="92"/>
      <c r="Q14" s="96"/>
      <c r="R14" s="96"/>
      <c r="S14" s="96"/>
      <c r="T14" s="96"/>
      <c r="U14" s="92"/>
      <c r="V14" s="171">
        <f t="shared" si="2"/>
        <v>1.9557522123893807</v>
      </c>
    </row>
    <row r="15" spans="1:22" hidden="1">
      <c r="A15" s="90" t="s">
        <v>15</v>
      </c>
      <c r="B15" s="91">
        <f>(255.069+3.687)/2</f>
        <v>129.37799999999999</v>
      </c>
      <c r="C15" s="91">
        <v>32.71</v>
      </c>
      <c r="D15" s="91">
        <f t="shared" si="0"/>
        <v>129.37799999999999</v>
      </c>
      <c r="E15" s="91">
        <v>34.159999999999997</v>
      </c>
      <c r="F15" s="92">
        <f t="shared" si="1"/>
        <v>1.0443289513910119</v>
      </c>
      <c r="G15" s="94">
        <f>3.687/2</f>
        <v>1.8434999999999999</v>
      </c>
      <c r="H15" s="94">
        <v>21.57</v>
      </c>
      <c r="I15" s="94">
        <f>G15</f>
        <v>1.8434999999999999</v>
      </c>
      <c r="J15" s="94">
        <v>22.58</v>
      </c>
      <c r="K15" s="92">
        <f>(J15*I15)/(H15*G15)</f>
        <v>1.0468242929995364</v>
      </c>
      <c r="L15" s="91">
        <f>(184.8)/2</f>
        <v>92.4</v>
      </c>
      <c r="M15" s="91">
        <v>52.27</v>
      </c>
      <c r="N15" s="91">
        <f>L15</f>
        <v>92.4</v>
      </c>
      <c r="O15" s="91">
        <v>55.52</v>
      </c>
      <c r="P15" s="92">
        <f>(O15*N15)/(M15*L15)</f>
        <v>1.0621771570690646</v>
      </c>
      <c r="Q15" s="96">
        <v>0</v>
      </c>
      <c r="R15" s="96"/>
      <c r="S15" s="96">
        <f>Q15</f>
        <v>0</v>
      </c>
      <c r="T15" s="96"/>
      <c r="U15" s="92"/>
      <c r="V15" s="171">
        <f t="shared" si="2"/>
        <v>1.0553071310896682</v>
      </c>
    </row>
    <row r="16" spans="1:22" hidden="1">
      <c r="A16" s="90" t="s">
        <v>53</v>
      </c>
      <c r="B16" s="91">
        <f>125.6/2</f>
        <v>62.8</v>
      </c>
      <c r="C16" s="91">
        <v>46.66</v>
      </c>
      <c r="D16" s="91">
        <f>B16</f>
        <v>62.8</v>
      </c>
      <c r="E16" s="91">
        <v>49.52</v>
      </c>
      <c r="F16" s="92">
        <f t="shared" si="1"/>
        <v>1.0612944706386629</v>
      </c>
      <c r="G16" s="91">
        <f>6.88/2</f>
        <v>3.44</v>
      </c>
      <c r="H16" s="91">
        <v>21.57</v>
      </c>
      <c r="I16" s="91">
        <f>G16</f>
        <v>3.44</v>
      </c>
      <c r="J16" s="91">
        <v>22.58</v>
      </c>
      <c r="K16" s="92">
        <f t="shared" ref="K16" si="6">(J16*I16)/(H16*G16)</f>
        <v>1.0468242929995362</v>
      </c>
      <c r="L16" s="91">
        <f>127.02/2</f>
        <v>63.51</v>
      </c>
      <c r="M16" s="91">
        <v>44.74</v>
      </c>
      <c r="N16" s="91">
        <f>L16</f>
        <v>63.51</v>
      </c>
      <c r="O16" s="91">
        <v>47.51</v>
      </c>
      <c r="P16" s="92">
        <f t="shared" ref="P16" si="7">(O16*N16)/(M16*L16)</f>
        <v>1.0619132767098791</v>
      </c>
      <c r="Q16" s="96">
        <f>6.88/2</f>
        <v>3.44</v>
      </c>
      <c r="R16" s="96">
        <v>19.760000000000002</v>
      </c>
      <c r="S16" s="96">
        <f>Q16</f>
        <v>3.44</v>
      </c>
      <c r="T16" s="96">
        <v>20.69</v>
      </c>
      <c r="U16" s="92">
        <f t="shared" ref="U16" si="8">T16/R16</f>
        <v>1.0470647773279351</v>
      </c>
      <c r="V16" s="171">
        <f t="shared" si="2"/>
        <v>1.0615973741794311</v>
      </c>
    </row>
    <row r="17" spans="1:22" hidden="1">
      <c r="A17" s="90" t="s">
        <v>13</v>
      </c>
      <c r="B17" s="91">
        <f>37.58/2</f>
        <v>18.79</v>
      </c>
      <c r="C17" s="91">
        <v>52.5</v>
      </c>
      <c r="D17" s="91">
        <f t="shared" si="0"/>
        <v>18.79</v>
      </c>
      <c r="E17" s="91">
        <v>52.5</v>
      </c>
      <c r="F17" s="92">
        <f t="shared" si="1"/>
        <v>1</v>
      </c>
      <c r="G17" s="94"/>
      <c r="H17" s="94"/>
      <c r="I17" s="94"/>
      <c r="J17" s="94"/>
      <c r="K17" s="92"/>
      <c r="L17" s="91">
        <f>75.78/2</f>
        <v>37.89</v>
      </c>
      <c r="M17" s="91">
        <v>38.619999999999997</v>
      </c>
      <c r="N17" s="91">
        <f>L17</f>
        <v>37.89</v>
      </c>
      <c r="O17" s="91">
        <v>39.020000000000003</v>
      </c>
      <c r="P17" s="92">
        <f>(O17*N17)/(M17*L17)</f>
        <v>1.0103573278094253</v>
      </c>
      <c r="Q17" s="96"/>
      <c r="R17" s="96"/>
      <c r="S17" s="96"/>
      <c r="T17" s="96"/>
      <c r="U17" s="92"/>
      <c r="V17" s="171">
        <f t="shared" si="2"/>
        <v>1.0043898156277438</v>
      </c>
    </row>
    <row r="18" spans="1:22">
      <c r="A18" s="97" t="s">
        <v>225</v>
      </c>
      <c r="B18" s="91">
        <f>SUM(B19:B23)</f>
        <v>1061.7099999999996</v>
      </c>
      <c r="C18" s="91">
        <f>SUMPRODUCT(B19:B23,C19:C23)/B18</f>
        <v>26.329244238068789</v>
      </c>
      <c r="D18" s="91">
        <f>SUM(D19:D23)</f>
        <v>1061.7099999999996</v>
      </c>
      <c r="E18" s="91">
        <f>SUMPRODUCT(D19:D23,E19:E23)/D18</f>
        <v>29.055365448192081</v>
      </c>
      <c r="F18" s="92">
        <f>E18/C18</f>
        <v>1.1035396681148053</v>
      </c>
      <c r="G18" s="91">
        <f>SUM(G19:G23)</f>
        <v>732.98</v>
      </c>
      <c r="H18" s="91">
        <f>SUMPRODUCT(G19:G23,H19:H23)/G18</f>
        <v>31.77</v>
      </c>
      <c r="I18" s="91">
        <f>SUM(I19:I23)</f>
        <v>732.98</v>
      </c>
      <c r="J18" s="91">
        <f>SUMPRODUCT(I19:I23,J19:J23)/I18</f>
        <v>35.03</v>
      </c>
      <c r="K18" s="92">
        <f>J18/H18</f>
        <v>1.102612527541706</v>
      </c>
      <c r="L18" s="91">
        <f>SUM(L19:L23)</f>
        <v>1684.7000000000003</v>
      </c>
      <c r="M18" s="91">
        <f>SUMPRODUCT(L19:L23,M19:M23)/L18</f>
        <v>13.503225381373538</v>
      </c>
      <c r="N18" s="91">
        <f>SUM(N19:N23)</f>
        <v>1684.7000000000003</v>
      </c>
      <c r="O18" s="91">
        <f>SUMPRODUCT(N19:N23,O19:O23)/N18</f>
        <v>15.252882293583429</v>
      </c>
      <c r="P18" s="92">
        <f>O18/M18</f>
        <v>1.1295732584470806</v>
      </c>
      <c r="Q18" s="91">
        <f>SUM(Q19:Q23)</f>
        <v>1106.665</v>
      </c>
      <c r="R18" s="91">
        <f>SUMPRODUCT(Q19:Q23,R19:R23)/Q18</f>
        <v>15.02</v>
      </c>
      <c r="S18" s="91">
        <f>SUM(S19:S23)</f>
        <v>1106.665</v>
      </c>
      <c r="T18" s="91">
        <f>SUMPRODUCT(S19:S23,T19:T23)/S18</f>
        <v>17.010000000000002</v>
      </c>
      <c r="U18" s="92">
        <f>T18/R18</f>
        <v>1.1324900133155793</v>
      </c>
      <c r="V18" s="171">
        <f t="shared" si="2"/>
        <v>1.1123650671197285</v>
      </c>
    </row>
    <row r="19" spans="1:22" hidden="1">
      <c r="A19" s="90" t="s">
        <v>32</v>
      </c>
      <c r="B19" s="91">
        <f>1.5/2</f>
        <v>0.75</v>
      </c>
      <c r="C19" s="91">
        <v>17.579999999999998</v>
      </c>
      <c r="D19" s="91">
        <f>B19</f>
        <v>0.75</v>
      </c>
      <c r="E19" s="91">
        <v>18.09</v>
      </c>
      <c r="F19" s="92">
        <f>(E19*D19)/(C19*B19)</f>
        <v>1.0290102389078499</v>
      </c>
      <c r="G19" s="91"/>
      <c r="H19" s="91"/>
      <c r="I19" s="91"/>
      <c r="J19" s="91"/>
      <c r="K19" s="92"/>
      <c r="L19" s="91">
        <f>5285.17/2-3028.63/2-2147.25/2</f>
        <v>54.644999999999982</v>
      </c>
      <c r="M19" s="91">
        <v>7.52</v>
      </c>
      <c r="N19" s="91">
        <f>L19</f>
        <v>54.644999999999982</v>
      </c>
      <c r="O19" s="91">
        <v>7.77</v>
      </c>
      <c r="P19" s="92">
        <f>(O19*N19)/(M19*L19)</f>
        <v>1.0332446808510638</v>
      </c>
      <c r="Q19" s="91"/>
      <c r="R19" s="91"/>
      <c r="S19" s="91"/>
      <c r="T19" s="91"/>
      <c r="U19" s="98"/>
      <c r="V19" s="171">
        <f t="shared" si="2"/>
        <v>1.0302788844621515</v>
      </c>
    </row>
    <row r="20" spans="1:22" hidden="1">
      <c r="A20" s="90" t="s">
        <v>33</v>
      </c>
      <c r="B20" s="91">
        <f>2194.46/2-31.2/2-2113.85/2</f>
        <v>24.705000000000155</v>
      </c>
      <c r="C20" s="91">
        <v>8.32</v>
      </c>
      <c r="D20" s="91">
        <f>B20</f>
        <v>24.705000000000155</v>
      </c>
      <c r="E20" s="91">
        <v>9.77</v>
      </c>
      <c r="F20" s="92">
        <f>(E20*D20)/(C20*B20)</f>
        <v>1.1742788461538463</v>
      </c>
      <c r="G20" s="91"/>
      <c r="H20" s="91"/>
      <c r="I20" s="91"/>
      <c r="J20" s="91"/>
      <c r="K20" s="92"/>
      <c r="L20" s="91">
        <f>183.61/2</f>
        <v>91.805000000000007</v>
      </c>
      <c r="M20" s="91">
        <v>1.26</v>
      </c>
      <c r="N20" s="91">
        <f>L20</f>
        <v>91.805000000000007</v>
      </c>
      <c r="O20" s="91">
        <v>1.33</v>
      </c>
      <c r="P20" s="92">
        <f>(O20*N20)/(M20*L20)</f>
        <v>1.0555555555555556</v>
      </c>
      <c r="Q20" s="91"/>
      <c r="R20" s="91"/>
      <c r="S20" s="91"/>
      <c r="T20" s="91"/>
      <c r="U20" s="98"/>
      <c r="V20" s="171">
        <f t="shared" si="2"/>
        <v>1.1586638830897704</v>
      </c>
    </row>
    <row r="21" spans="1:22" hidden="1">
      <c r="A21" s="90" t="s">
        <v>34</v>
      </c>
      <c r="B21" s="91">
        <f>38081.57/2-37759/2</f>
        <v>161.28499999999985</v>
      </c>
      <c r="C21" s="91">
        <v>1.44</v>
      </c>
      <c r="D21" s="91">
        <f>B21</f>
        <v>161.28499999999985</v>
      </c>
      <c r="E21" s="91">
        <v>1.66</v>
      </c>
      <c r="F21" s="92">
        <f>(E21*D21)/(C21*B21)</f>
        <v>1.1527777777777777</v>
      </c>
      <c r="G21" s="91"/>
      <c r="H21" s="91"/>
      <c r="I21" s="91"/>
      <c r="J21" s="91"/>
      <c r="K21" s="92"/>
      <c r="L21" s="91">
        <f>188.11/2</f>
        <v>94.055000000000007</v>
      </c>
      <c r="M21" s="91">
        <v>5.64</v>
      </c>
      <c r="N21" s="91">
        <f>L21</f>
        <v>94.055000000000007</v>
      </c>
      <c r="O21" s="91">
        <v>6.21</v>
      </c>
      <c r="P21" s="92">
        <f>(O21*N21)/(M21*L21)</f>
        <v>1.1010638297872342</v>
      </c>
      <c r="Q21" s="91"/>
      <c r="R21" s="91"/>
      <c r="S21" s="91"/>
      <c r="T21" s="91"/>
      <c r="U21" s="98"/>
      <c r="V21" s="171">
        <f t="shared" si="2"/>
        <v>1.1115819209039548</v>
      </c>
    </row>
    <row r="22" spans="1:22" hidden="1">
      <c r="A22" s="90" t="s">
        <v>35</v>
      </c>
      <c r="B22" s="91">
        <f>31590.53/2-31570.23/2</f>
        <v>10.149999999999636</v>
      </c>
      <c r="C22" s="91">
        <v>2.73</v>
      </c>
      <c r="D22" s="91">
        <f>B22</f>
        <v>10.149999999999636</v>
      </c>
      <c r="E22" s="91">
        <v>3.06</v>
      </c>
      <c r="F22" s="92">
        <f>(E22*D22)/(C22*B22)</f>
        <v>1.1208791208791209</v>
      </c>
      <c r="G22" s="91"/>
      <c r="H22" s="91"/>
      <c r="I22" s="91"/>
      <c r="J22" s="91"/>
      <c r="K22" s="92"/>
      <c r="L22" s="91"/>
      <c r="M22" s="91"/>
      <c r="N22" s="91"/>
      <c r="O22" s="91"/>
      <c r="P22" s="92"/>
      <c r="Q22" s="91"/>
      <c r="R22" s="91"/>
      <c r="S22" s="91"/>
      <c r="T22" s="91"/>
      <c r="U22" s="98"/>
      <c r="V22" s="171">
        <f t="shared" si="2"/>
        <v>1.1208791208791209</v>
      </c>
    </row>
    <row r="23" spans="1:22" hidden="1">
      <c r="A23" s="90" t="s">
        <v>36</v>
      </c>
      <c r="B23" s="91">
        <f>1841.99/2-112.35/2</f>
        <v>864.82</v>
      </c>
      <c r="C23" s="91">
        <v>31.77</v>
      </c>
      <c r="D23" s="91">
        <f>B23</f>
        <v>864.82</v>
      </c>
      <c r="E23" s="91">
        <v>35.03</v>
      </c>
      <c r="F23" s="92">
        <f>(E23*D23)/(C23*B23)</f>
        <v>1.102612527541706</v>
      </c>
      <c r="G23" s="91">
        <f>1465.96/2</f>
        <v>732.98</v>
      </c>
      <c r="H23" s="91">
        <v>31.77</v>
      </c>
      <c r="I23" s="91">
        <f>G23</f>
        <v>732.98</v>
      </c>
      <c r="J23" s="91">
        <v>35.03</v>
      </c>
      <c r="K23" s="92">
        <f>(J23*I23)/(H23*G23)</f>
        <v>1.102612527541706</v>
      </c>
      <c r="L23" s="91">
        <f>3028.63/2-140.24/2</f>
        <v>1444.1950000000002</v>
      </c>
      <c r="M23" s="91">
        <v>15.02</v>
      </c>
      <c r="N23" s="91">
        <f>L23</f>
        <v>1444.1950000000002</v>
      </c>
      <c r="O23" s="91">
        <v>17.010000000000002</v>
      </c>
      <c r="P23" s="92">
        <f>(O23*N23)/(M23*L23)</f>
        <v>1.1324900133155793</v>
      </c>
      <c r="Q23" s="91">
        <f>2213.33/2</f>
        <v>1106.665</v>
      </c>
      <c r="R23" s="91">
        <v>15.02</v>
      </c>
      <c r="S23" s="91">
        <f>Q23</f>
        <v>1106.665</v>
      </c>
      <c r="T23" s="91">
        <v>17.010000000000002</v>
      </c>
      <c r="U23" s="92">
        <f>(T23*S23)/(R23*Q23)</f>
        <v>1.1324900133155793</v>
      </c>
      <c r="V23" s="171">
        <f t="shared" si="2"/>
        <v>1.1122034622782648</v>
      </c>
    </row>
    <row r="24" spans="1:22">
      <c r="A24" s="97" t="s">
        <v>226</v>
      </c>
      <c r="B24" s="91">
        <f>SUM(B25:B27)</f>
        <v>2063.4050000000002</v>
      </c>
      <c r="C24" s="91">
        <f>SUMPRODUCT(B25:B27,C25:C27)/B24</f>
        <v>34.540719611515911</v>
      </c>
      <c r="D24" s="91">
        <f>SUM(D25:D27)</f>
        <v>2063.4050000000002</v>
      </c>
      <c r="E24" s="91">
        <f>SUMPRODUCT(D25:D27,E25:E27)/D24</f>
        <v>36.648427187100928</v>
      </c>
      <c r="F24" s="92">
        <f>E24/C24</f>
        <v>1.061020951482502</v>
      </c>
      <c r="G24" s="91">
        <f>SUM(G25:G27)</f>
        <v>950.94499999999994</v>
      </c>
      <c r="H24" s="91">
        <f>SUMPRODUCT(G25:G27,H25:H27)/G24</f>
        <v>20.93</v>
      </c>
      <c r="I24" s="91">
        <f>SUM(I25:I27)</f>
        <v>950.94499999999994</v>
      </c>
      <c r="J24" s="91">
        <f>SUMPRODUCT(I25:I27,J25:J27)/I24</f>
        <v>21.949328720378151</v>
      </c>
      <c r="K24" s="92">
        <f>J24/H24</f>
        <v>1.0487018022158696</v>
      </c>
      <c r="L24" s="91">
        <f>SUM(L25:L27)</f>
        <v>1945.2950000000001</v>
      </c>
      <c r="M24" s="91">
        <f>SUMPRODUCT(L25:L27,M25:M27)/L24</f>
        <v>27.691892052362235</v>
      </c>
      <c r="N24" s="91">
        <f>SUM(N25:N27)</f>
        <v>1945.2950000000001</v>
      </c>
      <c r="O24" s="91">
        <f>SUMPRODUCT(N25:N27,O25:O27)/N24</f>
        <v>29.914735271514086</v>
      </c>
      <c r="P24" s="92">
        <f>O24/M24</f>
        <v>1.0802705432676361</v>
      </c>
      <c r="Q24" s="91">
        <f>SUM(Q25:Q27)</f>
        <v>981.13499999999999</v>
      </c>
      <c r="R24" s="91">
        <f>SUMPRODUCT(Q25:Q27,R25:R27)/Q24</f>
        <v>18.59</v>
      </c>
      <c r="S24" s="91">
        <f>SUM(S25:S27)</f>
        <v>981.13499999999999</v>
      </c>
      <c r="T24" s="91">
        <f>SUMPRODUCT(S25:S27,T25:T27)/S24</f>
        <v>20.599652800073383</v>
      </c>
      <c r="U24" s="92">
        <f>T24/R24</f>
        <v>1.1081039698802251</v>
      </c>
      <c r="V24" s="171">
        <f t="shared" si="2"/>
        <v>1.0695865186909785</v>
      </c>
    </row>
    <row r="25" spans="1:22" hidden="1">
      <c r="A25" s="97" t="s">
        <v>56</v>
      </c>
      <c r="B25" s="91">
        <f>2180.07/2</f>
        <v>1090.0350000000001</v>
      </c>
      <c r="C25" s="91">
        <v>20.93</v>
      </c>
      <c r="D25" s="91">
        <f>B25</f>
        <v>1090.0350000000001</v>
      </c>
      <c r="E25" s="91">
        <v>21.92</v>
      </c>
      <c r="F25" s="92">
        <f>(E25*D25)/(C25*B25)</f>
        <v>1.0473005255613952</v>
      </c>
      <c r="G25" s="99">
        <f>1790.33/2</f>
        <v>895.16499999999996</v>
      </c>
      <c r="H25" s="99">
        <v>20.93</v>
      </c>
      <c r="I25" s="99">
        <f>G25</f>
        <v>895.16499999999996</v>
      </c>
      <c r="J25" s="99">
        <v>21.92</v>
      </c>
      <c r="K25" s="92">
        <f t="shared" ref="K25:K26" si="9">(J25*I25)/(H25*G25)</f>
        <v>1.0473005255613952</v>
      </c>
      <c r="L25" s="91">
        <f>2024.78/2</f>
        <v>1012.39</v>
      </c>
      <c r="M25" s="91">
        <v>18.59</v>
      </c>
      <c r="N25" s="91">
        <f>L25</f>
        <v>1012.39</v>
      </c>
      <c r="O25" s="91">
        <v>20.66</v>
      </c>
      <c r="P25" s="92">
        <f>(O25*N25)/(M25*L25)</f>
        <v>1.1113501882732653</v>
      </c>
      <c r="Q25" s="96">
        <f>1804.38/2</f>
        <v>902.19</v>
      </c>
      <c r="R25" s="96">
        <v>18.59</v>
      </c>
      <c r="S25" s="96">
        <f>Q25</f>
        <v>902.19</v>
      </c>
      <c r="T25" s="96">
        <v>20.66</v>
      </c>
      <c r="U25" s="92">
        <f t="shared" ref="U25:U26" si="10">T25/R25</f>
        <v>1.1113501882732653</v>
      </c>
      <c r="V25" s="171">
        <f t="shared" si="2"/>
        <v>1.077429149797571</v>
      </c>
    </row>
    <row r="26" spans="1:22" hidden="1">
      <c r="A26" s="97" t="s">
        <v>57</v>
      </c>
      <c r="B26" s="91">
        <f>396.74/2</f>
        <v>198.37</v>
      </c>
      <c r="C26" s="91">
        <v>40.299999999999997</v>
      </c>
      <c r="D26" s="91">
        <f>B26</f>
        <v>198.37</v>
      </c>
      <c r="E26" s="91">
        <v>43.11</v>
      </c>
      <c r="F26" s="92">
        <f>(E26*D26)/(C26*B26)</f>
        <v>1.069727047146402</v>
      </c>
      <c r="G26" s="99">
        <f>111.56/2</f>
        <v>55.78</v>
      </c>
      <c r="H26" s="99">
        <v>20.93</v>
      </c>
      <c r="I26" s="99">
        <f t="shared" ref="I26" si="11">G26</f>
        <v>55.78</v>
      </c>
      <c r="J26" s="99">
        <v>22.42</v>
      </c>
      <c r="K26" s="92">
        <f t="shared" si="9"/>
        <v>1.071189679885332</v>
      </c>
      <c r="L26" s="91">
        <f>580.81/2</f>
        <v>290.40499999999997</v>
      </c>
      <c r="M26" s="91">
        <v>28.01</v>
      </c>
      <c r="N26" s="91">
        <f t="shared" ref="N26:N27" si="12">L26</f>
        <v>290.40499999999997</v>
      </c>
      <c r="O26" s="91">
        <v>29.71</v>
      </c>
      <c r="P26" s="92">
        <f t="shared" ref="P26:P27" si="13">(O26*N26)/(M26*L26)</f>
        <v>1.0606926097822207</v>
      </c>
      <c r="Q26" s="96">
        <f>157.89/2</f>
        <v>78.944999999999993</v>
      </c>
      <c r="R26" s="96">
        <v>18.59</v>
      </c>
      <c r="S26" s="96">
        <f t="shared" ref="S26" si="14">Q26</f>
        <v>78.944999999999993</v>
      </c>
      <c r="T26" s="96">
        <v>19.91</v>
      </c>
      <c r="U26" s="92">
        <f t="shared" si="10"/>
        <v>1.0710059171597632</v>
      </c>
      <c r="V26" s="171">
        <f t="shared" si="2"/>
        <v>1.0660225442834137</v>
      </c>
    </row>
    <row r="27" spans="1:22" hidden="1">
      <c r="A27" s="97" t="s">
        <v>57</v>
      </c>
      <c r="B27" s="91">
        <v>775</v>
      </c>
      <c r="C27" s="91">
        <v>52.21</v>
      </c>
      <c r="D27" s="91">
        <f>B27</f>
        <v>775</v>
      </c>
      <c r="E27" s="91">
        <v>55.71</v>
      </c>
      <c r="F27" s="92">
        <f>(E27*D27)/(C27*B27)</f>
        <v>1.0670369660984487</v>
      </c>
      <c r="G27" s="99"/>
      <c r="H27" s="99"/>
      <c r="I27" s="99"/>
      <c r="J27" s="99"/>
      <c r="K27" s="92"/>
      <c r="L27" s="91">
        <f>1285/2</f>
        <v>642.5</v>
      </c>
      <c r="M27" s="91">
        <v>41.89</v>
      </c>
      <c r="N27" s="91">
        <f t="shared" si="12"/>
        <v>642.5</v>
      </c>
      <c r="O27" s="91">
        <v>44.59</v>
      </c>
      <c r="P27" s="92">
        <f t="shared" si="13"/>
        <v>1.0644545237526857</v>
      </c>
      <c r="Q27" s="96"/>
      <c r="R27" s="96"/>
      <c r="S27" s="96"/>
      <c r="T27" s="96"/>
      <c r="U27" s="92"/>
      <c r="V27" s="171">
        <f t="shared" si="2"/>
        <v>1.0658873538788525</v>
      </c>
    </row>
    <row r="28" spans="1:22">
      <c r="A28" s="97" t="s">
        <v>227</v>
      </c>
      <c r="B28" s="100">
        <f>SUM(B29:B31)</f>
        <v>1920.192</v>
      </c>
      <c r="C28" s="100">
        <f>SUMPRODUCT(B29:B31,C29:C31)/B28</f>
        <v>10.247535871412859</v>
      </c>
      <c r="D28" s="100">
        <f>SUM(D29:D31)</f>
        <v>1920.192</v>
      </c>
      <c r="E28" s="100">
        <f>SUMPRODUCT(D29:D31,E29:E31)/D28</f>
        <v>10.308914108589143</v>
      </c>
      <c r="F28" s="101">
        <f>E28/C28</f>
        <v>1.0059895606072</v>
      </c>
      <c r="G28" s="100">
        <f>SUM(G29:G31)</f>
        <v>726.42499999999995</v>
      </c>
      <c r="H28" s="100">
        <f>SUMPRODUCT(G29:G31,H29:H31)/G28</f>
        <v>17.2</v>
      </c>
      <c r="I28" s="100">
        <f>SUM(I29:I31)</f>
        <v>726.42499999999995</v>
      </c>
      <c r="J28" s="100">
        <f>SUMPRODUCT(I29:I31,J29:J31)/I28</f>
        <v>17.3</v>
      </c>
      <c r="K28" s="101">
        <f>J28/H28</f>
        <v>1.0058139534883721</v>
      </c>
      <c r="L28" s="91">
        <f>SUM(L29:L31)</f>
        <v>1977.0435000000002</v>
      </c>
      <c r="M28" s="91">
        <f>SUMPRODUCT(L29:L31,M29:M31)/L28</f>
        <v>14.11663817715695</v>
      </c>
      <c r="N28" s="91">
        <f>SUM(N29:N31)</f>
        <v>1977.0435000000002</v>
      </c>
      <c r="O28" s="91">
        <f>SUMPRODUCT(N29:N31,O29:O31)/N28</f>
        <v>15.078327629108816</v>
      </c>
      <c r="P28" s="92">
        <f>O28/M28</f>
        <v>1.0681245378597319</v>
      </c>
      <c r="Q28" s="91">
        <f>SUM(Q29:Q31)</f>
        <v>1250.8565000000001</v>
      </c>
      <c r="R28" s="91">
        <f>SUMPRODUCT(Q29:Q31,R29:R31)/Q28</f>
        <v>17.18</v>
      </c>
      <c r="S28" s="91">
        <f>SUM(S29:S31)</f>
        <v>1250.8565000000001</v>
      </c>
      <c r="T28" s="91">
        <f>SUMPRODUCT(S29:S31,T29:T31)/S28</f>
        <v>18.7</v>
      </c>
      <c r="U28" s="92">
        <f>T28/R28</f>
        <v>1.0884749708963912</v>
      </c>
      <c r="V28" s="171">
        <f t="shared" si="2"/>
        <v>1.0419906575568156</v>
      </c>
    </row>
    <row r="29" spans="1:22" hidden="1">
      <c r="A29" s="97" t="s">
        <v>16</v>
      </c>
      <c r="B29" s="91">
        <v>709.11199999999997</v>
      </c>
      <c r="C29" s="91">
        <v>5.45</v>
      </c>
      <c r="D29" s="91">
        <f>B29</f>
        <v>709.11199999999997</v>
      </c>
      <c r="E29" s="91">
        <v>5.45</v>
      </c>
      <c r="F29" s="92">
        <f>(E29*D29)/(C29*B29)</f>
        <v>1</v>
      </c>
      <c r="G29" s="95"/>
      <c r="H29" s="95"/>
      <c r="I29" s="95"/>
      <c r="J29" s="95"/>
      <c r="K29" s="92"/>
      <c r="L29" s="91">
        <v>726.18700000000001</v>
      </c>
      <c r="M29" s="91">
        <v>8.84</v>
      </c>
      <c r="N29" s="91">
        <f>L29</f>
        <v>726.18700000000001</v>
      </c>
      <c r="O29" s="91">
        <v>8.84</v>
      </c>
      <c r="P29" s="92">
        <f>(O29*N29)/(M29*L29)</f>
        <v>1</v>
      </c>
      <c r="Q29" s="96"/>
      <c r="R29" s="96"/>
      <c r="S29" s="96"/>
      <c r="T29" s="96"/>
      <c r="U29" s="98"/>
      <c r="V29" s="171">
        <f t="shared" si="2"/>
        <v>1</v>
      </c>
    </row>
    <row r="30" spans="1:22" hidden="1">
      <c r="A30" s="97" t="s">
        <v>16</v>
      </c>
      <c r="B30" s="91">
        <v>325</v>
      </c>
      <c r="C30" s="91">
        <v>1.76</v>
      </c>
      <c r="D30" s="91">
        <v>325</v>
      </c>
      <c r="E30" s="91">
        <v>1.85</v>
      </c>
      <c r="F30" s="92">
        <f>(E30*D30)/(C30*B30)</f>
        <v>1.0511363636363635</v>
      </c>
      <c r="G30" s="95"/>
      <c r="H30" s="95"/>
      <c r="I30" s="95"/>
      <c r="J30" s="95"/>
      <c r="K30" s="92"/>
      <c r="L30" s="91"/>
      <c r="M30" s="91"/>
      <c r="N30" s="91"/>
      <c r="O30" s="91"/>
      <c r="P30" s="92"/>
      <c r="Q30" s="96"/>
      <c r="R30" s="96"/>
      <c r="S30" s="96"/>
      <c r="T30" s="96"/>
      <c r="U30" s="98"/>
      <c r="V30" s="171">
        <f t="shared" si="2"/>
        <v>1.0511363636363638</v>
      </c>
    </row>
    <row r="31" spans="1:22" hidden="1">
      <c r="A31" s="97" t="s">
        <v>17</v>
      </c>
      <c r="B31" s="91">
        <v>886.08</v>
      </c>
      <c r="C31" s="91">
        <v>17.2</v>
      </c>
      <c r="D31" s="91">
        <f>B31</f>
        <v>886.08</v>
      </c>
      <c r="E31" s="91">
        <v>17.3</v>
      </c>
      <c r="F31" s="92">
        <f>(E31*D31)/(C31*B31)</f>
        <v>1.0058139534883721</v>
      </c>
      <c r="G31" s="95">
        <v>726.42499999999995</v>
      </c>
      <c r="H31" s="95">
        <v>17.2</v>
      </c>
      <c r="I31" s="95">
        <f>G31</f>
        <v>726.42499999999995</v>
      </c>
      <c r="J31" s="95">
        <v>17.3</v>
      </c>
      <c r="K31" s="92">
        <f t="shared" ref="K31" si="15">(J31*I31)/(H31*G31)</f>
        <v>1.0058139534883723</v>
      </c>
      <c r="L31" s="91">
        <f>2501.713/2</f>
        <v>1250.8565000000001</v>
      </c>
      <c r="M31" s="91">
        <v>17.18</v>
      </c>
      <c r="N31" s="91">
        <f>L31</f>
        <v>1250.8565000000001</v>
      </c>
      <c r="O31" s="91">
        <v>18.7</v>
      </c>
      <c r="P31" s="92">
        <f>(O31*N31)/(M31*L31)</f>
        <v>1.088474970896391</v>
      </c>
      <c r="Q31" s="91">
        <f>2501.713/2</f>
        <v>1250.8565000000001</v>
      </c>
      <c r="R31" s="91">
        <v>17.18</v>
      </c>
      <c r="S31" s="91">
        <f>Q31</f>
        <v>1250.8565000000001</v>
      </c>
      <c r="T31" s="91">
        <v>18.7</v>
      </c>
      <c r="U31" s="92">
        <f>(T31*S31)/(R31*Q31)</f>
        <v>1.088474970896391</v>
      </c>
      <c r="V31" s="171">
        <f t="shared" si="2"/>
        <v>1.0471204188481678</v>
      </c>
    </row>
    <row r="32" spans="1:22">
      <c r="A32" s="97" t="s">
        <v>228</v>
      </c>
      <c r="B32" s="102">
        <f>SUM(B33:B39)</f>
        <v>14057.858999999999</v>
      </c>
      <c r="C32" s="102">
        <f>SUMPRODUCT(B33:B39,C33:C39)/B32</f>
        <v>22.253153259682005</v>
      </c>
      <c r="D32" s="102">
        <f>SUM(D33:D39)</f>
        <v>14057.858999999999</v>
      </c>
      <c r="E32" s="102">
        <f>SUMPRODUCT(D33:D39,E33:E39)/D32</f>
        <v>23.396490445664597</v>
      </c>
      <c r="F32" s="103">
        <f>E32/C32</f>
        <v>1.0513786595832275</v>
      </c>
      <c r="G32" s="102">
        <f>SUM(G33:G39)</f>
        <v>3254.8249999999998</v>
      </c>
      <c r="H32" s="102">
        <f>SUMPRODUCT(G33:G39,H33:H39)/G32</f>
        <v>22.297321054127334</v>
      </c>
      <c r="I32" s="102">
        <f>SUM(I33:I39)</f>
        <v>3254.8249999999998</v>
      </c>
      <c r="J32" s="102">
        <f>SUMPRODUCT(I33:I39,J33:J39)/I32</f>
        <v>23.47</v>
      </c>
      <c r="K32" s="103">
        <f>J32/H32</f>
        <v>1.0525928179006776</v>
      </c>
      <c r="L32" s="102">
        <f>SUM(L33:L39)</f>
        <v>10083.5365</v>
      </c>
      <c r="M32" s="102">
        <f>SUMPRODUCT(L33:L39,M33:M39)/L32</f>
        <v>22.653672788311916</v>
      </c>
      <c r="N32" s="102">
        <f>SUM(N33:N39)</f>
        <v>10083.5365</v>
      </c>
      <c r="O32" s="102">
        <f>SUMPRODUCT(N33:N39,O33:O39)/N32</f>
        <v>23.752836426485885</v>
      </c>
      <c r="P32" s="103">
        <f>O32/M32</f>
        <v>1.048520328180121</v>
      </c>
      <c r="Q32" s="102">
        <f>SUM(Q33:Q39)</f>
        <v>5227.2150000000001</v>
      </c>
      <c r="R32" s="102">
        <f>SUMPRODUCT(Q33:Q39,R33:R39)/Q32</f>
        <v>21.687294371859583</v>
      </c>
      <c r="S32" s="102">
        <f>SUM(S33:S39)</f>
        <v>5227.2150000000001</v>
      </c>
      <c r="T32" s="102">
        <f>SUMPRODUCT(S33:S39,T33:T39)/S32</f>
        <v>22.894135959588422</v>
      </c>
      <c r="U32" s="103">
        <f>T32/R32</f>
        <v>1.0556474019781268</v>
      </c>
      <c r="V32" s="171">
        <f t="shared" si="2"/>
        <v>1.049936747294496</v>
      </c>
    </row>
    <row r="33" spans="1:22" ht="26.25" hidden="1">
      <c r="A33" s="104" t="s">
        <v>181</v>
      </c>
      <c r="B33" s="105">
        <f>25724.898/2-3100/2</f>
        <v>11312.449000000001</v>
      </c>
      <c r="C33" s="105">
        <v>22.27</v>
      </c>
      <c r="D33" s="105">
        <f>B33</f>
        <v>11312.449000000001</v>
      </c>
      <c r="E33" s="105">
        <v>23.47</v>
      </c>
      <c r="F33" s="106">
        <f>(E33*D33)/(C33*B33)</f>
        <v>1.053884149079479</v>
      </c>
      <c r="G33" s="102">
        <f>5323.98/2</f>
        <v>2661.99</v>
      </c>
      <c r="H33" s="102">
        <v>22.27</v>
      </c>
      <c r="I33" s="102">
        <f>G33</f>
        <v>2661.99</v>
      </c>
      <c r="J33" s="102">
        <v>23.47</v>
      </c>
      <c r="K33" s="103">
        <f>(J33*I33)/(H33*G33)</f>
        <v>1.053884149079479</v>
      </c>
      <c r="L33" s="102">
        <f>17258/2</f>
        <v>8629</v>
      </c>
      <c r="M33" s="102">
        <v>22.13</v>
      </c>
      <c r="N33" s="102">
        <f>L33</f>
        <v>8629</v>
      </c>
      <c r="O33" s="102">
        <v>23.24</v>
      </c>
      <c r="P33" s="103">
        <f>(O33*N33)/(M33*L33)</f>
        <v>1.0501581563488478</v>
      </c>
      <c r="Q33" s="107">
        <f>8520/2</f>
        <v>4260</v>
      </c>
      <c r="R33" s="107">
        <v>22.13</v>
      </c>
      <c r="S33" s="107">
        <f>Q33</f>
        <v>4260</v>
      </c>
      <c r="T33" s="107">
        <v>23.24</v>
      </c>
      <c r="U33" s="103">
        <f t="shared" ref="U33:U39" si="16">(T33*S33)/(R33*Q33)</f>
        <v>1.0501581563488476</v>
      </c>
      <c r="V33" s="171">
        <f t="shared" si="2"/>
        <v>1.0520270270270269</v>
      </c>
    </row>
    <row r="34" spans="1:22" ht="26.25" hidden="1">
      <c r="A34" s="104" t="s">
        <v>182</v>
      </c>
      <c r="B34" s="105">
        <f>2510/2</f>
        <v>1255</v>
      </c>
      <c r="C34" s="105">
        <v>2.1</v>
      </c>
      <c r="D34" s="105">
        <f>B34</f>
        <v>1255</v>
      </c>
      <c r="E34" s="105">
        <v>2.96</v>
      </c>
      <c r="F34" s="106">
        <f>(E34*D34)/(C34*B34)</f>
        <v>1.4095238095238096</v>
      </c>
      <c r="G34" s="102"/>
      <c r="H34" s="102"/>
      <c r="I34" s="102"/>
      <c r="J34" s="102"/>
      <c r="K34" s="108"/>
      <c r="L34" s="102"/>
      <c r="M34" s="102"/>
      <c r="N34" s="102"/>
      <c r="O34" s="102"/>
      <c r="P34" s="108"/>
      <c r="Q34" s="102"/>
      <c r="R34" s="102"/>
      <c r="S34" s="102"/>
      <c r="T34" s="102"/>
      <c r="U34" s="108"/>
      <c r="V34" s="171">
        <f t="shared" si="2"/>
        <v>1.4095238095238094</v>
      </c>
    </row>
    <row r="35" spans="1:22" hidden="1">
      <c r="A35" s="97" t="s">
        <v>188</v>
      </c>
      <c r="B35" s="100">
        <f>2.09/2</f>
        <v>1.0449999999999999</v>
      </c>
      <c r="C35" s="100">
        <v>5.62</v>
      </c>
      <c r="D35" s="100">
        <f>B35</f>
        <v>1.0449999999999999</v>
      </c>
      <c r="E35" s="100">
        <v>5.77</v>
      </c>
      <c r="F35" s="101">
        <f>(E35*D35)/(C35*B35)</f>
        <v>1.0266903914590746</v>
      </c>
      <c r="G35" s="91"/>
      <c r="H35" s="91"/>
      <c r="I35" s="91"/>
      <c r="J35" s="91"/>
      <c r="K35" s="92"/>
      <c r="L35" s="91"/>
      <c r="M35" s="91"/>
      <c r="N35" s="91"/>
      <c r="O35" s="91"/>
      <c r="P35" s="92"/>
      <c r="Q35" s="109"/>
      <c r="R35" s="109"/>
      <c r="S35" s="109"/>
      <c r="T35" s="109"/>
      <c r="U35" s="101"/>
      <c r="V35" s="171">
        <f t="shared" si="2"/>
        <v>1.0266903914590746</v>
      </c>
    </row>
    <row r="36" spans="1:22" hidden="1">
      <c r="A36" s="97" t="s">
        <v>53</v>
      </c>
      <c r="B36" s="100">
        <f>136.84/2</f>
        <v>68.42</v>
      </c>
      <c r="C36" s="100">
        <v>75.14</v>
      </c>
      <c r="D36" s="100">
        <f>B36</f>
        <v>68.42</v>
      </c>
      <c r="E36" s="100">
        <v>76.77</v>
      </c>
      <c r="F36" s="101">
        <f t="shared" ref="F36:F38" si="17">(E36*D36)/(C36*B36)</f>
        <v>1.0216928400319403</v>
      </c>
      <c r="G36" s="91"/>
      <c r="H36" s="91"/>
      <c r="I36" s="91"/>
      <c r="J36" s="91"/>
      <c r="K36" s="92"/>
      <c r="L36" s="91">
        <f>136.84/2</f>
        <v>68.42</v>
      </c>
      <c r="M36" s="91">
        <v>72.7</v>
      </c>
      <c r="N36" s="91">
        <f>L36</f>
        <v>68.42</v>
      </c>
      <c r="O36" s="91">
        <v>76.040000000000006</v>
      </c>
      <c r="P36" s="92">
        <f t="shared" ref="P36:P38" si="18">(O36*N36)/(M36*L36)</f>
        <v>1.0459422283356259</v>
      </c>
      <c r="Q36" s="109"/>
      <c r="R36" s="109"/>
      <c r="S36" s="110"/>
      <c r="T36" s="109"/>
      <c r="U36" s="101"/>
      <c r="V36" s="171">
        <f t="shared" si="2"/>
        <v>1.0336174242424243</v>
      </c>
    </row>
    <row r="37" spans="1:22" hidden="1">
      <c r="A37" s="97" t="s">
        <v>189</v>
      </c>
      <c r="B37" s="100">
        <f>98.19/2</f>
        <v>49.094999999999999</v>
      </c>
      <c r="C37" s="100">
        <v>87.02</v>
      </c>
      <c r="D37" s="100">
        <f t="shared" ref="D37:D38" si="19">B37</f>
        <v>49.094999999999999</v>
      </c>
      <c r="E37" s="100">
        <v>96.16</v>
      </c>
      <c r="F37" s="101">
        <f t="shared" si="17"/>
        <v>1.1050333256722591</v>
      </c>
      <c r="G37" s="91">
        <f>29.56/2</f>
        <v>14.78</v>
      </c>
      <c r="H37" s="91">
        <v>22.42</v>
      </c>
      <c r="I37" s="91">
        <f t="shared" ref="I37:I38" si="20">G37</f>
        <v>14.78</v>
      </c>
      <c r="J37" s="91">
        <v>23.47</v>
      </c>
      <c r="K37" s="92">
        <f t="shared" ref="K37:K39" si="21">(J37*I37)/(H37*G37)</f>
        <v>1.0468331846565564</v>
      </c>
      <c r="L37" s="91">
        <f>69.6/2</f>
        <v>34.799999999999997</v>
      </c>
      <c r="M37" s="91">
        <v>54.98</v>
      </c>
      <c r="N37" s="91">
        <f t="shared" ref="N37:N38" si="22">L37</f>
        <v>34.799999999999997</v>
      </c>
      <c r="O37" s="91">
        <v>59.27</v>
      </c>
      <c r="P37" s="92">
        <f t="shared" si="18"/>
        <v>1.0780283739541654</v>
      </c>
      <c r="Q37" s="109">
        <f>44.1/2</f>
        <v>22.05</v>
      </c>
      <c r="R37" s="109">
        <v>15.77</v>
      </c>
      <c r="S37" s="110">
        <f t="shared" ref="S37:S38" si="23">Q37</f>
        <v>22.05</v>
      </c>
      <c r="T37" s="109">
        <v>16.510000000000002</v>
      </c>
      <c r="U37" s="101">
        <f t="shared" ref="U37:U38" si="24">T37/R37</f>
        <v>1.0469245402663285</v>
      </c>
      <c r="V37" s="171">
        <f t="shared" si="2"/>
        <v>1.0945774647887325</v>
      </c>
    </row>
    <row r="38" spans="1:22" hidden="1">
      <c r="A38" s="97" t="s">
        <v>190</v>
      </c>
      <c r="B38" s="100">
        <f>56.1/2</f>
        <v>28.05</v>
      </c>
      <c r="C38" s="100">
        <v>40.299999999999997</v>
      </c>
      <c r="D38" s="100">
        <f t="shared" si="19"/>
        <v>28.05</v>
      </c>
      <c r="E38" s="100">
        <v>43.11</v>
      </c>
      <c r="F38" s="101">
        <f t="shared" si="17"/>
        <v>1.069727047146402</v>
      </c>
      <c r="G38" s="91">
        <f>36.11/2</f>
        <v>18.055</v>
      </c>
      <c r="H38" s="91">
        <v>22.42</v>
      </c>
      <c r="I38" s="91">
        <f t="shared" si="20"/>
        <v>18.055</v>
      </c>
      <c r="J38" s="91">
        <v>23.47</v>
      </c>
      <c r="K38" s="92">
        <f t="shared" si="21"/>
        <v>1.0468331846565564</v>
      </c>
      <c r="L38" s="91">
        <f>73.9/2</f>
        <v>36.950000000000003</v>
      </c>
      <c r="M38" s="91">
        <v>28.01</v>
      </c>
      <c r="N38" s="91">
        <f t="shared" si="22"/>
        <v>36.950000000000003</v>
      </c>
      <c r="O38" s="91">
        <v>29.71</v>
      </c>
      <c r="P38" s="92">
        <f t="shared" si="18"/>
        <v>1.0606926097822207</v>
      </c>
      <c r="Q38" s="110">
        <f>40.33/2</f>
        <v>20.164999999999999</v>
      </c>
      <c r="R38" s="109">
        <v>19.829999999999998</v>
      </c>
      <c r="S38" s="110">
        <f t="shared" si="23"/>
        <v>20.164999999999999</v>
      </c>
      <c r="T38" s="109">
        <v>20.76</v>
      </c>
      <c r="U38" s="101">
        <f t="shared" si="24"/>
        <v>1.0468986384266266</v>
      </c>
      <c r="V38" s="171">
        <f t="shared" si="2"/>
        <v>1.0660225442834137</v>
      </c>
    </row>
    <row r="39" spans="1:22" ht="26.25" hidden="1">
      <c r="A39" s="104" t="s">
        <v>183</v>
      </c>
      <c r="B39" s="105">
        <f>2687.6/2</f>
        <v>1343.8</v>
      </c>
      <c r="C39" s="105">
        <v>35.51</v>
      </c>
      <c r="D39" s="105">
        <f>B39</f>
        <v>1343.8</v>
      </c>
      <c r="E39" s="105">
        <v>36.090000000000003</v>
      </c>
      <c r="F39" s="106">
        <f>(E39*D39)/(C39*B39)</f>
        <v>1.0163334272036049</v>
      </c>
      <c r="G39" s="102">
        <f>1120/2</f>
        <v>560</v>
      </c>
      <c r="H39" s="102">
        <v>22.42</v>
      </c>
      <c r="I39" s="102">
        <f>G39</f>
        <v>560</v>
      </c>
      <c r="J39" s="102">
        <v>23.47</v>
      </c>
      <c r="K39" s="103">
        <f t="shared" si="21"/>
        <v>1.0468331846565564</v>
      </c>
      <c r="L39" s="102">
        <f>2628.733/2</f>
        <v>1314.3665000000001</v>
      </c>
      <c r="M39" s="102">
        <v>22.48</v>
      </c>
      <c r="N39" s="102">
        <f>L39</f>
        <v>1314.3665000000001</v>
      </c>
      <c r="O39" s="102">
        <v>23.29</v>
      </c>
      <c r="P39" s="103">
        <f>(O39*N39)/(M39*L39)</f>
        <v>1.0360320284697508</v>
      </c>
      <c r="Q39" s="102">
        <f>1850/2</f>
        <v>925</v>
      </c>
      <c r="R39" s="102">
        <v>19.829999999999998</v>
      </c>
      <c r="S39" s="102">
        <f>Q39</f>
        <v>925</v>
      </c>
      <c r="T39" s="102">
        <v>21.5</v>
      </c>
      <c r="U39" s="103">
        <f t="shared" si="16"/>
        <v>1.0842158345940494</v>
      </c>
      <c r="V39" s="171">
        <f t="shared" si="2"/>
        <v>1.0239696499396449</v>
      </c>
    </row>
    <row r="40" spans="1:22">
      <c r="A40" s="97" t="s">
        <v>229</v>
      </c>
      <c r="B40" s="102">
        <f>SUM(B41:B44)</f>
        <v>3236.6355000000003</v>
      </c>
      <c r="C40" s="102">
        <f>SUMPRODUCT(B41:B44,C41:C44)/B40</f>
        <v>35.354605815205325</v>
      </c>
      <c r="D40" s="102">
        <f>SUM(D41:D44)</f>
        <v>3236.6355000000003</v>
      </c>
      <c r="E40" s="102">
        <f>SUMPRODUCT(D41:D44,E41:E44)/D40</f>
        <v>36.722097984156697</v>
      </c>
      <c r="F40" s="103">
        <f>E40/C40</f>
        <v>1.0386793216165131</v>
      </c>
      <c r="G40" s="102">
        <f>SUM(G41:G44)</f>
        <v>1395.8589999999999</v>
      </c>
      <c r="H40" s="102">
        <f>SUMPRODUCT(G41:G44,H41:H44)/G40</f>
        <v>25.884590406337605</v>
      </c>
      <c r="I40" s="102">
        <f>SUM(I41:I44)</f>
        <v>1395.8589999999999</v>
      </c>
      <c r="J40" s="102">
        <f>SUMPRODUCT(I41:I44,J41:J44)/I40</f>
        <v>27.728352992673329</v>
      </c>
      <c r="K40" s="103">
        <f>J40/H40</f>
        <v>1.0712301240773854</v>
      </c>
      <c r="L40" s="102">
        <f>SUM(L41:L44)</f>
        <v>2313.84</v>
      </c>
      <c r="M40" s="102">
        <f>SUMPRODUCT(L41:L44,M41:M44)/L40</f>
        <v>28.00516375375998</v>
      </c>
      <c r="N40" s="102">
        <f>SUM(N41:N44)</f>
        <v>2313.84</v>
      </c>
      <c r="O40" s="102">
        <f>SUMPRODUCT(N41:N44,O41:O44)/N40</f>
        <v>29.100166951906786</v>
      </c>
      <c r="P40" s="103">
        <f>O40/M40</f>
        <v>1.039100046254855</v>
      </c>
      <c r="Q40" s="102">
        <f>SUM(Q41:Q44)</f>
        <v>1506.8549999999998</v>
      </c>
      <c r="R40" s="102">
        <f>SUMPRODUCT(Q41:Q44,R41:R44)/Q40</f>
        <v>23.163502958147934</v>
      </c>
      <c r="S40" s="102">
        <f>SUM(S41:S44)</f>
        <v>1506.8549999999998</v>
      </c>
      <c r="T40" s="102">
        <f>SUMPRODUCT(S41:S44,T41:T44)/S40</f>
        <v>24.802741272385198</v>
      </c>
      <c r="U40" s="103">
        <f>T40/R40</f>
        <v>1.070768152692581</v>
      </c>
      <c r="V40" s="171">
        <f t="shared" si="2"/>
        <v>1.0388652828735088</v>
      </c>
    </row>
    <row r="41" spans="1:22" ht="26.25" hidden="1">
      <c r="A41" s="104" t="s">
        <v>185</v>
      </c>
      <c r="B41" s="102">
        <f>3989.217/2</f>
        <v>1994.6085</v>
      </c>
      <c r="C41" s="102">
        <v>31.52</v>
      </c>
      <c r="D41" s="102">
        <f>B41</f>
        <v>1994.6085</v>
      </c>
      <c r="E41" s="102">
        <v>33.72</v>
      </c>
      <c r="F41" s="103">
        <f>(E41*D41)/(C41*B41)</f>
        <v>1.0697969543147208</v>
      </c>
      <c r="G41" s="102">
        <f>2428.56/2</f>
        <v>1214.28</v>
      </c>
      <c r="H41" s="102">
        <v>25.95</v>
      </c>
      <c r="I41" s="102">
        <f>G41</f>
        <v>1214.28</v>
      </c>
      <c r="J41" s="102">
        <v>27.8</v>
      </c>
      <c r="K41" s="103">
        <f>(J41*I41)/(H41*G41)</f>
        <v>1.071290944123314</v>
      </c>
      <c r="L41" s="102">
        <f>3445/2</f>
        <v>1722.5</v>
      </c>
      <c r="M41" s="102">
        <v>24.29</v>
      </c>
      <c r="N41" s="102">
        <f>L41</f>
        <v>1722.5</v>
      </c>
      <c r="O41" s="102">
        <v>25.13</v>
      </c>
      <c r="P41" s="103">
        <f>(O41*N41)/(M41*L41)</f>
        <v>1.0345821325648414</v>
      </c>
      <c r="Q41" s="107">
        <f>2448/2</f>
        <v>1224</v>
      </c>
      <c r="R41" s="107">
        <v>21.01</v>
      </c>
      <c r="S41" s="107">
        <f>2448/2</f>
        <v>1224</v>
      </c>
      <c r="T41" s="107">
        <v>22.5</v>
      </c>
      <c r="U41" s="103">
        <f t="shared" ref="U41:U45" si="25">T41/R41</f>
        <v>1.0709186101856258</v>
      </c>
      <c r="V41" s="171">
        <f t="shared" si="2"/>
        <v>1.0544705249955204</v>
      </c>
    </row>
    <row r="42" spans="1:22" ht="39" hidden="1">
      <c r="A42" s="104" t="s">
        <v>186</v>
      </c>
      <c r="B42" s="102">
        <f>21.42/2</f>
        <v>10.71</v>
      </c>
      <c r="C42" s="102">
        <v>16.059999999999999</v>
      </c>
      <c r="D42" s="102">
        <f>B42</f>
        <v>10.71</v>
      </c>
      <c r="E42" s="102">
        <v>16.059999999999999</v>
      </c>
      <c r="F42" s="103">
        <f>(E42*D42)/(C42*B42)</f>
        <v>1</v>
      </c>
      <c r="G42" s="102"/>
      <c r="H42" s="102"/>
      <c r="I42" s="102"/>
      <c r="J42" s="102"/>
      <c r="K42" s="108"/>
      <c r="L42" s="102"/>
      <c r="M42" s="102"/>
      <c r="N42" s="102"/>
      <c r="O42" s="102"/>
      <c r="P42" s="108"/>
      <c r="Q42" s="107">
        <f>18.93/2</f>
        <v>9.4649999999999999</v>
      </c>
      <c r="R42" s="107">
        <v>13.79</v>
      </c>
      <c r="S42" s="107">
        <f>Q42</f>
        <v>9.4649999999999999</v>
      </c>
      <c r="T42" s="107">
        <v>14.28</v>
      </c>
      <c r="U42" s="103">
        <f t="shared" si="25"/>
        <v>1.0355329949238579</v>
      </c>
      <c r="V42" s="171">
        <f t="shared" si="2"/>
        <v>1</v>
      </c>
    </row>
    <row r="43" spans="1:22" hidden="1">
      <c r="A43" s="97" t="s">
        <v>191</v>
      </c>
      <c r="B43" s="100">
        <f>27/2</f>
        <v>13.5</v>
      </c>
      <c r="C43" s="100">
        <v>40.299999999999997</v>
      </c>
      <c r="D43" s="100">
        <f>B43</f>
        <v>13.5</v>
      </c>
      <c r="E43" s="100">
        <v>43.11</v>
      </c>
      <c r="F43" s="92">
        <f t="shared" ref="F43" si="26">(E43*D43)/(C43*B43)</f>
        <v>1.0697270471464022</v>
      </c>
      <c r="G43" s="91">
        <f>18.62/2</f>
        <v>9.31</v>
      </c>
      <c r="H43" s="91">
        <v>25.95</v>
      </c>
      <c r="I43" s="91">
        <f>G43</f>
        <v>9.31</v>
      </c>
      <c r="J43" s="91">
        <v>27.79</v>
      </c>
      <c r="K43" s="92">
        <f t="shared" ref="K43:K44" si="27">(J43*I43)/(H43*G43)</f>
        <v>1.0709055876685933</v>
      </c>
      <c r="L43" s="91">
        <f>18.62/2</f>
        <v>9.31</v>
      </c>
      <c r="M43" s="91">
        <v>28.01</v>
      </c>
      <c r="N43" s="91">
        <f>L43</f>
        <v>9.31</v>
      </c>
      <c r="O43" s="91">
        <v>29.71</v>
      </c>
      <c r="P43" s="92">
        <f t="shared" ref="P43:P44" si="28">(O43*N43)/(M43*L43)</f>
        <v>1.0606926097822205</v>
      </c>
      <c r="Q43" s="111">
        <f>18.62/2</f>
        <v>9.31</v>
      </c>
      <c r="R43" s="111">
        <v>28.01</v>
      </c>
      <c r="S43" s="111">
        <f>Q43</f>
        <v>9.31</v>
      </c>
      <c r="T43" s="111">
        <v>29.71</v>
      </c>
      <c r="U43" s="103">
        <f t="shared" si="25"/>
        <v>1.0606926097822207</v>
      </c>
      <c r="V43" s="171">
        <f t="shared" si="2"/>
        <v>1.0660225442834137</v>
      </c>
    </row>
    <row r="44" spans="1:22" ht="26.25" hidden="1">
      <c r="A44" s="104" t="s">
        <v>187</v>
      </c>
      <c r="B44" s="102">
        <f>1217.817</f>
        <v>1217.817</v>
      </c>
      <c r="C44" s="102">
        <v>41.75</v>
      </c>
      <c r="D44" s="102">
        <f>B44</f>
        <v>1217.817</v>
      </c>
      <c r="E44" s="102">
        <f>41.75</f>
        <v>41.75</v>
      </c>
      <c r="F44" s="103">
        <f>(E44*D44)/(C44*B44)</f>
        <v>1</v>
      </c>
      <c r="G44" s="102">
        <f>344.538/2</f>
        <v>172.26900000000001</v>
      </c>
      <c r="H44" s="102">
        <v>25.42</v>
      </c>
      <c r="I44" s="102">
        <f t="shared" ref="I44" si="29">G44</f>
        <v>172.26900000000001</v>
      </c>
      <c r="J44" s="102">
        <v>27.22</v>
      </c>
      <c r="K44" s="103">
        <f t="shared" si="27"/>
        <v>1.0708103855232101</v>
      </c>
      <c r="L44" s="102">
        <f>1164.06/2</f>
        <v>582.03</v>
      </c>
      <c r="M44" s="102">
        <v>39</v>
      </c>
      <c r="N44" s="102">
        <f>L44</f>
        <v>582.03</v>
      </c>
      <c r="O44" s="102">
        <v>40.840000000000003</v>
      </c>
      <c r="P44" s="103">
        <f t="shared" si="28"/>
        <v>1.0471794871794873</v>
      </c>
      <c r="Q44" s="107">
        <f>528.16/2</f>
        <v>264.08</v>
      </c>
      <c r="R44" s="107">
        <v>33.31</v>
      </c>
      <c r="S44" s="107">
        <f>Q44</f>
        <v>264.08</v>
      </c>
      <c r="T44" s="107">
        <v>35.68</v>
      </c>
      <c r="U44" s="103">
        <f t="shared" si="25"/>
        <v>1.0711498048634043</v>
      </c>
      <c r="V44" s="171">
        <f t="shared" si="2"/>
        <v>1.0227863777089783</v>
      </c>
    </row>
    <row r="45" spans="1:22">
      <c r="A45" s="97" t="s">
        <v>201</v>
      </c>
      <c r="B45" s="91">
        <f>SUM(B46:B55)</f>
        <v>757.09556779499997</v>
      </c>
      <c r="C45" s="91">
        <f>SUMPRODUCT(B46:B55,C46:C55)/B45</f>
        <v>29.62297649837129</v>
      </c>
      <c r="D45" s="91">
        <f>SUM(D46:D55)</f>
        <v>757.09556779499997</v>
      </c>
      <c r="E45" s="91">
        <f>SUMPRODUCT(D46:D55,E46:E55)/D45</f>
        <v>31.070706939265101</v>
      </c>
      <c r="F45" s="92">
        <f>E45/C45</f>
        <v>1.0488718762266651</v>
      </c>
      <c r="G45" s="91">
        <f>SUM(G46:G55)</f>
        <v>460.14299999999997</v>
      </c>
      <c r="H45" s="91">
        <f>SUMPRODUCT(G46:G55,H46:H55)/G45</f>
        <v>22.718571879478738</v>
      </c>
      <c r="I45" s="91">
        <f>SUM(I46:I55)</f>
        <v>460.14299999999997</v>
      </c>
      <c r="J45" s="91">
        <f>SUMPRODUCT(I46:I55,J46:J55)/I45</f>
        <v>24.348573988071582</v>
      </c>
      <c r="K45" s="92">
        <f>J45/H45</f>
        <v>1.0717475604206088</v>
      </c>
      <c r="L45" s="91">
        <f>SUM(L46:L55)</f>
        <v>614.23799999999994</v>
      </c>
      <c r="M45" s="91">
        <f>SUMPRODUCT(L46:L55,M46:M55)/L45</f>
        <v>31.605080945822309</v>
      </c>
      <c r="N45" s="91">
        <f>SUM(N46:N55)</f>
        <v>614.23799999999994</v>
      </c>
      <c r="O45" s="91">
        <f>SUMPRODUCT(N46:N55,O46:O55)/N45</f>
        <v>33.870761642881106</v>
      </c>
      <c r="P45" s="92">
        <f>O45/M45</f>
        <v>1.0716872296876141</v>
      </c>
      <c r="Q45" s="91">
        <f>SUM(Q46:Q55)</f>
        <v>367.66250000000002</v>
      </c>
      <c r="R45" s="91">
        <f>SUMPRODUCT(Q46:Q55,R46:R55)/Q45</f>
        <v>23.109462744652863</v>
      </c>
      <c r="S45" s="91">
        <f>SUM(S46:S55)</f>
        <v>367.66250000000002</v>
      </c>
      <c r="T45" s="91">
        <f>SUMPRODUCT(S46:S55,T46:T55)/S45</f>
        <v>24.752614406059347</v>
      </c>
      <c r="U45" s="103">
        <f t="shared" si="25"/>
        <v>1.0711029797430787</v>
      </c>
      <c r="V45" s="171">
        <f t="shared" si="2"/>
        <v>1.0606488478151899</v>
      </c>
    </row>
    <row r="46" spans="1:22" hidden="1">
      <c r="A46" s="90" t="s">
        <v>70</v>
      </c>
      <c r="B46" s="91">
        <f>1079.32/2</f>
        <v>539.66</v>
      </c>
      <c r="C46" s="91">
        <v>27.7</v>
      </c>
      <c r="D46" s="91">
        <f>B46</f>
        <v>539.66</v>
      </c>
      <c r="E46" s="91">
        <v>28.94</v>
      </c>
      <c r="F46" s="92">
        <f>(E46*D46)/(C46*B46)</f>
        <v>1.0447653429602888</v>
      </c>
      <c r="G46" s="91">
        <f>680/2</f>
        <v>340</v>
      </c>
      <c r="H46" s="91">
        <f>26.5/1.18</f>
        <v>22.457627118644069</v>
      </c>
      <c r="I46" s="91">
        <f>G46</f>
        <v>340</v>
      </c>
      <c r="J46" s="91">
        <f>28.38/1.18</f>
        <v>24.050847457627118</v>
      </c>
      <c r="K46" s="92">
        <f>(J46*I46)/(H46*G46)</f>
        <v>1.070943396226415</v>
      </c>
      <c r="L46" s="91">
        <f>997.16/2</f>
        <v>498.58</v>
      </c>
      <c r="M46" s="91">
        <v>28.28</v>
      </c>
      <c r="N46" s="91">
        <f>L46</f>
        <v>498.58</v>
      </c>
      <c r="O46" s="91">
        <v>30.39</v>
      </c>
      <c r="P46" s="92">
        <f>(O46*N46)/(M46*L46)</f>
        <v>1.0746110325318246</v>
      </c>
      <c r="Q46" s="96">
        <f>613.77/2</f>
        <v>306.88499999999999</v>
      </c>
      <c r="R46" s="112">
        <f>26/1.18</f>
        <v>22.033898305084747</v>
      </c>
      <c r="S46" s="112">
        <f>Q46</f>
        <v>306.88499999999999</v>
      </c>
      <c r="T46" s="112">
        <f>27.85/1.18</f>
        <v>23.601694915254239</v>
      </c>
      <c r="U46" s="103"/>
      <c r="V46" s="171">
        <f t="shared" si="2"/>
        <v>1.0598428010003571</v>
      </c>
    </row>
    <row r="47" spans="1:22" hidden="1">
      <c r="A47" s="90" t="s">
        <v>71</v>
      </c>
      <c r="B47" s="91"/>
      <c r="C47" s="91"/>
      <c r="D47" s="91"/>
      <c r="E47" s="91"/>
      <c r="F47" s="92"/>
      <c r="G47" s="91"/>
      <c r="H47" s="91"/>
      <c r="I47" s="91">
        <f t="shared" ref="I47:I49" si="30">G47</f>
        <v>0</v>
      </c>
      <c r="J47" s="91"/>
      <c r="K47" s="92"/>
      <c r="L47" s="91"/>
      <c r="M47" s="91"/>
      <c r="N47" s="91"/>
      <c r="O47" s="91"/>
      <c r="P47" s="92"/>
      <c r="Q47" s="96"/>
      <c r="R47" s="112"/>
      <c r="S47" s="112"/>
      <c r="T47" s="112"/>
      <c r="U47" s="103"/>
      <c r="V47" s="171" t="e">
        <f t="shared" si="2"/>
        <v>#DIV/0!</v>
      </c>
    </row>
    <row r="48" spans="1:22" hidden="1">
      <c r="A48" s="90" t="s">
        <v>72</v>
      </c>
      <c r="B48" s="91">
        <f>13.994/2</f>
        <v>6.9969999999999999</v>
      </c>
      <c r="C48" s="91">
        <v>39.14</v>
      </c>
      <c r="D48" s="91">
        <f>B48</f>
        <v>6.9969999999999999</v>
      </c>
      <c r="E48" s="91">
        <v>40.5</v>
      </c>
      <c r="F48" s="92">
        <f t="shared" ref="F48:F49" si="31">(E48*D48)/(C48*B48)</f>
        <v>1.0347470618293306</v>
      </c>
      <c r="G48" s="91">
        <f>10.73/2</f>
        <v>5.3650000000000002</v>
      </c>
      <c r="H48" s="91">
        <v>14.8</v>
      </c>
      <c r="I48" s="91">
        <f t="shared" si="30"/>
        <v>5.3650000000000002</v>
      </c>
      <c r="J48" s="91">
        <v>17</v>
      </c>
      <c r="K48" s="92">
        <f t="shared" ref="K48:K49" si="32">(J48*I48)/(H48*G48)</f>
        <v>1.1486486486486487</v>
      </c>
      <c r="L48" s="91"/>
      <c r="M48" s="91"/>
      <c r="N48" s="91"/>
      <c r="O48" s="91"/>
      <c r="P48" s="92"/>
      <c r="Q48" s="96"/>
      <c r="R48" s="96"/>
      <c r="S48" s="96"/>
      <c r="T48" s="96"/>
      <c r="U48" s="103"/>
      <c r="V48" s="171">
        <f t="shared" si="2"/>
        <v>1.0347470618293306</v>
      </c>
    </row>
    <row r="49" spans="1:22" hidden="1">
      <c r="A49" s="90" t="s">
        <v>73</v>
      </c>
      <c r="B49" s="91">
        <f>349.684/2</f>
        <v>174.84200000000001</v>
      </c>
      <c r="C49" s="91">
        <v>34.19</v>
      </c>
      <c r="D49" s="91">
        <f t="shared" ref="D49" si="33">B49</f>
        <v>174.84200000000001</v>
      </c>
      <c r="E49" s="91">
        <v>35.79</v>
      </c>
      <c r="F49" s="92">
        <f t="shared" si="31"/>
        <v>1.0467973091547236</v>
      </c>
      <c r="G49" s="91">
        <f>169.416/2</f>
        <v>84.707999999999998</v>
      </c>
      <c r="H49" s="91">
        <v>24</v>
      </c>
      <c r="I49" s="91">
        <f t="shared" si="30"/>
        <v>84.707999999999998</v>
      </c>
      <c r="J49" s="91">
        <v>25.7</v>
      </c>
      <c r="K49" s="92">
        <f t="shared" si="32"/>
        <v>1.0708333333333333</v>
      </c>
      <c r="L49" s="91">
        <f>227.962/2</f>
        <v>113.98099999999999</v>
      </c>
      <c r="M49" s="91">
        <v>45.85</v>
      </c>
      <c r="N49" s="91">
        <f t="shared" ref="N49" si="34">L49</f>
        <v>113.98099999999999</v>
      </c>
      <c r="O49" s="91">
        <v>48.83</v>
      </c>
      <c r="P49" s="92">
        <f t="shared" ref="P49" si="35">(O49*N49)/(M49*L49)</f>
        <v>1.0649945474372955</v>
      </c>
      <c r="Q49" s="112">
        <f>119.911/2</f>
        <v>59.955500000000001</v>
      </c>
      <c r="R49" s="96">
        <v>28.63</v>
      </c>
      <c r="S49" s="112">
        <f>Q49</f>
        <v>59.955500000000001</v>
      </c>
      <c r="T49" s="96">
        <v>30.66</v>
      </c>
      <c r="U49" s="103"/>
      <c r="V49" s="171">
        <f t="shared" si="2"/>
        <v>1.0572213893053475</v>
      </c>
    </row>
    <row r="50" spans="1:22" hidden="1">
      <c r="A50" s="90" t="s">
        <v>74</v>
      </c>
      <c r="B50" s="91"/>
      <c r="C50" s="91"/>
      <c r="D50" s="91"/>
      <c r="E50" s="91"/>
      <c r="F50" s="92"/>
      <c r="G50" s="91"/>
      <c r="H50" s="91"/>
      <c r="I50" s="91"/>
      <c r="J50" s="91"/>
      <c r="K50" s="92"/>
      <c r="L50" s="91"/>
      <c r="M50" s="91"/>
      <c r="N50" s="91"/>
      <c r="O50" s="91"/>
      <c r="P50" s="92"/>
      <c r="Q50" s="96"/>
      <c r="R50" s="96"/>
      <c r="S50" s="96"/>
      <c r="T50" s="96"/>
      <c r="U50" s="103"/>
      <c r="V50" s="171" t="e">
        <f t="shared" si="2"/>
        <v>#DIV/0!</v>
      </c>
    </row>
    <row r="51" spans="1:22" hidden="1">
      <c r="A51" s="90" t="s">
        <v>75</v>
      </c>
      <c r="B51" s="91">
        <f>12.92/2*1.08321</f>
        <v>6.9975366000000001</v>
      </c>
      <c r="C51" s="91">
        <v>32.33</v>
      </c>
      <c r="D51" s="91">
        <f t="shared" ref="D51:D54" si="36">B51</f>
        <v>6.9975366000000001</v>
      </c>
      <c r="E51" s="91">
        <v>36.61</v>
      </c>
      <c r="F51" s="92">
        <f t="shared" ref="F51:F54" si="37">(E51*D51)/(C51*B51)</f>
        <v>1.1323847819362822</v>
      </c>
      <c r="G51" s="91">
        <f>12.92/2</f>
        <v>6.46</v>
      </c>
      <c r="H51" s="91">
        <v>18</v>
      </c>
      <c r="I51" s="91">
        <f t="shared" ref="I51:I55" si="38">G51</f>
        <v>6.46</v>
      </c>
      <c r="J51" s="91">
        <v>19.399999999999999</v>
      </c>
      <c r="K51" s="92">
        <f t="shared" ref="K51:K55" si="39">(J51*I51)/(H51*G51)</f>
        <v>1.0777777777777777</v>
      </c>
      <c r="L51" s="91"/>
      <c r="M51" s="91"/>
      <c r="N51" s="91"/>
      <c r="O51" s="91"/>
      <c r="P51" s="92"/>
      <c r="Q51" s="96"/>
      <c r="R51" s="96"/>
      <c r="S51" s="96"/>
      <c r="T51" s="96"/>
      <c r="U51" s="103"/>
      <c r="V51" s="171">
        <f t="shared" si="2"/>
        <v>1.1323847819362822</v>
      </c>
    </row>
    <row r="52" spans="1:22" hidden="1">
      <c r="A52" s="90" t="s">
        <v>76</v>
      </c>
      <c r="B52" s="91">
        <f>10.735/2*1.08321</f>
        <v>5.8141296749999993</v>
      </c>
      <c r="C52" s="91">
        <v>32.33</v>
      </c>
      <c r="D52" s="91">
        <f t="shared" si="36"/>
        <v>5.8141296749999993</v>
      </c>
      <c r="E52" s="91">
        <v>36.61</v>
      </c>
      <c r="F52" s="92">
        <f t="shared" si="37"/>
        <v>1.132384781936282</v>
      </c>
      <c r="G52" s="91">
        <f>10.735/2</f>
        <v>5.3674999999999997</v>
      </c>
      <c r="H52" s="91">
        <v>26.6</v>
      </c>
      <c r="I52" s="91">
        <f t="shared" si="38"/>
        <v>5.3674999999999997</v>
      </c>
      <c r="J52" s="91">
        <v>28.55</v>
      </c>
      <c r="K52" s="92">
        <f t="shared" si="39"/>
        <v>1.0733082706766917</v>
      </c>
      <c r="L52" s="91"/>
      <c r="M52" s="91"/>
      <c r="N52" s="91"/>
      <c r="O52" s="91"/>
      <c r="P52" s="92"/>
      <c r="Q52" s="96"/>
      <c r="R52" s="96"/>
      <c r="S52" s="96"/>
      <c r="T52" s="96"/>
      <c r="U52" s="103"/>
      <c r="V52" s="171">
        <f t="shared" si="2"/>
        <v>1.1323847819362822</v>
      </c>
    </row>
    <row r="53" spans="1:22" hidden="1">
      <c r="A53" s="90" t="s">
        <v>77</v>
      </c>
      <c r="B53" s="91">
        <f>28.624/2*1.08321</f>
        <v>15.50290152</v>
      </c>
      <c r="C53" s="91">
        <v>32.33</v>
      </c>
      <c r="D53" s="91">
        <f t="shared" si="36"/>
        <v>15.50290152</v>
      </c>
      <c r="E53" s="91">
        <v>36.61</v>
      </c>
      <c r="F53" s="92">
        <f t="shared" si="37"/>
        <v>1.1323847819362822</v>
      </c>
      <c r="G53" s="91">
        <f>28.624/2</f>
        <v>14.311999999999999</v>
      </c>
      <c r="H53" s="91">
        <v>23.8</v>
      </c>
      <c r="I53" s="91">
        <f t="shared" si="38"/>
        <v>14.311999999999999</v>
      </c>
      <c r="J53" s="91">
        <v>25.58</v>
      </c>
      <c r="K53" s="92">
        <f t="shared" si="39"/>
        <v>1.0747899159663865</v>
      </c>
      <c r="L53" s="91"/>
      <c r="M53" s="91"/>
      <c r="N53" s="91"/>
      <c r="O53" s="91"/>
      <c r="P53" s="92"/>
      <c r="Q53" s="96"/>
      <c r="R53" s="96"/>
      <c r="S53" s="96"/>
      <c r="T53" s="96"/>
      <c r="U53" s="103"/>
      <c r="V53" s="171">
        <f t="shared" si="2"/>
        <v>1.1323847819362822</v>
      </c>
    </row>
    <row r="54" spans="1:22" hidden="1">
      <c r="A54" s="90" t="s">
        <v>78</v>
      </c>
      <c r="B54" s="91">
        <f>7.641/2</f>
        <v>3.8205</v>
      </c>
      <c r="C54" s="91">
        <v>43.62</v>
      </c>
      <c r="D54" s="91">
        <f t="shared" si="36"/>
        <v>3.8205</v>
      </c>
      <c r="E54" s="91">
        <v>45.26</v>
      </c>
      <c r="F54" s="92">
        <f t="shared" si="37"/>
        <v>1.0375974323704724</v>
      </c>
      <c r="G54" s="91">
        <f>4.841/2</f>
        <v>2.4205000000000001</v>
      </c>
      <c r="H54" s="91">
        <v>27</v>
      </c>
      <c r="I54" s="91">
        <f t="shared" si="38"/>
        <v>2.4205000000000001</v>
      </c>
      <c r="J54" s="91">
        <v>28.92</v>
      </c>
      <c r="K54" s="92">
        <f t="shared" si="39"/>
        <v>1.0711111111111111</v>
      </c>
      <c r="L54" s="91">
        <f>3.354/2</f>
        <v>1.677</v>
      </c>
      <c r="M54" s="91">
        <v>51.98</v>
      </c>
      <c r="N54" s="91">
        <f>L54</f>
        <v>1.677</v>
      </c>
      <c r="O54" s="91">
        <v>51.98</v>
      </c>
      <c r="P54" s="92">
        <f t="shared" ref="P54" si="40">(O54*N54)/(M54*L54)</f>
        <v>1</v>
      </c>
      <c r="Q54" s="96">
        <f>1.644/2</f>
        <v>0.82199999999999995</v>
      </c>
      <c r="R54" s="112">
        <v>22</v>
      </c>
      <c r="S54" s="96">
        <f>Q54</f>
        <v>0.82199999999999995</v>
      </c>
      <c r="T54" s="96">
        <v>23.56</v>
      </c>
      <c r="U54" s="103"/>
      <c r="V54" s="171">
        <f t="shared" si="2"/>
        <v>1.0171548117154812</v>
      </c>
    </row>
    <row r="55" spans="1:22" hidden="1">
      <c r="A55" s="90" t="s">
        <v>79</v>
      </c>
      <c r="B55" s="91">
        <f>6.923/2</f>
        <v>3.4615</v>
      </c>
      <c r="C55" s="91">
        <v>41.91</v>
      </c>
      <c r="D55" s="91">
        <f>B55</f>
        <v>3.4615</v>
      </c>
      <c r="E55" s="91">
        <v>44.85</v>
      </c>
      <c r="F55" s="92">
        <f>(E55*D55)/(C55*B55)</f>
        <v>1.0701503221188262</v>
      </c>
      <c r="G55" s="91">
        <f>3.02/2</f>
        <v>1.51</v>
      </c>
      <c r="H55" s="91">
        <v>27</v>
      </c>
      <c r="I55" s="91">
        <f t="shared" si="38"/>
        <v>1.51</v>
      </c>
      <c r="J55" s="91">
        <v>28.92</v>
      </c>
      <c r="K55" s="92">
        <f t="shared" si="39"/>
        <v>1.0711111111111111</v>
      </c>
      <c r="L55" s="91"/>
      <c r="M55" s="91"/>
      <c r="N55" s="91"/>
      <c r="O55" s="91"/>
      <c r="P55" s="92"/>
      <c r="Q55" s="96"/>
      <c r="R55" s="96"/>
      <c r="S55" s="96"/>
      <c r="T55" s="96"/>
      <c r="U55" s="103"/>
      <c r="V55" s="171">
        <f t="shared" si="2"/>
        <v>1.0701503221188262</v>
      </c>
    </row>
    <row r="56" spans="1:22">
      <c r="A56" s="97" t="s">
        <v>230</v>
      </c>
      <c r="B56" s="91">
        <f>SUM(B57:B60)</f>
        <v>116.208</v>
      </c>
      <c r="C56" s="91">
        <f>SUMPRODUCT(B57:B60,C57:C60)/B56</f>
        <v>43.362117840424062</v>
      </c>
      <c r="D56" s="91">
        <f>SUM(D57:D60)</f>
        <v>116.208</v>
      </c>
      <c r="E56" s="91">
        <f>SUMPRODUCT(D57:D60,E57:E60)/D56</f>
        <v>45.2136927750241</v>
      </c>
      <c r="F56" s="92">
        <f>E56/C56</f>
        <v>1.0427002883349465</v>
      </c>
      <c r="G56" s="91">
        <f>SUM(G57:G60)</f>
        <v>57.929000000000002</v>
      </c>
      <c r="H56" s="91">
        <f>SUMPRODUCT(G57:G60,H57:H60)/G56</f>
        <v>29.999999999999996</v>
      </c>
      <c r="I56" s="91">
        <f>SUM(I57:I60)</f>
        <v>57.929000000000002</v>
      </c>
      <c r="J56" s="91">
        <f>SUMPRODUCT(I57:I60,J57:J60)/I56</f>
        <v>32.129999999999995</v>
      </c>
      <c r="K56" s="92">
        <f>J56/H56</f>
        <v>1.071</v>
      </c>
      <c r="L56" s="91">
        <f>SUM(L57:L60)</f>
        <v>53.707500000000003</v>
      </c>
      <c r="M56" s="91">
        <f>SUMPRODUCT(L57:L60,M57:M60)/L56</f>
        <v>49.63</v>
      </c>
      <c r="N56" s="91">
        <f>SUM(N57:N60)</f>
        <v>53.707500000000003</v>
      </c>
      <c r="O56" s="91">
        <f>SUMPRODUCT(N57:N60,O57:O60)/N56</f>
        <v>50.71</v>
      </c>
      <c r="P56" s="92">
        <f>O56/M56</f>
        <v>1.0217610316340922</v>
      </c>
      <c r="Q56" s="91">
        <f>SUM(Q57:Q60)</f>
        <v>24.574999999999999</v>
      </c>
      <c r="R56" s="91">
        <f>SUMPRODUCT(Q57:Q60,R57:R60)/Q56</f>
        <v>35</v>
      </c>
      <c r="S56" s="91">
        <f>SUM(S57:S60)</f>
        <v>24.574999999999999</v>
      </c>
      <c r="T56" s="91">
        <f>SUMPRODUCT(S57:S60,T57:T60)/S56</f>
        <v>37.49</v>
      </c>
      <c r="U56" s="92">
        <f>T56/R56</f>
        <v>1.0711428571428572</v>
      </c>
      <c r="V56" s="171">
        <f t="shared" si="2"/>
        <v>1.0315249830058786</v>
      </c>
    </row>
    <row r="57" spans="1:22" hidden="1">
      <c r="A57" s="97" t="s">
        <v>100</v>
      </c>
      <c r="B57" s="91">
        <f>145.04/2</f>
        <v>72.52</v>
      </c>
      <c r="C57" s="91">
        <v>43.04</v>
      </c>
      <c r="D57" s="91">
        <f>B57</f>
        <v>72.52</v>
      </c>
      <c r="E57" s="91">
        <v>44.79</v>
      </c>
      <c r="F57" s="92">
        <f>(E57*D57)/(C57*B57)</f>
        <v>1.0406598513011154</v>
      </c>
      <c r="G57" s="91">
        <f>55.6/2</f>
        <v>27.8</v>
      </c>
      <c r="H57" s="91">
        <v>30</v>
      </c>
      <c r="I57" s="91">
        <f>G57</f>
        <v>27.8</v>
      </c>
      <c r="J57" s="91">
        <v>32.130000000000003</v>
      </c>
      <c r="K57" s="92">
        <f>J57/H57</f>
        <v>1.0710000000000002</v>
      </c>
      <c r="L57" s="91">
        <f>107.415/2</f>
        <v>53.707500000000003</v>
      </c>
      <c r="M57" s="91">
        <v>49.63</v>
      </c>
      <c r="N57" s="91">
        <f>L57</f>
        <v>53.707500000000003</v>
      </c>
      <c r="O57" s="91">
        <v>50.71</v>
      </c>
      <c r="P57" s="92">
        <f>O57/M57</f>
        <v>1.0217610316340922</v>
      </c>
      <c r="Q57" s="96">
        <f>49.15/2</f>
        <v>24.574999999999999</v>
      </c>
      <c r="R57" s="112">
        <v>35</v>
      </c>
      <c r="S57" s="112">
        <f>Q57</f>
        <v>24.574999999999999</v>
      </c>
      <c r="T57" s="112">
        <v>37.49</v>
      </c>
      <c r="U57" s="92">
        <f>T57/R57</f>
        <v>1.0711428571428572</v>
      </c>
      <c r="V57" s="171">
        <f t="shared" si="2"/>
        <v>1.0305384698392144</v>
      </c>
    </row>
    <row r="58" spans="1:22" hidden="1">
      <c r="A58" s="97" t="s">
        <v>101</v>
      </c>
      <c r="B58" s="91">
        <f>66.934/2</f>
        <v>33.466999999999999</v>
      </c>
      <c r="C58" s="91">
        <v>43.1</v>
      </c>
      <c r="D58" s="91">
        <f>B58</f>
        <v>33.466999999999999</v>
      </c>
      <c r="E58" s="91">
        <v>45.06</v>
      </c>
      <c r="F58" s="92">
        <f>(E58*D58)/(C58*B58)</f>
        <v>1.0454756380510442</v>
      </c>
      <c r="G58" s="91">
        <f>45.344/2</f>
        <v>22.672000000000001</v>
      </c>
      <c r="H58" s="91">
        <v>30</v>
      </c>
      <c r="I58" s="91">
        <f>G58</f>
        <v>22.672000000000001</v>
      </c>
      <c r="J58" s="91">
        <v>32.130000000000003</v>
      </c>
      <c r="K58" s="92">
        <f>(J58*I58)/(H58*G58)</f>
        <v>1.0710000000000002</v>
      </c>
      <c r="L58" s="91"/>
      <c r="M58" s="91"/>
      <c r="N58" s="91"/>
      <c r="O58" s="91"/>
      <c r="P58" s="92"/>
      <c r="Q58" s="96"/>
      <c r="R58" s="112"/>
      <c r="S58" s="112"/>
      <c r="T58" s="112"/>
      <c r="U58" s="92"/>
      <c r="V58" s="171">
        <f t="shared" si="2"/>
        <v>1.0454756380510442</v>
      </c>
    </row>
    <row r="59" spans="1:22" hidden="1">
      <c r="A59" s="97" t="s">
        <v>102</v>
      </c>
      <c r="B59" s="91">
        <f>1.942/2</f>
        <v>0.97099999999999997</v>
      </c>
      <c r="C59" s="91">
        <v>82.19</v>
      </c>
      <c r="D59" s="91">
        <f>B59</f>
        <v>0.97099999999999997</v>
      </c>
      <c r="E59" s="91">
        <v>82.19</v>
      </c>
      <c r="F59" s="92">
        <f>(E59*D59)/(C59*B59)</f>
        <v>1</v>
      </c>
      <c r="G59" s="91">
        <f>1.314/2</f>
        <v>0.65700000000000003</v>
      </c>
      <c r="H59" s="91">
        <v>30</v>
      </c>
      <c r="I59" s="91">
        <f>G59</f>
        <v>0.65700000000000003</v>
      </c>
      <c r="J59" s="91">
        <v>32.130000000000003</v>
      </c>
      <c r="K59" s="92">
        <f>(J59*I59)/(H59*G59)</f>
        <v>1.0710000000000002</v>
      </c>
      <c r="L59" s="91"/>
      <c r="M59" s="91"/>
      <c r="N59" s="91"/>
      <c r="O59" s="91"/>
      <c r="P59" s="92"/>
      <c r="Q59" s="96"/>
      <c r="R59" s="96"/>
      <c r="S59" s="96"/>
      <c r="T59" s="96"/>
      <c r="U59" s="92"/>
      <c r="V59" s="171">
        <f t="shared" si="2"/>
        <v>1</v>
      </c>
    </row>
    <row r="60" spans="1:22" hidden="1">
      <c r="A60" s="97" t="s">
        <v>103</v>
      </c>
      <c r="B60" s="91">
        <f>18.5/2</f>
        <v>9.25</v>
      </c>
      <c r="C60" s="91">
        <v>42.76</v>
      </c>
      <c r="D60" s="91">
        <f t="shared" ref="D60" si="41">B60</f>
        <v>9.25</v>
      </c>
      <c r="E60" s="91">
        <v>45.21</v>
      </c>
      <c r="F60" s="92">
        <f t="shared" ref="F60" si="42">(E60*D60)/(C60*B60)</f>
        <v>1.0572965388213285</v>
      </c>
      <c r="G60" s="91">
        <f>13.6/2</f>
        <v>6.8</v>
      </c>
      <c r="H60" s="91">
        <v>30</v>
      </c>
      <c r="I60" s="91">
        <f>G60</f>
        <v>6.8</v>
      </c>
      <c r="J60" s="91">
        <v>32.130000000000003</v>
      </c>
      <c r="K60" s="92">
        <f>(J60*I60)/(H60*G60)</f>
        <v>1.071</v>
      </c>
      <c r="L60" s="91"/>
      <c r="M60" s="91"/>
      <c r="N60" s="91"/>
      <c r="O60" s="91"/>
      <c r="P60" s="92"/>
      <c r="Q60" s="96"/>
      <c r="R60" s="96"/>
      <c r="S60" s="96"/>
      <c r="T60" s="96"/>
      <c r="U60" s="92"/>
      <c r="V60" s="171">
        <f t="shared" si="2"/>
        <v>1.0572965388213285</v>
      </c>
    </row>
    <row r="61" spans="1:22">
      <c r="A61" s="93" t="s">
        <v>231</v>
      </c>
      <c r="B61" s="91">
        <f>SUM(B62:B66)</f>
        <v>104.1095</v>
      </c>
      <c r="C61" s="91">
        <f>SUMPRODUCT(B62:B66,C62:C66)/B61</f>
        <v>40.088333965680363</v>
      </c>
      <c r="D61" s="91">
        <f>SUM(D62:D66)</f>
        <v>104.1095</v>
      </c>
      <c r="E61" s="91">
        <f>SUMPRODUCT(D62:D66,E62:E66)/D61</f>
        <v>41.994961506874979</v>
      </c>
      <c r="F61" s="92">
        <f>E61/C61</f>
        <v>1.0475606579915964</v>
      </c>
      <c r="G61" s="91">
        <f>SUM(G62:G66)</f>
        <v>74.91</v>
      </c>
      <c r="H61" s="91">
        <f>SUMPRODUCT(G62:G66,H62:H66)/G61</f>
        <v>41.119684955279666</v>
      </c>
      <c r="I61" s="91">
        <f>SUM(I62:I66)</f>
        <v>74.91</v>
      </c>
      <c r="J61" s="91">
        <f>SUMPRODUCT(I62:I66,J62:J66)/I61</f>
        <v>43.009116272860766</v>
      </c>
      <c r="K61" s="92">
        <f>J61/H61</f>
        <v>1.045949557240917</v>
      </c>
      <c r="L61" s="91">
        <f>SUM(L62:L66)</f>
        <v>73.930499999999995</v>
      </c>
      <c r="M61" s="91">
        <f>SUMPRODUCT(L62:L66,M62:M66)/L61</f>
        <v>33.067474519988373</v>
      </c>
      <c r="N61" s="91">
        <f>SUM(N62:N66)</f>
        <v>73.930499999999995</v>
      </c>
      <c r="O61" s="91">
        <f>SUMPRODUCT(N62:N66,O62:O66)/N61</f>
        <v>35.153448576703795</v>
      </c>
      <c r="P61" s="92">
        <f>O61/M61</f>
        <v>1.0630823516762524</v>
      </c>
      <c r="Q61" s="91">
        <f>SUM(Q62:Q66)</f>
        <v>64.650000000000006</v>
      </c>
      <c r="R61" s="91">
        <f>SUMPRODUCT(Q62:Q66,R62:R66)/Q61</f>
        <v>31.750793503480274</v>
      </c>
      <c r="S61" s="91">
        <f>SUM(S62:S66)</f>
        <v>64.650000000000006</v>
      </c>
      <c r="T61" s="91">
        <f>SUMPRODUCT(S62:S66,T62:T66)/S61</f>
        <v>33.90634648105182</v>
      </c>
      <c r="U61" s="92">
        <f>T61/R61</f>
        <v>1.06788973564819</v>
      </c>
      <c r="V61" s="171">
        <f t="shared" si="2"/>
        <v>1.05457668612455</v>
      </c>
    </row>
    <row r="62" spans="1:22" ht="51" hidden="1">
      <c r="A62" s="93" t="s">
        <v>127</v>
      </c>
      <c r="B62" s="91">
        <f>11.18/2</f>
        <v>5.59</v>
      </c>
      <c r="C62" s="91">
        <v>33.020000000000003</v>
      </c>
      <c r="D62" s="91">
        <f>B62</f>
        <v>5.59</v>
      </c>
      <c r="E62" s="91">
        <v>34.04</v>
      </c>
      <c r="F62" s="92">
        <f>(E62*D62)/(C62*B62)</f>
        <v>1.0308903694730465</v>
      </c>
      <c r="G62" s="91">
        <v>3.9</v>
      </c>
      <c r="H62" s="91">
        <v>33.020000000000003</v>
      </c>
      <c r="I62" s="91">
        <f>G62</f>
        <v>3.9</v>
      </c>
      <c r="J62" s="99">
        <v>34.04</v>
      </c>
      <c r="K62" s="92">
        <f>(J62*I62)/(H62*G62)</f>
        <v>1.0308903694730465</v>
      </c>
      <c r="L62" s="91">
        <f>6.54/2</f>
        <v>3.27</v>
      </c>
      <c r="M62" s="91">
        <v>78.03</v>
      </c>
      <c r="N62" s="91">
        <f>L62</f>
        <v>3.27</v>
      </c>
      <c r="O62" s="91">
        <v>81.98</v>
      </c>
      <c r="P62" s="92">
        <f>(O62*N62)/(M62*L62)</f>
        <v>1.0506215558118672</v>
      </c>
      <c r="Q62" s="91">
        <v>3.1</v>
      </c>
      <c r="R62" s="91">
        <v>57.08</v>
      </c>
      <c r="S62" s="91">
        <f>Q62</f>
        <v>3.1</v>
      </c>
      <c r="T62" s="96">
        <v>61.93</v>
      </c>
      <c r="U62" s="92">
        <f>(T62*S62)/(R62*Q62)</f>
        <v>1.084968465311843</v>
      </c>
      <c r="V62" s="171">
        <f t="shared" si="2"/>
        <v>1.0447546150382709</v>
      </c>
    </row>
    <row r="63" spans="1:22" ht="25.5" hidden="1">
      <c r="A63" s="93" t="s">
        <v>128</v>
      </c>
      <c r="B63" s="91">
        <f>35.646/2</f>
        <v>17.823</v>
      </c>
      <c r="C63" s="91">
        <v>30.78</v>
      </c>
      <c r="D63" s="91">
        <f>B63</f>
        <v>17.823</v>
      </c>
      <c r="E63" s="91">
        <v>32.83</v>
      </c>
      <c r="F63" s="92">
        <f>(E63*D63)/(C63*B63)</f>
        <v>1.0666016894087069</v>
      </c>
      <c r="G63" s="91">
        <v>7.22</v>
      </c>
      <c r="H63" s="91">
        <v>30.78</v>
      </c>
      <c r="I63" s="91">
        <f>G63</f>
        <v>7.22</v>
      </c>
      <c r="J63" s="99">
        <v>32.83</v>
      </c>
      <c r="K63" s="92">
        <f>(J63*I63)/(H63*G63)</f>
        <v>1.0666016894087067</v>
      </c>
      <c r="L63" s="91">
        <f>10.78/2</f>
        <v>5.39</v>
      </c>
      <c r="M63" s="91">
        <v>52.31</v>
      </c>
      <c r="N63" s="91">
        <f>L63</f>
        <v>5.39</v>
      </c>
      <c r="O63" s="91">
        <v>55.77</v>
      </c>
      <c r="P63" s="92">
        <f>(O63*N63)/(M63*L63)</f>
        <v>1.066144140699675</v>
      </c>
      <c r="Q63" s="91">
        <v>4.2300000000000004</v>
      </c>
      <c r="R63" s="91">
        <v>52.31</v>
      </c>
      <c r="S63" s="91">
        <f>Q63</f>
        <v>4.2300000000000004</v>
      </c>
      <c r="T63" s="96">
        <v>55.77</v>
      </c>
      <c r="U63" s="92">
        <f>(T63*S63)/(R63*Q63)</f>
        <v>1.066144140699675</v>
      </c>
      <c r="V63" s="171">
        <f t="shared" si="2"/>
        <v>1.0663136358165843</v>
      </c>
    </row>
    <row r="64" spans="1:22" ht="51" hidden="1">
      <c r="A64" s="93" t="s">
        <v>129</v>
      </c>
      <c r="B64" s="91">
        <f>(59.46)/2</f>
        <v>29.73</v>
      </c>
      <c r="C64" s="91">
        <v>42.48</v>
      </c>
      <c r="D64" s="91">
        <f>B64</f>
        <v>29.73</v>
      </c>
      <c r="E64" s="91">
        <v>44.87</v>
      </c>
      <c r="F64" s="92">
        <f>(E64*D64)/(C64*B64)</f>
        <v>1.0562617702448209</v>
      </c>
      <c r="G64" s="91">
        <v>22.53</v>
      </c>
      <c r="H64" s="91">
        <v>42.48</v>
      </c>
      <c r="I64" s="91">
        <f>G64</f>
        <v>22.53</v>
      </c>
      <c r="J64" s="99">
        <v>44.87</v>
      </c>
      <c r="K64" s="92">
        <f>(J64*I64)/(H64*G64)</f>
        <v>1.0562617702448212</v>
      </c>
      <c r="L64" s="91">
        <f>122.041/2</f>
        <v>61.020499999999998</v>
      </c>
      <c r="M64" s="91">
        <v>27.85</v>
      </c>
      <c r="N64" s="91">
        <f>L64</f>
        <v>61.020499999999998</v>
      </c>
      <c r="O64" s="91">
        <v>29.86</v>
      </c>
      <c r="P64" s="92">
        <f>(O64*N64)/(M64*L64)</f>
        <v>1.0721723518850987</v>
      </c>
      <c r="Q64" s="96">
        <v>54.57</v>
      </c>
      <c r="R64" s="96">
        <v>27.85</v>
      </c>
      <c r="S64" s="96">
        <f>Q64</f>
        <v>54.57</v>
      </c>
      <c r="T64" s="96">
        <v>29.86</v>
      </c>
      <c r="U64" s="92">
        <f>(T64*S64)/(R64*Q64)</f>
        <v>1.0721723518850987</v>
      </c>
      <c r="V64" s="171">
        <f t="shared" si="2"/>
        <v>1.0625622067396558</v>
      </c>
    </row>
    <row r="65" spans="1:22" ht="63.75" hidden="1">
      <c r="A65" s="93" t="s">
        <v>130</v>
      </c>
      <c r="B65" s="91">
        <f>91.933/2</f>
        <v>45.966500000000003</v>
      </c>
      <c r="C65" s="91">
        <v>44.41</v>
      </c>
      <c r="D65" s="91">
        <f>B65</f>
        <v>45.966500000000003</v>
      </c>
      <c r="E65" s="91">
        <v>46.07</v>
      </c>
      <c r="F65" s="92">
        <f>(E65*D65)/(C65*B65)</f>
        <v>1.0373789687007431</v>
      </c>
      <c r="G65" s="91">
        <v>37.76</v>
      </c>
      <c r="H65" s="91">
        <v>44.41</v>
      </c>
      <c r="I65" s="91">
        <f>G65</f>
        <v>37.76</v>
      </c>
      <c r="J65" s="99">
        <v>46.07</v>
      </c>
      <c r="K65" s="92">
        <f>(J65*I65)/(H65*G65)</f>
        <v>1.0373789687007433</v>
      </c>
      <c r="L65" s="91"/>
      <c r="M65" s="91"/>
      <c r="N65" s="91"/>
      <c r="O65" s="91"/>
      <c r="P65" s="92"/>
      <c r="Q65" s="96"/>
      <c r="R65" s="96"/>
      <c r="S65" s="96"/>
      <c r="T65" s="96"/>
      <c r="U65" s="92"/>
      <c r="V65" s="171">
        <f t="shared" si="2"/>
        <v>1.0373789687007431</v>
      </c>
    </row>
    <row r="66" spans="1:22" hidden="1">
      <c r="A66" s="90" t="s">
        <v>131</v>
      </c>
      <c r="B66" s="91">
        <f>10/2</f>
        <v>5</v>
      </c>
      <c r="C66" s="91">
        <v>27.22</v>
      </c>
      <c r="D66" s="91">
        <f>B66</f>
        <v>5</v>
      </c>
      <c r="E66" s="91">
        <v>29</v>
      </c>
      <c r="F66" s="92">
        <f>(E66*D66)/(C66*B66)</f>
        <v>1.0653930933137399</v>
      </c>
      <c r="G66" s="99">
        <v>3.5</v>
      </c>
      <c r="H66" s="99">
        <v>27.22</v>
      </c>
      <c r="I66" s="99">
        <f>G66</f>
        <v>3.5</v>
      </c>
      <c r="J66" s="99">
        <v>29</v>
      </c>
      <c r="K66" s="92">
        <f>(J66*I66)/(H66*G66)</f>
        <v>1.0653930933137399</v>
      </c>
      <c r="L66" s="91">
        <f>8.5/2</f>
        <v>4.25</v>
      </c>
      <c r="M66" s="91">
        <v>48.98</v>
      </c>
      <c r="N66" s="91">
        <f>L66</f>
        <v>4.25</v>
      </c>
      <c r="O66" s="91">
        <v>48.98</v>
      </c>
      <c r="P66" s="92">
        <f>(O66*N66)/(M66*L66)</f>
        <v>1</v>
      </c>
      <c r="Q66" s="96">
        <v>2.75</v>
      </c>
      <c r="R66" s="96">
        <v>48.98</v>
      </c>
      <c r="S66" s="96">
        <f>Q66</f>
        <v>2.75</v>
      </c>
      <c r="T66" s="96">
        <v>48.98</v>
      </c>
      <c r="U66" s="92">
        <f>(T66*S66)/(R66*Q66)</f>
        <v>1</v>
      </c>
      <c r="V66" s="171">
        <f t="shared" si="2"/>
        <v>1.0233595800524935</v>
      </c>
    </row>
    <row r="67" spans="1:22">
      <c r="A67" s="93" t="s">
        <v>232</v>
      </c>
      <c r="B67" s="91">
        <f>SUM(B68:B71)</f>
        <v>55.34</v>
      </c>
      <c r="C67" s="91">
        <f>SUMPRODUCT(B68:B71,C68:C71)/B67</f>
        <v>45.424795807734007</v>
      </c>
      <c r="D67" s="91">
        <f>SUM(D68:D71)</f>
        <v>55.34</v>
      </c>
      <c r="E67" s="91">
        <f>SUMPRODUCT(D68:D71,E68:E71)/D67</f>
        <v>48.176331767256954</v>
      </c>
      <c r="F67" s="103">
        <f>E67/C67</f>
        <v>1.0605734359526713</v>
      </c>
      <c r="G67" s="91">
        <f>SUM(G68:G71)</f>
        <v>30.889000000000003</v>
      </c>
      <c r="H67" s="91">
        <f>SUMPRODUCT(G68:G71,H68:H71)/G67</f>
        <v>50.628265401923016</v>
      </c>
      <c r="I67" s="91">
        <f>SUM(I68:I71)</f>
        <v>30.889000000000003</v>
      </c>
      <c r="J67" s="91">
        <f>SUMPRODUCT(I68:I71,J68:J71)/I67</f>
        <v>52.912127618245968</v>
      </c>
      <c r="K67" s="103">
        <f>J67/H67</f>
        <v>1.0451104180281912</v>
      </c>
      <c r="L67" s="91">
        <f>SUM(L68:L71)</f>
        <v>31.89</v>
      </c>
      <c r="M67" s="91">
        <f>SUMPRODUCT(L68:L71,M68:M71)/L67</f>
        <v>63.360714957666971</v>
      </c>
      <c r="N67" s="91">
        <f>SUM(N68:N71)</f>
        <v>31.89</v>
      </c>
      <c r="O67" s="91">
        <f>SUMPRODUCT(N68:N71,O68:O71)/N67</f>
        <v>65.939818124804006</v>
      </c>
      <c r="P67" s="103">
        <f>O67/M67</f>
        <v>1.0407050830922631</v>
      </c>
      <c r="Q67" s="91">
        <f>SUM(Q68:Q71)</f>
        <v>27.05</v>
      </c>
      <c r="R67" s="91">
        <f>SUMPRODUCT(Q68:Q71,R68:R71)/Q67</f>
        <v>30</v>
      </c>
      <c r="S67" s="91">
        <f>SUM(S68:S71)</f>
        <v>27.05</v>
      </c>
      <c r="T67" s="91">
        <f>SUMPRODUCT(S68:S71,T68:T71)/S67</f>
        <v>32.130000000000003</v>
      </c>
      <c r="U67" s="103">
        <f>T67/R67</f>
        <v>1.0710000000000002</v>
      </c>
      <c r="V67" s="171">
        <f t="shared" si="2"/>
        <v>1.0490013705791728</v>
      </c>
    </row>
    <row r="68" spans="1:22" ht="26.25" hidden="1">
      <c r="A68" s="113" t="s">
        <v>176</v>
      </c>
      <c r="B68" s="91">
        <f>19.48/2</f>
        <v>9.74</v>
      </c>
      <c r="C68" s="91">
        <v>62.83</v>
      </c>
      <c r="D68" s="91">
        <f>B68</f>
        <v>9.74</v>
      </c>
      <c r="E68" s="91">
        <v>67.180000000000007</v>
      </c>
      <c r="F68" s="92">
        <f>(E68*D68)/(C68*B68)</f>
        <v>1.069234442145472</v>
      </c>
      <c r="G68" s="91"/>
      <c r="H68" s="91"/>
      <c r="I68" s="91"/>
      <c r="J68" s="91"/>
      <c r="K68" s="98"/>
      <c r="L68" s="91">
        <f>7/2</f>
        <v>3.5</v>
      </c>
      <c r="M68" s="91">
        <v>109.19</v>
      </c>
      <c r="N68" s="91">
        <f>L68</f>
        <v>3.5</v>
      </c>
      <c r="O68" s="91">
        <v>117.04</v>
      </c>
      <c r="P68" s="92">
        <f>(O68*N68)/(M68*L68)</f>
        <v>1.0718930304972984</v>
      </c>
      <c r="Q68" s="91">
        <f>7/2</f>
        <v>3.5</v>
      </c>
      <c r="R68" s="91">
        <v>30</v>
      </c>
      <c r="S68" s="91">
        <f>Q68</f>
        <v>3.5</v>
      </c>
      <c r="T68" s="91">
        <v>32.130000000000003</v>
      </c>
      <c r="U68" s="92">
        <f>(T68*S68)/(R68*Q68)</f>
        <v>1.0710000000000002</v>
      </c>
      <c r="V68" s="171">
        <f t="shared" si="2"/>
        <v>1.0709219858156032</v>
      </c>
    </row>
    <row r="69" spans="1:22" ht="26.25" hidden="1">
      <c r="A69" s="113" t="s">
        <v>177</v>
      </c>
      <c r="B69" s="91">
        <v>0</v>
      </c>
      <c r="C69" s="91"/>
      <c r="D69" s="91">
        <f>B69</f>
        <v>0</v>
      </c>
      <c r="E69" s="91"/>
      <c r="F69" s="92"/>
      <c r="G69" s="91">
        <f>3.378/2</f>
        <v>1.6890000000000001</v>
      </c>
      <c r="H69" s="91">
        <v>474.41</v>
      </c>
      <c r="I69" s="91">
        <f>G69</f>
        <v>1.6890000000000001</v>
      </c>
      <c r="J69" s="91">
        <v>476.39</v>
      </c>
      <c r="K69" s="92">
        <f t="shared" ref="K69:K71" si="43">(J69*I69)/(H69*G69)</f>
        <v>1.0041736051095045</v>
      </c>
      <c r="L69" s="91">
        <f>3.18/2</f>
        <v>1.59</v>
      </c>
      <c r="M69" s="91">
        <v>62.78</v>
      </c>
      <c r="N69" s="91">
        <f>L69</f>
        <v>1.59</v>
      </c>
      <c r="O69" s="91">
        <v>66.72</v>
      </c>
      <c r="P69" s="92">
        <f>(O69*N69)/(M69*L69)</f>
        <v>1.0627588403950303</v>
      </c>
      <c r="Q69" s="91"/>
      <c r="R69" s="91"/>
      <c r="S69" s="91"/>
      <c r="T69" s="91"/>
      <c r="U69" s="98"/>
      <c r="V69" s="171">
        <f t="shared" si="2"/>
        <v>1.0627588403950303</v>
      </c>
    </row>
    <row r="70" spans="1:22" ht="26.25" hidden="1">
      <c r="A70" s="113" t="s">
        <v>178</v>
      </c>
      <c r="B70" s="91">
        <f>13.4/2</f>
        <v>6.7</v>
      </c>
      <c r="C70" s="91">
        <v>53.07</v>
      </c>
      <c r="D70" s="91">
        <f>B70</f>
        <v>6.7</v>
      </c>
      <c r="E70" s="91">
        <v>56.7</v>
      </c>
      <c r="F70" s="92">
        <f>(E70*D70)/(C70*B70)</f>
        <v>1.06840022611645</v>
      </c>
      <c r="G70" s="91">
        <f>10.8/2</f>
        <v>5.4</v>
      </c>
      <c r="H70" s="91">
        <v>53.07</v>
      </c>
      <c r="I70" s="91">
        <f>G70</f>
        <v>5.4</v>
      </c>
      <c r="J70" s="91">
        <v>56.7</v>
      </c>
      <c r="K70" s="92">
        <f t="shared" si="43"/>
        <v>1.06840022611645</v>
      </c>
      <c r="L70" s="91"/>
      <c r="M70" s="91"/>
      <c r="N70" s="91"/>
      <c r="O70" s="91"/>
      <c r="P70" s="98"/>
      <c r="Q70" s="91"/>
      <c r="R70" s="91"/>
      <c r="S70" s="91"/>
      <c r="T70" s="91"/>
      <c r="U70" s="98"/>
      <c r="V70" s="171">
        <f t="shared" si="2"/>
        <v>1.06840022611645</v>
      </c>
    </row>
    <row r="71" spans="1:22" ht="26.25" hidden="1">
      <c r="A71" s="113" t="s">
        <v>179</v>
      </c>
      <c r="B71" s="91">
        <f>77.8/2</f>
        <v>38.9</v>
      </c>
      <c r="C71" s="91">
        <v>39.75</v>
      </c>
      <c r="D71" s="91">
        <f>B71</f>
        <v>38.9</v>
      </c>
      <c r="E71" s="91">
        <v>41.95</v>
      </c>
      <c r="F71" s="92">
        <f>(E71*D71)/(C71*B71)</f>
        <v>1.0553459119496857</v>
      </c>
      <c r="G71" s="91">
        <f>47.6/2</f>
        <v>23.8</v>
      </c>
      <c r="H71" s="91">
        <v>20</v>
      </c>
      <c r="I71" s="91">
        <f>G71</f>
        <v>23.8</v>
      </c>
      <c r="J71" s="91">
        <v>22</v>
      </c>
      <c r="K71" s="92">
        <f t="shared" si="43"/>
        <v>1.1000000000000001</v>
      </c>
      <c r="L71" s="91">
        <f>53.6/2</f>
        <v>26.8</v>
      </c>
      <c r="M71" s="91">
        <v>57.41</v>
      </c>
      <c r="N71" s="91">
        <f>L71</f>
        <v>26.8</v>
      </c>
      <c r="O71" s="91">
        <v>59.22</v>
      </c>
      <c r="P71" s="92">
        <f>(O71*N71)/(M71*L71)</f>
        <v>1.0315276084305871</v>
      </c>
      <c r="Q71" s="96">
        <f>47.1/2</f>
        <v>23.55</v>
      </c>
      <c r="R71" s="96">
        <v>30</v>
      </c>
      <c r="S71" s="96">
        <f>Q71</f>
        <v>23.55</v>
      </c>
      <c r="T71" s="96">
        <v>32.130000000000003</v>
      </c>
      <c r="U71" s="92">
        <f t="shared" ref="U71" si="44">(T71*S71)/(R71*Q71)</f>
        <v>1.0710000000000002</v>
      </c>
      <c r="V71" s="171">
        <f t="shared" si="2"/>
        <v>1.0412721284479209</v>
      </c>
    </row>
    <row r="72" spans="1:22" hidden="1">
      <c r="A72" s="90"/>
      <c r="B72" s="91"/>
      <c r="C72" s="91"/>
      <c r="D72" s="91"/>
      <c r="E72" s="91"/>
      <c r="F72" s="92"/>
      <c r="G72" s="99"/>
      <c r="H72" s="99"/>
      <c r="I72" s="99"/>
      <c r="J72" s="99"/>
      <c r="K72" s="92"/>
      <c r="L72" s="91"/>
      <c r="M72" s="91"/>
      <c r="N72" s="91"/>
      <c r="O72" s="91"/>
      <c r="P72" s="92"/>
      <c r="Q72" s="96"/>
      <c r="R72" s="96"/>
      <c r="S72" s="96"/>
      <c r="T72" s="96"/>
      <c r="U72" s="92"/>
      <c r="V72" s="171" t="e">
        <f t="shared" si="2"/>
        <v>#DIV/0!</v>
      </c>
    </row>
    <row r="73" spans="1:22" hidden="1">
      <c r="A73" s="90"/>
      <c r="B73" s="91"/>
      <c r="C73" s="91"/>
      <c r="D73" s="91"/>
      <c r="E73" s="91"/>
      <c r="F73" s="92"/>
      <c r="G73" s="99"/>
      <c r="H73" s="99"/>
      <c r="I73" s="99"/>
      <c r="J73" s="99"/>
      <c r="K73" s="92"/>
      <c r="L73" s="91"/>
      <c r="M73" s="91"/>
      <c r="N73" s="91"/>
      <c r="O73" s="91"/>
      <c r="P73" s="92"/>
      <c r="Q73" s="96"/>
      <c r="R73" s="96"/>
      <c r="S73" s="96"/>
      <c r="T73" s="96"/>
      <c r="U73" s="92"/>
      <c r="V73" s="171" t="e">
        <f t="shared" ref="V73:V136" si="45">(E73+O73)/(C73+M73)</f>
        <v>#DIV/0!</v>
      </c>
    </row>
    <row r="74" spans="1:22" hidden="1">
      <c r="A74" s="90"/>
      <c r="B74" s="91"/>
      <c r="C74" s="91"/>
      <c r="D74" s="91"/>
      <c r="E74" s="91"/>
      <c r="F74" s="92"/>
      <c r="G74" s="99"/>
      <c r="H74" s="99"/>
      <c r="I74" s="99"/>
      <c r="J74" s="99"/>
      <c r="K74" s="92"/>
      <c r="L74" s="91"/>
      <c r="M74" s="91"/>
      <c r="N74" s="91"/>
      <c r="O74" s="91"/>
      <c r="P74" s="92"/>
      <c r="Q74" s="96"/>
      <c r="R74" s="96"/>
      <c r="S74" s="96"/>
      <c r="T74" s="96"/>
      <c r="U74" s="92"/>
      <c r="V74" s="171" t="e">
        <f t="shared" si="45"/>
        <v>#DIV/0!</v>
      </c>
    </row>
    <row r="75" spans="1:22" hidden="1">
      <c r="A75" s="90"/>
      <c r="B75" s="91"/>
      <c r="C75" s="91"/>
      <c r="D75" s="91"/>
      <c r="E75" s="91"/>
      <c r="F75" s="92"/>
      <c r="G75" s="99"/>
      <c r="H75" s="99"/>
      <c r="I75" s="99"/>
      <c r="J75" s="99"/>
      <c r="K75" s="92"/>
      <c r="L75" s="91"/>
      <c r="M75" s="91"/>
      <c r="N75" s="91"/>
      <c r="O75" s="91"/>
      <c r="P75" s="92"/>
      <c r="Q75" s="96"/>
      <c r="R75" s="96"/>
      <c r="S75" s="96"/>
      <c r="T75" s="96"/>
      <c r="U75" s="92"/>
      <c r="V75" s="171" t="e">
        <f t="shared" si="45"/>
        <v>#DIV/0!</v>
      </c>
    </row>
    <row r="76" spans="1:22" hidden="1">
      <c r="A76" s="90"/>
      <c r="B76" s="91"/>
      <c r="C76" s="91"/>
      <c r="D76" s="91"/>
      <c r="E76" s="91"/>
      <c r="F76" s="92"/>
      <c r="G76" s="99"/>
      <c r="H76" s="99"/>
      <c r="I76" s="99"/>
      <c r="J76" s="99"/>
      <c r="K76" s="92"/>
      <c r="L76" s="91"/>
      <c r="M76" s="91"/>
      <c r="N76" s="91"/>
      <c r="O76" s="91"/>
      <c r="P76" s="92"/>
      <c r="Q76" s="96"/>
      <c r="R76" s="96"/>
      <c r="S76" s="96"/>
      <c r="T76" s="96"/>
      <c r="U76" s="92"/>
      <c r="V76" s="171" t="e">
        <f t="shared" si="45"/>
        <v>#DIV/0!</v>
      </c>
    </row>
    <row r="77" spans="1:22" hidden="1">
      <c r="A77" s="90"/>
      <c r="B77" s="91"/>
      <c r="C77" s="91"/>
      <c r="D77" s="91"/>
      <c r="E77" s="91"/>
      <c r="F77" s="92"/>
      <c r="G77" s="99"/>
      <c r="H77" s="99"/>
      <c r="I77" s="99"/>
      <c r="J77" s="99"/>
      <c r="K77" s="92"/>
      <c r="L77" s="91"/>
      <c r="M77" s="91"/>
      <c r="N77" s="91"/>
      <c r="O77" s="91"/>
      <c r="P77" s="92"/>
      <c r="Q77" s="96"/>
      <c r="R77" s="96"/>
      <c r="S77" s="96"/>
      <c r="T77" s="96"/>
      <c r="U77" s="92"/>
      <c r="V77" s="171" t="e">
        <f t="shared" si="45"/>
        <v>#DIV/0!</v>
      </c>
    </row>
    <row r="78" spans="1:22" hidden="1">
      <c r="A78" s="90"/>
      <c r="B78" s="91"/>
      <c r="C78" s="91"/>
      <c r="D78" s="91"/>
      <c r="E78" s="91"/>
      <c r="F78" s="92"/>
      <c r="G78" s="99"/>
      <c r="H78" s="99"/>
      <c r="I78" s="99"/>
      <c r="J78" s="99"/>
      <c r="K78" s="92"/>
      <c r="L78" s="91"/>
      <c r="M78" s="91"/>
      <c r="N78" s="91"/>
      <c r="O78" s="91"/>
      <c r="P78" s="92"/>
      <c r="Q78" s="96"/>
      <c r="R78" s="96"/>
      <c r="S78" s="96"/>
      <c r="T78" s="96"/>
      <c r="U78" s="92"/>
      <c r="V78" s="171" t="e">
        <f t="shared" si="45"/>
        <v>#DIV/0!</v>
      </c>
    </row>
    <row r="79" spans="1:22" hidden="1">
      <c r="A79" s="97"/>
      <c r="B79" s="91"/>
      <c r="C79" s="91"/>
      <c r="D79" s="91"/>
      <c r="E79" s="91"/>
      <c r="F79" s="92"/>
      <c r="G79" s="91"/>
      <c r="H79" s="91"/>
      <c r="I79" s="91"/>
      <c r="J79" s="91"/>
      <c r="K79" s="92"/>
      <c r="L79" s="91"/>
      <c r="M79" s="91"/>
      <c r="N79" s="91"/>
      <c r="O79" s="91"/>
      <c r="P79" s="92"/>
      <c r="Q79" s="96"/>
      <c r="R79" s="96"/>
      <c r="S79" s="96"/>
      <c r="T79" s="96"/>
      <c r="U79" s="92"/>
      <c r="V79" s="171" t="e">
        <f t="shared" si="45"/>
        <v>#DIV/0!</v>
      </c>
    </row>
    <row r="80" spans="1:22" hidden="1">
      <c r="A80" s="97"/>
      <c r="B80" s="91"/>
      <c r="C80" s="91"/>
      <c r="D80" s="91"/>
      <c r="E80" s="91"/>
      <c r="F80" s="92"/>
      <c r="G80" s="91"/>
      <c r="H80" s="91"/>
      <c r="I80" s="91"/>
      <c r="J80" s="91"/>
      <c r="K80" s="92"/>
      <c r="L80" s="91"/>
      <c r="M80" s="91"/>
      <c r="N80" s="91"/>
      <c r="O80" s="91"/>
      <c r="P80" s="92"/>
      <c r="Q80" s="96"/>
      <c r="R80" s="96"/>
      <c r="S80" s="96"/>
      <c r="T80" s="96"/>
      <c r="U80" s="92"/>
      <c r="V80" s="171" t="e">
        <f t="shared" si="45"/>
        <v>#DIV/0!</v>
      </c>
    </row>
    <row r="81" spans="1:22" hidden="1">
      <c r="A81" s="104"/>
      <c r="B81" s="102"/>
      <c r="C81" s="102"/>
      <c r="D81" s="102"/>
      <c r="E81" s="102"/>
      <c r="F81" s="103"/>
      <c r="G81" s="102"/>
      <c r="H81" s="102"/>
      <c r="I81" s="102"/>
      <c r="J81" s="102"/>
      <c r="K81" s="103"/>
      <c r="L81" s="102"/>
      <c r="M81" s="102"/>
      <c r="N81" s="102"/>
      <c r="O81" s="102"/>
      <c r="P81" s="103"/>
      <c r="Q81" s="107"/>
      <c r="R81" s="107"/>
      <c r="S81" s="107"/>
      <c r="T81" s="107"/>
      <c r="U81" s="103"/>
      <c r="V81" s="171" t="e">
        <f t="shared" si="45"/>
        <v>#DIV/0!</v>
      </c>
    </row>
    <row r="82" spans="1:22" hidden="1">
      <c r="A82" s="104"/>
      <c r="B82" s="102"/>
      <c r="C82" s="102"/>
      <c r="D82" s="102"/>
      <c r="E82" s="102"/>
      <c r="F82" s="103"/>
      <c r="G82" s="102"/>
      <c r="H82" s="102"/>
      <c r="I82" s="102"/>
      <c r="J82" s="102"/>
      <c r="K82" s="103"/>
      <c r="L82" s="102"/>
      <c r="M82" s="102"/>
      <c r="N82" s="102"/>
      <c r="O82" s="102"/>
      <c r="P82" s="103"/>
      <c r="Q82" s="107"/>
      <c r="R82" s="107"/>
      <c r="S82" s="107"/>
      <c r="T82" s="107"/>
      <c r="U82" s="103"/>
      <c r="V82" s="171" t="e">
        <f t="shared" si="45"/>
        <v>#DIV/0!</v>
      </c>
    </row>
    <row r="83" spans="1:22">
      <c r="A83" s="93" t="s">
        <v>233</v>
      </c>
      <c r="B83" s="91">
        <f>SUM(B84:B91)</f>
        <v>116.78150000000001</v>
      </c>
      <c r="C83" s="91">
        <f>SUMPRODUCT(B84:B91,C84:C91)/B83</f>
        <v>57.438001395769021</v>
      </c>
      <c r="D83" s="91">
        <f>SUM(D84:D91)</f>
        <v>116.78150000000001</v>
      </c>
      <c r="E83" s="91">
        <f>SUMPRODUCT(D84:D91,E84:E91)/D83</f>
        <v>58.499699738400338</v>
      </c>
      <c r="F83" s="92">
        <f>E83/C83</f>
        <v>1.0184842493964201</v>
      </c>
      <c r="G83" s="91">
        <f>SUM(G84:G91)</f>
        <v>71.305000000000007</v>
      </c>
      <c r="H83" s="91">
        <f>SUMPRODUCT(G84:G91,H84:H91)/G83</f>
        <v>50.704421849800148</v>
      </c>
      <c r="I83" s="91">
        <f>SUM(I84:I91)</f>
        <v>71.305000000000007</v>
      </c>
      <c r="J83" s="91">
        <f>SUMPRODUCT(I84:I91,J84:J91)/I83</f>
        <v>54.038694341210274</v>
      </c>
      <c r="K83" s="92">
        <f>J83/H83</f>
        <v>1.0657590081844759</v>
      </c>
      <c r="L83" s="91">
        <f>SUM(L84:L89)</f>
        <v>43.805</v>
      </c>
      <c r="M83" s="91">
        <f>SUMPRODUCT(L84:L89,M84:M89)/L83</f>
        <v>52.4</v>
      </c>
      <c r="N83" s="91">
        <f>SUM(N84:N89)</f>
        <v>43.805</v>
      </c>
      <c r="O83" s="91">
        <f>SUMPRODUCT(N84:N89,O84:O89)/N83</f>
        <v>59.69</v>
      </c>
      <c r="P83" s="92">
        <f>O83/M83</f>
        <v>1.1391221374045801</v>
      </c>
      <c r="Q83" s="91">
        <f>SUM(Q84:Q89)</f>
        <v>24.024999999999999</v>
      </c>
      <c r="R83" s="91">
        <f>SUMPRODUCT(Q84:Q89,R84:R89)/Q83</f>
        <v>41</v>
      </c>
      <c r="S83" s="91">
        <f>SUM(S84:S89)</f>
        <v>24.024999999999999</v>
      </c>
      <c r="T83" s="91">
        <f>SUMPRODUCT(S84:S89,T84:T89)/S83</f>
        <v>43.91</v>
      </c>
      <c r="U83" s="92">
        <f>T83/R83</f>
        <v>1.0709756097560974</v>
      </c>
      <c r="V83" s="171">
        <f t="shared" si="45"/>
        <v>1.0760365104654299</v>
      </c>
    </row>
    <row r="84" spans="1:22" ht="26.25" hidden="1">
      <c r="A84" s="104" t="s">
        <v>19</v>
      </c>
      <c r="B84" s="91">
        <f>168.83/2</f>
        <v>84.415000000000006</v>
      </c>
      <c r="C84" s="91">
        <v>53.5</v>
      </c>
      <c r="D84" s="91">
        <f>B84</f>
        <v>84.415000000000006</v>
      </c>
      <c r="E84" s="91">
        <v>53.5</v>
      </c>
      <c r="F84" s="92">
        <f>(E84*D84)/(C84*B84)</f>
        <v>1</v>
      </c>
      <c r="G84" s="94">
        <f>110.36/2</f>
        <v>55.18</v>
      </c>
      <c r="H84" s="94">
        <v>43</v>
      </c>
      <c r="I84" s="94">
        <f>G84</f>
        <v>55.18</v>
      </c>
      <c r="J84" s="94">
        <v>46.05</v>
      </c>
      <c r="K84" s="92">
        <f>(J84*I84)/(H84*G84)</f>
        <v>1.0709302325581396</v>
      </c>
      <c r="L84" s="91">
        <f>87.61/2</f>
        <v>43.805</v>
      </c>
      <c r="M84" s="91">
        <v>52.4</v>
      </c>
      <c r="N84" s="91">
        <f>L84</f>
        <v>43.805</v>
      </c>
      <c r="O84" s="91">
        <v>59.69</v>
      </c>
      <c r="P84" s="92">
        <f>(O84*N84)/(M84*L84)</f>
        <v>1.1391221374045801</v>
      </c>
      <c r="Q84" s="91">
        <f>48.05/2</f>
        <v>24.024999999999999</v>
      </c>
      <c r="R84" s="91">
        <v>41</v>
      </c>
      <c r="S84" s="91">
        <f>Q84</f>
        <v>24.024999999999999</v>
      </c>
      <c r="T84" s="91">
        <v>43.91</v>
      </c>
      <c r="U84" s="92">
        <f>(T84*S84)/(R84*Q84)</f>
        <v>1.0709756097560974</v>
      </c>
      <c r="V84" s="171">
        <f t="shared" si="45"/>
        <v>1.0688385269121812</v>
      </c>
    </row>
    <row r="85" spans="1:22" hidden="1">
      <c r="A85" s="104" t="s">
        <v>20</v>
      </c>
      <c r="B85" s="91">
        <f>13.06/2</f>
        <v>6.53</v>
      </c>
      <c r="C85" s="91">
        <v>91.26</v>
      </c>
      <c r="D85" s="91">
        <f>B85</f>
        <v>6.53</v>
      </c>
      <c r="E85" s="91">
        <v>94.88</v>
      </c>
      <c r="F85" s="92">
        <f>(E85*D85)/(C85*B85)</f>
        <v>1.0396668858207319</v>
      </c>
      <c r="G85" s="94">
        <f>8.27/2</f>
        <v>4.1349999999999998</v>
      </c>
      <c r="H85" s="94">
        <v>91.26</v>
      </c>
      <c r="I85" s="94">
        <f t="shared" ref="I85:I91" si="46">G85</f>
        <v>4.1349999999999998</v>
      </c>
      <c r="J85" s="94">
        <v>94.88</v>
      </c>
      <c r="K85" s="92">
        <f>(J85*I85)/(H85*G85)</f>
        <v>1.0396668858207319</v>
      </c>
      <c r="L85" s="91"/>
      <c r="M85" s="91"/>
      <c r="N85" s="91"/>
      <c r="O85" s="91"/>
      <c r="P85" s="92"/>
      <c r="Q85" s="91"/>
      <c r="R85" s="91"/>
      <c r="S85" s="91"/>
      <c r="T85" s="91"/>
      <c r="U85" s="92"/>
      <c r="V85" s="171">
        <f t="shared" si="45"/>
        <v>1.0396668858207319</v>
      </c>
    </row>
    <row r="86" spans="1:22" hidden="1">
      <c r="A86" s="104" t="s">
        <v>21</v>
      </c>
      <c r="B86" s="91">
        <f>13/2</f>
        <v>6.5</v>
      </c>
      <c r="C86" s="91">
        <v>81.069999999999993</v>
      </c>
      <c r="D86" s="91">
        <f>B86</f>
        <v>6.5</v>
      </c>
      <c r="E86" s="91">
        <v>84.59</v>
      </c>
      <c r="F86" s="92">
        <f>(E86*D86)/(C86*B86)</f>
        <v>1.0434192672998646</v>
      </c>
      <c r="G86" s="94">
        <f>8.61/2</f>
        <v>4.3049999999999997</v>
      </c>
      <c r="H86" s="94">
        <v>81.069999999999993</v>
      </c>
      <c r="I86" s="94">
        <f t="shared" si="46"/>
        <v>4.3049999999999997</v>
      </c>
      <c r="J86" s="94">
        <v>84.59</v>
      </c>
      <c r="K86" s="92">
        <f>(J86*I86)/(H86*G86)</f>
        <v>1.0434192672998643</v>
      </c>
      <c r="L86" s="91"/>
      <c r="M86" s="91"/>
      <c r="N86" s="91"/>
      <c r="O86" s="91"/>
      <c r="P86" s="92"/>
      <c r="Q86" s="91"/>
      <c r="R86" s="91"/>
      <c r="S86" s="91"/>
      <c r="T86" s="91"/>
      <c r="U86" s="92"/>
      <c r="V86" s="171">
        <f t="shared" si="45"/>
        <v>1.0434192672998643</v>
      </c>
    </row>
    <row r="87" spans="1:22" hidden="1">
      <c r="A87" s="109" t="s">
        <v>22</v>
      </c>
      <c r="B87" s="91">
        <f>7.97/2</f>
        <v>3.9849999999999999</v>
      </c>
      <c r="C87" s="91">
        <v>87.3</v>
      </c>
      <c r="D87" s="91">
        <f>B87</f>
        <v>3.9849999999999999</v>
      </c>
      <c r="E87" s="91">
        <v>92.57</v>
      </c>
      <c r="F87" s="92">
        <f>(E87*D87)/(C87*B87)</f>
        <v>1.0603665521191294</v>
      </c>
      <c r="G87" s="95">
        <f>3.23/2</f>
        <v>1.615</v>
      </c>
      <c r="H87" s="95">
        <v>87.3</v>
      </c>
      <c r="I87" s="94">
        <f t="shared" si="46"/>
        <v>1.615</v>
      </c>
      <c r="J87" s="95">
        <v>92.57</v>
      </c>
      <c r="K87" s="92">
        <f t="shared" ref="K87:K91" si="47">(J87*I87)/(H87*G87)</f>
        <v>1.0603665521191292</v>
      </c>
      <c r="L87" s="91"/>
      <c r="M87" s="91"/>
      <c r="N87" s="91"/>
      <c r="O87" s="91"/>
      <c r="P87" s="92"/>
      <c r="Q87" s="96"/>
      <c r="R87" s="96"/>
      <c r="S87" s="96"/>
      <c r="T87" s="96"/>
      <c r="U87" s="98"/>
      <c r="V87" s="171">
        <f t="shared" si="45"/>
        <v>1.0603665521191294</v>
      </c>
    </row>
    <row r="88" spans="1:22" hidden="1">
      <c r="A88" s="109" t="s">
        <v>23</v>
      </c>
      <c r="B88" s="91">
        <f>2.103/2</f>
        <v>1.0515000000000001</v>
      </c>
      <c r="C88" s="91">
        <v>99.44</v>
      </c>
      <c r="D88" s="91">
        <f>B88</f>
        <v>1.0515000000000001</v>
      </c>
      <c r="E88" s="91">
        <v>107.89</v>
      </c>
      <c r="F88" s="92">
        <f>(E88*D88)/(C88*B88)</f>
        <v>1.0849758648431216</v>
      </c>
      <c r="G88" s="95">
        <f>0.55/2</f>
        <v>0.27500000000000002</v>
      </c>
      <c r="H88" s="95">
        <v>99.44</v>
      </c>
      <c r="I88" s="94">
        <f t="shared" si="46"/>
        <v>0.27500000000000002</v>
      </c>
      <c r="J88" s="95">
        <v>107.89</v>
      </c>
      <c r="K88" s="92">
        <f t="shared" si="47"/>
        <v>1.0849758648431216</v>
      </c>
      <c r="L88" s="91"/>
      <c r="M88" s="91"/>
      <c r="N88" s="91"/>
      <c r="O88" s="91"/>
      <c r="P88" s="92"/>
      <c r="Q88" s="96"/>
      <c r="R88" s="96"/>
      <c r="S88" s="96"/>
      <c r="T88" s="96"/>
      <c r="U88" s="98"/>
      <c r="V88" s="171">
        <f t="shared" si="45"/>
        <v>1.0849758648431216</v>
      </c>
    </row>
    <row r="89" spans="1:22" hidden="1">
      <c r="A89" s="109" t="s">
        <v>24</v>
      </c>
      <c r="B89" s="96">
        <f>7.4/2</f>
        <v>3.7</v>
      </c>
      <c r="C89" s="96">
        <v>73.23</v>
      </c>
      <c r="D89" s="91">
        <f t="shared" ref="D89:D91" si="48">B89</f>
        <v>3.7</v>
      </c>
      <c r="E89" s="96">
        <v>79.430000000000007</v>
      </c>
      <c r="F89" s="92">
        <f t="shared" ref="F89:F91" si="49">(E89*D89)/(C89*B89)</f>
        <v>1.0846647548818791</v>
      </c>
      <c r="G89" s="94">
        <f>5.27/2</f>
        <v>2.6349999999999998</v>
      </c>
      <c r="H89" s="94">
        <v>73.23</v>
      </c>
      <c r="I89" s="94">
        <f t="shared" si="46"/>
        <v>2.6349999999999998</v>
      </c>
      <c r="J89" s="94">
        <v>79.430000000000007</v>
      </c>
      <c r="K89" s="92">
        <f t="shared" si="47"/>
        <v>1.0846647548818789</v>
      </c>
      <c r="L89" s="96"/>
      <c r="M89" s="96"/>
      <c r="N89" s="96"/>
      <c r="O89" s="96"/>
      <c r="P89" s="98"/>
      <c r="Q89" s="96"/>
      <c r="R89" s="96"/>
      <c r="S89" s="96"/>
      <c r="T89" s="96"/>
      <c r="U89" s="98"/>
      <c r="V89" s="171">
        <f t="shared" si="45"/>
        <v>1.0846647548818791</v>
      </c>
    </row>
    <row r="90" spans="1:22" hidden="1">
      <c r="A90" s="109" t="s">
        <v>25</v>
      </c>
      <c r="B90" s="96">
        <f>2.6/2</f>
        <v>1.3</v>
      </c>
      <c r="C90" s="96">
        <v>94.21</v>
      </c>
      <c r="D90" s="91">
        <f t="shared" si="48"/>
        <v>1.3</v>
      </c>
      <c r="E90" s="96">
        <v>102.22</v>
      </c>
      <c r="F90" s="92">
        <f t="shared" si="49"/>
        <v>1.0850228213565438</v>
      </c>
      <c r="G90" s="94">
        <f>2.26/2</f>
        <v>1.1299999999999999</v>
      </c>
      <c r="H90" s="94">
        <v>94.21</v>
      </c>
      <c r="I90" s="94">
        <f t="shared" si="46"/>
        <v>1.1299999999999999</v>
      </c>
      <c r="J90" s="94">
        <v>102.22</v>
      </c>
      <c r="K90" s="92">
        <f t="shared" si="47"/>
        <v>1.0850228213565438</v>
      </c>
      <c r="L90" s="96"/>
      <c r="M90" s="96"/>
      <c r="N90" s="96"/>
      <c r="O90" s="96"/>
      <c r="P90" s="98"/>
      <c r="Q90" s="96"/>
      <c r="R90" s="96"/>
      <c r="S90" s="96"/>
      <c r="T90" s="96"/>
      <c r="U90" s="98"/>
      <c r="V90" s="171">
        <f t="shared" si="45"/>
        <v>1.085022821356544</v>
      </c>
    </row>
    <row r="91" spans="1:22" ht="51" hidden="1">
      <c r="A91" s="114" t="s">
        <v>26</v>
      </c>
      <c r="B91" s="96">
        <f>18.6/2</f>
        <v>9.3000000000000007</v>
      </c>
      <c r="C91" s="96">
        <v>23.95</v>
      </c>
      <c r="D91" s="91">
        <f t="shared" si="48"/>
        <v>9.3000000000000007</v>
      </c>
      <c r="E91" s="96">
        <v>25.48</v>
      </c>
      <c r="F91" s="92">
        <f t="shared" si="49"/>
        <v>1.0638830897703551</v>
      </c>
      <c r="G91" s="94">
        <f>4.06/2</f>
        <v>2.0299999999999998</v>
      </c>
      <c r="H91" s="94">
        <v>23.95</v>
      </c>
      <c r="I91" s="94">
        <f t="shared" si="46"/>
        <v>2.0299999999999998</v>
      </c>
      <c r="J91" s="94">
        <v>25.48</v>
      </c>
      <c r="K91" s="92">
        <f t="shared" si="47"/>
        <v>1.0638830897703548</v>
      </c>
      <c r="L91" s="96"/>
      <c r="M91" s="96"/>
      <c r="N91" s="96"/>
      <c r="O91" s="96"/>
      <c r="P91" s="98"/>
      <c r="Q91" s="96"/>
      <c r="R91" s="96"/>
      <c r="S91" s="96"/>
      <c r="T91" s="96"/>
      <c r="U91" s="98"/>
      <c r="V91" s="171">
        <f t="shared" si="45"/>
        <v>1.0638830897703551</v>
      </c>
    </row>
    <row r="92" spans="1:22">
      <c r="A92" s="90" t="s">
        <v>202</v>
      </c>
      <c r="B92" s="91">
        <f>SUM(B93:B104)</f>
        <v>286.63484500000004</v>
      </c>
      <c r="C92" s="91">
        <f>SUMPRODUCT(B93:B104,C93:C104)/B92</f>
        <v>45.517804938370269</v>
      </c>
      <c r="D92" s="91">
        <f>SUM(D93:D104)</f>
        <v>286.63484500000004</v>
      </c>
      <c r="E92" s="91">
        <f>SUMPRODUCT(D93:D104,E93:E104)/D92</f>
        <v>45.993822468269677</v>
      </c>
      <c r="F92" s="92">
        <f>E92/C92</f>
        <v>1.0104578314034238</v>
      </c>
      <c r="G92" s="91">
        <f>SUM(G93:G104)</f>
        <v>119.078</v>
      </c>
      <c r="H92" s="91">
        <f>SUMPRODUCT(G93:G104,H93:H104)/G92</f>
        <v>37.209501538800524</v>
      </c>
      <c r="I92" s="91">
        <f>SUM(I93:I104)</f>
        <v>119.078</v>
      </c>
      <c r="J92" s="91">
        <f>SUMPRODUCT(I93:I104,J93:J104)/I92</f>
        <v>39.884858806405489</v>
      </c>
      <c r="K92" s="92">
        <f>J92/H92</f>
        <v>1.0718998416255379</v>
      </c>
      <c r="L92" s="91">
        <f>SUM(L93:L104)</f>
        <v>104.746</v>
      </c>
      <c r="M92" s="91">
        <f>SUMPRODUCT(L93:L104,M93:M104)/L92</f>
        <v>76.30067267485154</v>
      </c>
      <c r="N92" s="91">
        <f>SUM(N93:N104)</f>
        <v>104.746</v>
      </c>
      <c r="O92" s="91">
        <f>SUMPRODUCT(N93:N104,O93:O104)/N92</f>
        <v>78.483273442422615</v>
      </c>
      <c r="P92" s="92">
        <f>O92/M92</f>
        <v>1.0286052624578033</v>
      </c>
      <c r="Q92" s="91">
        <f>SUM(Q93:Q104)</f>
        <v>76.736000000000004</v>
      </c>
      <c r="R92" s="91">
        <f>SUMPRODUCT(Q93:Q104,R93:R104)/Q92</f>
        <v>51.34760870640789</v>
      </c>
      <c r="S92" s="91">
        <f>SUM(S93:S104)</f>
        <v>76.736000000000004</v>
      </c>
      <c r="T92" s="91">
        <f>SUMPRODUCT(S93:S104,T93:T104)/S92</f>
        <v>54.992029021359606</v>
      </c>
      <c r="U92" s="92">
        <f>T92/R92</f>
        <v>1.0709754632545705</v>
      </c>
      <c r="V92" s="171">
        <f t="shared" si="45"/>
        <v>1.0218244255679481</v>
      </c>
    </row>
    <row r="93" spans="1:22" hidden="1">
      <c r="A93" s="97" t="s">
        <v>81</v>
      </c>
      <c r="B93" s="91">
        <f>0.98369/2</f>
        <v>0.49184499999999998</v>
      </c>
      <c r="C93" s="91">
        <v>34.85</v>
      </c>
      <c r="D93" s="91">
        <f>B93</f>
        <v>0.49184499999999998</v>
      </c>
      <c r="E93" s="91">
        <v>37.07</v>
      </c>
      <c r="F93" s="92">
        <f>(E93*D93)/(C93*B93)</f>
        <v>1.0637015781922525</v>
      </c>
      <c r="G93" s="91"/>
      <c r="H93" s="91"/>
      <c r="I93" s="91"/>
      <c r="J93" s="91"/>
      <c r="K93" s="92"/>
      <c r="L93" s="91"/>
      <c r="M93" s="91"/>
      <c r="N93" s="91"/>
      <c r="O93" s="91"/>
      <c r="P93" s="92"/>
      <c r="Q93" s="96"/>
      <c r="R93" s="112"/>
      <c r="S93" s="112"/>
      <c r="T93" s="112"/>
      <c r="U93" s="92"/>
      <c r="V93" s="171">
        <f t="shared" si="45"/>
        <v>1.0637015781922525</v>
      </c>
    </row>
    <row r="94" spans="1:22" hidden="1">
      <c r="A94" s="97" t="s">
        <v>92</v>
      </c>
      <c r="B94" s="91">
        <f>14.76/2</f>
        <v>7.38</v>
      </c>
      <c r="C94" s="91">
        <v>93.81</v>
      </c>
      <c r="D94" s="91">
        <f>B94</f>
        <v>7.38</v>
      </c>
      <c r="E94" s="91">
        <v>100.11</v>
      </c>
      <c r="F94" s="92">
        <f t="shared" ref="F94" si="50">(E94*D94)/(C94*B94)</f>
        <v>1.0671570195075151</v>
      </c>
      <c r="G94" s="91">
        <f>7.09/2</f>
        <v>3.5449999999999999</v>
      </c>
      <c r="H94" s="91">
        <v>30.53</v>
      </c>
      <c r="I94" s="91">
        <f>G94</f>
        <v>3.5449999999999999</v>
      </c>
      <c r="J94" s="91">
        <v>32.700000000000003</v>
      </c>
      <c r="K94" s="92">
        <f t="shared" ref="K94:K101" si="51">(J94*I94)/(H94*G94)</f>
        <v>1.07107762856207</v>
      </c>
      <c r="L94" s="91">
        <f>14.76/2</f>
        <v>7.38</v>
      </c>
      <c r="M94" s="91">
        <v>110.48</v>
      </c>
      <c r="N94" s="91">
        <f>L94</f>
        <v>7.38</v>
      </c>
      <c r="O94" s="91">
        <v>118.37</v>
      </c>
      <c r="P94" s="92">
        <f t="shared" ref="P94" si="52">(O94*N94)/(M94*L94)</f>
        <v>1.0714156408399711</v>
      </c>
      <c r="Q94" s="96">
        <f>9.12/2</f>
        <v>4.5599999999999996</v>
      </c>
      <c r="R94" s="96">
        <v>51.35</v>
      </c>
      <c r="S94" s="96">
        <f>Q94</f>
        <v>4.5599999999999996</v>
      </c>
      <c r="T94" s="112">
        <v>55</v>
      </c>
      <c r="U94" s="92">
        <f t="shared" ref="U94" si="53">T94/R94</f>
        <v>1.071080817916261</v>
      </c>
      <c r="V94" s="171">
        <f t="shared" si="45"/>
        <v>1.0694600812570365</v>
      </c>
    </row>
    <row r="95" spans="1:22" hidden="1">
      <c r="A95" s="97" t="s">
        <v>82</v>
      </c>
      <c r="B95" s="91">
        <f>4.92/2</f>
        <v>2.46</v>
      </c>
      <c r="C95" s="91">
        <v>57.33</v>
      </c>
      <c r="D95" s="91">
        <f>B95</f>
        <v>2.46</v>
      </c>
      <c r="E95" s="91">
        <v>59.81</v>
      </c>
      <c r="F95" s="92">
        <f>(E95*D95)/(C95*B95)</f>
        <v>1.0432583289726147</v>
      </c>
      <c r="G95" s="91">
        <f>3.04/2</f>
        <v>1.52</v>
      </c>
      <c r="H95" s="91">
        <v>57.33</v>
      </c>
      <c r="I95" s="91">
        <f t="shared" ref="I95:I101" si="54">G95</f>
        <v>1.52</v>
      </c>
      <c r="J95" s="91">
        <v>59.81</v>
      </c>
      <c r="K95" s="92">
        <f t="shared" si="51"/>
        <v>1.0432583289726147</v>
      </c>
      <c r="L95" s="91"/>
      <c r="M95" s="91"/>
      <c r="N95" s="91"/>
      <c r="O95" s="91"/>
      <c r="P95" s="92"/>
      <c r="Q95" s="96"/>
      <c r="R95" s="112"/>
      <c r="S95" s="112"/>
      <c r="T95" s="112"/>
      <c r="U95" s="92"/>
      <c r="V95" s="171">
        <f t="shared" si="45"/>
        <v>1.0432583289726147</v>
      </c>
    </row>
    <row r="96" spans="1:22" hidden="1">
      <c r="A96" s="97" t="s">
        <v>83</v>
      </c>
      <c r="B96" s="91">
        <f>5.59/2</f>
        <v>2.7949999999999999</v>
      </c>
      <c r="C96" s="91">
        <v>71.900000000000006</v>
      </c>
      <c r="D96" s="91">
        <f>B96</f>
        <v>2.7949999999999999</v>
      </c>
      <c r="E96" s="91">
        <v>75</v>
      </c>
      <c r="F96" s="92">
        <f t="shared" ref="F96:F104" si="55">(E96*D96)/(C96*B96)</f>
        <v>1.0431154381084839</v>
      </c>
      <c r="G96" s="91">
        <f>3.74/2</f>
        <v>1.87</v>
      </c>
      <c r="H96" s="91">
        <v>39.18</v>
      </c>
      <c r="I96" s="91">
        <f t="shared" si="54"/>
        <v>1.87</v>
      </c>
      <c r="J96" s="91">
        <v>42.51</v>
      </c>
      <c r="K96" s="92">
        <f t="shared" si="51"/>
        <v>1.0849923430321593</v>
      </c>
      <c r="L96" s="91"/>
      <c r="M96" s="91"/>
      <c r="N96" s="91"/>
      <c r="O96" s="91"/>
      <c r="P96" s="92"/>
      <c r="Q96" s="96"/>
      <c r="R96" s="96"/>
      <c r="S96" s="96"/>
      <c r="T96" s="96"/>
      <c r="U96" s="92"/>
      <c r="V96" s="171">
        <f t="shared" si="45"/>
        <v>1.0431154381084839</v>
      </c>
    </row>
    <row r="97" spans="1:22" hidden="1">
      <c r="A97" s="97" t="s">
        <v>84</v>
      </c>
      <c r="B97" s="91">
        <f>51.206/2</f>
        <v>25.603000000000002</v>
      </c>
      <c r="C97" s="91">
        <v>63.85</v>
      </c>
      <c r="D97" s="91">
        <f t="shared" ref="D97:D104" si="56">B97</f>
        <v>25.603000000000002</v>
      </c>
      <c r="E97" s="91">
        <v>63.85</v>
      </c>
      <c r="F97" s="92">
        <f t="shared" si="55"/>
        <v>1</v>
      </c>
      <c r="G97" s="91">
        <f>39.507/2</f>
        <v>19.753499999999999</v>
      </c>
      <c r="H97" s="91">
        <v>41</v>
      </c>
      <c r="I97" s="91">
        <f t="shared" si="54"/>
        <v>19.753499999999999</v>
      </c>
      <c r="J97" s="91">
        <v>43.91</v>
      </c>
      <c r="K97" s="92">
        <f t="shared" si="51"/>
        <v>1.0709756097560974</v>
      </c>
      <c r="L97" s="91"/>
      <c r="M97" s="91"/>
      <c r="N97" s="91"/>
      <c r="O97" s="91"/>
      <c r="P97" s="92"/>
      <c r="Q97" s="112"/>
      <c r="R97" s="96"/>
      <c r="S97" s="112"/>
      <c r="T97" s="96"/>
      <c r="U97" s="92"/>
      <c r="V97" s="171">
        <f t="shared" si="45"/>
        <v>1</v>
      </c>
    </row>
    <row r="98" spans="1:22" hidden="1">
      <c r="A98" s="97" t="s">
        <v>85</v>
      </c>
      <c r="B98" s="91">
        <f>340.636/2</f>
        <v>170.31800000000001</v>
      </c>
      <c r="C98" s="91">
        <v>44.4</v>
      </c>
      <c r="D98" s="91">
        <f t="shared" si="56"/>
        <v>170.31800000000001</v>
      </c>
      <c r="E98" s="91">
        <v>44.4</v>
      </c>
      <c r="F98" s="92">
        <f t="shared" si="55"/>
        <v>1</v>
      </c>
      <c r="G98" s="91">
        <f>163.416/2</f>
        <v>81.707999999999998</v>
      </c>
      <c r="H98" s="91">
        <f>42.1/1.18</f>
        <v>35.677966101694921</v>
      </c>
      <c r="I98" s="91">
        <f t="shared" si="54"/>
        <v>81.707999999999998</v>
      </c>
      <c r="J98" s="91">
        <f>45.09/1.18</f>
        <v>38.211864406779668</v>
      </c>
      <c r="K98" s="92">
        <f t="shared" si="51"/>
        <v>1.0710213776722091</v>
      </c>
      <c r="L98" s="91">
        <f>194.732/2</f>
        <v>97.366</v>
      </c>
      <c r="M98" s="91">
        <v>73.709999999999994</v>
      </c>
      <c r="N98" s="91">
        <f t="shared" ref="N98" si="57">L98</f>
        <v>97.366</v>
      </c>
      <c r="O98" s="91">
        <v>75.459999999999994</v>
      </c>
      <c r="P98" s="92">
        <f t="shared" ref="P98" si="58">(O98*N98)/(M98*L98)</f>
        <v>1.0237416904083572</v>
      </c>
      <c r="Q98" s="112">
        <f>144.352/2</f>
        <v>72.176000000000002</v>
      </c>
      <c r="R98" s="112">
        <f>60.59/1.18</f>
        <v>51.347457627118651</v>
      </c>
      <c r="S98" s="112">
        <f>Q98</f>
        <v>72.176000000000002</v>
      </c>
      <c r="T98" s="112">
        <f>64.89/1.18</f>
        <v>54.991525423728817</v>
      </c>
      <c r="U98" s="92">
        <f t="shared" ref="U98" si="59">T98/R98</f>
        <v>1.0709688067337844</v>
      </c>
      <c r="V98" s="171">
        <f t="shared" si="45"/>
        <v>1.0148166963000593</v>
      </c>
    </row>
    <row r="99" spans="1:22" hidden="1">
      <c r="A99" s="97" t="s">
        <v>86</v>
      </c>
      <c r="B99" s="91">
        <f>4.612/2</f>
        <v>2.306</v>
      </c>
      <c r="C99" s="91">
        <v>70.38</v>
      </c>
      <c r="D99" s="91">
        <f t="shared" si="56"/>
        <v>2.306</v>
      </c>
      <c r="E99" s="91">
        <v>71.069999999999993</v>
      </c>
      <c r="F99" s="92">
        <f t="shared" si="55"/>
        <v>1.0098039215686274</v>
      </c>
      <c r="G99" s="91">
        <f>3/2</f>
        <v>1.5</v>
      </c>
      <c r="H99" s="91">
        <v>42.1</v>
      </c>
      <c r="I99" s="91">
        <f t="shared" si="54"/>
        <v>1.5</v>
      </c>
      <c r="J99" s="91">
        <v>45.68</v>
      </c>
      <c r="K99" s="92">
        <f t="shared" si="51"/>
        <v>1.0850356294536816</v>
      </c>
      <c r="L99" s="91"/>
      <c r="M99" s="91"/>
      <c r="N99" s="91"/>
      <c r="O99" s="91"/>
      <c r="P99" s="92"/>
      <c r="Q99" s="96"/>
      <c r="R99" s="96"/>
      <c r="S99" s="96"/>
      <c r="T99" s="96"/>
      <c r="U99" s="92"/>
      <c r="V99" s="171">
        <f t="shared" si="45"/>
        <v>1.0098039215686274</v>
      </c>
    </row>
    <row r="100" spans="1:22" hidden="1">
      <c r="A100" s="97" t="s">
        <v>87</v>
      </c>
      <c r="B100" s="91">
        <f>16.1/2</f>
        <v>8.0500000000000007</v>
      </c>
      <c r="C100" s="91">
        <v>48.63</v>
      </c>
      <c r="D100" s="91">
        <f t="shared" si="56"/>
        <v>8.0500000000000007</v>
      </c>
      <c r="E100" s="91">
        <v>48.63</v>
      </c>
      <c r="F100" s="92">
        <f t="shared" si="55"/>
        <v>1</v>
      </c>
      <c r="G100" s="91">
        <f>11.83/2</f>
        <v>5.915</v>
      </c>
      <c r="H100" s="91">
        <v>42.1</v>
      </c>
      <c r="I100" s="91">
        <f t="shared" si="54"/>
        <v>5.915</v>
      </c>
      <c r="J100" s="91">
        <v>45.68</v>
      </c>
      <c r="K100" s="92">
        <f t="shared" si="51"/>
        <v>1.0850356294536818</v>
      </c>
      <c r="L100" s="91"/>
      <c r="M100" s="91"/>
      <c r="N100" s="91"/>
      <c r="O100" s="91"/>
      <c r="P100" s="92"/>
      <c r="Q100" s="96"/>
      <c r="R100" s="96"/>
      <c r="S100" s="96"/>
      <c r="T100" s="96"/>
      <c r="U100" s="92"/>
      <c r="V100" s="171">
        <f t="shared" si="45"/>
        <v>1</v>
      </c>
    </row>
    <row r="101" spans="1:22" hidden="1">
      <c r="A101" s="97" t="s">
        <v>88</v>
      </c>
      <c r="B101" s="91">
        <f>84.507/2</f>
        <v>42.253500000000003</v>
      </c>
      <c r="C101" s="91">
        <v>34.61</v>
      </c>
      <c r="D101" s="91">
        <f t="shared" si="56"/>
        <v>42.253500000000003</v>
      </c>
      <c r="E101" s="91">
        <v>34.61</v>
      </c>
      <c r="F101" s="92">
        <f t="shared" si="55"/>
        <v>1</v>
      </c>
      <c r="G101" s="91">
        <v>0.17499999999999999</v>
      </c>
      <c r="H101" s="91">
        <v>34.61</v>
      </c>
      <c r="I101" s="91">
        <f t="shared" si="54"/>
        <v>0.17499999999999999</v>
      </c>
      <c r="J101" s="91">
        <v>34.61</v>
      </c>
      <c r="K101" s="92">
        <f t="shared" si="51"/>
        <v>1</v>
      </c>
      <c r="L101" s="91"/>
      <c r="M101" s="91"/>
      <c r="N101" s="91"/>
      <c r="O101" s="91"/>
      <c r="P101" s="92"/>
      <c r="Q101" s="96"/>
      <c r="R101" s="96"/>
      <c r="S101" s="96"/>
      <c r="T101" s="96"/>
      <c r="U101" s="92"/>
      <c r="V101" s="171">
        <f t="shared" si="45"/>
        <v>1</v>
      </c>
    </row>
    <row r="102" spans="1:22" hidden="1">
      <c r="A102" s="97" t="s">
        <v>89</v>
      </c>
      <c r="B102" s="91">
        <f>(41-8.3)/2</f>
        <v>16.350000000000001</v>
      </c>
      <c r="C102" s="91">
        <v>24.41</v>
      </c>
      <c r="D102" s="91">
        <f t="shared" si="56"/>
        <v>16.350000000000001</v>
      </c>
      <c r="E102" s="91">
        <v>26.38</v>
      </c>
      <c r="F102" s="92">
        <f t="shared" si="55"/>
        <v>1.0807046292503073</v>
      </c>
      <c r="G102" s="91"/>
      <c r="H102" s="91"/>
      <c r="I102" s="91"/>
      <c r="J102" s="91"/>
      <c r="K102" s="92"/>
      <c r="L102" s="91"/>
      <c r="M102" s="91"/>
      <c r="N102" s="91"/>
      <c r="O102" s="91"/>
      <c r="P102" s="92"/>
      <c r="Q102" s="96"/>
      <c r="R102" s="96"/>
      <c r="S102" s="96"/>
      <c r="T102" s="96"/>
      <c r="U102" s="92"/>
      <c r="V102" s="171">
        <f t="shared" si="45"/>
        <v>1.0807046292503073</v>
      </c>
    </row>
    <row r="103" spans="1:22" hidden="1">
      <c r="A103" s="97" t="s">
        <v>90</v>
      </c>
      <c r="B103" s="91">
        <f>10.8/2</f>
        <v>5.4</v>
      </c>
      <c r="C103" s="91">
        <v>36</v>
      </c>
      <c r="D103" s="91">
        <f t="shared" si="56"/>
        <v>5.4</v>
      </c>
      <c r="E103" s="91">
        <v>38.65</v>
      </c>
      <c r="F103" s="92">
        <f t="shared" si="55"/>
        <v>1.0736111111111111</v>
      </c>
      <c r="G103" s="91">
        <f>1.4/2</f>
        <v>0.7</v>
      </c>
      <c r="H103" s="91">
        <v>36</v>
      </c>
      <c r="I103" s="91">
        <f t="shared" ref="I103:I104" si="60">G103</f>
        <v>0.7</v>
      </c>
      <c r="J103" s="91">
        <v>38.65</v>
      </c>
      <c r="K103" s="92">
        <f t="shared" ref="K103:K104" si="61">(J103*I103)/(H103*G103)</f>
        <v>1.0736111111111111</v>
      </c>
      <c r="L103" s="91"/>
      <c r="M103" s="91"/>
      <c r="N103" s="91"/>
      <c r="O103" s="91"/>
      <c r="P103" s="92"/>
      <c r="Q103" s="96"/>
      <c r="R103" s="96"/>
      <c r="S103" s="96"/>
      <c r="T103" s="96"/>
      <c r="U103" s="92"/>
      <c r="V103" s="171">
        <f t="shared" si="45"/>
        <v>1.0736111111111111</v>
      </c>
    </row>
    <row r="104" spans="1:22" hidden="1">
      <c r="A104" s="97" t="s">
        <v>91</v>
      </c>
      <c r="B104" s="91">
        <f>6.455/2</f>
        <v>3.2275</v>
      </c>
      <c r="C104" s="91">
        <v>58.56</v>
      </c>
      <c r="D104" s="91">
        <f t="shared" si="56"/>
        <v>3.2275</v>
      </c>
      <c r="E104" s="91">
        <v>66.61</v>
      </c>
      <c r="F104" s="92">
        <f t="shared" si="55"/>
        <v>1.1374658469945353</v>
      </c>
      <c r="G104" s="91">
        <f>4.783/2</f>
        <v>2.3915000000000002</v>
      </c>
      <c r="H104" s="91">
        <v>39.18</v>
      </c>
      <c r="I104" s="91">
        <f t="shared" si="60"/>
        <v>2.3915000000000002</v>
      </c>
      <c r="J104" s="91">
        <v>42.51</v>
      </c>
      <c r="K104" s="92">
        <f t="shared" si="61"/>
        <v>1.0849923430321593</v>
      </c>
      <c r="L104" s="91"/>
      <c r="M104" s="91"/>
      <c r="N104" s="91"/>
      <c r="O104" s="91"/>
      <c r="P104" s="92"/>
      <c r="Q104" s="96"/>
      <c r="R104" s="96"/>
      <c r="S104" s="96"/>
      <c r="T104" s="96"/>
      <c r="U104" s="92"/>
      <c r="V104" s="171">
        <f t="shared" si="45"/>
        <v>1.1374658469945356</v>
      </c>
    </row>
    <row r="105" spans="1:22">
      <c r="A105" s="90" t="s">
        <v>234</v>
      </c>
      <c r="B105" s="91">
        <f>SUM(B106:B115)</f>
        <v>342.76299999999998</v>
      </c>
      <c r="C105" s="91">
        <f>SUMPRODUCT(B106:B115,C106:C115)/B105</f>
        <v>57.695784798826018</v>
      </c>
      <c r="D105" s="91">
        <f>SUM(D106:D115)</f>
        <v>342.76299999999998</v>
      </c>
      <c r="E105" s="91">
        <f>SUMPRODUCT(D106:D115,E106:E115)/D105</f>
        <v>61.308387340523915</v>
      </c>
      <c r="F105" s="92">
        <f>E105/C105</f>
        <v>1.0626146702795418</v>
      </c>
      <c r="G105" s="91">
        <f>SUM(G106:G115)</f>
        <v>175.66</v>
      </c>
      <c r="H105" s="91">
        <f>SUMPRODUCT(G106:G115,H106:H115)/G105</f>
        <v>42.262778663326884</v>
      </c>
      <c r="I105" s="91">
        <f>SUM(I106:I115)</f>
        <v>175.66</v>
      </c>
      <c r="J105" s="91">
        <f>SUMPRODUCT(I106:I115,J106:J115)/I105</f>
        <v>44.093141864966412</v>
      </c>
      <c r="K105" s="92">
        <f>J105/H105</f>
        <v>1.0433091069619567</v>
      </c>
      <c r="L105" s="91">
        <f>SUM(L106:L115)</f>
        <v>239.70950000000002</v>
      </c>
      <c r="M105" s="91">
        <f>SUMPRODUCT(L106:L115,M106:M115)/L105</f>
        <v>59.084798850275014</v>
      </c>
      <c r="N105" s="91">
        <f>SUM(N106:N115)</f>
        <v>239.70950000000002</v>
      </c>
      <c r="O105" s="91">
        <f>SUMPRODUCT(N106:N115,O106:O115)/N105</f>
        <v>63.11635383662307</v>
      </c>
      <c r="P105" s="92">
        <f>O105/M105</f>
        <v>1.068233370761984</v>
      </c>
      <c r="Q105" s="91">
        <f>SUM(Q106:Q115)</f>
        <v>132.92049999999998</v>
      </c>
      <c r="R105" s="91">
        <f>SUMPRODUCT(Q106:Q115,R106:R115)/Q105</f>
        <v>48.468136517692912</v>
      </c>
      <c r="S105" s="91">
        <f>SUM(S106:S115)</f>
        <v>132.92049999999998</v>
      </c>
      <c r="T105" s="91">
        <f>SUMPRODUCT(S106:S115,T106:T115)/S105</f>
        <v>52.457575204727647</v>
      </c>
      <c r="U105" s="92">
        <f>T105/R105</f>
        <v>1.0823105440742171</v>
      </c>
      <c r="V105" s="171">
        <f t="shared" si="45"/>
        <v>1.0654574355529418</v>
      </c>
    </row>
    <row r="106" spans="1:22" ht="89.25" hidden="1">
      <c r="A106" s="93" t="s">
        <v>133</v>
      </c>
      <c r="B106" s="91">
        <f>217.298/2</f>
        <v>108.649</v>
      </c>
      <c r="C106" s="91">
        <v>43.02</v>
      </c>
      <c r="D106" s="91">
        <f>B106</f>
        <v>108.649</v>
      </c>
      <c r="E106" s="91">
        <v>43.46</v>
      </c>
      <c r="F106" s="92">
        <f>(E106*D106)/(C106*B106)</f>
        <v>1.0102278010227801</v>
      </c>
      <c r="G106" s="91">
        <v>30.9</v>
      </c>
      <c r="H106" s="91">
        <v>43.02</v>
      </c>
      <c r="I106" s="91">
        <f>G106</f>
        <v>30.9</v>
      </c>
      <c r="J106" s="99">
        <v>43.46</v>
      </c>
      <c r="K106" s="92">
        <f t="shared" ref="K106" si="62">(J106*I106)/(H106*G106)</f>
        <v>1.0102278010227801</v>
      </c>
      <c r="L106" s="91">
        <f>122.645/2</f>
        <v>61.322499999999998</v>
      </c>
      <c r="M106" s="91">
        <v>68.87</v>
      </c>
      <c r="N106" s="91">
        <f>L106</f>
        <v>61.322499999999998</v>
      </c>
      <c r="O106" s="91">
        <v>71.14</v>
      </c>
      <c r="P106" s="92">
        <f>(O106*N106)/(M106*L106)</f>
        <v>1.0329606505009439</v>
      </c>
      <c r="Q106" s="91">
        <v>29.31</v>
      </c>
      <c r="R106" s="91">
        <v>68.87</v>
      </c>
      <c r="S106" s="91">
        <f>Q106</f>
        <v>29.31</v>
      </c>
      <c r="T106" s="96">
        <v>71.14</v>
      </c>
      <c r="U106" s="92">
        <f>(T106*S106)/(R106*Q106)</f>
        <v>1.0329606505009437</v>
      </c>
      <c r="V106" s="171">
        <f t="shared" si="45"/>
        <v>1.0242202162838501</v>
      </c>
    </row>
    <row r="107" spans="1:22" ht="102" hidden="1">
      <c r="A107" s="93" t="s">
        <v>134</v>
      </c>
      <c r="B107" s="91">
        <v>0</v>
      </c>
      <c r="C107" s="91">
        <v>0</v>
      </c>
      <c r="D107" s="91">
        <v>0</v>
      </c>
      <c r="E107" s="91">
        <v>0</v>
      </c>
      <c r="F107" s="92">
        <v>0</v>
      </c>
      <c r="G107" s="99">
        <v>0</v>
      </c>
      <c r="H107" s="99">
        <v>0</v>
      </c>
      <c r="I107" s="99">
        <v>0</v>
      </c>
      <c r="J107" s="99">
        <v>0</v>
      </c>
      <c r="K107" s="92">
        <v>0</v>
      </c>
      <c r="L107" s="91">
        <f>10.165/2</f>
        <v>5.0824999999999996</v>
      </c>
      <c r="M107" s="91">
        <v>51.78</v>
      </c>
      <c r="N107" s="91">
        <f>L107</f>
        <v>5.0824999999999996</v>
      </c>
      <c r="O107" s="91">
        <v>51.78</v>
      </c>
      <c r="P107" s="92">
        <f>(O107*N107)/(M107*L107)</f>
        <v>1</v>
      </c>
      <c r="Q107" s="112">
        <v>0</v>
      </c>
      <c r="R107" s="112">
        <v>0</v>
      </c>
      <c r="S107" s="112">
        <v>0</v>
      </c>
      <c r="T107" s="112">
        <v>0</v>
      </c>
      <c r="U107" s="92">
        <v>0</v>
      </c>
      <c r="V107" s="171">
        <f t="shared" si="45"/>
        <v>1</v>
      </c>
    </row>
    <row r="108" spans="1:22" ht="89.25" hidden="1">
      <c r="A108" s="93" t="s">
        <v>135</v>
      </c>
      <c r="B108" s="91">
        <f>25.234/2</f>
        <v>12.617000000000001</v>
      </c>
      <c r="C108" s="91">
        <v>116.64</v>
      </c>
      <c r="D108" s="91">
        <f>B108</f>
        <v>12.617000000000001</v>
      </c>
      <c r="E108" s="91">
        <v>117.23</v>
      </c>
      <c r="F108" s="92">
        <f>(E108*D108)/(C108*B108)</f>
        <v>1.0050582990397805</v>
      </c>
      <c r="G108" s="91">
        <v>9.8800000000000008</v>
      </c>
      <c r="H108" s="91">
        <v>70.739999999999995</v>
      </c>
      <c r="I108" s="91">
        <f>G108</f>
        <v>9.8800000000000008</v>
      </c>
      <c r="J108" s="99">
        <v>75.760000000000005</v>
      </c>
      <c r="K108" s="92">
        <f t="shared" ref="K108" si="63">(J108*I108)/(H108*G108)</f>
        <v>1.0709640938648572</v>
      </c>
      <c r="L108" s="91">
        <f>20.976/2</f>
        <v>10.488</v>
      </c>
      <c r="M108" s="91">
        <v>101</v>
      </c>
      <c r="N108" s="91">
        <f>L108</f>
        <v>10.488</v>
      </c>
      <c r="O108" s="91">
        <v>103.89</v>
      </c>
      <c r="P108" s="92">
        <f>(O108*N108)/(M108*L108)</f>
        <v>1.0286138613861386</v>
      </c>
      <c r="Q108" s="96">
        <v>9.6105</v>
      </c>
      <c r="R108" s="96">
        <v>84.08</v>
      </c>
      <c r="S108" s="96">
        <f>Q108</f>
        <v>9.6105</v>
      </c>
      <c r="T108" s="96">
        <v>90.05</v>
      </c>
      <c r="U108" s="92">
        <f t="shared" ref="U108" si="64">(T108*S108)/(R108*Q108)</f>
        <v>1.0710038058991436</v>
      </c>
      <c r="V108" s="171">
        <f t="shared" si="45"/>
        <v>1.0159897077743063</v>
      </c>
    </row>
    <row r="109" spans="1:22" hidden="1">
      <c r="A109" s="97" t="s">
        <v>141</v>
      </c>
      <c r="B109" s="91">
        <f>3.13/2</f>
        <v>1.5649999999999999</v>
      </c>
      <c r="C109" s="91">
        <v>291.20999999999998</v>
      </c>
      <c r="D109" s="91">
        <f>B109</f>
        <v>1.5649999999999999</v>
      </c>
      <c r="E109" s="91">
        <v>301.67</v>
      </c>
      <c r="F109" s="92">
        <f>(E109*D109)/(C109*B109)</f>
        <v>1.0359190961848839</v>
      </c>
      <c r="G109" s="91"/>
      <c r="H109" s="91"/>
      <c r="I109" s="91"/>
      <c r="J109" s="91"/>
      <c r="K109" s="92"/>
      <c r="L109" s="91"/>
      <c r="M109" s="91"/>
      <c r="N109" s="91"/>
      <c r="O109" s="91"/>
      <c r="P109" s="92"/>
      <c r="Q109" s="96"/>
      <c r="R109" s="96"/>
      <c r="S109" s="96"/>
      <c r="T109" s="96"/>
      <c r="U109" s="92"/>
      <c r="V109" s="171">
        <f t="shared" si="45"/>
        <v>1.0359190961848839</v>
      </c>
    </row>
    <row r="110" spans="1:22" hidden="1">
      <c r="A110" s="97" t="s">
        <v>142</v>
      </c>
      <c r="B110" s="91">
        <f>136.93/2</f>
        <v>68.465000000000003</v>
      </c>
      <c r="C110" s="91">
        <v>33.83</v>
      </c>
      <c r="D110" s="91">
        <f>B110</f>
        <v>68.465000000000003</v>
      </c>
      <c r="E110" s="91">
        <v>36.35</v>
      </c>
      <c r="F110" s="92">
        <f t="shared" ref="F110:F115" si="65">(E110*D110)/(C110*B110)</f>
        <v>1.0744900975465563</v>
      </c>
      <c r="G110" s="91">
        <f>66.76/2</f>
        <v>33.380000000000003</v>
      </c>
      <c r="H110" s="91">
        <v>19.420000000000002</v>
      </c>
      <c r="I110" s="91">
        <f>G110</f>
        <v>33.380000000000003</v>
      </c>
      <c r="J110" s="91">
        <v>20.8</v>
      </c>
      <c r="K110" s="92">
        <f t="shared" ref="K110:K115" si="66">(J110*I110)/(H110*G110)</f>
        <v>1.0710607621009269</v>
      </c>
      <c r="L110" s="91">
        <f>109.73/2</f>
        <v>54.865000000000002</v>
      </c>
      <c r="M110" s="91">
        <v>30.5</v>
      </c>
      <c r="N110" s="91">
        <f>L110</f>
        <v>54.865000000000002</v>
      </c>
      <c r="O110" s="91">
        <v>32.479999999999997</v>
      </c>
      <c r="P110" s="92">
        <f t="shared" ref="P110" si="67">(O110*N110)/(M110*L110)</f>
        <v>1.064918032786885</v>
      </c>
      <c r="Q110" s="96">
        <f>66.9/2</f>
        <v>33.450000000000003</v>
      </c>
      <c r="R110" s="96">
        <v>21.27</v>
      </c>
      <c r="S110" s="96">
        <f>Q110</f>
        <v>33.450000000000003</v>
      </c>
      <c r="T110" s="96">
        <v>22.78</v>
      </c>
      <c r="U110" s="92">
        <f t="shared" ref="U110" si="68">T110/R110</f>
        <v>1.070992007522332</v>
      </c>
      <c r="V110" s="171">
        <f t="shared" si="45"/>
        <v>1.069951810974662</v>
      </c>
    </row>
    <row r="111" spans="1:22" hidden="1">
      <c r="A111" s="90" t="s">
        <v>136</v>
      </c>
      <c r="B111" s="91">
        <f>7.807/2</f>
        <v>3.9035000000000002</v>
      </c>
      <c r="C111" s="91">
        <v>118.97</v>
      </c>
      <c r="D111" s="91">
        <f t="shared" ref="D111:D115" si="69">B111</f>
        <v>3.9035000000000002</v>
      </c>
      <c r="E111" s="91">
        <v>118.97</v>
      </c>
      <c r="F111" s="92">
        <f t="shared" si="65"/>
        <v>1</v>
      </c>
      <c r="G111" s="99">
        <v>2.06</v>
      </c>
      <c r="H111" s="91">
        <v>74.45</v>
      </c>
      <c r="I111" s="99">
        <f>G111</f>
        <v>2.06</v>
      </c>
      <c r="J111" s="91">
        <v>80.78</v>
      </c>
      <c r="K111" s="92">
        <f t="shared" si="66"/>
        <v>1.0850235057085291</v>
      </c>
      <c r="L111" s="91">
        <v>0</v>
      </c>
      <c r="M111" s="91">
        <v>0</v>
      </c>
      <c r="N111" s="91">
        <v>0</v>
      </c>
      <c r="O111" s="91">
        <v>0</v>
      </c>
      <c r="P111" s="92"/>
      <c r="Q111" s="91">
        <f>L111</f>
        <v>0</v>
      </c>
      <c r="R111" s="96">
        <v>0</v>
      </c>
      <c r="S111" s="91">
        <f>Q111</f>
        <v>0</v>
      </c>
      <c r="T111" s="96">
        <v>0</v>
      </c>
      <c r="U111" s="92"/>
      <c r="V111" s="171">
        <f t="shared" si="45"/>
        <v>1</v>
      </c>
    </row>
    <row r="112" spans="1:22" hidden="1">
      <c r="A112" s="90" t="s">
        <v>137</v>
      </c>
      <c r="B112" s="91">
        <f>79.676/2</f>
        <v>39.838000000000001</v>
      </c>
      <c r="C112" s="91">
        <v>84.6</v>
      </c>
      <c r="D112" s="91">
        <f t="shared" si="69"/>
        <v>39.838000000000001</v>
      </c>
      <c r="E112" s="91">
        <v>87.97</v>
      </c>
      <c r="F112" s="92">
        <f t="shared" si="65"/>
        <v>1.0398345153664303</v>
      </c>
      <c r="G112" s="91">
        <v>21.58</v>
      </c>
      <c r="H112" s="91">
        <v>84.6</v>
      </c>
      <c r="I112" s="91">
        <f t="shared" ref="I112" si="70">G112</f>
        <v>21.58</v>
      </c>
      <c r="J112" s="99">
        <v>87.97</v>
      </c>
      <c r="K112" s="92">
        <f t="shared" si="66"/>
        <v>1.0398345153664303</v>
      </c>
      <c r="L112" s="91">
        <f>52.429/2</f>
        <v>26.214500000000001</v>
      </c>
      <c r="M112" s="91">
        <v>88.27</v>
      </c>
      <c r="N112" s="91">
        <f>L112</f>
        <v>26.214500000000001</v>
      </c>
      <c r="O112" s="91">
        <v>89.16</v>
      </c>
      <c r="P112" s="92">
        <f t="shared" ref="P112" si="71">(O112*N112)/(M112*L112)</f>
        <v>1.0100827008043503</v>
      </c>
      <c r="Q112" s="91">
        <v>0.2</v>
      </c>
      <c r="R112" s="91">
        <v>88.27</v>
      </c>
      <c r="S112" s="91">
        <f>Q112</f>
        <v>0.2</v>
      </c>
      <c r="T112" s="96">
        <v>89.16</v>
      </c>
      <c r="U112" s="92">
        <f t="shared" ref="U112" si="72">(T112*S112)/(R112*Q112)</f>
        <v>1.0100827008043503</v>
      </c>
      <c r="V112" s="171">
        <f t="shared" si="45"/>
        <v>1.024642795163996</v>
      </c>
    </row>
    <row r="113" spans="1:22" hidden="1">
      <c r="A113" s="90" t="s">
        <v>138</v>
      </c>
      <c r="B113" s="91">
        <f>6.025/2</f>
        <v>3.0125000000000002</v>
      </c>
      <c r="C113" s="91">
        <v>145</v>
      </c>
      <c r="D113" s="91">
        <f t="shared" si="69"/>
        <v>3.0125000000000002</v>
      </c>
      <c r="E113" s="91">
        <v>148.31</v>
      </c>
      <c r="F113" s="92">
        <f t="shared" si="65"/>
        <v>1.0228275862068965</v>
      </c>
      <c r="G113" s="99">
        <v>2.34</v>
      </c>
      <c r="H113" s="99">
        <v>93.96</v>
      </c>
      <c r="I113" s="99">
        <f>G113</f>
        <v>2.34</v>
      </c>
      <c r="J113" s="99">
        <v>93.96</v>
      </c>
      <c r="K113" s="92">
        <f t="shared" si="66"/>
        <v>1</v>
      </c>
      <c r="L113" s="91"/>
      <c r="M113" s="91"/>
      <c r="N113" s="91"/>
      <c r="O113" s="91"/>
      <c r="P113" s="92"/>
      <c r="Q113" s="96"/>
      <c r="R113" s="96"/>
      <c r="S113" s="96"/>
      <c r="T113" s="96"/>
      <c r="U113" s="92"/>
      <c r="V113" s="171">
        <f t="shared" si="45"/>
        <v>1.0228275862068965</v>
      </c>
    </row>
    <row r="114" spans="1:22" ht="63.75" hidden="1">
      <c r="A114" s="93" t="s">
        <v>139</v>
      </c>
      <c r="B114" s="91">
        <f>165.666/2</f>
        <v>82.832999999999998</v>
      </c>
      <c r="C114" s="91">
        <v>39.01</v>
      </c>
      <c r="D114" s="91">
        <f t="shared" si="69"/>
        <v>82.832999999999998</v>
      </c>
      <c r="E114" s="91">
        <v>44.13</v>
      </c>
      <c r="F114" s="92">
        <f t="shared" si="65"/>
        <v>1.1312483978467061</v>
      </c>
      <c r="G114" s="91">
        <v>61.75</v>
      </c>
      <c r="H114" s="91">
        <v>33.5</v>
      </c>
      <c r="I114" s="91">
        <f t="shared" ref="I114:I115" si="73">G114</f>
        <v>61.75</v>
      </c>
      <c r="J114" s="99">
        <v>35</v>
      </c>
      <c r="K114" s="92">
        <f t="shared" si="66"/>
        <v>1.044776119402985</v>
      </c>
      <c r="L114" s="91">
        <f>144.314/2</f>
        <v>72.156999999999996</v>
      </c>
      <c r="M114" s="91">
        <v>41.35</v>
      </c>
      <c r="N114" s="91">
        <f>L114</f>
        <v>72.156999999999996</v>
      </c>
      <c r="O114" s="91">
        <v>46.74</v>
      </c>
      <c r="P114" s="92">
        <f>(O114*N114)/(M114*L114)</f>
        <v>1.1303506650544135</v>
      </c>
      <c r="Q114" s="91">
        <v>51.87</v>
      </c>
      <c r="R114" s="91">
        <v>48.79</v>
      </c>
      <c r="S114" s="91">
        <f>Q114</f>
        <v>51.87</v>
      </c>
      <c r="T114" s="96">
        <v>55.16</v>
      </c>
      <c r="U114" s="92">
        <f>(T114*S114)/(R114*Q114)</f>
        <v>1.1305595408895266</v>
      </c>
      <c r="V114" s="171">
        <f t="shared" si="45"/>
        <v>1.1307864609258338</v>
      </c>
    </row>
    <row r="115" spans="1:22" ht="63.75" hidden="1">
      <c r="A115" s="93" t="s">
        <v>140</v>
      </c>
      <c r="B115" s="91">
        <f>43.76/2</f>
        <v>21.88</v>
      </c>
      <c r="C115" s="91">
        <v>153.36000000000001</v>
      </c>
      <c r="D115" s="91">
        <f t="shared" si="69"/>
        <v>21.88</v>
      </c>
      <c r="E115" s="91">
        <v>172.82</v>
      </c>
      <c r="F115" s="92">
        <f t="shared" si="65"/>
        <v>1.1268909754825247</v>
      </c>
      <c r="G115" s="91">
        <v>13.77</v>
      </c>
      <c r="H115" s="91">
        <v>34.85</v>
      </c>
      <c r="I115" s="91">
        <f t="shared" si="73"/>
        <v>13.77</v>
      </c>
      <c r="J115" s="99">
        <v>37.31</v>
      </c>
      <c r="K115" s="92">
        <f t="shared" si="66"/>
        <v>1.0705882352941176</v>
      </c>
      <c r="L115" s="91">
        <f>19.16/2</f>
        <v>9.58</v>
      </c>
      <c r="M115" s="91">
        <v>171.86</v>
      </c>
      <c r="N115" s="91">
        <f>L115</f>
        <v>9.58</v>
      </c>
      <c r="O115" s="91">
        <v>200.67</v>
      </c>
      <c r="P115" s="92">
        <f>(O115*N115)/(M115*L115)</f>
        <v>1.1676364482718491</v>
      </c>
      <c r="Q115" s="91">
        <v>8.48</v>
      </c>
      <c r="R115" s="91">
        <v>41.97</v>
      </c>
      <c r="S115" s="91">
        <f>Q115</f>
        <v>8.48</v>
      </c>
      <c r="T115" s="96">
        <v>44.95</v>
      </c>
      <c r="U115" s="92">
        <f>(T115*S115)/(R115*Q115)</f>
        <v>1.07100309745056</v>
      </c>
      <c r="V115" s="171">
        <f t="shared" si="45"/>
        <v>1.1484226062357787</v>
      </c>
    </row>
    <row r="116" spans="1:22">
      <c r="A116" s="104" t="s">
        <v>235</v>
      </c>
      <c r="B116" s="91">
        <f>SUM(B117:B120)</f>
        <v>36.3705</v>
      </c>
      <c r="C116" s="91">
        <f>SUMPRODUCT(B117:B120,C117:C120)/B116</f>
        <v>37.440717339602145</v>
      </c>
      <c r="D116" s="91">
        <f>SUM(D117:D120)</f>
        <v>36.3705</v>
      </c>
      <c r="E116" s="91">
        <f>SUMPRODUCT(D117:D120,E117:E120)/D116</f>
        <v>39.593072545057119</v>
      </c>
      <c r="F116" s="92">
        <f>E116/C116</f>
        <v>1.0574870183691263</v>
      </c>
      <c r="G116" s="91">
        <f>SUM(G117:G120)</f>
        <v>18.859000000000002</v>
      </c>
      <c r="H116" s="91">
        <f>SUMPRODUCT(G117:G120,H117:H120)/G116</f>
        <v>16.640861127313219</v>
      </c>
      <c r="I116" s="91">
        <f>SUM(I117:I120)</f>
        <v>18.859000000000002</v>
      </c>
      <c r="J116" s="91">
        <f>SUMPRODUCT(I117:I120,J117:J120)/I116</f>
        <v>17.825721406225142</v>
      </c>
      <c r="K116" s="92">
        <f>J116/H116</f>
        <v>1.0712018608800942</v>
      </c>
      <c r="L116" s="91">
        <f>SUM(L117:L120)</f>
        <v>10.040000000000001</v>
      </c>
      <c r="M116" s="91">
        <f>SUMPRODUCT(L117:L120,M117:M120)/L116</f>
        <v>63.349203187251</v>
      </c>
      <c r="N116" s="91">
        <f>SUM(N117:N120)</f>
        <v>10.040000000000001</v>
      </c>
      <c r="O116" s="91">
        <f>SUMPRODUCT(N117:N120,O117:O120)/N116</f>
        <v>66.314780876494027</v>
      </c>
      <c r="P116" s="92">
        <f>O116/M116</f>
        <v>1.0468131805932461</v>
      </c>
      <c r="Q116" s="91">
        <f>SUM(Q117:Q120)</f>
        <v>10.040000000000001</v>
      </c>
      <c r="R116" s="91">
        <f>SUMPRODUCT(Q117:Q120,R117:R120)/Q116</f>
        <v>52.780876494023893</v>
      </c>
      <c r="S116" s="91">
        <f>SUM(S117:S120)</f>
        <v>10.040000000000001</v>
      </c>
      <c r="T116" s="91">
        <f>SUMPRODUCT(S117:S120,T117:T120)/S116</f>
        <v>55.340398406374504</v>
      </c>
      <c r="U116" s="92">
        <f>T116/R116</f>
        <v>1.0484933574879229</v>
      </c>
      <c r="V116" s="171">
        <f t="shared" si="45"/>
        <v>1.0507782213533392</v>
      </c>
    </row>
    <row r="117" spans="1:22" ht="51.75" hidden="1">
      <c r="A117" s="113" t="s">
        <v>122</v>
      </c>
      <c r="B117" s="91"/>
      <c r="C117" s="91"/>
      <c r="D117" s="91"/>
      <c r="E117" s="91"/>
      <c r="F117" s="92"/>
      <c r="G117" s="96"/>
      <c r="H117" s="96"/>
      <c r="I117" s="96"/>
      <c r="J117" s="96"/>
      <c r="K117" s="92"/>
      <c r="L117" s="91">
        <f>7.28/2</f>
        <v>3.64</v>
      </c>
      <c r="M117" s="91">
        <v>69.150000000000006</v>
      </c>
      <c r="N117" s="91">
        <f>L117</f>
        <v>3.64</v>
      </c>
      <c r="O117" s="91">
        <v>73.11</v>
      </c>
      <c r="P117" s="92">
        <f>(O117*N117)/(M117*L117)</f>
        <v>1.0572668112798265</v>
      </c>
      <c r="Q117" s="91">
        <f>7.28/2</f>
        <v>3.64</v>
      </c>
      <c r="R117" s="91">
        <v>40</v>
      </c>
      <c r="S117" s="91">
        <f>Q117</f>
        <v>3.64</v>
      </c>
      <c r="T117" s="96">
        <v>42.84</v>
      </c>
      <c r="U117" s="92">
        <f>(T117*S117)/(R117*Q117)</f>
        <v>1.0710000000000002</v>
      </c>
      <c r="V117" s="171">
        <f t="shared" si="45"/>
        <v>1.0572668112798265</v>
      </c>
    </row>
    <row r="118" spans="1:22" ht="39" hidden="1">
      <c r="A118" s="113" t="s">
        <v>123</v>
      </c>
      <c r="B118" s="91">
        <f>39.5/2</f>
        <v>19.75</v>
      </c>
      <c r="C118" s="91">
        <v>38.21</v>
      </c>
      <c r="D118" s="91">
        <f>B118</f>
        <v>19.75</v>
      </c>
      <c r="E118" s="91">
        <v>40.229999999999997</v>
      </c>
      <c r="F118" s="92">
        <f t="shared" ref="F118:F120" si="74">(E118*D118)/(C118*B118)</f>
        <v>1.0528657419523684</v>
      </c>
      <c r="G118" s="91">
        <v>12.67</v>
      </c>
      <c r="H118" s="91">
        <v>15</v>
      </c>
      <c r="I118" s="91">
        <f>G118</f>
        <v>12.67</v>
      </c>
      <c r="J118" s="99">
        <v>16.07</v>
      </c>
      <c r="K118" s="92">
        <f t="shared" ref="K118:K120" si="75">(J118*I118)/(H118*G118)</f>
        <v>1.0713333333333332</v>
      </c>
      <c r="L118" s="91">
        <f>12.8/2</f>
        <v>6.4</v>
      </c>
      <c r="M118" s="91">
        <v>60.05</v>
      </c>
      <c r="N118" s="91">
        <f>L118</f>
        <v>6.4</v>
      </c>
      <c r="O118" s="91">
        <v>62.45</v>
      </c>
      <c r="P118" s="92">
        <f>(O118*N118)/(M118*L118)</f>
        <v>1.0399666944213157</v>
      </c>
      <c r="Q118" s="91">
        <f>12.8/2</f>
        <v>6.4</v>
      </c>
      <c r="R118" s="91">
        <v>60.05</v>
      </c>
      <c r="S118" s="91">
        <f>Q118</f>
        <v>6.4</v>
      </c>
      <c r="T118" s="96">
        <v>62.45</v>
      </c>
      <c r="U118" s="92">
        <f>(T118*S118)/(R118*Q118)</f>
        <v>1.0399666944213157</v>
      </c>
      <c r="V118" s="171">
        <f t="shared" si="45"/>
        <v>1.044982698961938</v>
      </c>
    </row>
    <row r="119" spans="1:22" hidden="1">
      <c r="A119" s="109" t="s">
        <v>124</v>
      </c>
      <c r="B119" s="91">
        <f>14/2</f>
        <v>7</v>
      </c>
      <c r="C119" s="91">
        <v>32.549999999999997</v>
      </c>
      <c r="D119" s="91">
        <f>B119</f>
        <v>7</v>
      </c>
      <c r="E119" s="91">
        <v>32.99</v>
      </c>
      <c r="F119" s="92">
        <f t="shared" si="74"/>
        <v>1.0135176651305686</v>
      </c>
      <c r="G119" s="91">
        <v>0.25</v>
      </c>
      <c r="H119" s="91">
        <v>20</v>
      </c>
      <c r="I119" s="91">
        <f>G119</f>
        <v>0.25</v>
      </c>
      <c r="J119" s="99">
        <v>21.42</v>
      </c>
      <c r="K119" s="92">
        <f t="shared" si="75"/>
        <v>1.0710000000000002</v>
      </c>
      <c r="L119" s="91"/>
      <c r="M119" s="91"/>
      <c r="N119" s="91"/>
      <c r="O119" s="91"/>
      <c r="P119" s="92"/>
      <c r="Q119" s="96"/>
      <c r="R119" s="96"/>
      <c r="S119" s="96"/>
      <c r="T119" s="96"/>
      <c r="U119" s="92"/>
      <c r="V119" s="171">
        <f t="shared" si="45"/>
        <v>1.0135176651305684</v>
      </c>
    </row>
    <row r="120" spans="1:22" hidden="1">
      <c r="A120" s="109" t="s">
        <v>125</v>
      </c>
      <c r="B120" s="112">
        <f>19.241/2</f>
        <v>9.6204999999999998</v>
      </c>
      <c r="C120" s="112">
        <v>39.42</v>
      </c>
      <c r="D120" s="112">
        <f>19.241/2</f>
        <v>9.6204999999999998</v>
      </c>
      <c r="E120" s="96">
        <v>43.09</v>
      </c>
      <c r="F120" s="92">
        <f t="shared" si="74"/>
        <v>1.0930999492643327</v>
      </c>
      <c r="G120" s="112">
        <v>5.9390000000000001</v>
      </c>
      <c r="H120" s="112">
        <v>20</v>
      </c>
      <c r="I120" s="91">
        <f>G120</f>
        <v>5.9390000000000001</v>
      </c>
      <c r="J120" s="112">
        <v>21.42</v>
      </c>
      <c r="K120" s="92">
        <f t="shared" si="75"/>
        <v>1.0710000000000002</v>
      </c>
      <c r="L120" s="96"/>
      <c r="M120" s="96"/>
      <c r="N120" s="96"/>
      <c r="O120" s="96"/>
      <c r="P120" s="92"/>
      <c r="Q120" s="96"/>
      <c r="R120" s="96"/>
      <c r="S120" s="96"/>
      <c r="T120" s="96"/>
      <c r="U120" s="92"/>
      <c r="V120" s="171">
        <f t="shared" si="45"/>
        <v>1.093099949264333</v>
      </c>
    </row>
    <row r="121" spans="1:22" hidden="1">
      <c r="A121" s="114"/>
      <c r="B121" s="96"/>
      <c r="C121" s="96"/>
      <c r="D121" s="91"/>
      <c r="E121" s="96"/>
      <c r="F121" s="92"/>
      <c r="G121" s="94"/>
      <c r="H121" s="94"/>
      <c r="I121" s="94"/>
      <c r="J121" s="94"/>
      <c r="K121" s="92"/>
      <c r="L121" s="96"/>
      <c r="M121" s="96"/>
      <c r="N121" s="96"/>
      <c r="O121" s="96"/>
      <c r="P121" s="98"/>
      <c r="Q121" s="96"/>
      <c r="R121" s="96"/>
      <c r="S121" s="96"/>
      <c r="T121" s="96"/>
      <c r="U121" s="98"/>
      <c r="V121" s="171" t="e">
        <f t="shared" si="45"/>
        <v>#DIV/0!</v>
      </c>
    </row>
    <row r="122" spans="1:22" hidden="1">
      <c r="A122" s="114"/>
      <c r="B122" s="96"/>
      <c r="C122" s="96"/>
      <c r="D122" s="91"/>
      <c r="E122" s="96"/>
      <c r="F122" s="92"/>
      <c r="G122" s="94"/>
      <c r="H122" s="94"/>
      <c r="I122" s="94"/>
      <c r="J122" s="94"/>
      <c r="K122" s="92"/>
      <c r="L122" s="96"/>
      <c r="M122" s="96"/>
      <c r="N122" s="96"/>
      <c r="O122" s="96"/>
      <c r="P122" s="98"/>
      <c r="Q122" s="96"/>
      <c r="R122" s="96"/>
      <c r="S122" s="96"/>
      <c r="T122" s="96"/>
      <c r="U122" s="98"/>
      <c r="V122" s="171" t="e">
        <f t="shared" si="45"/>
        <v>#DIV/0!</v>
      </c>
    </row>
    <row r="123" spans="1:22" hidden="1">
      <c r="A123" s="114"/>
      <c r="B123" s="96"/>
      <c r="C123" s="96"/>
      <c r="D123" s="91"/>
      <c r="E123" s="96"/>
      <c r="F123" s="92"/>
      <c r="G123" s="94"/>
      <c r="H123" s="94"/>
      <c r="I123" s="94"/>
      <c r="J123" s="94"/>
      <c r="K123" s="92"/>
      <c r="L123" s="96"/>
      <c r="M123" s="96"/>
      <c r="N123" s="96"/>
      <c r="O123" s="96"/>
      <c r="P123" s="98"/>
      <c r="Q123" s="96"/>
      <c r="R123" s="96"/>
      <c r="S123" s="96"/>
      <c r="T123" s="96"/>
      <c r="U123" s="98"/>
      <c r="V123" s="171" t="e">
        <f t="shared" si="45"/>
        <v>#DIV/0!</v>
      </c>
    </row>
    <row r="124" spans="1:22" hidden="1">
      <c r="A124" s="114"/>
      <c r="B124" s="96"/>
      <c r="C124" s="96"/>
      <c r="D124" s="91"/>
      <c r="E124" s="96"/>
      <c r="F124" s="92"/>
      <c r="G124" s="94"/>
      <c r="H124" s="94"/>
      <c r="I124" s="94"/>
      <c r="J124" s="94"/>
      <c r="K124" s="92"/>
      <c r="L124" s="96"/>
      <c r="M124" s="96"/>
      <c r="N124" s="96"/>
      <c r="O124" s="96"/>
      <c r="P124" s="98"/>
      <c r="Q124" s="96"/>
      <c r="R124" s="96"/>
      <c r="S124" s="96"/>
      <c r="T124" s="96"/>
      <c r="U124" s="98"/>
      <c r="V124" s="171" t="e">
        <f t="shared" si="45"/>
        <v>#DIV/0!</v>
      </c>
    </row>
    <row r="125" spans="1:22" hidden="1">
      <c r="A125" s="114"/>
      <c r="B125" s="96"/>
      <c r="C125" s="96"/>
      <c r="D125" s="91"/>
      <c r="E125" s="96"/>
      <c r="F125" s="92"/>
      <c r="G125" s="94"/>
      <c r="H125" s="94"/>
      <c r="I125" s="94"/>
      <c r="J125" s="94"/>
      <c r="K125" s="92"/>
      <c r="L125" s="96"/>
      <c r="M125" s="96"/>
      <c r="N125" s="96"/>
      <c r="O125" s="96"/>
      <c r="P125" s="98"/>
      <c r="Q125" s="96"/>
      <c r="R125" s="96"/>
      <c r="S125" s="96"/>
      <c r="T125" s="96"/>
      <c r="U125" s="98"/>
      <c r="V125" s="171" t="e">
        <f t="shared" si="45"/>
        <v>#DIV/0!</v>
      </c>
    </row>
    <row r="126" spans="1:22">
      <c r="A126" s="90" t="s">
        <v>236</v>
      </c>
      <c r="B126" s="91">
        <f>SUM(B127:B131)</f>
        <v>134.696</v>
      </c>
      <c r="C126" s="91">
        <f>SUMPRODUCT(B127:B131,C127:C131)/B126</f>
        <v>43.424630501276951</v>
      </c>
      <c r="D126" s="91">
        <f>SUM(D127:D131)</f>
        <v>134.696</v>
      </c>
      <c r="E126" s="91">
        <f>SUMPRODUCT(D127:D131,E127:E131)/D126</f>
        <v>51.538024662944707</v>
      </c>
      <c r="F126" s="92">
        <f>E126/C126</f>
        <v>1.186838530760306</v>
      </c>
      <c r="G126" s="91">
        <f>SUM(G127:G131)</f>
        <v>75.230999999999995</v>
      </c>
      <c r="H126" s="91">
        <f>SUMPRODUCT(G127:G131,H127:H131)/G126</f>
        <v>24.450159907484945</v>
      </c>
      <c r="I126" s="91">
        <f>SUM(I127:I131)</f>
        <v>75.230999999999995</v>
      </c>
      <c r="J126" s="91">
        <f>SUMPRODUCT(I127:I131,J127:J131)/I126</f>
        <v>26.105314431550823</v>
      </c>
      <c r="K126" s="92">
        <f>J126/H126</f>
        <v>1.0676950388189153</v>
      </c>
      <c r="L126" s="91">
        <f>SUM(L127:L131)</f>
        <v>90.009999999999991</v>
      </c>
      <c r="M126" s="91">
        <f>SUMPRODUCT(L127:L131,M127:M131)/L126</f>
        <v>62.600576602599702</v>
      </c>
      <c r="N126" s="91">
        <f>SUM(N127:N131)</f>
        <v>90.009999999999991</v>
      </c>
      <c r="O126" s="91">
        <f>SUMPRODUCT(N127:N131,O127:O131)/N126</f>
        <v>71.412657482501942</v>
      </c>
      <c r="P126" s="92">
        <f>O126/M126</f>
        <v>1.1407667685849445</v>
      </c>
      <c r="Q126" s="91">
        <f>SUM(Q127:Q131)</f>
        <v>44.945</v>
      </c>
      <c r="R126" s="91">
        <f>SUMPRODUCT(Q127:Q131,R127:R131)/Q126</f>
        <v>26.60105709200133</v>
      </c>
      <c r="S126" s="91">
        <f>SUM(S127:S131)</f>
        <v>44.945</v>
      </c>
      <c r="T126" s="91">
        <f>SUMPRODUCT(S127:S131,T127:T131)/S126</f>
        <v>28.4954737790633</v>
      </c>
      <c r="U126" s="92">
        <f>T126/R126</f>
        <v>1.0712158423069436</v>
      </c>
      <c r="V126" s="171">
        <f t="shared" si="45"/>
        <v>1.1596363308678803</v>
      </c>
    </row>
    <row r="127" spans="1:22" hidden="1">
      <c r="A127" s="97" t="s">
        <v>38</v>
      </c>
      <c r="B127" s="91">
        <f>161.89/2</f>
        <v>80.944999999999993</v>
      </c>
      <c r="C127" s="91">
        <v>36.25</v>
      </c>
      <c r="D127" s="91">
        <f>B127</f>
        <v>80.944999999999993</v>
      </c>
      <c r="E127" s="91">
        <v>48.5</v>
      </c>
      <c r="F127" s="92">
        <f>(E127*D127)/(C127*B127)</f>
        <v>1.3379310344827584</v>
      </c>
      <c r="G127" s="115">
        <f>86.85/2</f>
        <v>43.424999999999997</v>
      </c>
      <c r="H127" s="115">
        <v>16.61</v>
      </c>
      <c r="I127" s="115">
        <f>G127</f>
        <v>43.424999999999997</v>
      </c>
      <c r="J127" s="115">
        <v>17.79</v>
      </c>
      <c r="K127" s="92">
        <f>(J127*I127)/(H127*G127)</f>
        <v>1.0710415412402168</v>
      </c>
      <c r="L127" s="91">
        <f>164.14/2-8.12/2</f>
        <v>78.009999999999991</v>
      </c>
      <c r="M127" s="91">
        <v>61.79</v>
      </c>
      <c r="N127" s="91">
        <f>L127</f>
        <v>78.009999999999991</v>
      </c>
      <c r="O127" s="91">
        <v>71.33</v>
      </c>
      <c r="P127" s="92">
        <f>(O127*N127)/(M127*L127)</f>
        <v>1.1543939148729567</v>
      </c>
      <c r="Q127" s="112">
        <f>78.89/2*0.06</f>
        <v>2.3666999999999998</v>
      </c>
      <c r="R127" s="91">
        <v>35.03</v>
      </c>
      <c r="S127" s="91">
        <f>Q127</f>
        <v>2.3666999999999998</v>
      </c>
      <c r="T127" s="91">
        <v>37.53</v>
      </c>
      <c r="U127" s="92">
        <f>(T127*S127)/(R127*Q127)</f>
        <v>1.0713673993719668</v>
      </c>
      <c r="V127" s="171">
        <f t="shared" si="45"/>
        <v>1.2222562219502244</v>
      </c>
    </row>
    <row r="128" spans="1:22" hidden="1">
      <c r="A128" s="97" t="s">
        <v>38</v>
      </c>
      <c r="B128" s="91"/>
      <c r="C128" s="91"/>
      <c r="D128" s="91"/>
      <c r="E128" s="91"/>
      <c r="F128" s="92"/>
      <c r="G128" s="115"/>
      <c r="H128" s="115"/>
      <c r="I128" s="115">
        <f t="shared" ref="I128:I131" si="76">G128</f>
        <v>0</v>
      </c>
      <c r="J128" s="115"/>
      <c r="K128" s="92"/>
      <c r="L128" s="91"/>
      <c r="M128" s="91"/>
      <c r="N128" s="91">
        <f t="shared" ref="N128:N131" si="77">L128</f>
        <v>0</v>
      </c>
      <c r="O128" s="91"/>
      <c r="P128" s="92"/>
      <c r="Q128" s="112">
        <f>78.89/2*0.94</f>
        <v>37.078299999999999</v>
      </c>
      <c r="R128" s="91">
        <v>24.7</v>
      </c>
      <c r="S128" s="91">
        <f>Q128</f>
        <v>37.078299999999999</v>
      </c>
      <c r="T128" s="91">
        <v>26.46</v>
      </c>
      <c r="U128" s="92">
        <f>(T128*S128)/(R128*Q128)</f>
        <v>1.071255060728745</v>
      </c>
      <c r="V128" s="171" t="e">
        <f t="shared" si="45"/>
        <v>#DIV/0!</v>
      </c>
    </row>
    <row r="129" spans="1:22" hidden="1">
      <c r="A129" s="97" t="s">
        <v>39</v>
      </c>
      <c r="B129" s="91">
        <f>64.63/2</f>
        <v>32.314999999999998</v>
      </c>
      <c r="C129" s="91">
        <v>57.95</v>
      </c>
      <c r="D129" s="91">
        <f t="shared" ref="D129:D131" si="78">B129</f>
        <v>32.314999999999998</v>
      </c>
      <c r="E129" s="91">
        <v>59.17</v>
      </c>
      <c r="F129" s="92">
        <f t="shared" ref="F129:F131" si="79">(E129*D129)/(C129*B129)</f>
        <v>1.0210526315789472</v>
      </c>
      <c r="G129" s="115">
        <f>35/2</f>
        <v>17.5</v>
      </c>
      <c r="H129" s="115">
        <v>32.200000000000003</v>
      </c>
      <c r="I129" s="115">
        <f t="shared" si="76"/>
        <v>17.5</v>
      </c>
      <c r="J129" s="115">
        <v>34.49</v>
      </c>
      <c r="K129" s="92">
        <f t="shared" ref="K129:K131" si="80">(J129*I129)/(H129*G129)</f>
        <v>1.0711180124223603</v>
      </c>
      <c r="L129" s="91">
        <f>24/2</f>
        <v>12</v>
      </c>
      <c r="M129" s="91">
        <v>67.87</v>
      </c>
      <c r="N129" s="91">
        <f t="shared" si="77"/>
        <v>12</v>
      </c>
      <c r="O129" s="91">
        <v>71.95</v>
      </c>
      <c r="P129" s="92">
        <f t="shared" ref="P129" si="81">(O129*N129)/(M129*L129)</f>
        <v>1.0601149255930455</v>
      </c>
      <c r="Q129" s="112">
        <f>11/2</f>
        <v>5.5</v>
      </c>
      <c r="R129" s="91">
        <v>35.79</v>
      </c>
      <c r="S129" s="91">
        <f t="shared" ref="S129:S131" si="82">Q129</f>
        <v>5.5</v>
      </c>
      <c r="T129" s="91">
        <v>38.33</v>
      </c>
      <c r="U129" s="92">
        <f t="shared" ref="U129" si="83">(T129*S129)/(R129*Q129)</f>
        <v>1.0709695445655212</v>
      </c>
      <c r="V129" s="171">
        <f t="shared" si="45"/>
        <v>1.0421236687331108</v>
      </c>
    </row>
    <row r="130" spans="1:22" hidden="1">
      <c r="A130" s="97" t="s">
        <v>40</v>
      </c>
      <c r="B130" s="91">
        <f>32.19/2</f>
        <v>16.094999999999999</v>
      </c>
      <c r="C130" s="91">
        <v>38.909999999999997</v>
      </c>
      <c r="D130" s="91">
        <f t="shared" si="78"/>
        <v>16.094999999999999</v>
      </c>
      <c r="E130" s="91">
        <v>41.03</v>
      </c>
      <c r="F130" s="92">
        <f t="shared" si="79"/>
        <v>1.0544847083012081</v>
      </c>
      <c r="G130" s="115">
        <f>19.19/2</f>
        <v>9.5950000000000006</v>
      </c>
      <c r="H130" s="115">
        <v>38.909999999999997</v>
      </c>
      <c r="I130" s="115">
        <f t="shared" si="76"/>
        <v>9.5950000000000006</v>
      </c>
      <c r="J130" s="115">
        <v>41.03</v>
      </c>
      <c r="K130" s="92">
        <f t="shared" si="80"/>
        <v>1.0544847083012079</v>
      </c>
      <c r="L130" s="91">
        <v>0</v>
      </c>
      <c r="M130" s="91"/>
      <c r="N130" s="91"/>
      <c r="O130" s="91"/>
      <c r="P130" s="92"/>
      <c r="Q130" s="112">
        <v>0</v>
      </c>
      <c r="R130" s="91"/>
      <c r="S130" s="91"/>
      <c r="T130" s="91"/>
      <c r="U130" s="92"/>
      <c r="V130" s="171">
        <f t="shared" si="45"/>
        <v>1.0544847083012081</v>
      </c>
    </row>
    <row r="131" spans="1:22" hidden="1">
      <c r="A131" s="97" t="s">
        <v>41</v>
      </c>
      <c r="B131" s="91">
        <f>10.682/2</f>
        <v>5.3410000000000002</v>
      </c>
      <c r="C131" s="91">
        <v>77.88</v>
      </c>
      <c r="D131" s="91">
        <f t="shared" si="78"/>
        <v>5.3410000000000002</v>
      </c>
      <c r="E131" s="91">
        <v>83.07</v>
      </c>
      <c r="F131" s="92">
        <f t="shared" si="79"/>
        <v>1.0666409861325115</v>
      </c>
      <c r="G131" s="115">
        <f>9.422/2</f>
        <v>4.7110000000000003</v>
      </c>
      <c r="H131" s="115">
        <v>38.479999999999997</v>
      </c>
      <c r="I131" s="115">
        <f t="shared" si="76"/>
        <v>4.7110000000000003</v>
      </c>
      <c r="J131" s="115">
        <v>41.21</v>
      </c>
      <c r="K131" s="92">
        <f t="shared" si="80"/>
        <v>1.0709459459459461</v>
      </c>
      <c r="L131" s="91">
        <v>0</v>
      </c>
      <c r="M131" s="91"/>
      <c r="N131" s="91">
        <f t="shared" si="77"/>
        <v>0</v>
      </c>
      <c r="O131" s="91"/>
      <c r="P131" s="92"/>
      <c r="Q131" s="112">
        <v>0</v>
      </c>
      <c r="R131" s="91"/>
      <c r="S131" s="91">
        <f t="shared" si="82"/>
        <v>0</v>
      </c>
      <c r="T131" s="91"/>
      <c r="U131" s="92"/>
      <c r="V131" s="171">
        <f t="shared" si="45"/>
        <v>1.0666409861325115</v>
      </c>
    </row>
    <row r="132" spans="1:22">
      <c r="A132" s="93" t="s">
        <v>237</v>
      </c>
      <c r="B132" s="91">
        <f>SUM(B133:B133)</f>
        <v>59.05</v>
      </c>
      <c r="C132" s="91">
        <f>SUMPRODUCT(B133:B133,C133:C133)/B132</f>
        <v>64.599999999999994</v>
      </c>
      <c r="D132" s="91">
        <f>SUM(D133:D133)</f>
        <v>59.05</v>
      </c>
      <c r="E132" s="91">
        <f>SUMPRODUCT(D133:D133,E133:E133)/D132</f>
        <v>97.08</v>
      </c>
      <c r="F132" s="92">
        <f>E132/C132</f>
        <v>1.5027863777089785</v>
      </c>
      <c r="G132" s="91">
        <f>SUM(G133:G133)</f>
        <v>41</v>
      </c>
      <c r="H132" s="91">
        <f>SUMPRODUCT(G133:G133,H133:H133)/G132</f>
        <v>45.15</v>
      </c>
      <c r="I132" s="91">
        <f>SUM(I133:I133)</f>
        <v>41</v>
      </c>
      <c r="J132" s="91">
        <f>SUMPRODUCT(I133:I133,J133:J133)/I132</f>
        <v>48.36</v>
      </c>
      <c r="K132" s="92">
        <f>J132/H132</f>
        <v>1.0710963455149503</v>
      </c>
      <c r="L132" s="91"/>
      <c r="M132" s="91"/>
      <c r="N132" s="91"/>
      <c r="O132" s="91"/>
      <c r="P132" s="92"/>
      <c r="Q132" s="91"/>
      <c r="R132" s="91"/>
      <c r="S132" s="91"/>
      <c r="T132" s="91"/>
      <c r="U132" s="92"/>
      <c r="V132" s="171">
        <f t="shared" si="45"/>
        <v>1.5027863777089785</v>
      </c>
    </row>
    <row r="133" spans="1:22" hidden="1">
      <c r="A133" s="90" t="s">
        <v>58</v>
      </c>
      <c r="B133" s="91">
        <f>118.1/2</f>
        <v>59.05</v>
      </c>
      <c r="C133" s="91">
        <v>64.599999999999994</v>
      </c>
      <c r="D133" s="91">
        <f>B133</f>
        <v>59.05</v>
      </c>
      <c r="E133" s="91">
        <v>97.08</v>
      </c>
      <c r="F133" s="92">
        <f>(E133*D133)/(C133*B133)</f>
        <v>1.5027863777089783</v>
      </c>
      <c r="G133" s="99">
        <f>82/2</f>
        <v>41</v>
      </c>
      <c r="H133" s="99">
        <v>45.15</v>
      </c>
      <c r="I133" s="99">
        <f>G133</f>
        <v>41</v>
      </c>
      <c r="J133" s="99">
        <v>48.36</v>
      </c>
      <c r="K133" s="92">
        <f t="shared" ref="K133" si="84">(J133*I133)/(H133*G133)</f>
        <v>1.0710963455149503</v>
      </c>
      <c r="L133" s="91"/>
      <c r="M133" s="91"/>
      <c r="N133" s="91"/>
      <c r="O133" s="91"/>
      <c r="P133" s="92"/>
      <c r="Q133" s="96"/>
      <c r="R133" s="96"/>
      <c r="S133" s="96"/>
      <c r="T133" s="96"/>
      <c r="U133" s="98"/>
      <c r="V133" s="171">
        <f t="shared" si="45"/>
        <v>1.5027863777089785</v>
      </c>
    </row>
    <row r="134" spans="1:22">
      <c r="A134" s="93" t="s">
        <v>238</v>
      </c>
      <c r="B134" s="91">
        <f>SUM(B135:B136)</f>
        <v>46.875</v>
      </c>
      <c r="C134" s="91">
        <f>SUMPRODUCT(B135:B136,C135:C136)/B134</f>
        <v>68.041276799999977</v>
      </c>
      <c r="D134" s="91">
        <f>SUM(D135:D136)</f>
        <v>46.875</v>
      </c>
      <c r="E134" s="91">
        <f>SUMPRODUCT(D135:D136,E135:E136)/D134</f>
        <v>119.19380266666664</v>
      </c>
      <c r="F134" s="92">
        <f>E134/C134</f>
        <v>1.7517866840891891</v>
      </c>
      <c r="G134" s="91">
        <f>SUM(G135:G136)</f>
        <v>29.425000000000001</v>
      </c>
      <c r="H134" s="91">
        <f>SUMPRODUCT(G135:G136,H135:H136)/G134</f>
        <v>48.22</v>
      </c>
      <c r="I134" s="91">
        <f>SUM(I135:I136)</f>
        <v>29.425000000000001</v>
      </c>
      <c r="J134" s="91">
        <f>SUMPRODUCT(I135:I136,J135:J136)/I134</f>
        <v>51.640000000000008</v>
      </c>
      <c r="K134" s="92">
        <f>J134/H134</f>
        <v>1.0709249274160102</v>
      </c>
      <c r="L134" s="91"/>
      <c r="M134" s="91"/>
      <c r="N134" s="91"/>
      <c r="O134" s="91"/>
      <c r="P134" s="92"/>
      <c r="Q134" s="91"/>
      <c r="R134" s="91"/>
      <c r="S134" s="91"/>
      <c r="T134" s="91"/>
      <c r="U134" s="92"/>
      <c r="V134" s="171">
        <f t="shared" si="45"/>
        <v>1.7517866840891891</v>
      </c>
    </row>
    <row r="135" spans="1:22" hidden="1">
      <c r="A135" s="109" t="s">
        <v>58</v>
      </c>
      <c r="B135" s="100">
        <f>92.57/2</f>
        <v>46.284999999999997</v>
      </c>
      <c r="C135" s="100">
        <v>64.569999999999993</v>
      </c>
      <c r="D135" s="100">
        <f>B135</f>
        <v>46.284999999999997</v>
      </c>
      <c r="E135" s="100">
        <v>116.1</v>
      </c>
      <c r="F135" s="101">
        <f>(E135*D135)/(C135*B135)</f>
        <v>1.7980486293944558</v>
      </c>
      <c r="G135" s="116">
        <f>58.56/2</f>
        <v>29.28</v>
      </c>
      <c r="H135" s="116">
        <v>48.22</v>
      </c>
      <c r="I135" s="116">
        <f>G135</f>
        <v>29.28</v>
      </c>
      <c r="J135" s="116">
        <v>51.64</v>
      </c>
      <c r="K135" s="101">
        <f t="shared" ref="K135:K136" si="85">(J135*I135)/(H135*G135)</f>
        <v>1.0709249274160102</v>
      </c>
      <c r="L135" s="91"/>
      <c r="M135" s="91"/>
      <c r="N135" s="91"/>
      <c r="O135" s="91"/>
      <c r="P135" s="92"/>
      <c r="Q135" s="96"/>
      <c r="R135" s="96"/>
      <c r="S135" s="96"/>
      <c r="T135" s="96"/>
      <c r="U135" s="98"/>
      <c r="V135" s="171">
        <f t="shared" si="45"/>
        <v>1.7980486293944558</v>
      </c>
    </row>
    <row r="136" spans="1:22" hidden="1">
      <c r="A136" s="109" t="s">
        <v>59</v>
      </c>
      <c r="B136" s="100">
        <f>1.18/2</f>
        <v>0.59</v>
      </c>
      <c r="C136" s="100">
        <v>340.36</v>
      </c>
      <c r="D136" s="100">
        <f>B136</f>
        <v>0.59</v>
      </c>
      <c r="E136" s="100">
        <v>361.9</v>
      </c>
      <c r="F136" s="101">
        <f>(E136*D136)/(C136*B136)</f>
        <v>1.0632859325420143</v>
      </c>
      <c r="G136" s="116">
        <f>0.29/2</f>
        <v>0.14499999999999999</v>
      </c>
      <c r="H136" s="116">
        <v>48.22</v>
      </c>
      <c r="I136" s="116">
        <f>G136</f>
        <v>0.14499999999999999</v>
      </c>
      <c r="J136" s="116">
        <v>51.64</v>
      </c>
      <c r="K136" s="101">
        <f t="shared" si="85"/>
        <v>1.07092492741601</v>
      </c>
      <c r="L136" s="91"/>
      <c r="M136" s="91"/>
      <c r="N136" s="91"/>
      <c r="O136" s="91"/>
      <c r="P136" s="92"/>
      <c r="Q136" s="96"/>
      <c r="R136" s="96"/>
      <c r="S136" s="96"/>
      <c r="T136" s="96"/>
      <c r="U136" s="98"/>
      <c r="V136" s="171">
        <f t="shared" si="45"/>
        <v>1.0632859325420143</v>
      </c>
    </row>
    <row r="137" spans="1:22">
      <c r="A137" s="90" t="s">
        <v>239</v>
      </c>
      <c r="B137" s="91">
        <f>SUM(B138:B143)</f>
        <v>433.26949999999999</v>
      </c>
      <c r="C137" s="91">
        <f>SUMPRODUCT(B138:B143,C138:C143)/B137</f>
        <v>47.107297663463505</v>
      </c>
      <c r="D137" s="91">
        <f>SUM(D138:D143)</f>
        <v>433.26949999999999</v>
      </c>
      <c r="E137" s="91">
        <f>SUMPRODUCT(D138:D143,E138:E143)/D137</f>
        <v>67.673509213087939</v>
      </c>
      <c r="F137" s="92">
        <f>E137/C137</f>
        <v>1.4365822827823898</v>
      </c>
      <c r="G137" s="91">
        <f>SUM(G138:G143)</f>
        <v>287.15900000000005</v>
      </c>
      <c r="H137" s="91">
        <f>SUMPRODUCT(G138:G143,H138:H143)/G137</f>
        <v>29.377964820883196</v>
      </c>
      <c r="I137" s="91">
        <f>SUM(I138:I143)</f>
        <v>381.65700000000004</v>
      </c>
      <c r="J137" s="91">
        <f>SUMPRODUCT(I138:I143,J138:J143)/I137</f>
        <v>34.702182470123695</v>
      </c>
      <c r="K137" s="92">
        <f>J137/H137</f>
        <v>1.1812316708016413</v>
      </c>
      <c r="L137" s="91">
        <f>SUM(L138:L143)</f>
        <v>392.23749999999995</v>
      </c>
      <c r="M137" s="91">
        <f>SUMPRODUCT(L138:L143,M138:M143)/L137</f>
        <v>35.808039937537842</v>
      </c>
      <c r="N137" s="91">
        <f>SUM(N138:N143)</f>
        <v>392.23749999999995</v>
      </c>
      <c r="O137" s="91">
        <f>SUMPRODUCT(N138:N143,O138:O143)/N137</f>
        <v>41.148639051595012</v>
      </c>
      <c r="P137" s="92">
        <f>O137/M137</f>
        <v>1.1491452512724267</v>
      </c>
      <c r="Q137" s="91">
        <f>SUM(Q138:Q143)</f>
        <v>234.03700000000001</v>
      </c>
      <c r="R137" s="91">
        <f>SUMPRODUCT(Q138:Q143,R138:R143)/Q137</f>
        <v>25.25054354653324</v>
      </c>
      <c r="S137" s="91">
        <f>SUM(S138:S143)</f>
        <v>234.03700000000001</v>
      </c>
      <c r="T137" s="91">
        <f>SUMPRODUCT(S138:S143,T138:T143)/S137</f>
        <v>31.69</v>
      </c>
      <c r="U137" s="92">
        <f>T137/R137</f>
        <v>1.2550224885891956</v>
      </c>
      <c r="V137" s="171">
        <f t="shared" ref="V137:V200" si="86">(E137+O137)/(C137+M137)</f>
        <v>1.3124489559259631</v>
      </c>
    </row>
    <row r="138" spans="1:22" hidden="1">
      <c r="A138" s="90" t="s">
        <v>144</v>
      </c>
      <c r="B138" s="91">
        <f>430.581/2</f>
        <v>215.29050000000001</v>
      </c>
      <c r="C138" s="91">
        <v>55.17</v>
      </c>
      <c r="D138" s="91">
        <f>B138</f>
        <v>215.29050000000001</v>
      </c>
      <c r="E138" s="91">
        <v>95.72</v>
      </c>
      <c r="F138" s="92">
        <f>(E138*D138)/(C138*B138)</f>
        <v>1.7350009062896503</v>
      </c>
      <c r="G138" s="91">
        <v>164.86</v>
      </c>
      <c r="H138" s="91">
        <v>27.42</v>
      </c>
      <c r="I138" s="91">
        <f>G138</f>
        <v>164.86</v>
      </c>
      <c r="J138" s="91">
        <v>35.03</v>
      </c>
      <c r="K138" s="92">
        <f>(J138*I138)/(H138*G138)</f>
        <v>1.2775346462436177</v>
      </c>
      <c r="L138" s="91">
        <f>765.458/2</f>
        <v>382.72899999999998</v>
      </c>
      <c r="M138" s="91">
        <v>33.86</v>
      </c>
      <c r="N138" s="91">
        <f>L138</f>
        <v>382.72899999999998</v>
      </c>
      <c r="O138" s="91">
        <v>39.33</v>
      </c>
      <c r="P138" s="92">
        <f>(O138*N138)/(M138*L138)</f>
        <v>1.1615475487300648</v>
      </c>
      <c r="Q138" s="112">
        <v>225.18700000000001</v>
      </c>
      <c r="R138" s="96">
        <v>25.08</v>
      </c>
      <c r="S138" s="96">
        <f>Q138</f>
        <v>225.18700000000001</v>
      </c>
      <c r="T138" s="96">
        <v>31.69</v>
      </c>
      <c r="U138" s="92">
        <f>(T138*S138)/(R138*Q138)</f>
        <v>1.2635566188197769</v>
      </c>
      <c r="V138" s="171">
        <f t="shared" si="86"/>
        <v>1.5169044142423904</v>
      </c>
    </row>
    <row r="139" spans="1:22" hidden="1">
      <c r="A139" s="90" t="s">
        <v>145</v>
      </c>
      <c r="B139" s="91">
        <f>11.3/2</f>
        <v>5.65</v>
      </c>
      <c r="C139" s="91">
        <v>62.62</v>
      </c>
      <c r="D139" s="91">
        <f>B139</f>
        <v>5.65</v>
      </c>
      <c r="E139" s="91">
        <v>62.62</v>
      </c>
      <c r="F139" s="92">
        <f>(E139*D139)/(C139*B139)</f>
        <v>1</v>
      </c>
      <c r="G139" s="91">
        <v>4.71</v>
      </c>
      <c r="H139" s="91">
        <v>32.36</v>
      </c>
      <c r="I139" s="91">
        <f>G139</f>
        <v>4.71</v>
      </c>
      <c r="J139" s="91">
        <v>34.659999999999997</v>
      </c>
      <c r="K139" s="92">
        <f t="shared" ref="K139:K143" si="87">(J139*I139)/(H139*G139)</f>
        <v>1.0710754017305315</v>
      </c>
      <c r="L139" s="91">
        <f>5.8/2</f>
        <v>2.9</v>
      </c>
      <c r="M139" s="91">
        <v>54.9</v>
      </c>
      <c r="N139" s="91">
        <f t="shared" ref="N139:N140" si="88">L139</f>
        <v>2.9</v>
      </c>
      <c r="O139" s="91">
        <v>54.9</v>
      </c>
      <c r="P139" s="92">
        <f t="shared" ref="P139:P140" si="89">(O139*N139)/(M139*L139)</f>
        <v>1</v>
      </c>
      <c r="Q139" s="96">
        <v>2.42</v>
      </c>
      <c r="R139" s="96">
        <v>29.59</v>
      </c>
      <c r="S139" s="96">
        <f>Q139</f>
        <v>2.42</v>
      </c>
      <c r="T139" s="96">
        <v>31.69</v>
      </c>
      <c r="U139" s="92">
        <f>(T139*S139)/(R139*Q139)</f>
        <v>1.0709699222710376</v>
      </c>
      <c r="V139" s="171">
        <f t="shared" si="86"/>
        <v>1</v>
      </c>
    </row>
    <row r="140" spans="1:22" hidden="1">
      <c r="A140" s="90" t="s">
        <v>146</v>
      </c>
      <c r="B140" s="91">
        <f>410.776/2</f>
        <v>205.38800000000001</v>
      </c>
      <c r="C140" s="91">
        <v>34.270000000000003</v>
      </c>
      <c r="D140" s="91">
        <f>410.776/2</f>
        <v>205.38800000000001</v>
      </c>
      <c r="E140" s="91">
        <v>34.78</v>
      </c>
      <c r="F140" s="92">
        <f>(E140*D140)/(C140*B140)</f>
        <v>1.0148818208345491</v>
      </c>
      <c r="G140" s="91">
        <v>110.89</v>
      </c>
      <c r="H140" s="91">
        <v>32.36</v>
      </c>
      <c r="I140" s="91">
        <f>410.776/2</f>
        <v>205.38800000000001</v>
      </c>
      <c r="J140" s="91">
        <v>34.659999999999997</v>
      </c>
      <c r="K140" s="92">
        <f t="shared" si="87"/>
        <v>1.9838221175095174</v>
      </c>
      <c r="L140" s="91">
        <f>13.217/2</f>
        <v>6.6085000000000003</v>
      </c>
      <c r="M140" s="91">
        <v>140.25</v>
      </c>
      <c r="N140" s="91">
        <f t="shared" si="88"/>
        <v>6.6085000000000003</v>
      </c>
      <c r="O140" s="91">
        <v>140.44</v>
      </c>
      <c r="P140" s="92">
        <f t="shared" si="89"/>
        <v>1.001354723707665</v>
      </c>
      <c r="Q140" s="91">
        <v>6.43</v>
      </c>
      <c r="R140" s="96">
        <v>29.59</v>
      </c>
      <c r="S140" s="91">
        <f>Q140</f>
        <v>6.43</v>
      </c>
      <c r="T140" s="96">
        <v>31.69</v>
      </c>
      <c r="U140" s="92">
        <f>(T140*S140)/(R140*Q140)</f>
        <v>1.0709699222710374</v>
      </c>
      <c r="V140" s="171">
        <f t="shared" si="86"/>
        <v>1.0040110016044006</v>
      </c>
    </row>
    <row r="141" spans="1:22" hidden="1">
      <c r="A141" s="90" t="s">
        <v>147</v>
      </c>
      <c r="B141" s="91">
        <f>13.882/2</f>
        <v>6.9409999999999998</v>
      </c>
      <c r="C141" s="91">
        <v>164.26</v>
      </c>
      <c r="D141" s="91">
        <f>B141</f>
        <v>6.9409999999999998</v>
      </c>
      <c r="E141" s="91">
        <v>175.2</v>
      </c>
      <c r="F141" s="92">
        <f>(E141*D141)/(C141*B141)</f>
        <v>1.066601728966273</v>
      </c>
      <c r="G141" s="91">
        <f>1.553/2</f>
        <v>0.77649999999999997</v>
      </c>
      <c r="H141" s="91">
        <v>68.25</v>
      </c>
      <c r="I141" s="91">
        <f>G141</f>
        <v>0.77649999999999997</v>
      </c>
      <c r="J141" s="99">
        <v>73.099999999999994</v>
      </c>
      <c r="K141" s="92">
        <f t="shared" si="87"/>
        <v>1.0710622710622708</v>
      </c>
      <c r="L141" s="91"/>
      <c r="M141" s="91"/>
      <c r="N141" s="91"/>
      <c r="O141" s="91"/>
      <c r="P141" s="92"/>
      <c r="Q141" s="96"/>
      <c r="R141" s="96"/>
      <c r="S141" s="96"/>
      <c r="T141" s="96"/>
      <c r="U141" s="92"/>
      <c r="V141" s="171">
        <f t="shared" si="86"/>
        <v>1.066601728966273</v>
      </c>
    </row>
    <row r="142" spans="1:22" hidden="1">
      <c r="A142" s="90" t="s">
        <v>148</v>
      </c>
      <c r="B142" s="91"/>
      <c r="C142" s="91"/>
      <c r="D142" s="91"/>
      <c r="E142" s="91"/>
      <c r="F142" s="92"/>
      <c r="G142" s="91">
        <f>1.005/2</f>
        <v>0.50249999999999995</v>
      </c>
      <c r="H142" s="91">
        <v>57.23</v>
      </c>
      <c r="I142" s="91">
        <f>G142</f>
        <v>0.50249999999999995</v>
      </c>
      <c r="J142" s="99">
        <v>61.29</v>
      </c>
      <c r="K142" s="92">
        <f t="shared" si="87"/>
        <v>1.0709418137340556</v>
      </c>
      <c r="L142" s="91"/>
      <c r="M142" s="91"/>
      <c r="N142" s="91"/>
      <c r="O142" s="91"/>
      <c r="P142" s="92"/>
      <c r="Q142" s="96"/>
      <c r="R142" s="96"/>
      <c r="S142" s="96"/>
      <c r="T142" s="96"/>
      <c r="U142" s="92"/>
      <c r="V142" s="171" t="e">
        <f t="shared" si="86"/>
        <v>#DIV/0!</v>
      </c>
    </row>
    <row r="143" spans="1:22" hidden="1">
      <c r="A143" s="90" t="s">
        <v>149</v>
      </c>
      <c r="B143" s="91"/>
      <c r="C143" s="91"/>
      <c r="D143" s="91"/>
      <c r="E143" s="91"/>
      <c r="F143" s="92"/>
      <c r="G143" s="91">
        <v>5.42</v>
      </c>
      <c r="H143" s="91">
        <v>17.18</v>
      </c>
      <c r="I143" s="91">
        <f>G143</f>
        <v>5.42</v>
      </c>
      <c r="J143" s="99">
        <v>18.399999999999999</v>
      </c>
      <c r="K143" s="92">
        <f t="shared" si="87"/>
        <v>1.0710128055878929</v>
      </c>
      <c r="L143" s="91"/>
      <c r="M143" s="91"/>
      <c r="N143" s="91"/>
      <c r="O143" s="91"/>
      <c r="P143" s="92"/>
      <c r="Q143" s="96"/>
      <c r="R143" s="96"/>
      <c r="S143" s="96"/>
      <c r="T143" s="96"/>
      <c r="U143" s="92"/>
      <c r="V143" s="171" t="e">
        <f t="shared" si="86"/>
        <v>#DIV/0!</v>
      </c>
    </row>
    <row r="144" spans="1:22">
      <c r="A144" s="90" t="s">
        <v>203</v>
      </c>
      <c r="B144" s="91">
        <f>SUM(B145:B150)</f>
        <v>469.62</v>
      </c>
      <c r="C144" s="91">
        <f>SUMPRODUCT(B145:B150,C145:C150)/B144</f>
        <v>42.304141028916995</v>
      </c>
      <c r="D144" s="91">
        <f>SUM(D145:D150)</f>
        <v>469.62</v>
      </c>
      <c r="E144" s="91">
        <f>SUMPRODUCT(D145:D150,E145:E150)/D144</f>
        <v>42.477022156211405</v>
      </c>
      <c r="F144" s="92">
        <f>E144/C144</f>
        <v>1.0040866242190389</v>
      </c>
      <c r="G144" s="91">
        <f>SUM(G145:G150)</f>
        <v>295.31700000000001</v>
      </c>
      <c r="H144" s="91">
        <f>SUMPRODUCT(G145:G150,H145:H150)/G144</f>
        <v>30.527706159821477</v>
      </c>
      <c r="I144" s="91">
        <f>SUM(I145:I150)</f>
        <v>295.31700000000001</v>
      </c>
      <c r="J144" s="91">
        <f>SUMPRODUCT(I145:I150,J145:J150)/I144</f>
        <v>32.692984284683916</v>
      </c>
      <c r="K144" s="92">
        <f>J144/H144</f>
        <v>1.0709282942362774</v>
      </c>
      <c r="L144" s="91">
        <f>SUM(L145:L150)</f>
        <v>250</v>
      </c>
      <c r="M144" s="91">
        <f>SUMPRODUCT(L145:L150,M145:M150)/L144</f>
        <v>51.3</v>
      </c>
      <c r="N144" s="91">
        <f>SUM(N145:N150)</f>
        <v>250</v>
      </c>
      <c r="O144" s="91">
        <f>SUMPRODUCT(N145:N150,O145:O150)/N144</f>
        <v>51.3</v>
      </c>
      <c r="P144" s="92">
        <f>O144/M144</f>
        <v>1</v>
      </c>
      <c r="Q144" s="91">
        <f>SUM(Q145:Q150)</f>
        <v>155</v>
      </c>
      <c r="R144" s="91">
        <f>SUMPRODUCT(Q145:Q150,R145:R150)/Q144</f>
        <v>39</v>
      </c>
      <c r="S144" s="91">
        <f>SUM(S145:S150)</f>
        <v>155</v>
      </c>
      <c r="T144" s="91">
        <f>SUMPRODUCT(S145:S150,T145:T150)/S144</f>
        <v>41.77</v>
      </c>
      <c r="U144" s="92">
        <f>T144/R144</f>
        <v>1.0710256410256411</v>
      </c>
      <c r="V144" s="171">
        <f t="shared" si="86"/>
        <v>1.0018469388789222</v>
      </c>
    </row>
    <row r="145" spans="1:22" hidden="1">
      <c r="A145" s="97" t="s">
        <v>94</v>
      </c>
      <c r="B145" s="91">
        <f>12.075/2</f>
        <v>6.0374999999999996</v>
      </c>
      <c r="C145" s="91">
        <v>19.920000000000002</v>
      </c>
      <c r="D145" s="91">
        <f>B145</f>
        <v>6.0374999999999996</v>
      </c>
      <c r="E145" s="91">
        <v>21.32</v>
      </c>
      <c r="F145" s="92">
        <f>(E145*D145)/(C145*B145)</f>
        <v>1.0702811244979917</v>
      </c>
      <c r="G145" s="91">
        <f>11.78/2</f>
        <v>5.89</v>
      </c>
      <c r="H145" s="91">
        <v>19.920000000000002</v>
      </c>
      <c r="I145" s="91">
        <f>G145</f>
        <v>5.89</v>
      </c>
      <c r="J145" s="91">
        <v>21.32</v>
      </c>
      <c r="K145" s="92">
        <f>J145/H145</f>
        <v>1.070281124497992</v>
      </c>
      <c r="L145" s="91"/>
      <c r="M145" s="91"/>
      <c r="N145" s="91"/>
      <c r="O145" s="91"/>
      <c r="P145" s="92"/>
      <c r="Q145" s="96"/>
      <c r="R145" s="112"/>
      <c r="S145" s="112"/>
      <c r="T145" s="112"/>
      <c r="U145" s="92"/>
      <c r="V145" s="171">
        <f t="shared" si="86"/>
        <v>1.070281124497992</v>
      </c>
    </row>
    <row r="146" spans="1:22" hidden="1">
      <c r="A146" s="97" t="s">
        <v>95</v>
      </c>
      <c r="B146" s="91">
        <f>50.8/2</f>
        <v>25.4</v>
      </c>
      <c r="C146" s="91">
        <v>30.43</v>
      </c>
      <c r="D146" s="91">
        <f>B146</f>
        <v>25.4</v>
      </c>
      <c r="E146" s="91">
        <v>32.57</v>
      </c>
      <c r="F146" s="92">
        <f>(E146*D146)/(C146*B146)</f>
        <v>1.0703253368386461</v>
      </c>
      <c r="G146" s="91">
        <f>31.2/2</f>
        <v>15.6</v>
      </c>
      <c r="H146" s="91">
        <v>30.43</v>
      </c>
      <c r="I146" s="91">
        <f>G146</f>
        <v>15.6</v>
      </c>
      <c r="J146" s="91">
        <v>32.57</v>
      </c>
      <c r="K146" s="92">
        <f>(J146*I146)/(H146*G146)</f>
        <v>1.0703253368386461</v>
      </c>
      <c r="L146" s="91"/>
      <c r="M146" s="91"/>
      <c r="N146" s="91"/>
      <c r="O146" s="91"/>
      <c r="P146" s="92"/>
      <c r="Q146" s="96"/>
      <c r="R146" s="112"/>
      <c r="S146" s="112"/>
      <c r="T146" s="112"/>
      <c r="U146" s="92"/>
      <c r="V146" s="171">
        <f t="shared" si="86"/>
        <v>1.0703253368386461</v>
      </c>
    </row>
    <row r="147" spans="1:22" hidden="1">
      <c r="A147" s="97" t="s">
        <v>96</v>
      </c>
      <c r="B147" s="91"/>
      <c r="C147" s="91"/>
      <c r="D147" s="91"/>
      <c r="E147" s="91"/>
      <c r="F147" s="92"/>
      <c r="G147" s="91"/>
      <c r="H147" s="91"/>
      <c r="I147" s="91"/>
      <c r="J147" s="91"/>
      <c r="K147" s="92"/>
      <c r="L147" s="91"/>
      <c r="M147" s="91"/>
      <c r="N147" s="91"/>
      <c r="O147" s="91"/>
      <c r="P147" s="92"/>
      <c r="Q147" s="96"/>
      <c r="R147" s="96"/>
      <c r="S147" s="96"/>
      <c r="T147" s="96"/>
      <c r="U147" s="92"/>
      <c r="V147" s="171" t="e">
        <f t="shared" si="86"/>
        <v>#DIV/0!</v>
      </c>
    </row>
    <row r="148" spans="1:22" hidden="1">
      <c r="A148" s="117" t="s">
        <v>97</v>
      </c>
      <c r="B148" s="91">
        <f>18.602/2</f>
        <v>9.3010000000000002</v>
      </c>
      <c r="C148" s="91">
        <v>84.06</v>
      </c>
      <c r="D148" s="91">
        <f t="shared" ref="D148:D150" si="90">B148</f>
        <v>9.3010000000000002</v>
      </c>
      <c r="E148" s="91">
        <v>84.06</v>
      </c>
      <c r="F148" s="92">
        <f t="shared" ref="F148:F150" si="91">(E148*D148)/(C148*B148)</f>
        <v>1</v>
      </c>
      <c r="G148" s="91">
        <f>16.986/2</f>
        <v>8.4930000000000003</v>
      </c>
      <c r="H148" s="91">
        <v>29</v>
      </c>
      <c r="I148" s="91">
        <f>G148</f>
        <v>8.4930000000000003</v>
      </c>
      <c r="J148" s="91">
        <v>31.06</v>
      </c>
      <c r="K148" s="92">
        <f>(J148*I148)/(H148*G148)</f>
        <v>1.0710344827586207</v>
      </c>
      <c r="L148" s="91"/>
      <c r="M148" s="91"/>
      <c r="N148" s="91"/>
      <c r="O148" s="91"/>
      <c r="P148" s="92"/>
      <c r="Q148" s="112"/>
      <c r="R148" s="96"/>
      <c r="S148" s="112"/>
      <c r="T148" s="96"/>
      <c r="U148" s="92"/>
      <c r="V148" s="171">
        <f t="shared" si="86"/>
        <v>1</v>
      </c>
    </row>
    <row r="149" spans="1:22" hidden="1">
      <c r="A149" s="117" t="s">
        <v>98</v>
      </c>
      <c r="B149" s="91">
        <f>14.763/2</f>
        <v>7.3815</v>
      </c>
      <c r="C149" s="91">
        <v>41.1</v>
      </c>
      <c r="D149" s="91">
        <f t="shared" si="90"/>
        <v>7.3815</v>
      </c>
      <c r="E149" s="91">
        <v>43.59</v>
      </c>
      <c r="F149" s="92">
        <f t="shared" si="91"/>
        <v>1.0605839416058394</v>
      </c>
      <c r="G149" s="91">
        <f>16.668/2</f>
        <v>8.3339999999999996</v>
      </c>
      <c r="H149" s="91">
        <v>25.2</v>
      </c>
      <c r="I149" s="91">
        <f>G149</f>
        <v>8.3339999999999996</v>
      </c>
      <c r="J149" s="91">
        <v>26.99</v>
      </c>
      <c r="K149" s="92">
        <f>(J149*I149)/(H149*G149)</f>
        <v>1.071031746031746</v>
      </c>
      <c r="L149" s="91"/>
      <c r="M149" s="91"/>
      <c r="N149" s="91"/>
      <c r="O149" s="91"/>
      <c r="P149" s="92"/>
      <c r="Q149" s="96"/>
      <c r="R149" s="112"/>
      <c r="S149" s="112"/>
      <c r="T149" s="112"/>
      <c r="U149" s="92"/>
      <c r="V149" s="171">
        <f t="shared" si="86"/>
        <v>1.0605839416058394</v>
      </c>
    </row>
    <row r="150" spans="1:22" hidden="1">
      <c r="A150" s="97" t="s">
        <v>99</v>
      </c>
      <c r="B150" s="91">
        <f>843/2</f>
        <v>421.5</v>
      </c>
      <c r="C150" s="91">
        <v>42.44</v>
      </c>
      <c r="D150" s="91">
        <f t="shared" si="90"/>
        <v>421.5</v>
      </c>
      <c r="E150" s="91">
        <v>42.44</v>
      </c>
      <c r="F150" s="92">
        <f t="shared" si="91"/>
        <v>1</v>
      </c>
      <c r="G150" s="91">
        <f>514/2</f>
        <v>257</v>
      </c>
      <c r="H150" s="91">
        <v>31</v>
      </c>
      <c r="I150" s="91">
        <f>G150</f>
        <v>257</v>
      </c>
      <c r="J150" s="91">
        <v>33.200000000000003</v>
      </c>
      <c r="K150" s="92">
        <f>(J150*I150)/(H150*G150)</f>
        <v>1.0709677419354842</v>
      </c>
      <c r="L150" s="91">
        <f>500/2</f>
        <v>250</v>
      </c>
      <c r="M150" s="91">
        <v>51.3</v>
      </c>
      <c r="N150" s="91">
        <f>L150</f>
        <v>250</v>
      </c>
      <c r="O150" s="91">
        <v>51.3</v>
      </c>
      <c r="P150" s="92">
        <f>O150/M150</f>
        <v>1</v>
      </c>
      <c r="Q150" s="96">
        <f>310/2</f>
        <v>155</v>
      </c>
      <c r="R150" s="96">
        <v>39</v>
      </c>
      <c r="S150" s="96">
        <f>Q150</f>
        <v>155</v>
      </c>
      <c r="T150" s="96">
        <v>41.77</v>
      </c>
      <c r="U150" s="92">
        <f>T150/R150</f>
        <v>1.0710256410256411</v>
      </c>
      <c r="V150" s="171">
        <f t="shared" si="86"/>
        <v>1</v>
      </c>
    </row>
    <row r="151" spans="1:22">
      <c r="A151" s="97" t="s">
        <v>207</v>
      </c>
      <c r="B151" s="91">
        <f>SUM(B152:B158)</f>
        <v>224.21950000000001</v>
      </c>
      <c r="C151" s="91">
        <f>SUMPRODUCT(B152:B158,C152:C158)/B151</f>
        <v>56.780515209426476</v>
      </c>
      <c r="D151" s="91">
        <f>SUM(D152:D158)</f>
        <v>224.21950000000001</v>
      </c>
      <c r="E151" s="91">
        <f>SUMPRODUCT(D152:D158,E152:E158)/D151</f>
        <v>60.769983453713877</v>
      </c>
      <c r="F151" s="92">
        <f>E151/C151</f>
        <v>1.0702612195323138</v>
      </c>
      <c r="G151" s="91">
        <f>SUM(G152:G158)</f>
        <v>109.87550000000002</v>
      </c>
      <c r="H151" s="91">
        <f>SUMPRODUCT(G152:G158,H152:H158)/G151</f>
        <v>58.594302733548417</v>
      </c>
      <c r="I151" s="91">
        <f>SUM(I152:I158)</f>
        <v>109.87550000000002</v>
      </c>
      <c r="J151" s="91">
        <f>SUMPRODUCT(I152:I158,J152:J158)/I151</f>
        <v>62.208101851641167</v>
      </c>
      <c r="K151" s="92">
        <f>J151/H151</f>
        <v>1.0616749231495446</v>
      </c>
      <c r="L151" s="91">
        <f>SUM(L152:L158)</f>
        <v>101.47499999999999</v>
      </c>
      <c r="M151" s="91">
        <f>SUMPRODUCT(L152:L158,M152:M158)/L151</f>
        <v>71.491924020694753</v>
      </c>
      <c r="N151" s="91">
        <f>SUM(N152:N158)</f>
        <v>101.47499999999999</v>
      </c>
      <c r="O151" s="91">
        <f>SUMPRODUCT(N152:N158,O152:O158)/N151</f>
        <v>76.236510667652141</v>
      </c>
      <c r="P151" s="92">
        <f>O151/M151</f>
        <v>1.0663653512190268</v>
      </c>
      <c r="Q151" s="91">
        <f>SUM(Q152:Q158)</f>
        <v>58.971000000000004</v>
      </c>
      <c r="R151" s="91">
        <f>SUMPRODUCT(Q152:Q158,R152:R158)/Q151</f>
        <v>61.690772922283827</v>
      </c>
      <c r="S151" s="91">
        <f>SUM(S152:S158)</f>
        <v>58.971000000000004</v>
      </c>
      <c r="T151" s="91">
        <f>SUMPRODUCT(S152:S158,T152:T158)/S151</f>
        <v>66.035417069406989</v>
      </c>
      <c r="U151" s="92">
        <f>T151/R151</f>
        <v>1.0704261584239902</v>
      </c>
      <c r="V151" s="171">
        <f t="shared" si="86"/>
        <v>1.0680898791951392</v>
      </c>
    </row>
    <row r="152" spans="1:22" hidden="1">
      <c r="A152" s="97" t="s">
        <v>60</v>
      </c>
      <c r="B152" s="91">
        <f>8.41/2</f>
        <v>4.2050000000000001</v>
      </c>
      <c r="C152" s="91">
        <v>172.04</v>
      </c>
      <c r="D152" s="91">
        <f>B152</f>
        <v>4.2050000000000001</v>
      </c>
      <c r="E152" s="91">
        <v>185.25</v>
      </c>
      <c r="F152" s="92">
        <f>(E152*D152)/(C152*B152)</f>
        <v>1.0767844687282029</v>
      </c>
      <c r="G152" s="91">
        <f>3.578/2</f>
        <v>1.7889999999999999</v>
      </c>
      <c r="H152" s="91">
        <v>66.81</v>
      </c>
      <c r="I152" s="91">
        <f>3.578/2</f>
        <v>1.7889999999999999</v>
      </c>
      <c r="J152" s="91">
        <v>71.55</v>
      </c>
      <c r="K152" s="92">
        <f>(J152*I152)/(H152*G152)</f>
        <v>1.0709474629546476</v>
      </c>
      <c r="L152" s="91"/>
      <c r="M152" s="91"/>
      <c r="N152" s="91"/>
      <c r="O152" s="91"/>
      <c r="P152" s="92"/>
      <c r="Q152" s="96"/>
      <c r="R152" s="96"/>
      <c r="S152" s="96"/>
      <c r="T152" s="96"/>
      <c r="U152" s="92"/>
      <c r="V152" s="171">
        <f t="shared" si="86"/>
        <v>1.0767844687282029</v>
      </c>
    </row>
    <row r="153" spans="1:22" hidden="1">
      <c r="A153" s="97" t="s">
        <v>61</v>
      </c>
      <c r="B153" s="91">
        <f>122.838/2</f>
        <v>61.418999999999997</v>
      </c>
      <c r="C153" s="91">
        <v>50.68</v>
      </c>
      <c r="D153" s="91">
        <f>B153</f>
        <v>61.418999999999997</v>
      </c>
      <c r="E153" s="91">
        <v>54.29</v>
      </c>
      <c r="F153" s="92">
        <f t="shared" ref="F153:F158" si="92">(E153*D153)/(C153*B153)</f>
        <v>1.0712312549329124</v>
      </c>
      <c r="G153" s="91">
        <f>63.27/2</f>
        <v>31.635000000000002</v>
      </c>
      <c r="H153" s="91">
        <v>50.68</v>
      </c>
      <c r="I153" s="91">
        <f>G153</f>
        <v>31.635000000000002</v>
      </c>
      <c r="J153" s="91">
        <v>54.29</v>
      </c>
      <c r="K153" s="92">
        <f t="shared" ref="K153:K158" si="93">(J153*I153)/(H153*G153)</f>
        <v>1.0712312549329124</v>
      </c>
      <c r="L153" s="91">
        <f>22.89/2</f>
        <v>11.445</v>
      </c>
      <c r="M153" s="91">
        <v>100.72</v>
      </c>
      <c r="N153" s="91">
        <f>L153</f>
        <v>11.445</v>
      </c>
      <c r="O153" s="91">
        <v>107.98</v>
      </c>
      <c r="P153" s="92">
        <f t="shared" ref="P153:P156" si="94">(O153*N153)/(M153*L153)</f>
        <v>1.0720810166799049</v>
      </c>
      <c r="Q153" s="96">
        <f>7.636/2</f>
        <v>3.8180000000000001</v>
      </c>
      <c r="R153" s="96">
        <v>75.5</v>
      </c>
      <c r="S153" s="96">
        <f>7.636/2</f>
        <v>3.8180000000000001</v>
      </c>
      <c r="T153" s="96">
        <v>80.86</v>
      </c>
      <c r="U153" s="92">
        <f t="shared" ref="U153:U156" si="95">T153/R153</f>
        <v>1.0709933774834437</v>
      </c>
      <c r="V153" s="171">
        <f t="shared" si="86"/>
        <v>1.0717965653896961</v>
      </c>
    </row>
    <row r="154" spans="1:22" hidden="1">
      <c r="A154" s="97" t="s">
        <v>62</v>
      </c>
      <c r="B154" s="91">
        <f>103.382/2</f>
        <v>51.691000000000003</v>
      </c>
      <c r="C154" s="91">
        <v>43.56</v>
      </c>
      <c r="D154" s="91">
        <f>103.382/2</f>
        <v>51.691000000000003</v>
      </c>
      <c r="E154" s="91">
        <v>46.65</v>
      </c>
      <c r="F154" s="92">
        <f t="shared" si="92"/>
        <v>1.0709366391184572</v>
      </c>
      <c r="G154" s="91">
        <f>37.679/2</f>
        <v>18.839500000000001</v>
      </c>
      <c r="H154" s="91">
        <v>43.56</v>
      </c>
      <c r="I154" s="91">
        <f>37.679/2</f>
        <v>18.839500000000001</v>
      </c>
      <c r="J154" s="91">
        <v>46.65</v>
      </c>
      <c r="K154" s="92">
        <f t="shared" si="93"/>
        <v>1.0709366391184572</v>
      </c>
      <c r="L154" s="91">
        <f>74.838/2</f>
        <v>37.418999999999997</v>
      </c>
      <c r="M154" s="91">
        <v>60.3</v>
      </c>
      <c r="N154" s="91">
        <f>74.838/2</f>
        <v>37.418999999999997</v>
      </c>
      <c r="O154" s="91">
        <v>64.58</v>
      </c>
      <c r="P154" s="92">
        <f t="shared" si="94"/>
        <v>1.0709784411276948</v>
      </c>
      <c r="Q154" s="96">
        <f>36.72/2</f>
        <v>18.36</v>
      </c>
      <c r="R154" s="96">
        <v>60.3</v>
      </c>
      <c r="S154" s="96">
        <f>36.72/2</f>
        <v>18.36</v>
      </c>
      <c r="T154" s="96">
        <v>64.58</v>
      </c>
      <c r="U154" s="92">
        <f t="shared" si="95"/>
        <v>1.0709784411276948</v>
      </c>
      <c r="V154" s="171">
        <f t="shared" si="86"/>
        <v>1.0709609089158483</v>
      </c>
    </row>
    <row r="155" spans="1:22" hidden="1">
      <c r="A155" s="97" t="s">
        <v>63</v>
      </c>
      <c r="B155" s="91">
        <f>44.819/2</f>
        <v>22.409500000000001</v>
      </c>
      <c r="C155" s="91">
        <v>57.5</v>
      </c>
      <c r="D155" s="91">
        <f>44.819/2</f>
        <v>22.409500000000001</v>
      </c>
      <c r="E155" s="91">
        <v>60.11</v>
      </c>
      <c r="F155" s="92">
        <f t="shared" si="92"/>
        <v>1.045391304347826</v>
      </c>
      <c r="G155" s="91">
        <f>35.664/2</f>
        <v>17.832000000000001</v>
      </c>
      <c r="H155" s="91">
        <v>57.5</v>
      </c>
      <c r="I155" s="91">
        <f>35.664/2</f>
        <v>17.832000000000001</v>
      </c>
      <c r="J155" s="91">
        <v>60.11</v>
      </c>
      <c r="K155" s="92">
        <f t="shared" si="93"/>
        <v>1.045391304347826</v>
      </c>
      <c r="L155" s="91">
        <f>35.152/2</f>
        <v>17.576000000000001</v>
      </c>
      <c r="M155" s="91">
        <v>103.44</v>
      </c>
      <c r="N155" s="91">
        <f>35.152/2</f>
        <v>17.576000000000001</v>
      </c>
      <c r="O155" s="91">
        <v>109</v>
      </c>
      <c r="P155" s="92">
        <f t="shared" si="94"/>
        <v>1.0537509667440064</v>
      </c>
      <c r="Q155" s="96">
        <f>32.076/2</f>
        <v>16.038</v>
      </c>
      <c r="R155" s="96">
        <v>64.94</v>
      </c>
      <c r="S155" s="96">
        <f>32.076/2</f>
        <v>16.038</v>
      </c>
      <c r="T155" s="96">
        <v>69.55</v>
      </c>
      <c r="U155" s="92">
        <f t="shared" si="95"/>
        <v>1.0709886048660302</v>
      </c>
      <c r="V155" s="171">
        <f t="shared" si="86"/>
        <v>1.0507642599726608</v>
      </c>
    </row>
    <row r="156" spans="1:22" hidden="1">
      <c r="A156" s="97" t="s">
        <v>64</v>
      </c>
      <c r="B156" s="91">
        <f>117.29/2</f>
        <v>58.645000000000003</v>
      </c>
      <c r="C156" s="91">
        <v>52.32</v>
      </c>
      <c r="D156" s="91">
        <f>117.29/2</f>
        <v>58.645000000000003</v>
      </c>
      <c r="E156" s="91">
        <v>53.03</v>
      </c>
      <c r="F156" s="92">
        <f t="shared" si="92"/>
        <v>1.0135703363914372</v>
      </c>
      <c r="G156" s="91">
        <f>36.68/2</f>
        <v>18.34</v>
      </c>
      <c r="H156" s="91">
        <v>52.32</v>
      </c>
      <c r="I156" s="91">
        <f>36.68/2</f>
        <v>18.34</v>
      </c>
      <c r="J156" s="91">
        <v>53.03</v>
      </c>
      <c r="K156" s="92">
        <f t="shared" si="93"/>
        <v>1.0135703363914372</v>
      </c>
      <c r="L156" s="91">
        <f>70.07/2</f>
        <v>35.034999999999997</v>
      </c>
      <c r="M156" s="91">
        <v>57.87</v>
      </c>
      <c r="N156" s="91">
        <f>70.07/2</f>
        <v>35.034999999999997</v>
      </c>
      <c r="O156" s="91">
        <v>61.88</v>
      </c>
      <c r="P156" s="92">
        <f t="shared" si="94"/>
        <v>1.0692932434767584</v>
      </c>
      <c r="Q156" s="96">
        <f>41.51/2</f>
        <v>20.754999999999999</v>
      </c>
      <c r="R156" s="96">
        <v>57.87</v>
      </c>
      <c r="S156" s="96">
        <f>Q156</f>
        <v>20.754999999999999</v>
      </c>
      <c r="T156" s="96">
        <v>61.88</v>
      </c>
      <c r="U156" s="92">
        <f t="shared" si="95"/>
        <v>1.0692932434767584</v>
      </c>
      <c r="V156" s="171">
        <f t="shared" si="86"/>
        <v>1.0428351030039023</v>
      </c>
    </row>
    <row r="157" spans="1:22" hidden="1">
      <c r="A157" s="97" t="s">
        <v>64</v>
      </c>
      <c r="B157" s="91">
        <f>1.8/2</f>
        <v>0.9</v>
      </c>
      <c r="C157" s="91">
        <v>224.8</v>
      </c>
      <c r="D157" s="91">
        <f>1.8/2</f>
        <v>0.9</v>
      </c>
      <c r="E157" s="91">
        <v>237.12</v>
      </c>
      <c r="F157" s="92">
        <f t="shared" si="92"/>
        <v>1.0548042704626335</v>
      </c>
      <c r="G157" s="91">
        <f>1.68/2</f>
        <v>0.84</v>
      </c>
      <c r="H157" s="91">
        <v>224.8</v>
      </c>
      <c r="I157" s="91">
        <f>1.68/2</f>
        <v>0.84</v>
      </c>
      <c r="J157" s="91">
        <v>237.12</v>
      </c>
      <c r="K157" s="92">
        <f t="shared" si="93"/>
        <v>1.0548042704626335</v>
      </c>
      <c r="L157" s="91"/>
      <c r="M157" s="91"/>
      <c r="N157" s="91"/>
      <c r="O157" s="91"/>
      <c r="P157" s="92"/>
      <c r="Q157" s="96"/>
      <c r="R157" s="96"/>
      <c r="S157" s="96"/>
      <c r="T157" s="96"/>
      <c r="U157" s="92"/>
      <c r="V157" s="171">
        <f t="shared" si="86"/>
        <v>1.0548042704626335</v>
      </c>
    </row>
    <row r="158" spans="1:22" hidden="1">
      <c r="A158" s="97" t="s">
        <v>65</v>
      </c>
      <c r="B158" s="91">
        <f>49.9/2</f>
        <v>24.95</v>
      </c>
      <c r="C158" s="91">
        <v>83.54</v>
      </c>
      <c r="D158" s="91">
        <f>B158</f>
        <v>24.95</v>
      </c>
      <c r="E158" s="91">
        <v>97.42</v>
      </c>
      <c r="F158" s="92">
        <f t="shared" si="92"/>
        <v>1.1661479530763703</v>
      </c>
      <c r="G158" s="99">
        <f>41.2/2</f>
        <v>20.6</v>
      </c>
      <c r="H158" s="99">
        <v>83.54</v>
      </c>
      <c r="I158" s="91">
        <f>G158</f>
        <v>20.6</v>
      </c>
      <c r="J158" s="99">
        <v>90.64</v>
      </c>
      <c r="K158" s="92">
        <f t="shared" si="93"/>
        <v>1.0849892267177399</v>
      </c>
      <c r="L158" s="91"/>
      <c r="M158" s="91"/>
      <c r="N158" s="91"/>
      <c r="O158" s="91"/>
      <c r="P158" s="92"/>
      <c r="Q158" s="96"/>
      <c r="R158" s="96"/>
      <c r="S158" s="96"/>
      <c r="T158" s="96"/>
      <c r="U158" s="92"/>
      <c r="V158" s="171">
        <f t="shared" si="86"/>
        <v>1.1661479530763705</v>
      </c>
    </row>
    <row r="159" spans="1:22">
      <c r="A159" s="97" t="s">
        <v>240</v>
      </c>
      <c r="B159" s="91">
        <f>SUM(B160:B171)</f>
        <v>751.49400000000014</v>
      </c>
      <c r="C159" s="91">
        <f>SUMPRODUCT(B160:B171,C160:C171)/B159</f>
        <v>37.520562013801829</v>
      </c>
      <c r="D159" s="91">
        <f>SUM(D160:D171)</f>
        <v>751.49400000000014</v>
      </c>
      <c r="E159" s="91">
        <f>SUMPRODUCT(D160:D171,E160:E171)/D159</f>
        <v>38.685019441272971</v>
      </c>
      <c r="F159" s="92">
        <f>E159/C159</f>
        <v>1.0310351808441143</v>
      </c>
      <c r="G159" s="91">
        <f>SUM(G160:G171)</f>
        <v>532.94249999999988</v>
      </c>
      <c r="H159" s="91">
        <f>SUMPRODUCT(G160:G171,H160:H171)/G159</f>
        <v>26.786138560914175</v>
      </c>
      <c r="I159" s="91">
        <f>SUM(I160:I171)</f>
        <v>532.94249999999988</v>
      </c>
      <c r="J159" s="91">
        <f>SUMPRODUCT(I160:I171,J160:J171)/I159</f>
        <v>28.615674861734625</v>
      </c>
      <c r="K159" s="92">
        <f>J159/H159</f>
        <v>1.0683016066933244</v>
      </c>
      <c r="L159" s="91">
        <f>SUM(L160:L171)</f>
        <v>541.51800000000003</v>
      </c>
      <c r="M159" s="91">
        <f>SUMPRODUCT(L160:L171,M160:M171)/L159</f>
        <v>34.442230156707623</v>
      </c>
      <c r="N159" s="91">
        <f>SUM(N160:N171)</f>
        <v>541.51800000000003</v>
      </c>
      <c r="O159" s="91">
        <f>SUMPRODUCT(N160:N171,O160:O171)/N159</f>
        <v>36.408307073818413</v>
      </c>
      <c r="P159" s="92">
        <f>O159/M159</f>
        <v>1.0570833220777343</v>
      </c>
      <c r="Q159" s="91">
        <f>SUM(Q160:Q171)</f>
        <v>421.09750000000003</v>
      </c>
      <c r="R159" s="91">
        <f>SUMPRODUCT(Q160:Q171,R160:R171)/Q159</f>
        <v>20.73313425038144</v>
      </c>
      <c r="S159" s="91">
        <f>SUM(S160:S171)</f>
        <v>421.09750000000003</v>
      </c>
      <c r="T159" s="91">
        <f>SUMPRODUCT(S160:S171,T160:T171)/S159</f>
        <v>22.111120464975446</v>
      </c>
      <c r="U159" s="92">
        <f>T159/R159</f>
        <v>1.0664629957995211</v>
      </c>
      <c r="V159" s="171">
        <f t="shared" si="86"/>
        <v>1.043502124502957</v>
      </c>
    </row>
    <row r="160" spans="1:22" ht="51.75" hidden="1">
      <c r="A160" s="104" t="s">
        <v>151</v>
      </c>
      <c r="B160" s="91">
        <f>35.93/2</f>
        <v>17.965</v>
      </c>
      <c r="C160" s="91">
        <v>9.75</v>
      </c>
      <c r="D160" s="91">
        <f t="shared" ref="D160:D171" si="96">B160</f>
        <v>17.965</v>
      </c>
      <c r="E160" s="91">
        <v>9.85</v>
      </c>
      <c r="F160" s="92">
        <f t="shared" ref="F160:F171" si="97">(E160*D160)/(C160*B160)</f>
        <v>1.0102564102564102</v>
      </c>
      <c r="G160" s="91">
        <f>1.58/2</f>
        <v>0.79</v>
      </c>
      <c r="H160" s="91">
        <v>9.75</v>
      </c>
      <c r="I160" s="91">
        <f t="shared" ref="I160" si="98">G160</f>
        <v>0.79</v>
      </c>
      <c r="J160" s="91">
        <v>9.85</v>
      </c>
      <c r="K160" s="92">
        <f>(J160*I160)/(H160*G160)</f>
        <v>1.0102564102564102</v>
      </c>
      <c r="L160" s="91"/>
      <c r="M160" s="91"/>
      <c r="N160" s="91"/>
      <c r="O160" s="91"/>
      <c r="P160" s="92"/>
      <c r="Q160" s="112"/>
      <c r="R160" s="112"/>
      <c r="S160" s="112"/>
      <c r="T160" s="112"/>
      <c r="U160" s="98"/>
      <c r="V160" s="171">
        <f t="shared" si="86"/>
        <v>1.0102564102564102</v>
      </c>
    </row>
    <row r="161" spans="1:22" ht="51.75" hidden="1">
      <c r="A161" s="104" t="s">
        <v>152</v>
      </c>
      <c r="B161" s="91">
        <f>21.5/2-5.95/2</f>
        <v>7.7750000000000004</v>
      </c>
      <c r="C161" s="91">
        <v>31.1</v>
      </c>
      <c r="D161" s="91">
        <f t="shared" si="96"/>
        <v>7.7750000000000004</v>
      </c>
      <c r="E161" s="91">
        <v>32.130000000000003</v>
      </c>
      <c r="F161" s="92">
        <f t="shared" si="97"/>
        <v>1.0331189710610933</v>
      </c>
      <c r="G161" s="91"/>
      <c r="H161" s="91"/>
      <c r="I161" s="91"/>
      <c r="J161" s="91"/>
      <c r="K161" s="92"/>
      <c r="L161" s="91"/>
      <c r="M161" s="91"/>
      <c r="N161" s="91"/>
      <c r="O161" s="91"/>
      <c r="P161" s="92"/>
      <c r="Q161" s="112"/>
      <c r="R161" s="112"/>
      <c r="S161" s="112"/>
      <c r="T161" s="112"/>
      <c r="U161" s="98"/>
      <c r="V161" s="171">
        <f t="shared" si="86"/>
        <v>1.0331189710610933</v>
      </c>
    </row>
    <row r="162" spans="1:22" ht="51.75" hidden="1">
      <c r="A162" s="104" t="s">
        <v>153</v>
      </c>
      <c r="B162" s="91">
        <f>57.54/2</f>
        <v>28.77</v>
      </c>
      <c r="C162" s="91">
        <v>37.520000000000003</v>
      </c>
      <c r="D162" s="91">
        <f t="shared" si="96"/>
        <v>28.77</v>
      </c>
      <c r="E162" s="91">
        <v>38</v>
      </c>
      <c r="F162" s="92">
        <f t="shared" si="97"/>
        <v>1.0127931769722813</v>
      </c>
      <c r="G162" s="99">
        <f>4.54/2</f>
        <v>2.27</v>
      </c>
      <c r="H162" s="99">
        <v>24.14</v>
      </c>
      <c r="I162" s="91">
        <f t="shared" ref="I162:I171" si="99">G162</f>
        <v>2.27</v>
      </c>
      <c r="J162" s="99">
        <v>26.7</v>
      </c>
      <c r="K162" s="92">
        <f t="shared" ref="K162:K171" si="100">(J162*I162)/(H162*G162)</f>
        <v>1.1060480530240264</v>
      </c>
      <c r="L162" s="91"/>
      <c r="M162" s="91"/>
      <c r="N162" s="91"/>
      <c r="O162" s="91"/>
      <c r="P162" s="92"/>
      <c r="Q162" s="112"/>
      <c r="R162" s="112"/>
      <c r="S162" s="112"/>
      <c r="T162" s="112"/>
      <c r="U162" s="98"/>
      <c r="V162" s="171">
        <f t="shared" si="86"/>
        <v>1.0127931769722813</v>
      </c>
    </row>
    <row r="163" spans="1:22" ht="26.25" hidden="1">
      <c r="A163" s="104" t="s">
        <v>154</v>
      </c>
      <c r="B163" s="91">
        <f>229.28/2</f>
        <v>114.64</v>
      </c>
      <c r="C163" s="91">
        <v>19.170000000000002</v>
      </c>
      <c r="D163" s="91">
        <f t="shared" si="96"/>
        <v>114.64</v>
      </c>
      <c r="E163" s="91">
        <v>20.149999999999999</v>
      </c>
      <c r="F163" s="92">
        <f t="shared" si="97"/>
        <v>1.0511215440792903</v>
      </c>
      <c r="G163" s="112">
        <f>191/2</f>
        <v>95.5</v>
      </c>
      <c r="H163" s="112">
        <v>19.170000000000002</v>
      </c>
      <c r="I163" s="91">
        <f t="shared" si="99"/>
        <v>95.5</v>
      </c>
      <c r="J163" s="112">
        <v>20.149999999999999</v>
      </c>
      <c r="K163" s="92">
        <f t="shared" si="100"/>
        <v>1.0511215440792905</v>
      </c>
      <c r="L163" s="91">
        <f>356.276/2</f>
        <v>178.13800000000001</v>
      </c>
      <c r="M163" s="91">
        <v>20.68</v>
      </c>
      <c r="N163" s="91">
        <f>L163</f>
        <v>178.13800000000001</v>
      </c>
      <c r="O163" s="91">
        <v>21.86</v>
      </c>
      <c r="P163" s="92">
        <f t="shared" ref="P163" si="101">(O163*N163)/(M163*L163)</f>
        <v>1.0570599613152805</v>
      </c>
      <c r="Q163" s="112">
        <f>281.7/2</f>
        <v>140.85</v>
      </c>
      <c r="R163" s="112">
        <v>20.68</v>
      </c>
      <c r="S163" s="112">
        <f t="shared" ref="S163" si="102">Q163</f>
        <v>140.85</v>
      </c>
      <c r="T163" s="112">
        <v>21.86</v>
      </c>
      <c r="U163" s="92">
        <f t="shared" ref="U163" si="103">(T163*S163)/(R163*Q163)</f>
        <v>1.0570599613152805</v>
      </c>
      <c r="V163" s="171">
        <f t="shared" si="86"/>
        <v>1.054203262233375</v>
      </c>
    </row>
    <row r="164" spans="1:22" ht="26.25" hidden="1">
      <c r="A164" s="104" t="s">
        <v>155</v>
      </c>
      <c r="B164" s="91">
        <f>29.434/2</f>
        <v>14.717000000000001</v>
      </c>
      <c r="C164" s="91">
        <v>79.73</v>
      </c>
      <c r="D164" s="91">
        <f t="shared" si="96"/>
        <v>14.717000000000001</v>
      </c>
      <c r="E164" s="91">
        <v>85.39</v>
      </c>
      <c r="F164" s="92">
        <f t="shared" si="97"/>
        <v>1.0709895898657971</v>
      </c>
      <c r="G164" s="112">
        <f>21.28/2</f>
        <v>10.64</v>
      </c>
      <c r="H164" s="112">
        <v>67.540000000000006</v>
      </c>
      <c r="I164" s="91">
        <f t="shared" si="99"/>
        <v>10.64</v>
      </c>
      <c r="J164" s="112">
        <v>72.34</v>
      </c>
      <c r="K164" s="92">
        <f t="shared" si="100"/>
        <v>1.0710689961504294</v>
      </c>
      <c r="L164" s="91"/>
      <c r="M164" s="91"/>
      <c r="N164" s="91"/>
      <c r="O164" s="91"/>
      <c r="P164" s="92"/>
      <c r="Q164" s="112"/>
      <c r="R164" s="112"/>
      <c r="S164" s="112"/>
      <c r="T164" s="112"/>
      <c r="U164" s="92"/>
      <c r="V164" s="171">
        <f t="shared" si="86"/>
        <v>1.0709895898657971</v>
      </c>
    </row>
    <row r="165" spans="1:22" ht="26.25" hidden="1">
      <c r="A165" s="104" t="s">
        <v>156</v>
      </c>
      <c r="B165" s="91">
        <f>4.944/2</f>
        <v>2.472</v>
      </c>
      <c r="C165" s="91">
        <v>83.81</v>
      </c>
      <c r="D165" s="91">
        <f t="shared" si="96"/>
        <v>2.472</v>
      </c>
      <c r="E165" s="91">
        <v>88.86</v>
      </c>
      <c r="F165" s="92">
        <f t="shared" si="97"/>
        <v>1.0602553394582985</v>
      </c>
      <c r="G165" s="99">
        <f>3.69/2</f>
        <v>1.845</v>
      </c>
      <c r="H165" s="99">
        <v>56.89</v>
      </c>
      <c r="I165" s="91">
        <f t="shared" si="99"/>
        <v>1.845</v>
      </c>
      <c r="J165" s="99">
        <v>60.93</v>
      </c>
      <c r="K165" s="92">
        <f t="shared" si="100"/>
        <v>1.071014238003164</v>
      </c>
      <c r="L165" s="91"/>
      <c r="M165" s="91"/>
      <c r="N165" s="91"/>
      <c r="O165" s="91"/>
      <c r="P165" s="92"/>
      <c r="Q165" s="112"/>
      <c r="R165" s="112"/>
      <c r="S165" s="112"/>
      <c r="T165" s="112"/>
      <c r="U165" s="92"/>
      <c r="V165" s="171">
        <f t="shared" si="86"/>
        <v>1.0602553394582985</v>
      </c>
    </row>
    <row r="166" spans="1:22" ht="39" hidden="1">
      <c r="A166" s="104" t="s">
        <v>157</v>
      </c>
      <c r="B166" s="91">
        <f>25.57/2</f>
        <v>12.785</v>
      </c>
      <c r="C166" s="91">
        <v>67.62</v>
      </c>
      <c r="D166" s="91">
        <f t="shared" si="96"/>
        <v>12.785</v>
      </c>
      <c r="E166" s="91">
        <v>68.67</v>
      </c>
      <c r="F166" s="92">
        <f t="shared" si="97"/>
        <v>1.015527950310559</v>
      </c>
      <c r="G166" s="112">
        <f>20.87/2</f>
        <v>10.435</v>
      </c>
      <c r="H166" s="112">
        <v>24.5</v>
      </c>
      <c r="I166" s="91">
        <f t="shared" si="99"/>
        <v>10.435</v>
      </c>
      <c r="J166" s="112">
        <v>26.24</v>
      </c>
      <c r="K166" s="92">
        <f t="shared" si="100"/>
        <v>1.0710204081632653</v>
      </c>
      <c r="L166" s="91"/>
      <c r="M166" s="91"/>
      <c r="N166" s="91"/>
      <c r="O166" s="91"/>
      <c r="P166" s="92"/>
      <c r="Q166" s="112"/>
      <c r="R166" s="112"/>
      <c r="S166" s="112"/>
      <c r="T166" s="112"/>
      <c r="U166" s="92"/>
      <c r="V166" s="171">
        <f t="shared" si="86"/>
        <v>1.015527950310559</v>
      </c>
    </row>
    <row r="167" spans="1:22" hidden="1">
      <c r="A167" s="104" t="s">
        <v>158</v>
      </c>
      <c r="B167" s="91">
        <f>95.72/2</f>
        <v>47.86</v>
      </c>
      <c r="C167" s="91">
        <v>55.58</v>
      </c>
      <c r="D167" s="91">
        <f t="shared" si="96"/>
        <v>47.86</v>
      </c>
      <c r="E167" s="91">
        <v>58.59</v>
      </c>
      <c r="F167" s="92">
        <f t="shared" si="97"/>
        <v>1.0541561712846348</v>
      </c>
      <c r="G167" s="112">
        <f>84.19/2</f>
        <v>42.094999999999999</v>
      </c>
      <c r="H167" s="112">
        <v>26.45</v>
      </c>
      <c r="I167" s="91">
        <f t="shared" si="99"/>
        <v>42.094999999999999</v>
      </c>
      <c r="J167" s="112">
        <v>28.33</v>
      </c>
      <c r="K167" s="92">
        <f t="shared" si="100"/>
        <v>1.071077504725898</v>
      </c>
      <c r="L167" s="91">
        <f>33.71/2</f>
        <v>16.855</v>
      </c>
      <c r="M167" s="91">
        <v>33.79</v>
      </c>
      <c r="N167" s="91">
        <f>L167</f>
        <v>16.855</v>
      </c>
      <c r="O167" s="91">
        <v>35.94</v>
      </c>
      <c r="P167" s="92">
        <f t="shared" ref="P167:P169" si="104">(O167*N167)/(M167*L167)</f>
        <v>1.0636282923941995</v>
      </c>
      <c r="Q167" s="112">
        <f>31.915/2</f>
        <v>15.9575</v>
      </c>
      <c r="R167" s="112">
        <v>26.24</v>
      </c>
      <c r="S167" s="112">
        <f t="shared" ref="S167:S169" si="105">Q167</f>
        <v>15.9575</v>
      </c>
      <c r="T167" s="112">
        <v>28.1</v>
      </c>
      <c r="U167" s="92">
        <f t="shared" ref="U167:U169" si="106">(T167*S167)/(R167*Q167)</f>
        <v>1.0708841463414636</v>
      </c>
      <c r="V167" s="171">
        <f t="shared" si="86"/>
        <v>1.0577374958039609</v>
      </c>
    </row>
    <row r="168" spans="1:22" hidden="1">
      <c r="A168" s="104" t="s">
        <v>159</v>
      </c>
      <c r="B168" s="91">
        <f>410.93/2</f>
        <v>205.465</v>
      </c>
      <c r="C168" s="91">
        <v>58.12</v>
      </c>
      <c r="D168" s="91">
        <f t="shared" si="96"/>
        <v>205.465</v>
      </c>
      <c r="E168" s="91">
        <v>60.11</v>
      </c>
      <c r="F168" s="92">
        <f t="shared" si="97"/>
        <v>1.0342395044735031</v>
      </c>
      <c r="G168" s="99">
        <f>325.43/2</f>
        <v>162.715</v>
      </c>
      <c r="H168" s="99">
        <v>36.729999999999997</v>
      </c>
      <c r="I168" s="91">
        <f t="shared" si="99"/>
        <v>162.715</v>
      </c>
      <c r="J168" s="99">
        <v>39.340000000000003</v>
      </c>
      <c r="K168" s="92">
        <f t="shared" si="100"/>
        <v>1.0710590797713044</v>
      </c>
      <c r="L168" s="91">
        <f>292.94/2</f>
        <v>146.47</v>
      </c>
      <c r="M168" s="91">
        <v>53.58</v>
      </c>
      <c r="N168" s="91">
        <f>L168</f>
        <v>146.47</v>
      </c>
      <c r="O168" s="91">
        <v>53.58</v>
      </c>
      <c r="P168" s="92">
        <f t="shared" si="104"/>
        <v>1</v>
      </c>
      <c r="Q168" s="112">
        <f>241.34/2</f>
        <v>120.67</v>
      </c>
      <c r="R168" s="112">
        <v>26.7</v>
      </c>
      <c r="S168" s="112">
        <f t="shared" si="105"/>
        <v>120.67</v>
      </c>
      <c r="T168" s="112">
        <v>28.6</v>
      </c>
      <c r="U168" s="92">
        <f t="shared" si="106"/>
        <v>1.0711610486891385</v>
      </c>
      <c r="V168" s="171">
        <f t="shared" si="86"/>
        <v>1.0178155774395703</v>
      </c>
    </row>
    <row r="169" spans="1:22" ht="26.25" hidden="1">
      <c r="A169" s="104" t="s">
        <v>160</v>
      </c>
      <c r="B169" s="91">
        <f>481.61/2</f>
        <v>240.80500000000001</v>
      </c>
      <c r="C169" s="91">
        <v>26.65</v>
      </c>
      <c r="D169" s="91">
        <f t="shared" si="96"/>
        <v>240.80500000000001</v>
      </c>
      <c r="E169" s="91">
        <v>26.65</v>
      </c>
      <c r="F169" s="92">
        <f t="shared" si="97"/>
        <v>1</v>
      </c>
      <c r="G169" s="99">
        <f>327.54/2</f>
        <v>163.77000000000001</v>
      </c>
      <c r="H169" s="99">
        <v>20.46</v>
      </c>
      <c r="I169" s="91">
        <f t="shared" si="99"/>
        <v>163.77000000000001</v>
      </c>
      <c r="J169" s="99">
        <v>21.91</v>
      </c>
      <c r="K169" s="92">
        <f t="shared" si="100"/>
        <v>1.0708699902248289</v>
      </c>
      <c r="L169" s="91">
        <f>400.11/2</f>
        <v>200.05500000000001</v>
      </c>
      <c r="M169" s="91">
        <v>32.74</v>
      </c>
      <c r="N169" s="91">
        <f>L169</f>
        <v>200.05500000000001</v>
      </c>
      <c r="O169" s="91">
        <v>36.83</v>
      </c>
      <c r="P169" s="92">
        <f t="shared" si="104"/>
        <v>1.124923640806353</v>
      </c>
      <c r="Q169" s="112">
        <f>287.24/2</f>
        <v>143.62</v>
      </c>
      <c r="R169" s="112">
        <v>15.16</v>
      </c>
      <c r="S169" s="112">
        <f t="shared" si="105"/>
        <v>143.62</v>
      </c>
      <c r="T169" s="112">
        <v>16.239999999999998</v>
      </c>
      <c r="U169" s="92">
        <f t="shared" si="106"/>
        <v>1.0712401055408971</v>
      </c>
      <c r="V169" s="171">
        <f t="shared" si="86"/>
        <v>1.0688668125947129</v>
      </c>
    </row>
    <row r="170" spans="1:22" ht="39" hidden="1">
      <c r="A170" s="104" t="s">
        <v>161</v>
      </c>
      <c r="B170" s="91">
        <f>111.26/2</f>
        <v>55.63</v>
      </c>
      <c r="C170" s="91">
        <v>19.84</v>
      </c>
      <c r="D170" s="91">
        <f t="shared" si="96"/>
        <v>55.63</v>
      </c>
      <c r="E170" s="91">
        <v>21.16</v>
      </c>
      <c r="F170" s="92">
        <f t="shared" si="97"/>
        <v>1.0665322580645162</v>
      </c>
      <c r="G170" s="99">
        <f>82.27/2</f>
        <v>41.134999999999998</v>
      </c>
      <c r="H170" s="99">
        <v>19.84</v>
      </c>
      <c r="I170" s="91">
        <f t="shared" si="99"/>
        <v>41.134999999999998</v>
      </c>
      <c r="J170" s="99">
        <v>21.16</v>
      </c>
      <c r="K170" s="92">
        <f t="shared" si="100"/>
        <v>1.0665322580645162</v>
      </c>
      <c r="L170" s="91"/>
      <c r="M170" s="91"/>
      <c r="N170" s="91"/>
      <c r="O170" s="91"/>
      <c r="P170" s="92"/>
      <c r="Q170" s="112"/>
      <c r="R170" s="112"/>
      <c r="S170" s="112"/>
      <c r="T170" s="112"/>
      <c r="U170" s="92"/>
      <c r="V170" s="171">
        <f t="shared" si="86"/>
        <v>1.0665322580645162</v>
      </c>
    </row>
    <row r="171" spans="1:22" ht="39" hidden="1">
      <c r="A171" s="104" t="s">
        <v>162</v>
      </c>
      <c r="B171" s="91">
        <f>5.22/2</f>
        <v>2.61</v>
      </c>
      <c r="C171" s="91">
        <v>51.53</v>
      </c>
      <c r="D171" s="91">
        <f t="shared" si="96"/>
        <v>2.61</v>
      </c>
      <c r="E171" s="91">
        <v>52.89</v>
      </c>
      <c r="F171" s="92">
        <f t="shared" si="97"/>
        <v>1.0263923927809042</v>
      </c>
      <c r="G171" s="99">
        <f>3.495/2</f>
        <v>1.7475000000000001</v>
      </c>
      <c r="H171" s="99">
        <v>26.44</v>
      </c>
      <c r="I171" s="91">
        <f t="shared" si="99"/>
        <v>1.7475000000000001</v>
      </c>
      <c r="J171" s="99">
        <v>28.32</v>
      </c>
      <c r="K171" s="92">
        <f t="shared" si="100"/>
        <v>1.0711043872919819</v>
      </c>
      <c r="L171" s="91"/>
      <c r="M171" s="91"/>
      <c r="N171" s="91"/>
      <c r="O171" s="91"/>
      <c r="P171" s="92"/>
      <c r="Q171" s="112"/>
      <c r="R171" s="112"/>
      <c r="S171" s="112"/>
      <c r="T171" s="112"/>
      <c r="U171" s="92"/>
      <c r="V171" s="171">
        <f t="shared" si="86"/>
        <v>1.0263923927809042</v>
      </c>
    </row>
    <row r="172" spans="1:22">
      <c r="A172" s="90" t="s">
        <v>241</v>
      </c>
      <c r="B172" s="91">
        <f>SUM(B173:B193)</f>
        <v>607.9905</v>
      </c>
      <c r="C172" s="91">
        <f>SUMPRODUCT(B173:B193,C173:C193)/B172</f>
        <v>55.673529635742661</v>
      </c>
      <c r="D172" s="91">
        <f>SUM(D173:D193)</f>
        <v>607.9905</v>
      </c>
      <c r="E172" s="91">
        <f>SUMPRODUCT(D173:D193,E173:E193)/D172</f>
        <v>58.850501290727401</v>
      </c>
      <c r="F172" s="92">
        <f>E172/C172</f>
        <v>1.057064311815163</v>
      </c>
      <c r="G172" s="91">
        <f>SUM(G173:G193)</f>
        <v>407.43349999999998</v>
      </c>
      <c r="H172" s="91">
        <f>SUMPRODUCT(G173:G193,H173:H193)/G172</f>
        <v>27.144987942817657</v>
      </c>
      <c r="I172" s="91">
        <f>SUM(I173:I193)</f>
        <v>407.43349999999998</v>
      </c>
      <c r="J172" s="91">
        <f>SUMPRODUCT(I173:I193,J173:J193)/I172</f>
        <v>29.1897784791874</v>
      </c>
      <c r="K172" s="92">
        <f>J172/H172</f>
        <v>1.0753284746590126</v>
      </c>
      <c r="L172" s="91">
        <f>SUM(L173:L193)</f>
        <v>526.64350000000002</v>
      </c>
      <c r="M172" s="91">
        <f>SUMPRODUCT(L173:L193,M173:M193)/L172</f>
        <v>40.267198493857798</v>
      </c>
      <c r="N172" s="91">
        <f>SUM(N173:N193)</f>
        <v>526.64350000000002</v>
      </c>
      <c r="O172" s="91">
        <f>SUMPRODUCT(N173:N193,O173:O193)/N172</f>
        <v>42.460681599602005</v>
      </c>
      <c r="P172" s="92">
        <f>O172/M172</f>
        <v>1.0544731987272169</v>
      </c>
      <c r="Q172" s="91">
        <f>SUM(Q173:Q193)</f>
        <v>365.45050000000009</v>
      </c>
      <c r="R172" s="91">
        <f>SUMPRODUCT(Q173:Q193,R173:R193)/Q172</f>
        <v>23.166234141149072</v>
      </c>
      <c r="S172" s="91">
        <f>SUM(S173:S193)</f>
        <v>365.45050000000009</v>
      </c>
      <c r="T172" s="91">
        <f>SUMPRODUCT(S173:S193,T173:T193)/S172</f>
        <v>24.425115343938504</v>
      </c>
      <c r="U172" s="92">
        <f>T172/R172</f>
        <v>1.0543412103632908</v>
      </c>
      <c r="V172" s="171">
        <f t="shared" si="86"/>
        <v>1.0559767980234038</v>
      </c>
    </row>
    <row r="173" spans="1:22" hidden="1">
      <c r="A173" s="97" t="s">
        <v>107</v>
      </c>
      <c r="B173" s="100">
        <f>112.85/2</f>
        <v>56.424999999999997</v>
      </c>
      <c r="C173" s="100">
        <v>64.41</v>
      </c>
      <c r="D173" s="100">
        <f>B173</f>
        <v>56.424999999999997</v>
      </c>
      <c r="E173" s="100">
        <v>68.03</v>
      </c>
      <c r="F173" s="101">
        <f>(E173*D173)/(C173*B173)</f>
        <v>1.0562024530352432</v>
      </c>
      <c r="G173" s="100">
        <f>39.548/2</f>
        <v>19.774000000000001</v>
      </c>
      <c r="H173" s="100">
        <v>25.26</v>
      </c>
      <c r="I173" s="100">
        <f>G173</f>
        <v>19.774000000000001</v>
      </c>
      <c r="J173" s="100">
        <v>27.05</v>
      </c>
      <c r="K173" s="101">
        <f>(J173*I173)/(H173*G173)</f>
        <v>1.0708630245447346</v>
      </c>
      <c r="L173" s="100">
        <f>140.24/2</f>
        <v>70.12</v>
      </c>
      <c r="M173" s="100">
        <v>42.43</v>
      </c>
      <c r="N173" s="100">
        <f>L173</f>
        <v>70.12</v>
      </c>
      <c r="O173" s="100">
        <v>44.51</v>
      </c>
      <c r="P173" s="101">
        <f>(O173*N173)/(M173*L173)</f>
        <v>1.049021918453924</v>
      </c>
      <c r="Q173" s="118">
        <f>37.5/2</f>
        <v>18.75</v>
      </c>
      <c r="R173" s="118">
        <v>23.59</v>
      </c>
      <c r="S173" s="118">
        <f>Q173</f>
        <v>18.75</v>
      </c>
      <c r="T173" s="118">
        <v>25.26</v>
      </c>
      <c r="U173" s="101">
        <f>(T173*S173)/(R173*Q173)</f>
        <v>1.0707927087749047</v>
      </c>
      <c r="V173" s="171">
        <f t="shared" si="86"/>
        <v>1.0533508049419691</v>
      </c>
    </row>
    <row r="174" spans="1:22" hidden="1">
      <c r="A174" s="109" t="s">
        <v>58</v>
      </c>
      <c r="B174" s="100">
        <f>43.84/2</f>
        <v>21.92</v>
      </c>
      <c r="C174" s="100">
        <v>109.08</v>
      </c>
      <c r="D174" s="100">
        <f>B174</f>
        <v>21.92</v>
      </c>
      <c r="E174" s="100">
        <v>128.27000000000001</v>
      </c>
      <c r="F174" s="101">
        <f>(E174*D174)/(C174*B174)</f>
        <v>1.1759259259259258</v>
      </c>
      <c r="G174" s="116">
        <f>25.181/2</f>
        <v>12.5905</v>
      </c>
      <c r="H174" s="116">
        <v>38.93</v>
      </c>
      <c r="I174" s="116">
        <f>G174</f>
        <v>12.5905</v>
      </c>
      <c r="J174" s="116">
        <v>41.69</v>
      </c>
      <c r="K174" s="101">
        <f t="shared" ref="K174:K186" si="107">(J174*I174)/(H174*G174)</f>
        <v>1.0708964808630874</v>
      </c>
      <c r="L174" s="100">
        <f>28.19/2</f>
        <v>14.095000000000001</v>
      </c>
      <c r="M174" s="100">
        <v>43.07</v>
      </c>
      <c r="N174" s="100">
        <f>L174</f>
        <v>14.095000000000001</v>
      </c>
      <c r="O174" s="100">
        <v>46.2</v>
      </c>
      <c r="P174" s="101">
        <f>(O174*N174)/(M174*L174)</f>
        <v>1.0726723937775715</v>
      </c>
      <c r="Q174" s="118">
        <f>20.54/2</f>
        <v>10.27</v>
      </c>
      <c r="R174" s="118">
        <v>33.06</v>
      </c>
      <c r="S174" s="118">
        <f>Q174</f>
        <v>10.27</v>
      </c>
      <c r="T174" s="118">
        <v>35.409999999999997</v>
      </c>
      <c r="U174" s="101">
        <f t="shared" ref="U174" si="108">T174/R174</f>
        <v>1.0710828796128249</v>
      </c>
      <c r="V174" s="171">
        <f t="shared" si="86"/>
        <v>1.1466973381531385</v>
      </c>
    </row>
    <row r="175" spans="1:22" hidden="1">
      <c r="A175" s="97" t="s">
        <v>108</v>
      </c>
      <c r="B175" s="100">
        <f>168.1/2</f>
        <v>84.05</v>
      </c>
      <c r="C175" s="100">
        <v>62.63</v>
      </c>
      <c r="D175" s="100">
        <f>B175</f>
        <v>84.05</v>
      </c>
      <c r="E175" s="100">
        <v>62.63</v>
      </c>
      <c r="F175" s="101">
        <f t="shared" ref="F175:F186" si="109">(E175*D175)/(C175*B175)</f>
        <v>1</v>
      </c>
      <c r="G175" s="100">
        <f>132.62/2</f>
        <v>66.31</v>
      </c>
      <c r="H175" s="100">
        <v>30.72</v>
      </c>
      <c r="I175" s="100">
        <f t="shared" ref="I175:I186" si="110">G175</f>
        <v>66.31</v>
      </c>
      <c r="J175" s="100">
        <v>32.9</v>
      </c>
      <c r="K175" s="101">
        <f t="shared" si="107"/>
        <v>1.0709635416666667</v>
      </c>
      <c r="L175" s="100">
        <f>198.7/2</f>
        <v>99.35</v>
      </c>
      <c r="M175" s="100">
        <v>28.36</v>
      </c>
      <c r="N175" s="100">
        <f t="shared" ref="N175:N184" si="111">L175</f>
        <v>99.35</v>
      </c>
      <c r="O175" s="100">
        <v>28.36</v>
      </c>
      <c r="P175" s="101">
        <f t="shared" ref="P175:P184" si="112">(O175*N175)/(M175*L175)</f>
        <v>1</v>
      </c>
      <c r="Q175" s="118">
        <f>132.62/2</f>
        <v>66.31</v>
      </c>
      <c r="R175" s="118">
        <v>27.59</v>
      </c>
      <c r="S175" s="118">
        <f t="shared" ref="S175:S184" si="113">Q175</f>
        <v>66.31</v>
      </c>
      <c r="T175" s="118">
        <v>28.36</v>
      </c>
      <c r="U175" s="101">
        <f t="shared" ref="U175:U184" si="114">(T175*S175)/(R175*Q175)</f>
        <v>1.0279086625588982</v>
      </c>
      <c r="V175" s="171">
        <f t="shared" si="86"/>
        <v>1</v>
      </c>
    </row>
    <row r="176" spans="1:22" hidden="1">
      <c r="A176" s="97" t="s">
        <v>109</v>
      </c>
      <c r="B176" s="100">
        <f>66.883/2</f>
        <v>33.441499999999998</v>
      </c>
      <c r="C176" s="100">
        <v>54.83</v>
      </c>
      <c r="D176" s="100">
        <f t="shared" ref="D176:D186" si="115">B176</f>
        <v>33.441499999999998</v>
      </c>
      <c r="E176" s="100">
        <v>58.63</v>
      </c>
      <c r="F176" s="101">
        <f t="shared" si="109"/>
        <v>1.0693051249316068</v>
      </c>
      <c r="G176" s="100">
        <f>55.925/2</f>
        <v>27.962499999999999</v>
      </c>
      <c r="H176" s="100">
        <v>21</v>
      </c>
      <c r="I176" s="100">
        <f t="shared" si="110"/>
        <v>27.962499999999999</v>
      </c>
      <c r="J176" s="100">
        <v>22.5</v>
      </c>
      <c r="K176" s="101">
        <f t="shared" si="107"/>
        <v>1.0714285714285714</v>
      </c>
      <c r="L176" s="100">
        <f>56.428/2</f>
        <v>28.213999999999999</v>
      </c>
      <c r="M176" s="100">
        <v>37.86</v>
      </c>
      <c r="N176" s="100">
        <f t="shared" si="111"/>
        <v>28.213999999999999</v>
      </c>
      <c r="O176" s="100">
        <v>40.54</v>
      </c>
      <c r="P176" s="101">
        <f t="shared" si="112"/>
        <v>1.0707871104067619</v>
      </c>
      <c r="Q176" s="118">
        <f>54.845/2</f>
        <v>27.422499999999999</v>
      </c>
      <c r="R176" s="118">
        <v>16.3</v>
      </c>
      <c r="S176" s="118">
        <f t="shared" si="113"/>
        <v>27.422499999999999</v>
      </c>
      <c r="T176" s="118">
        <v>17.46</v>
      </c>
      <c r="U176" s="101">
        <f t="shared" si="114"/>
        <v>1.0711656441717792</v>
      </c>
      <c r="V176" s="171">
        <f t="shared" si="86"/>
        <v>1.0699104542021793</v>
      </c>
    </row>
    <row r="177" spans="1:22" hidden="1">
      <c r="A177" s="97" t="s">
        <v>109</v>
      </c>
      <c r="B177" s="100">
        <f>53.1/2</f>
        <v>26.55</v>
      </c>
      <c r="C177" s="100">
        <v>39.86</v>
      </c>
      <c r="D177" s="100">
        <f t="shared" si="115"/>
        <v>26.55</v>
      </c>
      <c r="E177" s="100">
        <v>42.67</v>
      </c>
      <c r="F177" s="101">
        <f t="shared" si="109"/>
        <v>1.0704967385850477</v>
      </c>
      <c r="G177" s="100">
        <f>44.496/2</f>
        <v>22.248000000000001</v>
      </c>
      <c r="H177" s="100">
        <v>21</v>
      </c>
      <c r="I177" s="100">
        <f t="shared" si="110"/>
        <v>22.248000000000001</v>
      </c>
      <c r="J177" s="100">
        <v>22.5</v>
      </c>
      <c r="K177" s="101">
        <f t="shared" si="107"/>
        <v>1.0714285714285714</v>
      </c>
      <c r="L177" s="100">
        <f>50.322/2</f>
        <v>25.161000000000001</v>
      </c>
      <c r="M177" s="100">
        <v>46.74</v>
      </c>
      <c r="N177" s="100">
        <f t="shared" si="111"/>
        <v>25.161000000000001</v>
      </c>
      <c r="O177" s="100">
        <v>50.04</v>
      </c>
      <c r="P177" s="101">
        <f t="shared" si="112"/>
        <v>1.0706033376123234</v>
      </c>
      <c r="Q177" s="118">
        <f>43.52/2</f>
        <v>21.76</v>
      </c>
      <c r="R177" s="118">
        <v>20.7</v>
      </c>
      <c r="S177" s="118">
        <f t="shared" si="113"/>
        <v>21.76</v>
      </c>
      <c r="T177" s="118">
        <v>22.17</v>
      </c>
      <c r="U177" s="101">
        <f t="shared" si="114"/>
        <v>1.0710144927536231</v>
      </c>
      <c r="V177" s="171">
        <f t="shared" si="86"/>
        <v>1.0705542725173212</v>
      </c>
    </row>
    <row r="178" spans="1:22" hidden="1">
      <c r="A178" s="97" t="s">
        <v>109</v>
      </c>
      <c r="B178" s="100">
        <f>37.65/2</f>
        <v>18.824999999999999</v>
      </c>
      <c r="C178" s="100">
        <v>78.2</v>
      </c>
      <c r="D178" s="100">
        <f t="shared" si="115"/>
        <v>18.824999999999999</v>
      </c>
      <c r="E178" s="100">
        <v>83.74</v>
      </c>
      <c r="F178" s="101">
        <f t="shared" si="109"/>
        <v>1.0708439897698208</v>
      </c>
      <c r="G178" s="100">
        <f>30.238/2</f>
        <v>15.119</v>
      </c>
      <c r="H178" s="100">
        <v>30.72</v>
      </c>
      <c r="I178" s="100">
        <f t="shared" si="110"/>
        <v>15.119</v>
      </c>
      <c r="J178" s="100">
        <v>32.9</v>
      </c>
      <c r="K178" s="101">
        <f t="shared" si="107"/>
        <v>1.0709635416666667</v>
      </c>
      <c r="L178" s="100">
        <f>28.742/2</f>
        <v>14.371</v>
      </c>
      <c r="M178" s="100">
        <v>36.36</v>
      </c>
      <c r="N178" s="100">
        <f t="shared" si="111"/>
        <v>14.371</v>
      </c>
      <c r="O178" s="100">
        <v>38.93</v>
      </c>
      <c r="P178" s="101">
        <f t="shared" si="112"/>
        <v>1.0706820682068205</v>
      </c>
      <c r="Q178" s="118">
        <f>24.884/2</f>
        <v>12.442</v>
      </c>
      <c r="R178" s="118">
        <v>28.64</v>
      </c>
      <c r="S178" s="118">
        <f t="shared" si="113"/>
        <v>12.442</v>
      </c>
      <c r="T178" s="118">
        <v>30.67</v>
      </c>
      <c r="U178" s="101">
        <f t="shared" si="114"/>
        <v>1.0708798882681565</v>
      </c>
      <c r="V178" s="171">
        <f t="shared" si="86"/>
        <v>1.070792597765363</v>
      </c>
    </row>
    <row r="179" spans="1:22" hidden="1">
      <c r="A179" s="97" t="s">
        <v>109</v>
      </c>
      <c r="B179" s="100">
        <f>3.344/2</f>
        <v>1.6719999999999999</v>
      </c>
      <c r="C179" s="100">
        <v>187.17</v>
      </c>
      <c r="D179" s="100">
        <f t="shared" si="115"/>
        <v>1.6719999999999999</v>
      </c>
      <c r="E179" s="100">
        <v>200.41</v>
      </c>
      <c r="F179" s="101">
        <f t="shared" si="109"/>
        <v>1.0707378319175083</v>
      </c>
      <c r="G179" s="100">
        <f>3.144/2</f>
        <v>1.5720000000000001</v>
      </c>
      <c r="H179" s="100">
        <v>30.72</v>
      </c>
      <c r="I179" s="100">
        <f t="shared" si="110"/>
        <v>1.5720000000000001</v>
      </c>
      <c r="J179" s="100">
        <v>32.9</v>
      </c>
      <c r="K179" s="101">
        <f t="shared" si="107"/>
        <v>1.0709635416666667</v>
      </c>
      <c r="L179" s="100">
        <f>3.284/2</f>
        <v>1.6419999999999999</v>
      </c>
      <c r="M179" s="100">
        <v>163.77000000000001</v>
      </c>
      <c r="N179" s="100">
        <f t="shared" si="111"/>
        <v>1.6419999999999999</v>
      </c>
      <c r="O179" s="100">
        <v>175.34</v>
      </c>
      <c r="P179" s="101">
        <f t="shared" si="112"/>
        <v>1.0706478598033826</v>
      </c>
      <c r="Q179" s="118">
        <f>3.144/2</f>
        <v>1.5720000000000001</v>
      </c>
      <c r="R179" s="118">
        <v>28.64</v>
      </c>
      <c r="S179" s="118">
        <f t="shared" si="113"/>
        <v>1.5720000000000001</v>
      </c>
      <c r="T179" s="118">
        <v>30.67</v>
      </c>
      <c r="U179" s="101">
        <f t="shared" si="114"/>
        <v>1.0708798882681565</v>
      </c>
      <c r="V179" s="171">
        <f t="shared" si="86"/>
        <v>1.0706958454436657</v>
      </c>
    </row>
    <row r="180" spans="1:22" hidden="1">
      <c r="A180" s="97" t="s">
        <v>110</v>
      </c>
      <c r="B180" s="100">
        <f>19.1/2</f>
        <v>9.5500000000000007</v>
      </c>
      <c r="C180" s="100">
        <v>68.34</v>
      </c>
      <c r="D180" s="100">
        <f t="shared" si="115"/>
        <v>9.5500000000000007</v>
      </c>
      <c r="E180" s="100">
        <v>69.94</v>
      </c>
      <c r="F180" s="101">
        <f t="shared" si="109"/>
        <v>1.0234123500146326</v>
      </c>
      <c r="G180" s="100">
        <f>17.6/2</f>
        <v>8.8000000000000007</v>
      </c>
      <c r="H180" s="100">
        <v>30.04</v>
      </c>
      <c r="I180" s="100">
        <f t="shared" si="110"/>
        <v>8.8000000000000007</v>
      </c>
      <c r="J180" s="100">
        <v>32.18</v>
      </c>
      <c r="K180" s="101">
        <f t="shared" si="107"/>
        <v>1.0712383488681758</v>
      </c>
      <c r="L180" s="100">
        <f>14.369/2</f>
        <v>7.1844999999999999</v>
      </c>
      <c r="M180" s="100">
        <v>92.01</v>
      </c>
      <c r="N180" s="100">
        <f t="shared" si="111"/>
        <v>7.1844999999999999</v>
      </c>
      <c r="O180" s="100">
        <v>94.3</v>
      </c>
      <c r="P180" s="101">
        <f t="shared" si="112"/>
        <v>1.0248885990653189</v>
      </c>
      <c r="Q180" s="118">
        <f>13.645/2</f>
        <v>6.8224999999999998</v>
      </c>
      <c r="R180" s="118">
        <v>28.6</v>
      </c>
      <c r="S180" s="118">
        <f t="shared" si="113"/>
        <v>6.8224999999999998</v>
      </c>
      <c r="T180" s="118">
        <v>30.63</v>
      </c>
      <c r="U180" s="101">
        <f t="shared" si="114"/>
        <v>1.0709790209790209</v>
      </c>
      <c r="V180" s="171">
        <f t="shared" si="86"/>
        <v>1.0242594324914249</v>
      </c>
    </row>
    <row r="181" spans="1:22" hidden="1">
      <c r="A181" s="97" t="s">
        <v>111</v>
      </c>
      <c r="B181" s="100">
        <f>108.212/2</f>
        <v>54.106000000000002</v>
      </c>
      <c r="C181" s="100">
        <v>75.290000000000006</v>
      </c>
      <c r="D181" s="100">
        <f t="shared" si="115"/>
        <v>54.106000000000002</v>
      </c>
      <c r="E181" s="100">
        <v>75.290000000000006</v>
      </c>
      <c r="F181" s="101">
        <f t="shared" si="109"/>
        <v>1</v>
      </c>
      <c r="G181" s="100">
        <f>88.68/2</f>
        <v>44.34</v>
      </c>
      <c r="H181" s="100">
        <v>25.46</v>
      </c>
      <c r="I181" s="100">
        <f t="shared" si="110"/>
        <v>44.34</v>
      </c>
      <c r="J181" s="100">
        <v>27.27</v>
      </c>
      <c r="K181" s="101">
        <f t="shared" si="107"/>
        <v>1.0710919088766693</v>
      </c>
      <c r="L181" s="100">
        <f>106.845/2</f>
        <v>53.422499999999999</v>
      </c>
      <c r="M181" s="100">
        <v>65.900000000000006</v>
      </c>
      <c r="N181" s="100">
        <f t="shared" si="111"/>
        <v>53.422499999999999</v>
      </c>
      <c r="O181" s="100">
        <v>65.900000000000006</v>
      </c>
      <c r="P181" s="101">
        <f t="shared" si="112"/>
        <v>1</v>
      </c>
      <c r="Q181" s="118">
        <f>88.671/2</f>
        <v>44.335500000000003</v>
      </c>
      <c r="R181" s="118">
        <v>24.24</v>
      </c>
      <c r="S181" s="118">
        <f t="shared" si="113"/>
        <v>44.335500000000003</v>
      </c>
      <c r="T181" s="118">
        <v>25.96</v>
      </c>
      <c r="U181" s="101">
        <f t="shared" si="114"/>
        <v>1.0709570957095711</v>
      </c>
      <c r="V181" s="171">
        <f t="shared" si="86"/>
        <v>1</v>
      </c>
    </row>
    <row r="182" spans="1:22" hidden="1">
      <c r="A182" s="97" t="s">
        <v>111</v>
      </c>
      <c r="B182" s="100">
        <f>9.587/2</f>
        <v>4.7934999999999999</v>
      </c>
      <c r="C182" s="100">
        <v>59.48</v>
      </c>
      <c r="D182" s="100">
        <f t="shared" si="115"/>
        <v>4.7934999999999999</v>
      </c>
      <c r="E182" s="100">
        <v>63.77</v>
      </c>
      <c r="F182" s="101">
        <f t="shared" si="109"/>
        <v>1.0721250840618697</v>
      </c>
      <c r="G182" s="100">
        <f>9.027/2</f>
        <v>4.5134999999999996</v>
      </c>
      <c r="H182" s="100">
        <v>24</v>
      </c>
      <c r="I182" s="100">
        <f t="shared" si="110"/>
        <v>4.5134999999999996</v>
      </c>
      <c r="J182" s="100">
        <v>26.04</v>
      </c>
      <c r="K182" s="101">
        <f t="shared" si="107"/>
        <v>1.0850000000000002</v>
      </c>
      <c r="L182" s="100">
        <f>14.824/2</f>
        <v>7.4119999999999999</v>
      </c>
      <c r="M182" s="100">
        <v>44.67</v>
      </c>
      <c r="N182" s="100">
        <f t="shared" si="111"/>
        <v>7.4119999999999999</v>
      </c>
      <c r="O182" s="100">
        <v>48.32</v>
      </c>
      <c r="P182" s="101">
        <f t="shared" si="112"/>
        <v>1.0817103201253637</v>
      </c>
      <c r="Q182" s="118">
        <f>14.264/2</f>
        <v>7.1319999999999997</v>
      </c>
      <c r="R182" s="118">
        <v>21.47</v>
      </c>
      <c r="S182" s="118">
        <f t="shared" si="113"/>
        <v>7.1319999999999997</v>
      </c>
      <c r="T182" s="118">
        <v>22.99</v>
      </c>
      <c r="U182" s="101">
        <f t="shared" si="114"/>
        <v>1.0707964601769913</v>
      </c>
      <c r="V182" s="171">
        <f t="shared" si="86"/>
        <v>1.0762361977916466</v>
      </c>
    </row>
    <row r="183" spans="1:22" hidden="1">
      <c r="A183" s="97" t="s">
        <v>112</v>
      </c>
      <c r="B183" s="100">
        <f>86.547/2</f>
        <v>43.273499999999999</v>
      </c>
      <c r="C183" s="100">
        <v>27.18</v>
      </c>
      <c r="D183" s="100">
        <f t="shared" si="115"/>
        <v>43.273499999999999</v>
      </c>
      <c r="E183" s="100">
        <v>28.8</v>
      </c>
      <c r="F183" s="101">
        <f t="shared" si="109"/>
        <v>1.0596026490066226</v>
      </c>
      <c r="G183" s="100">
        <f>1.896/2</f>
        <v>0.94799999999999995</v>
      </c>
      <c r="H183" s="100">
        <v>20.34</v>
      </c>
      <c r="I183" s="100">
        <f t="shared" si="110"/>
        <v>0.94799999999999995</v>
      </c>
      <c r="J183" s="100">
        <v>21.78</v>
      </c>
      <c r="K183" s="101">
        <f t="shared" si="107"/>
        <v>1.0707964601769913</v>
      </c>
      <c r="L183" s="100">
        <f>84.508/2</f>
        <v>42.253999999999998</v>
      </c>
      <c r="M183" s="100">
        <v>21.94</v>
      </c>
      <c r="N183" s="100">
        <f t="shared" si="111"/>
        <v>42.253999999999998</v>
      </c>
      <c r="O183" s="100">
        <v>22.3</v>
      </c>
      <c r="P183" s="101">
        <f t="shared" si="112"/>
        <v>1.0164083865086599</v>
      </c>
      <c r="Q183" s="118">
        <f>1.408/2</f>
        <v>0.70399999999999996</v>
      </c>
      <c r="R183" s="118">
        <v>18.190000000000001</v>
      </c>
      <c r="S183" s="118">
        <f t="shared" si="113"/>
        <v>0.70399999999999996</v>
      </c>
      <c r="T183" s="118">
        <v>19.48</v>
      </c>
      <c r="U183" s="101">
        <f t="shared" si="114"/>
        <v>1.0709180868609127</v>
      </c>
      <c r="V183" s="171">
        <f t="shared" si="86"/>
        <v>1.0403094462540716</v>
      </c>
    </row>
    <row r="184" spans="1:22" hidden="1">
      <c r="A184" s="97" t="s">
        <v>113</v>
      </c>
      <c r="B184" s="100">
        <f>275.76/2</f>
        <v>137.88</v>
      </c>
      <c r="C184" s="100">
        <v>25.48</v>
      </c>
      <c r="D184" s="100">
        <f t="shared" si="115"/>
        <v>137.88</v>
      </c>
      <c r="E184" s="100">
        <v>27.09</v>
      </c>
      <c r="F184" s="101">
        <f t="shared" si="109"/>
        <v>1.0631868131868132</v>
      </c>
      <c r="G184" s="100">
        <f>196.8/2</f>
        <v>98.4</v>
      </c>
      <c r="H184" s="100">
        <v>24</v>
      </c>
      <c r="I184" s="100">
        <f t="shared" si="110"/>
        <v>98.4</v>
      </c>
      <c r="J184" s="100">
        <v>26.04</v>
      </c>
      <c r="K184" s="101">
        <f t="shared" si="107"/>
        <v>1.085</v>
      </c>
      <c r="L184" s="100">
        <f>224.247/2</f>
        <v>112.12350000000001</v>
      </c>
      <c r="M184" s="100">
        <v>19.39</v>
      </c>
      <c r="N184" s="100">
        <f t="shared" si="111"/>
        <v>112.12350000000001</v>
      </c>
      <c r="O184" s="100">
        <v>20.12</v>
      </c>
      <c r="P184" s="101">
        <f t="shared" si="112"/>
        <v>1.037648272305312</v>
      </c>
      <c r="Q184" s="118">
        <f>217.103/2</f>
        <v>108.5515</v>
      </c>
      <c r="R184" s="118">
        <v>19.39</v>
      </c>
      <c r="S184" s="118">
        <f t="shared" si="113"/>
        <v>108.5515</v>
      </c>
      <c r="T184" s="118">
        <v>20.12</v>
      </c>
      <c r="U184" s="101">
        <f t="shared" si="114"/>
        <v>1.037648272305312</v>
      </c>
      <c r="V184" s="171">
        <f t="shared" si="86"/>
        <v>1.0521506574548696</v>
      </c>
    </row>
    <row r="185" spans="1:22" hidden="1">
      <c r="A185" s="97" t="s">
        <v>114</v>
      </c>
      <c r="B185" s="100">
        <f>85.894/2</f>
        <v>42.947000000000003</v>
      </c>
      <c r="C185" s="100">
        <v>57.83</v>
      </c>
      <c r="D185" s="100">
        <f t="shared" si="115"/>
        <v>42.947000000000003</v>
      </c>
      <c r="E185" s="100">
        <v>61.93</v>
      </c>
      <c r="F185" s="101">
        <f t="shared" si="109"/>
        <v>1.0708974580667474</v>
      </c>
      <c r="G185" s="100">
        <f>78.809/2</f>
        <v>39.404499999999999</v>
      </c>
      <c r="H185" s="100">
        <v>35.4</v>
      </c>
      <c r="I185" s="100">
        <f t="shared" si="110"/>
        <v>39.404499999999999</v>
      </c>
      <c r="J185" s="100">
        <v>37.909999999999997</v>
      </c>
      <c r="K185" s="101">
        <f t="shared" si="107"/>
        <v>1.0709039548022599</v>
      </c>
      <c r="L185" s="100"/>
      <c r="M185" s="100"/>
      <c r="N185" s="100"/>
      <c r="O185" s="100"/>
      <c r="P185" s="101"/>
      <c r="Q185" s="118"/>
      <c r="R185" s="118"/>
      <c r="S185" s="118"/>
      <c r="T185" s="118"/>
      <c r="U185" s="101"/>
      <c r="V185" s="171">
        <f t="shared" si="86"/>
        <v>1.0708974580667474</v>
      </c>
    </row>
    <row r="186" spans="1:22" hidden="1">
      <c r="A186" s="97" t="s">
        <v>114</v>
      </c>
      <c r="B186" s="100">
        <f>8.612/2</f>
        <v>4.306</v>
      </c>
      <c r="C186" s="100">
        <v>65.73</v>
      </c>
      <c r="D186" s="100">
        <f t="shared" si="115"/>
        <v>4.306</v>
      </c>
      <c r="E186" s="100">
        <v>70.41</v>
      </c>
      <c r="F186" s="101">
        <f t="shared" si="109"/>
        <v>1.0712003651300774</v>
      </c>
      <c r="G186" s="100">
        <f>8.572/2</f>
        <v>4.2859999999999996</v>
      </c>
      <c r="H186" s="100">
        <v>35.4</v>
      </c>
      <c r="I186" s="100">
        <f t="shared" si="110"/>
        <v>4.2859999999999996</v>
      </c>
      <c r="J186" s="100">
        <v>37.909999999999997</v>
      </c>
      <c r="K186" s="101">
        <f t="shared" si="107"/>
        <v>1.0709039548022599</v>
      </c>
      <c r="L186" s="100"/>
      <c r="M186" s="100"/>
      <c r="N186" s="100"/>
      <c r="O186" s="100"/>
      <c r="P186" s="101"/>
      <c r="Q186" s="118"/>
      <c r="R186" s="118"/>
      <c r="S186" s="118"/>
      <c r="T186" s="118"/>
      <c r="U186" s="101"/>
      <c r="V186" s="171">
        <f t="shared" si="86"/>
        <v>1.0712003651300774</v>
      </c>
    </row>
    <row r="187" spans="1:22" hidden="1">
      <c r="A187" s="97" t="s">
        <v>118</v>
      </c>
      <c r="B187" s="100">
        <f>1.22/2</f>
        <v>0.61</v>
      </c>
      <c r="C187" s="100">
        <v>40.299999999999997</v>
      </c>
      <c r="D187" s="100">
        <f>B187</f>
        <v>0.61</v>
      </c>
      <c r="E187" s="100">
        <v>43.11</v>
      </c>
      <c r="F187" s="101">
        <f>(E187*D187)/(C187*B187)</f>
        <v>1.069727047146402</v>
      </c>
      <c r="G187" s="100"/>
      <c r="H187" s="100"/>
      <c r="I187" s="100"/>
      <c r="J187" s="100"/>
      <c r="K187" s="101"/>
      <c r="L187" s="100"/>
      <c r="M187" s="100"/>
      <c r="N187" s="100"/>
      <c r="O187" s="100"/>
      <c r="P187" s="101"/>
      <c r="Q187" s="118"/>
      <c r="R187" s="118"/>
      <c r="S187" s="118"/>
      <c r="T187" s="118"/>
      <c r="U187" s="101"/>
      <c r="V187" s="171">
        <f t="shared" si="86"/>
        <v>1.069727047146402</v>
      </c>
    </row>
    <row r="188" spans="1:22" hidden="1">
      <c r="A188" s="97" t="s">
        <v>119</v>
      </c>
      <c r="B188" s="100">
        <f>2.46/2</f>
        <v>1.23</v>
      </c>
      <c r="C188" s="100">
        <v>40.299999999999997</v>
      </c>
      <c r="D188" s="100">
        <f>B188</f>
        <v>1.23</v>
      </c>
      <c r="E188" s="100">
        <v>43.11</v>
      </c>
      <c r="F188" s="101">
        <f t="shared" ref="F188:F191" si="116">(E188*D188)/(C188*B188)</f>
        <v>1.0697270471464022</v>
      </c>
      <c r="G188" s="100">
        <f>1.11/2</f>
        <v>0.55500000000000005</v>
      </c>
      <c r="H188" s="100">
        <v>26.03</v>
      </c>
      <c r="I188" s="100">
        <f t="shared" ref="I188:I191" si="117">G188</f>
        <v>0.55500000000000005</v>
      </c>
      <c r="J188" s="100">
        <v>27.88</v>
      </c>
      <c r="K188" s="101">
        <f t="shared" ref="K188:K193" si="118">(J188*I188)/(H188*G188)</f>
        <v>1.0710718401844026</v>
      </c>
      <c r="L188" s="100"/>
      <c r="M188" s="100"/>
      <c r="N188" s="100"/>
      <c r="O188" s="100"/>
      <c r="P188" s="101"/>
      <c r="Q188" s="118"/>
      <c r="R188" s="118"/>
      <c r="S188" s="118"/>
      <c r="T188" s="118"/>
      <c r="U188" s="101"/>
      <c r="V188" s="171">
        <f t="shared" si="86"/>
        <v>1.069727047146402</v>
      </c>
    </row>
    <row r="189" spans="1:22" hidden="1">
      <c r="A189" s="97" t="s">
        <v>120</v>
      </c>
      <c r="B189" s="100">
        <f>50.39/2</f>
        <v>25.195</v>
      </c>
      <c r="C189" s="100">
        <v>69.78</v>
      </c>
      <c r="D189" s="100">
        <f t="shared" ref="D189:D191" si="119">B189</f>
        <v>25.195</v>
      </c>
      <c r="E189" s="100">
        <v>74.45</v>
      </c>
      <c r="F189" s="101">
        <f t="shared" si="116"/>
        <v>1.0669246202350244</v>
      </c>
      <c r="G189" s="100">
        <f>7.71/2</f>
        <v>3.855</v>
      </c>
      <c r="H189" s="100">
        <v>26.03</v>
      </c>
      <c r="I189" s="100">
        <f t="shared" si="117"/>
        <v>3.855</v>
      </c>
      <c r="J189" s="100">
        <v>27.88</v>
      </c>
      <c r="K189" s="101">
        <f t="shared" si="118"/>
        <v>1.0710718401844024</v>
      </c>
      <c r="L189" s="100">
        <f>26.47/2</f>
        <v>13.234999999999999</v>
      </c>
      <c r="M189" s="100">
        <v>65.22</v>
      </c>
      <c r="N189" s="100">
        <f t="shared" ref="N189" si="120">L189</f>
        <v>13.234999999999999</v>
      </c>
      <c r="O189" s="100">
        <v>70.39</v>
      </c>
      <c r="P189" s="101">
        <f t="shared" ref="P189:P192" si="121">(O189*N189)/(M189*L189)</f>
        <v>1.0792701625268322</v>
      </c>
      <c r="Q189" s="118">
        <f>7.71/2</f>
        <v>3.855</v>
      </c>
      <c r="R189" s="118">
        <v>25.48</v>
      </c>
      <c r="S189" s="118">
        <f t="shared" ref="S189" si="122">Q189</f>
        <v>3.855</v>
      </c>
      <c r="T189" s="118">
        <v>27.29</v>
      </c>
      <c r="U189" s="101">
        <f t="shared" ref="U189" si="123">T189/R189</f>
        <v>1.0710361067503924</v>
      </c>
      <c r="V189" s="171">
        <f t="shared" si="86"/>
        <v>1.072888888888889</v>
      </c>
    </row>
    <row r="190" spans="1:22" hidden="1">
      <c r="A190" s="97" t="s">
        <v>115</v>
      </c>
      <c r="B190" s="100">
        <f>21.081/2</f>
        <v>10.5405</v>
      </c>
      <c r="C190" s="100">
        <v>37.26</v>
      </c>
      <c r="D190" s="100">
        <f t="shared" si="119"/>
        <v>10.5405</v>
      </c>
      <c r="E190" s="100">
        <v>40.299999999999997</v>
      </c>
      <c r="F190" s="101">
        <f t="shared" si="116"/>
        <v>1.0815888352120235</v>
      </c>
      <c r="G190" s="100">
        <f>20.271/2</f>
        <v>10.1355</v>
      </c>
      <c r="H190" s="100">
        <v>23</v>
      </c>
      <c r="I190" s="100">
        <f t="shared" si="117"/>
        <v>10.1355</v>
      </c>
      <c r="J190" s="100">
        <v>24.96</v>
      </c>
      <c r="K190" s="101">
        <f t="shared" si="118"/>
        <v>1.0852173913043479</v>
      </c>
      <c r="L190" s="100">
        <f>22.13/2</f>
        <v>11.065</v>
      </c>
      <c r="M190" s="100">
        <v>61.79</v>
      </c>
      <c r="N190" s="100">
        <f>L190</f>
        <v>11.065</v>
      </c>
      <c r="O190" s="100">
        <v>66.930000000000007</v>
      </c>
      <c r="P190" s="101">
        <f t="shared" si="121"/>
        <v>1.0831849813885743</v>
      </c>
      <c r="Q190" s="118">
        <f>21.32/2</f>
        <v>10.66</v>
      </c>
      <c r="R190" s="118">
        <v>25.69</v>
      </c>
      <c r="S190" s="118">
        <f>Q190</f>
        <v>10.66</v>
      </c>
      <c r="T190" s="118">
        <v>28</v>
      </c>
      <c r="U190" s="101">
        <f t="shared" ref="U190:U193" si="124">(T190*S190)/(R190*Q190)</f>
        <v>1.0899182561307901</v>
      </c>
      <c r="V190" s="171">
        <f t="shared" si="86"/>
        <v>1.0825845532559315</v>
      </c>
    </row>
    <row r="191" spans="1:22" hidden="1">
      <c r="A191" s="97" t="s">
        <v>116</v>
      </c>
      <c r="B191" s="100">
        <f>15.972/2</f>
        <v>7.9859999999999998</v>
      </c>
      <c r="C191" s="100">
        <v>54.14</v>
      </c>
      <c r="D191" s="100">
        <f t="shared" si="119"/>
        <v>7.9859999999999998</v>
      </c>
      <c r="E191" s="100">
        <v>58.29</v>
      </c>
      <c r="F191" s="101">
        <f t="shared" si="116"/>
        <v>1.0766531215367565</v>
      </c>
      <c r="G191" s="100">
        <f>13.797/2</f>
        <v>6.8985000000000003</v>
      </c>
      <c r="H191" s="100">
        <v>23</v>
      </c>
      <c r="I191" s="100">
        <f t="shared" si="117"/>
        <v>6.8985000000000003</v>
      </c>
      <c r="J191" s="100">
        <v>24.96</v>
      </c>
      <c r="K191" s="101">
        <f t="shared" si="118"/>
        <v>1.0852173913043479</v>
      </c>
      <c r="L191" s="100">
        <f>13.438/2</f>
        <v>6.7190000000000003</v>
      </c>
      <c r="M191" s="100">
        <v>63.82</v>
      </c>
      <c r="N191" s="100">
        <f t="shared" ref="N191:N192" si="125">L191</f>
        <v>6.7190000000000003</v>
      </c>
      <c r="O191" s="100">
        <v>68.84</v>
      </c>
      <c r="P191" s="101">
        <f t="shared" si="121"/>
        <v>1.0786587276715764</v>
      </c>
      <c r="Q191" s="118">
        <f>12.436/2</f>
        <v>6.218</v>
      </c>
      <c r="R191" s="118">
        <v>25.69</v>
      </c>
      <c r="S191" s="118">
        <f t="shared" ref="S191:S193" si="126">Q191</f>
        <v>6.218</v>
      </c>
      <c r="T191" s="118">
        <v>28</v>
      </c>
      <c r="U191" s="101">
        <f t="shared" si="124"/>
        <v>1.0899182561307901</v>
      </c>
      <c r="V191" s="171">
        <f t="shared" si="86"/>
        <v>1.0777382163445235</v>
      </c>
    </row>
    <row r="192" spans="1:22" hidden="1">
      <c r="A192" s="97" t="s">
        <v>116</v>
      </c>
      <c r="B192" s="100">
        <f>23.972/2</f>
        <v>11.986000000000001</v>
      </c>
      <c r="C192" s="100">
        <v>75.59</v>
      </c>
      <c r="D192" s="100">
        <f>B192</f>
        <v>11.986000000000001</v>
      </c>
      <c r="E192" s="100">
        <v>81.150000000000006</v>
      </c>
      <c r="F192" s="101">
        <f>(E192*D192)/(C192*B192)</f>
        <v>1.0735547030030428</v>
      </c>
      <c r="G192" s="100">
        <f>19.86/2</f>
        <v>9.93</v>
      </c>
      <c r="H192" s="100">
        <v>30.72</v>
      </c>
      <c r="I192" s="100">
        <f>G192</f>
        <v>9.93</v>
      </c>
      <c r="J192" s="100">
        <v>33.33</v>
      </c>
      <c r="K192" s="101">
        <f t="shared" si="118"/>
        <v>1.0849609374999998</v>
      </c>
      <c r="L192" s="100">
        <f>21.068/2</f>
        <v>10.534000000000001</v>
      </c>
      <c r="M192" s="100">
        <v>73.180000000000007</v>
      </c>
      <c r="N192" s="100">
        <f t="shared" si="125"/>
        <v>10.534000000000001</v>
      </c>
      <c r="O192" s="100">
        <v>78.63</v>
      </c>
      <c r="P192" s="101">
        <f t="shared" si="121"/>
        <v>1.07447389997267</v>
      </c>
      <c r="Q192" s="118">
        <f>18.354/2</f>
        <v>9.1769999999999996</v>
      </c>
      <c r="R192" s="118">
        <v>29.99</v>
      </c>
      <c r="S192" s="118">
        <f t="shared" si="126"/>
        <v>9.1769999999999996</v>
      </c>
      <c r="T192" s="118">
        <v>32.700000000000003</v>
      </c>
      <c r="U192" s="101">
        <f t="shared" si="124"/>
        <v>1.0903634544848284</v>
      </c>
      <c r="V192" s="171">
        <f t="shared" si="86"/>
        <v>1.0740068562210123</v>
      </c>
    </row>
    <row r="193" spans="1:22" hidden="1">
      <c r="A193" s="97" t="s">
        <v>116</v>
      </c>
      <c r="B193" s="100">
        <f>21.407/2</f>
        <v>10.7035</v>
      </c>
      <c r="C193" s="100">
        <v>173.01</v>
      </c>
      <c r="D193" s="100">
        <f>B193</f>
        <v>10.7035</v>
      </c>
      <c r="E193" s="100">
        <v>191.67</v>
      </c>
      <c r="F193" s="101">
        <f>(E193*D193)/(C193*B193)</f>
        <v>1.107855037281082</v>
      </c>
      <c r="G193" s="116">
        <f>19.583/2</f>
        <v>9.7914999999999992</v>
      </c>
      <c r="H193" s="116">
        <v>23</v>
      </c>
      <c r="I193" s="100">
        <f>G193</f>
        <v>9.7914999999999992</v>
      </c>
      <c r="J193" s="119">
        <v>24.96</v>
      </c>
      <c r="K193" s="101">
        <f t="shared" si="118"/>
        <v>1.0852173913043479</v>
      </c>
      <c r="L193" s="100">
        <f>19.482/2</f>
        <v>9.7409999999999997</v>
      </c>
      <c r="M193" s="100">
        <v>144.81</v>
      </c>
      <c r="N193" s="100">
        <f>L193</f>
        <v>9.7409999999999997</v>
      </c>
      <c r="O193" s="100">
        <v>185.22</v>
      </c>
      <c r="P193" s="101">
        <f>(O193*N193)/(M193*L193)</f>
        <v>1.2790553138595402</v>
      </c>
      <c r="Q193" s="118">
        <f>18.937/2</f>
        <v>9.4685000000000006</v>
      </c>
      <c r="R193" s="118">
        <v>22.01</v>
      </c>
      <c r="S193" s="118">
        <f t="shared" si="126"/>
        <v>9.4685000000000006</v>
      </c>
      <c r="T193" s="118">
        <v>23</v>
      </c>
      <c r="U193" s="101">
        <f t="shared" si="124"/>
        <v>1.044979554747842</v>
      </c>
      <c r="V193" s="171">
        <f t="shared" si="86"/>
        <v>1.1858599207098357</v>
      </c>
    </row>
    <row r="194" spans="1:22" hidden="1">
      <c r="A194" s="97"/>
      <c r="B194" s="91"/>
      <c r="C194" s="91"/>
      <c r="D194" s="91"/>
      <c r="E194" s="91"/>
      <c r="F194" s="92"/>
      <c r="G194" s="99"/>
      <c r="H194" s="99"/>
      <c r="I194" s="91"/>
      <c r="J194" s="99"/>
      <c r="K194" s="92"/>
      <c r="L194" s="91"/>
      <c r="M194" s="91"/>
      <c r="N194" s="91"/>
      <c r="O194" s="91"/>
      <c r="P194" s="92"/>
      <c r="Q194" s="96"/>
      <c r="R194" s="96"/>
      <c r="S194" s="96"/>
      <c r="T194" s="96"/>
      <c r="U194" s="92"/>
      <c r="V194" s="171" t="e">
        <f t="shared" si="86"/>
        <v>#DIV/0!</v>
      </c>
    </row>
    <row r="195" spans="1:22" hidden="1">
      <c r="A195" s="97"/>
      <c r="B195" s="91"/>
      <c r="C195" s="91"/>
      <c r="D195" s="91"/>
      <c r="E195" s="91"/>
      <c r="F195" s="92"/>
      <c r="G195" s="99"/>
      <c r="H195" s="99"/>
      <c r="I195" s="91"/>
      <c r="J195" s="99"/>
      <c r="K195" s="92"/>
      <c r="L195" s="91"/>
      <c r="M195" s="91"/>
      <c r="N195" s="91"/>
      <c r="O195" s="91"/>
      <c r="P195" s="92"/>
      <c r="Q195" s="96"/>
      <c r="R195" s="96"/>
      <c r="S195" s="96"/>
      <c r="T195" s="96"/>
      <c r="U195" s="92"/>
      <c r="V195" s="171" t="e">
        <f t="shared" si="86"/>
        <v>#DIV/0!</v>
      </c>
    </row>
    <row r="196" spans="1:22" hidden="1">
      <c r="A196" s="97"/>
      <c r="B196" s="91"/>
      <c r="C196" s="91"/>
      <c r="D196" s="91"/>
      <c r="E196" s="91"/>
      <c r="F196" s="92"/>
      <c r="G196" s="99"/>
      <c r="H196" s="99"/>
      <c r="I196" s="91"/>
      <c r="J196" s="99"/>
      <c r="K196" s="92"/>
      <c r="L196" s="91"/>
      <c r="M196" s="91"/>
      <c r="N196" s="91"/>
      <c r="O196" s="91"/>
      <c r="P196" s="92"/>
      <c r="Q196" s="96"/>
      <c r="R196" s="96"/>
      <c r="S196" s="96"/>
      <c r="T196" s="96"/>
      <c r="U196" s="92"/>
      <c r="V196" s="171" t="e">
        <f t="shared" si="86"/>
        <v>#DIV/0!</v>
      </c>
    </row>
    <row r="197" spans="1:22" hidden="1">
      <c r="A197" s="97"/>
      <c r="B197" s="91"/>
      <c r="C197" s="91"/>
      <c r="D197" s="91"/>
      <c r="E197" s="91"/>
      <c r="F197" s="92"/>
      <c r="G197" s="99"/>
      <c r="H197" s="99"/>
      <c r="I197" s="91"/>
      <c r="J197" s="99"/>
      <c r="K197" s="92"/>
      <c r="L197" s="91"/>
      <c r="M197" s="91"/>
      <c r="N197" s="91"/>
      <c r="O197" s="91"/>
      <c r="P197" s="92"/>
      <c r="Q197" s="96"/>
      <c r="R197" s="96"/>
      <c r="S197" s="96"/>
      <c r="T197" s="96"/>
      <c r="U197" s="92"/>
      <c r="V197" s="171" t="e">
        <f t="shared" si="86"/>
        <v>#DIV/0!</v>
      </c>
    </row>
    <row r="198" spans="1:22" hidden="1">
      <c r="A198" s="97"/>
      <c r="B198" s="91"/>
      <c r="C198" s="91"/>
      <c r="D198" s="91"/>
      <c r="E198" s="91"/>
      <c r="F198" s="92"/>
      <c r="G198" s="99"/>
      <c r="H198" s="99"/>
      <c r="I198" s="91"/>
      <c r="J198" s="99"/>
      <c r="K198" s="92"/>
      <c r="L198" s="91"/>
      <c r="M198" s="91"/>
      <c r="N198" s="91"/>
      <c r="O198" s="91"/>
      <c r="P198" s="92"/>
      <c r="Q198" s="96"/>
      <c r="R198" s="96"/>
      <c r="S198" s="96"/>
      <c r="T198" s="96"/>
      <c r="U198" s="92"/>
      <c r="V198" s="171" t="e">
        <f t="shared" si="86"/>
        <v>#DIV/0!</v>
      </c>
    </row>
    <row r="199" spans="1:22" hidden="1">
      <c r="A199" s="97"/>
      <c r="B199" s="91"/>
      <c r="C199" s="91"/>
      <c r="D199" s="91"/>
      <c r="E199" s="91"/>
      <c r="F199" s="92"/>
      <c r="G199" s="99"/>
      <c r="H199" s="99"/>
      <c r="I199" s="91"/>
      <c r="J199" s="99"/>
      <c r="K199" s="92"/>
      <c r="L199" s="91"/>
      <c r="M199" s="91"/>
      <c r="N199" s="91"/>
      <c r="O199" s="91"/>
      <c r="P199" s="92"/>
      <c r="Q199" s="96"/>
      <c r="R199" s="96"/>
      <c r="S199" s="96"/>
      <c r="T199" s="96"/>
      <c r="U199" s="92"/>
      <c r="V199" s="171" t="e">
        <f t="shared" si="86"/>
        <v>#DIV/0!</v>
      </c>
    </row>
    <row r="200" spans="1:22" hidden="1">
      <c r="A200" s="97"/>
      <c r="B200" s="91"/>
      <c r="C200" s="91"/>
      <c r="D200" s="91"/>
      <c r="E200" s="91"/>
      <c r="F200" s="92"/>
      <c r="G200" s="99"/>
      <c r="H200" s="99"/>
      <c r="I200" s="91"/>
      <c r="J200" s="99"/>
      <c r="K200" s="92"/>
      <c r="L200" s="91"/>
      <c r="M200" s="91"/>
      <c r="N200" s="91"/>
      <c r="O200" s="91"/>
      <c r="P200" s="92"/>
      <c r="Q200" s="96"/>
      <c r="R200" s="96"/>
      <c r="S200" s="96"/>
      <c r="T200" s="96"/>
      <c r="U200" s="92"/>
      <c r="V200" s="171" t="e">
        <f t="shared" si="86"/>
        <v>#DIV/0!</v>
      </c>
    </row>
    <row r="201" spans="1:22" hidden="1">
      <c r="A201" s="97"/>
      <c r="B201" s="91"/>
      <c r="C201" s="91"/>
      <c r="D201" s="91"/>
      <c r="E201" s="91"/>
      <c r="F201" s="92"/>
      <c r="G201" s="91"/>
      <c r="H201" s="91"/>
      <c r="I201" s="91"/>
      <c r="J201" s="91"/>
      <c r="K201" s="92"/>
      <c r="L201" s="91"/>
      <c r="M201" s="91"/>
      <c r="N201" s="91"/>
      <c r="O201" s="91"/>
      <c r="P201" s="92"/>
      <c r="Q201" s="96"/>
      <c r="R201" s="96"/>
      <c r="S201" s="96"/>
      <c r="T201" s="96"/>
      <c r="U201" s="92"/>
      <c r="V201" s="171" t="e">
        <f t="shared" ref="V201:V264" si="127">(E201+O201)/(C201+M201)</f>
        <v>#DIV/0!</v>
      </c>
    </row>
    <row r="202" spans="1:22" hidden="1">
      <c r="A202" s="97"/>
      <c r="B202" s="91"/>
      <c r="C202" s="91"/>
      <c r="D202" s="91"/>
      <c r="E202" s="91"/>
      <c r="F202" s="92"/>
      <c r="G202" s="91"/>
      <c r="H202" s="91"/>
      <c r="I202" s="91"/>
      <c r="J202" s="91"/>
      <c r="K202" s="92"/>
      <c r="L202" s="91"/>
      <c r="M202" s="91"/>
      <c r="N202" s="91"/>
      <c r="O202" s="91"/>
      <c r="P202" s="92"/>
      <c r="Q202" s="96"/>
      <c r="R202" s="96"/>
      <c r="S202" s="96"/>
      <c r="T202" s="96"/>
      <c r="U202" s="92"/>
      <c r="V202" s="171" t="e">
        <f t="shared" si="127"/>
        <v>#DIV/0!</v>
      </c>
    </row>
    <row r="203" spans="1:22" hidden="1">
      <c r="A203" s="97"/>
      <c r="B203" s="91"/>
      <c r="C203" s="91"/>
      <c r="D203" s="91"/>
      <c r="E203" s="91"/>
      <c r="F203" s="92"/>
      <c r="G203" s="91"/>
      <c r="H203" s="91"/>
      <c r="I203" s="91"/>
      <c r="J203" s="91"/>
      <c r="K203" s="92"/>
      <c r="L203" s="91"/>
      <c r="M203" s="91"/>
      <c r="N203" s="91"/>
      <c r="O203" s="91"/>
      <c r="P203" s="92"/>
      <c r="Q203" s="96"/>
      <c r="R203" s="96"/>
      <c r="S203" s="96"/>
      <c r="T203" s="96"/>
      <c r="U203" s="92"/>
      <c r="V203" s="171" t="e">
        <f t="shared" si="127"/>
        <v>#DIV/0!</v>
      </c>
    </row>
    <row r="204" spans="1:22" hidden="1">
      <c r="A204" s="97"/>
      <c r="B204" s="91"/>
      <c r="C204" s="91"/>
      <c r="D204" s="91"/>
      <c r="E204" s="91"/>
      <c r="F204" s="92"/>
      <c r="G204" s="91"/>
      <c r="H204" s="91"/>
      <c r="I204" s="91"/>
      <c r="J204" s="91"/>
      <c r="K204" s="92"/>
      <c r="L204" s="91"/>
      <c r="M204" s="91"/>
      <c r="N204" s="91"/>
      <c r="O204" s="91"/>
      <c r="P204" s="92"/>
      <c r="Q204" s="96"/>
      <c r="R204" s="96"/>
      <c r="S204" s="96"/>
      <c r="T204" s="96"/>
      <c r="U204" s="92"/>
      <c r="V204" s="171" t="e">
        <f t="shared" si="127"/>
        <v>#DIV/0!</v>
      </c>
    </row>
    <row r="205" spans="1:22" hidden="1">
      <c r="A205" s="97"/>
      <c r="B205" s="91"/>
      <c r="C205" s="91"/>
      <c r="D205" s="91"/>
      <c r="E205" s="91"/>
      <c r="F205" s="92"/>
      <c r="G205" s="91"/>
      <c r="H205" s="91"/>
      <c r="I205" s="91"/>
      <c r="J205" s="91"/>
      <c r="K205" s="92"/>
      <c r="L205" s="91"/>
      <c r="M205" s="91"/>
      <c r="N205" s="91"/>
      <c r="O205" s="91"/>
      <c r="P205" s="92"/>
      <c r="Q205" s="96"/>
      <c r="R205" s="96"/>
      <c r="S205" s="96"/>
      <c r="T205" s="96"/>
      <c r="U205" s="92"/>
      <c r="V205" s="171" t="e">
        <f t="shared" si="127"/>
        <v>#DIV/0!</v>
      </c>
    </row>
    <row r="206" spans="1:22" hidden="1">
      <c r="A206" s="90"/>
      <c r="B206" s="91"/>
      <c r="C206" s="91"/>
      <c r="D206" s="91"/>
      <c r="E206" s="91"/>
      <c r="F206" s="92"/>
      <c r="G206" s="91"/>
      <c r="H206" s="91"/>
      <c r="I206" s="91"/>
      <c r="J206" s="99"/>
      <c r="K206" s="92"/>
      <c r="L206" s="91"/>
      <c r="M206" s="91"/>
      <c r="N206" s="91"/>
      <c r="O206" s="91"/>
      <c r="P206" s="92"/>
      <c r="Q206" s="96"/>
      <c r="R206" s="96"/>
      <c r="S206" s="96"/>
      <c r="T206" s="96"/>
      <c r="U206" s="92"/>
      <c r="V206" s="171" t="e">
        <f t="shared" si="127"/>
        <v>#DIV/0!</v>
      </c>
    </row>
    <row r="207" spans="1:22" hidden="1">
      <c r="A207" s="90"/>
      <c r="B207" s="91"/>
      <c r="C207" s="91"/>
      <c r="D207" s="91"/>
      <c r="E207" s="91"/>
      <c r="F207" s="92"/>
      <c r="G207" s="91"/>
      <c r="H207" s="91"/>
      <c r="I207" s="91"/>
      <c r="J207" s="99"/>
      <c r="K207" s="92"/>
      <c r="L207" s="91"/>
      <c r="M207" s="91"/>
      <c r="N207" s="91"/>
      <c r="O207" s="91"/>
      <c r="P207" s="92"/>
      <c r="Q207" s="96"/>
      <c r="R207" s="96"/>
      <c r="S207" s="96"/>
      <c r="T207" s="96"/>
      <c r="U207" s="92"/>
      <c r="V207" s="171" t="e">
        <f t="shared" si="127"/>
        <v>#DIV/0!</v>
      </c>
    </row>
    <row r="208" spans="1:22" hidden="1">
      <c r="A208" s="90"/>
      <c r="B208" s="91"/>
      <c r="C208" s="91"/>
      <c r="D208" s="91"/>
      <c r="E208" s="91"/>
      <c r="F208" s="92"/>
      <c r="G208" s="91"/>
      <c r="H208" s="91"/>
      <c r="I208" s="91"/>
      <c r="J208" s="99"/>
      <c r="K208" s="92"/>
      <c r="L208" s="91"/>
      <c r="M208" s="91"/>
      <c r="N208" s="91"/>
      <c r="O208" s="91"/>
      <c r="P208" s="92"/>
      <c r="Q208" s="96"/>
      <c r="R208" s="96"/>
      <c r="S208" s="96"/>
      <c r="T208" s="96"/>
      <c r="U208" s="92"/>
      <c r="V208" s="171" t="e">
        <f t="shared" si="127"/>
        <v>#DIV/0!</v>
      </c>
    </row>
    <row r="209" spans="1:22" hidden="1">
      <c r="A209" s="90"/>
      <c r="B209" s="91"/>
      <c r="C209" s="91"/>
      <c r="D209" s="91"/>
      <c r="E209" s="91"/>
      <c r="F209" s="92"/>
      <c r="G209" s="91"/>
      <c r="H209" s="91"/>
      <c r="I209" s="91"/>
      <c r="J209" s="99"/>
      <c r="K209" s="92"/>
      <c r="L209" s="91"/>
      <c r="M209" s="91"/>
      <c r="N209" s="91"/>
      <c r="O209" s="91"/>
      <c r="P209" s="92"/>
      <c r="Q209" s="96"/>
      <c r="R209" s="96"/>
      <c r="S209" s="96"/>
      <c r="T209" s="96"/>
      <c r="U209" s="92"/>
      <c r="V209" s="171" t="e">
        <f t="shared" si="127"/>
        <v>#DIV/0!</v>
      </c>
    </row>
    <row r="210" spans="1:22" hidden="1">
      <c r="A210" s="90"/>
      <c r="B210" s="91"/>
      <c r="C210" s="91"/>
      <c r="D210" s="91"/>
      <c r="E210" s="91"/>
      <c r="F210" s="92"/>
      <c r="G210" s="91"/>
      <c r="H210" s="91"/>
      <c r="I210" s="91"/>
      <c r="J210" s="99"/>
      <c r="K210" s="92"/>
      <c r="L210" s="91"/>
      <c r="M210" s="91"/>
      <c r="N210" s="91"/>
      <c r="O210" s="91"/>
      <c r="P210" s="92"/>
      <c r="Q210" s="96"/>
      <c r="R210" s="96"/>
      <c r="S210" s="96"/>
      <c r="T210" s="96"/>
      <c r="U210" s="92"/>
      <c r="V210" s="171" t="e">
        <f t="shared" si="127"/>
        <v>#DIV/0!</v>
      </c>
    </row>
    <row r="211" spans="1:22" hidden="1">
      <c r="A211" s="90"/>
      <c r="B211" s="91"/>
      <c r="C211" s="91"/>
      <c r="D211" s="91"/>
      <c r="E211" s="91"/>
      <c r="F211" s="92"/>
      <c r="G211" s="91"/>
      <c r="H211" s="91"/>
      <c r="I211" s="91"/>
      <c r="J211" s="99"/>
      <c r="K211" s="92"/>
      <c r="L211" s="91"/>
      <c r="M211" s="91"/>
      <c r="N211" s="91"/>
      <c r="O211" s="91"/>
      <c r="P211" s="92"/>
      <c r="Q211" s="96"/>
      <c r="R211" s="96"/>
      <c r="S211" s="96"/>
      <c r="T211" s="96"/>
      <c r="U211" s="92"/>
      <c r="V211" s="171" t="e">
        <f t="shared" si="127"/>
        <v>#DIV/0!</v>
      </c>
    </row>
    <row r="212" spans="1:22" hidden="1">
      <c r="A212" s="90"/>
      <c r="B212" s="91"/>
      <c r="C212" s="91"/>
      <c r="D212" s="91"/>
      <c r="E212" s="91"/>
      <c r="F212" s="92"/>
      <c r="G212" s="91"/>
      <c r="H212" s="91"/>
      <c r="I212" s="91"/>
      <c r="J212" s="99"/>
      <c r="K212" s="92"/>
      <c r="L212" s="91"/>
      <c r="M212" s="91"/>
      <c r="N212" s="91"/>
      <c r="O212" s="91"/>
      <c r="P212" s="92"/>
      <c r="Q212" s="96"/>
      <c r="R212" s="96"/>
      <c r="S212" s="96"/>
      <c r="T212" s="96"/>
      <c r="U212" s="92"/>
      <c r="V212" s="171" t="e">
        <f t="shared" si="127"/>
        <v>#DIV/0!</v>
      </c>
    </row>
    <row r="213" spans="1:22" hidden="1">
      <c r="A213" s="90"/>
      <c r="B213" s="91"/>
      <c r="C213" s="91"/>
      <c r="D213" s="91"/>
      <c r="E213" s="91"/>
      <c r="F213" s="92"/>
      <c r="G213" s="91"/>
      <c r="H213" s="91"/>
      <c r="I213" s="91"/>
      <c r="J213" s="99"/>
      <c r="K213" s="92"/>
      <c r="L213" s="91"/>
      <c r="M213" s="91"/>
      <c r="N213" s="91"/>
      <c r="O213" s="91"/>
      <c r="P213" s="92"/>
      <c r="Q213" s="96"/>
      <c r="R213" s="96"/>
      <c r="S213" s="96"/>
      <c r="T213" s="96"/>
      <c r="U213" s="92"/>
      <c r="V213" s="171" t="e">
        <f t="shared" si="127"/>
        <v>#DIV/0!</v>
      </c>
    </row>
    <row r="214" spans="1:22" hidden="1">
      <c r="A214" s="109"/>
      <c r="B214" s="100"/>
      <c r="C214" s="100"/>
      <c r="D214" s="100"/>
      <c r="E214" s="100"/>
      <c r="F214" s="101"/>
      <c r="G214" s="116"/>
      <c r="H214" s="116"/>
      <c r="I214" s="116"/>
      <c r="J214" s="116"/>
      <c r="K214" s="101"/>
      <c r="L214" s="91"/>
      <c r="M214" s="91"/>
      <c r="N214" s="91"/>
      <c r="O214" s="91"/>
      <c r="P214" s="92"/>
      <c r="Q214" s="96"/>
      <c r="R214" s="96"/>
      <c r="S214" s="96"/>
      <c r="T214" s="96"/>
      <c r="U214" s="98"/>
      <c r="V214" s="171" t="e">
        <f t="shared" si="127"/>
        <v>#DIV/0!</v>
      </c>
    </row>
    <row r="215" spans="1:22" hidden="1">
      <c r="A215" s="109"/>
      <c r="B215" s="100"/>
      <c r="C215" s="100"/>
      <c r="D215" s="100"/>
      <c r="E215" s="100"/>
      <c r="F215" s="101"/>
      <c r="G215" s="116"/>
      <c r="H215" s="116"/>
      <c r="I215" s="116"/>
      <c r="J215" s="116"/>
      <c r="K215" s="101"/>
      <c r="L215" s="91"/>
      <c r="M215" s="91"/>
      <c r="N215" s="91"/>
      <c r="O215" s="91"/>
      <c r="P215" s="92"/>
      <c r="Q215" s="96"/>
      <c r="R215" s="96"/>
      <c r="S215" s="96"/>
      <c r="T215" s="96"/>
      <c r="U215" s="98"/>
      <c r="V215" s="171" t="e">
        <f t="shared" si="127"/>
        <v>#DIV/0!</v>
      </c>
    </row>
    <row r="216" spans="1:22" hidden="1">
      <c r="A216" s="109"/>
      <c r="B216" s="100"/>
      <c r="C216" s="100"/>
      <c r="D216" s="100"/>
      <c r="E216" s="100"/>
      <c r="F216" s="101"/>
      <c r="G216" s="116"/>
      <c r="H216" s="116"/>
      <c r="I216" s="116"/>
      <c r="J216" s="116"/>
      <c r="K216" s="101"/>
      <c r="L216" s="91"/>
      <c r="M216" s="91"/>
      <c r="N216" s="91"/>
      <c r="O216" s="91"/>
      <c r="P216" s="92"/>
      <c r="Q216" s="96"/>
      <c r="R216" s="96"/>
      <c r="S216" s="96"/>
      <c r="T216" s="96"/>
      <c r="U216" s="98"/>
      <c r="V216" s="171" t="e">
        <f t="shared" si="127"/>
        <v>#DIV/0!</v>
      </c>
    </row>
    <row r="217" spans="1:22" hidden="1">
      <c r="A217" s="109"/>
      <c r="B217" s="100"/>
      <c r="C217" s="100"/>
      <c r="D217" s="100"/>
      <c r="E217" s="100"/>
      <c r="F217" s="101"/>
      <c r="G217" s="116"/>
      <c r="H217" s="116"/>
      <c r="I217" s="116"/>
      <c r="J217" s="116"/>
      <c r="K217" s="101"/>
      <c r="L217" s="91"/>
      <c r="M217" s="91"/>
      <c r="N217" s="91"/>
      <c r="O217" s="91"/>
      <c r="P217" s="92"/>
      <c r="Q217" s="96"/>
      <c r="R217" s="96"/>
      <c r="S217" s="96"/>
      <c r="T217" s="96"/>
      <c r="U217" s="98"/>
      <c r="V217" s="171" t="e">
        <f t="shared" si="127"/>
        <v>#DIV/0!</v>
      </c>
    </row>
    <row r="218" spans="1:22" hidden="1">
      <c r="A218" s="109"/>
      <c r="B218" s="100"/>
      <c r="C218" s="100"/>
      <c r="D218" s="100"/>
      <c r="E218" s="100"/>
      <c r="F218" s="101"/>
      <c r="G218" s="116"/>
      <c r="H218" s="116"/>
      <c r="I218" s="116"/>
      <c r="J218" s="116"/>
      <c r="K218" s="101"/>
      <c r="L218" s="91"/>
      <c r="M218" s="91"/>
      <c r="N218" s="91"/>
      <c r="O218" s="91"/>
      <c r="P218" s="92"/>
      <c r="Q218" s="96"/>
      <c r="R218" s="96"/>
      <c r="S218" s="96"/>
      <c r="T218" s="96"/>
      <c r="U218" s="98"/>
      <c r="V218" s="171" t="e">
        <f t="shared" si="127"/>
        <v>#DIV/0!</v>
      </c>
    </row>
    <row r="219" spans="1:22" hidden="1">
      <c r="A219" s="97" t="s">
        <v>68</v>
      </c>
      <c r="B219" s="91">
        <f>SUM(B220:B226)</f>
        <v>224.21950000000001</v>
      </c>
      <c r="C219" s="91">
        <f>SUMPRODUCT(B220:B226,C220:C226)/B219</f>
        <v>56.780515209426476</v>
      </c>
      <c r="D219" s="91">
        <f>SUM(D220:D226)</f>
        <v>224.21950000000001</v>
      </c>
      <c r="E219" s="91">
        <f>SUMPRODUCT(D220:D226,E220:E226)/D219</f>
        <v>60.769983453713877</v>
      </c>
      <c r="F219" s="92">
        <f>E219/C219</f>
        <v>1.0702612195323138</v>
      </c>
      <c r="G219" s="91">
        <f>SUM(G220:G226)</f>
        <v>109.87550000000002</v>
      </c>
      <c r="H219" s="91">
        <f>SUMPRODUCT(G220:G226,H220:H226)/G219</f>
        <v>58.594302733548417</v>
      </c>
      <c r="I219" s="91">
        <f>SUM(I220:I226)</f>
        <v>109.87550000000002</v>
      </c>
      <c r="J219" s="91">
        <f>SUMPRODUCT(I220:I226,J220:J226)/I219</f>
        <v>62.208101851641167</v>
      </c>
      <c r="K219" s="92">
        <f>J219/H219</f>
        <v>1.0616749231495446</v>
      </c>
      <c r="L219" s="91">
        <f>SUM(L220:L226)</f>
        <v>101.47499999999999</v>
      </c>
      <c r="M219" s="91">
        <f>SUMPRODUCT(L220:L226,M220:M226)/L219</f>
        <v>71.491924020694753</v>
      </c>
      <c r="N219" s="91">
        <f>SUM(N220:N226)</f>
        <v>101.47499999999999</v>
      </c>
      <c r="O219" s="91">
        <f>SUMPRODUCT(N220:N226,O220:O226)/N219</f>
        <v>76.236510667652141</v>
      </c>
      <c r="P219" s="92">
        <f>O219/M219</f>
        <v>1.0663653512190268</v>
      </c>
      <c r="Q219" s="91">
        <f>SUM(Q220:Q226)</f>
        <v>58.971000000000004</v>
      </c>
      <c r="R219" s="91">
        <f>SUMPRODUCT(Q220:Q226,R220:R226)/Q219</f>
        <v>61.690772922283827</v>
      </c>
      <c r="S219" s="91">
        <f>SUM(S220:S226)</f>
        <v>58.971000000000004</v>
      </c>
      <c r="T219" s="91">
        <f>SUMPRODUCT(S220:S226,T220:T226)/S219</f>
        <v>66.035417069406989</v>
      </c>
      <c r="U219" s="92">
        <f>T219/R219</f>
        <v>1.0704261584239902</v>
      </c>
      <c r="V219" s="171">
        <f t="shared" si="127"/>
        <v>1.0680898791951392</v>
      </c>
    </row>
    <row r="220" spans="1:22" hidden="1">
      <c r="A220" s="97" t="s">
        <v>60</v>
      </c>
      <c r="B220" s="91">
        <f>8.41/2</f>
        <v>4.2050000000000001</v>
      </c>
      <c r="C220" s="91">
        <v>172.04</v>
      </c>
      <c r="D220" s="91">
        <f>B220</f>
        <v>4.2050000000000001</v>
      </c>
      <c r="E220" s="91">
        <v>185.25</v>
      </c>
      <c r="F220" s="92">
        <f>(E220*D220)/(C220*B220)</f>
        <v>1.0767844687282029</v>
      </c>
      <c r="G220" s="91">
        <f>3.578/2</f>
        <v>1.7889999999999999</v>
      </c>
      <c r="H220" s="91">
        <v>66.81</v>
      </c>
      <c r="I220" s="91">
        <f>3.578/2</f>
        <v>1.7889999999999999</v>
      </c>
      <c r="J220" s="91">
        <v>71.55</v>
      </c>
      <c r="K220" s="92">
        <f>(J220*I220)/(H220*G220)</f>
        <v>1.0709474629546476</v>
      </c>
      <c r="L220" s="91"/>
      <c r="M220" s="91"/>
      <c r="N220" s="91"/>
      <c r="O220" s="91"/>
      <c r="P220" s="92"/>
      <c r="Q220" s="96"/>
      <c r="R220" s="96"/>
      <c r="S220" s="96"/>
      <c r="T220" s="96"/>
      <c r="U220" s="92"/>
      <c r="V220" s="171">
        <f t="shared" si="127"/>
        <v>1.0767844687282029</v>
      </c>
    </row>
    <row r="221" spans="1:22" hidden="1">
      <c r="A221" s="97" t="s">
        <v>61</v>
      </c>
      <c r="B221" s="91">
        <f>122.838/2</f>
        <v>61.418999999999997</v>
      </c>
      <c r="C221" s="91">
        <v>50.68</v>
      </c>
      <c r="D221" s="91">
        <f>B221</f>
        <v>61.418999999999997</v>
      </c>
      <c r="E221" s="91">
        <v>54.29</v>
      </c>
      <c r="F221" s="92">
        <f t="shared" ref="F221:F226" si="128">(E221*D221)/(C221*B221)</f>
        <v>1.0712312549329124</v>
      </c>
      <c r="G221" s="91">
        <f>63.27/2</f>
        <v>31.635000000000002</v>
      </c>
      <c r="H221" s="91">
        <v>50.68</v>
      </c>
      <c r="I221" s="91">
        <f>G221</f>
        <v>31.635000000000002</v>
      </c>
      <c r="J221" s="91">
        <v>54.29</v>
      </c>
      <c r="K221" s="92">
        <f t="shared" ref="K221:K226" si="129">(J221*I221)/(H221*G221)</f>
        <v>1.0712312549329124</v>
      </c>
      <c r="L221" s="91">
        <f>22.89/2</f>
        <v>11.445</v>
      </c>
      <c r="M221" s="91">
        <v>100.72</v>
      </c>
      <c r="N221" s="91">
        <f>L221</f>
        <v>11.445</v>
      </c>
      <c r="O221" s="91">
        <v>107.98</v>
      </c>
      <c r="P221" s="92">
        <f t="shared" ref="P221:P224" si="130">(O221*N221)/(M221*L221)</f>
        <v>1.0720810166799049</v>
      </c>
      <c r="Q221" s="96">
        <f>7.636/2</f>
        <v>3.8180000000000001</v>
      </c>
      <c r="R221" s="96">
        <v>75.5</v>
      </c>
      <c r="S221" s="96">
        <f>7.636/2</f>
        <v>3.8180000000000001</v>
      </c>
      <c r="T221" s="96">
        <v>80.86</v>
      </c>
      <c r="U221" s="92">
        <f t="shared" ref="U221:U224" si="131">T221/R221</f>
        <v>1.0709933774834437</v>
      </c>
      <c r="V221" s="171">
        <f t="shared" si="127"/>
        <v>1.0717965653896961</v>
      </c>
    </row>
    <row r="222" spans="1:22" hidden="1">
      <c r="A222" s="97" t="s">
        <v>62</v>
      </c>
      <c r="B222" s="91">
        <f>103.382/2</f>
        <v>51.691000000000003</v>
      </c>
      <c r="C222" s="91">
        <v>43.56</v>
      </c>
      <c r="D222" s="91">
        <f>103.382/2</f>
        <v>51.691000000000003</v>
      </c>
      <c r="E222" s="91">
        <v>46.65</v>
      </c>
      <c r="F222" s="92">
        <f t="shared" si="128"/>
        <v>1.0709366391184572</v>
      </c>
      <c r="G222" s="91">
        <f>37.679/2</f>
        <v>18.839500000000001</v>
      </c>
      <c r="H222" s="91">
        <v>43.56</v>
      </c>
      <c r="I222" s="91">
        <f>37.679/2</f>
        <v>18.839500000000001</v>
      </c>
      <c r="J222" s="91">
        <v>46.65</v>
      </c>
      <c r="K222" s="92">
        <f t="shared" si="129"/>
        <v>1.0709366391184572</v>
      </c>
      <c r="L222" s="91">
        <f>74.838/2</f>
        <v>37.418999999999997</v>
      </c>
      <c r="M222" s="91">
        <v>60.3</v>
      </c>
      <c r="N222" s="91">
        <f>74.838/2</f>
        <v>37.418999999999997</v>
      </c>
      <c r="O222" s="91">
        <v>64.58</v>
      </c>
      <c r="P222" s="92">
        <f t="shared" si="130"/>
        <v>1.0709784411276948</v>
      </c>
      <c r="Q222" s="96">
        <f>36.72/2</f>
        <v>18.36</v>
      </c>
      <c r="R222" s="96">
        <v>60.3</v>
      </c>
      <c r="S222" s="96">
        <f>36.72/2</f>
        <v>18.36</v>
      </c>
      <c r="T222" s="96">
        <v>64.58</v>
      </c>
      <c r="U222" s="92">
        <f t="shared" si="131"/>
        <v>1.0709784411276948</v>
      </c>
      <c r="V222" s="171">
        <f t="shared" si="127"/>
        <v>1.0709609089158483</v>
      </c>
    </row>
    <row r="223" spans="1:22" hidden="1">
      <c r="A223" s="97" t="s">
        <v>63</v>
      </c>
      <c r="B223" s="91">
        <f>44.819/2</f>
        <v>22.409500000000001</v>
      </c>
      <c r="C223" s="91">
        <v>57.5</v>
      </c>
      <c r="D223" s="91">
        <f>44.819/2</f>
        <v>22.409500000000001</v>
      </c>
      <c r="E223" s="91">
        <v>60.11</v>
      </c>
      <c r="F223" s="92">
        <f t="shared" si="128"/>
        <v>1.045391304347826</v>
      </c>
      <c r="G223" s="91">
        <f>35.664/2</f>
        <v>17.832000000000001</v>
      </c>
      <c r="H223" s="91">
        <v>57.5</v>
      </c>
      <c r="I223" s="91">
        <f>35.664/2</f>
        <v>17.832000000000001</v>
      </c>
      <c r="J223" s="91">
        <v>60.11</v>
      </c>
      <c r="K223" s="92">
        <f t="shared" si="129"/>
        <v>1.045391304347826</v>
      </c>
      <c r="L223" s="91">
        <f>35.152/2</f>
        <v>17.576000000000001</v>
      </c>
      <c r="M223" s="91">
        <v>103.44</v>
      </c>
      <c r="N223" s="91">
        <f>35.152/2</f>
        <v>17.576000000000001</v>
      </c>
      <c r="O223" s="91">
        <v>109</v>
      </c>
      <c r="P223" s="92">
        <f t="shared" si="130"/>
        <v>1.0537509667440064</v>
      </c>
      <c r="Q223" s="96">
        <f>32.076/2</f>
        <v>16.038</v>
      </c>
      <c r="R223" s="96">
        <v>64.94</v>
      </c>
      <c r="S223" s="96">
        <f>32.076/2</f>
        <v>16.038</v>
      </c>
      <c r="T223" s="96">
        <v>69.55</v>
      </c>
      <c r="U223" s="92">
        <f t="shared" si="131"/>
        <v>1.0709886048660302</v>
      </c>
      <c r="V223" s="171">
        <f t="shared" si="127"/>
        <v>1.0507642599726608</v>
      </c>
    </row>
    <row r="224" spans="1:22" hidden="1">
      <c r="A224" s="97" t="s">
        <v>64</v>
      </c>
      <c r="B224" s="91">
        <f>117.29/2</f>
        <v>58.645000000000003</v>
      </c>
      <c r="C224" s="91">
        <v>52.32</v>
      </c>
      <c r="D224" s="91">
        <f>117.29/2</f>
        <v>58.645000000000003</v>
      </c>
      <c r="E224" s="91">
        <v>53.03</v>
      </c>
      <c r="F224" s="92">
        <f t="shared" si="128"/>
        <v>1.0135703363914372</v>
      </c>
      <c r="G224" s="91">
        <f>36.68/2</f>
        <v>18.34</v>
      </c>
      <c r="H224" s="91">
        <v>52.32</v>
      </c>
      <c r="I224" s="91">
        <f>36.68/2</f>
        <v>18.34</v>
      </c>
      <c r="J224" s="91">
        <v>53.03</v>
      </c>
      <c r="K224" s="92">
        <f t="shared" si="129"/>
        <v>1.0135703363914372</v>
      </c>
      <c r="L224" s="91">
        <f>70.07/2</f>
        <v>35.034999999999997</v>
      </c>
      <c r="M224" s="91">
        <v>57.87</v>
      </c>
      <c r="N224" s="91">
        <f>70.07/2</f>
        <v>35.034999999999997</v>
      </c>
      <c r="O224" s="91">
        <v>61.88</v>
      </c>
      <c r="P224" s="92">
        <f t="shared" si="130"/>
        <v>1.0692932434767584</v>
      </c>
      <c r="Q224" s="96">
        <f>41.51/2</f>
        <v>20.754999999999999</v>
      </c>
      <c r="R224" s="96">
        <v>57.87</v>
      </c>
      <c r="S224" s="96">
        <f>Q224</f>
        <v>20.754999999999999</v>
      </c>
      <c r="T224" s="96">
        <v>61.88</v>
      </c>
      <c r="U224" s="92">
        <f t="shared" si="131"/>
        <v>1.0692932434767584</v>
      </c>
      <c r="V224" s="171">
        <f t="shared" si="127"/>
        <v>1.0428351030039023</v>
      </c>
    </row>
    <row r="225" spans="1:22" hidden="1">
      <c r="A225" s="97" t="s">
        <v>64</v>
      </c>
      <c r="B225" s="91">
        <f>1.8/2</f>
        <v>0.9</v>
      </c>
      <c r="C225" s="91">
        <v>224.8</v>
      </c>
      <c r="D225" s="91">
        <f>1.8/2</f>
        <v>0.9</v>
      </c>
      <c r="E225" s="91">
        <v>237.12</v>
      </c>
      <c r="F225" s="92">
        <f t="shared" si="128"/>
        <v>1.0548042704626335</v>
      </c>
      <c r="G225" s="91">
        <f>1.68/2</f>
        <v>0.84</v>
      </c>
      <c r="H225" s="91">
        <v>224.8</v>
      </c>
      <c r="I225" s="91">
        <f>1.68/2</f>
        <v>0.84</v>
      </c>
      <c r="J225" s="91">
        <v>237.12</v>
      </c>
      <c r="K225" s="92">
        <f t="shared" si="129"/>
        <v>1.0548042704626335</v>
      </c>
      <c r="L225" s="91"/>
      <c r="M225" s="91"/>
      <c r="N225" s="91"/>
      <c r="O225" s="91"/>
      <c r="P225" s="92"/>
      <c r="Q225" s="96"/>
      <c r="R225" s="96"/>
      <c r="S225" s="96"/>
      <c r="T225" s="96"/>
      <c r="U225" s="92"/>
      <c r="V225" s="171">
        <f t="shared" si="127"/>
        <v>1.0548042704626335</v>
      </c>
    </row>
    <row r="226" spans="1:22" hidden="1">
      <c r="A226" s="97" t="s">
        <v>65</v>
      </c>
      <c r="B226" s="91">
        <f>49.9/2</f>
        <v>24.95</v>
      </c>
      <c r="C226" s="91">
        <v>83.54</v>
      </c>
      <c r="D226" s="91">
        <f>B226</f>
        <v>24.95</v>
      </c>
      <c r="E226" s="91">
        <v>97.42</v>
      </c>
      <c r="F226" s="92">
        <f t="shared" si="128"/>
        <v>1.1661479530763703</v>
      </c>
      <c r="G226" s="99">
        <f>41.2/2</f>
        <v>20.6</v>
      </c>
      <c r="H226" s="99">
        <v>83.54</v>
      </c>
      <c r="I226" s="91">
        <f>G226</f>
        <v>20.6</v>
      </c>
      <c r="J226" s="99">
        <v>90.64</v>
      </c>
      <c r="K226" s="92">
        <f t="shared" si="129"/>
        <v>1.0849892267177399</v>
      </c>
      <c r="L226" s="91"/>
      <c r="M226" s="91"/>
      <c r="N226" s="91"/>
      <c r="O226" s="91"/>
      <c r="P226" s="92"/>
      <c r="Q226" s="96"/>
      <c r="R226" s="96"/>
      <c r="S226" s="96"/>
      <c r="T226" s="96"/>
      <c r="U226" s="92"/>
      <c r="V226" s="171">
        <f t="shared" si="127"/>
        <v>1.1661479530763705</v>
      </c>
    </row>
    <row r="227" spans="1:22">
      <c r="A227" s="104" t="s">
        <v>242</v>
      </c>
      <c r="B227" s="91">
        <f>SUM(B228:B240)</f>
        <v>322.27149999999995</v>
      </c>
      <c r="C227" s="91">
        <f>SUMPRODUCT(B228:B240,C228:C240)/B227</f>
        <v>58.752237662964305</v>
      </c>
      <c r="D227" s="91">
        <f>SUM(D228:D240)</f>
        <v>322.27149999999995</v>
      </c>
      <c r="E227" s="91">
        <f>SUMPRODUCT(D228:D240,E228:E240)/D227</f>
        <v>61.643030519298179</v>
      </c>
      <c r="F227" s="92">
        <f>E227/C227</f>
        <v>1.0492031107464719</v>
      </c>
      <c r="G227" s="91">
        <f>SUM(G228:G240)</f>
        <v>222.75349999999997</v>
      </c>
      <c r="H227" s="91">
        <f>SUMPRODUCT(G228:G240,H228:H240)/G227</f>
        <v>53.394755413495183</v>
      </c>
      <c r="I227" s="91">
        <f>SUM(I228:I240)</f>
        <v>222.75349999999997</v>
      </c>
      <c r="J227" s="91">
        <f>SUMPRODUCT(I228:I240,J228:J240)/I227</f>
        <v>56.694683360755285</v>
      </c>
      <c r="K227" s="92">
        <f>J227/H227</f>
        <v>1.0618024733272973</v>
      </c>
      <c r="L227" s="91">
        <f>SUM(L228:L240)</f>
        <v>234.41649999999996</v>
      </c>
      <c r="M227" s="91">
        <f>SUMPRODUCT(L228:L240,M228:M240)/L227</f>
        <v>78.808459622082921</v>
      </c>
      <c r="N227" s="91">
        <f>SUM(N228:N240)</f>
        <v>234.41649999999996</v>
      </c>
      <c r="O227" s="91">
        <f>SUMPRODUCT(N228:N240,O228:O240)/N227</f>
        <v>81.702456908963327</v>
      </c>
      <c r="P227" s="92">
        <f>O227/M227</f>
        <v>1.0367219115911952</v>
      </c>
      <c r="Q227" s="91">
        <f>SUM(Q228:Q240)</f>
        <v>184.43449999999999</v>
      </c>
      <c r="R227" s="91">
        <f>SUMPRODUCT(Q228:Q240,R228:R240)/Q227</f>
        <v>70.556896215187493</v>
      </c>
      <c r="S227" s="91">
        <f>SUM(S228:S240)</f>
        <v>184.43449999999999</v>
      </c>
      <c r="T227" s="91">
        <f>SUMPRODUCT(S228:S240,T228:T240)/S227</f>
        <v>73.955773865518651</v>
      </c>
      <c r="U227" s="92">
        <f>T227/R227</f>
        <v>1.0481721537178323</v>
      </c>
      <c r="V227" s="171">
        <f t="shared" si="127"/>
        <v>1.0420526375439001</v>
      </c>
    </row>
    <row r="228" spans="1:22" hidden="1">
      <c r="A228" s="109" t="s">
        <v>43</v>
      </c>
      <c r="B228" s="91">
        <f>237.35/2</f>
        <v>118.675</v>
      </c>
      <c r="C228" s="91">
        <v>70.02</v>
      </c>
      <c r="D228" s="91">
        <f>B228</f>
        <v>118.675</v>
      </c>
      <c r="E228" s="91">
        <v>74.16</v>
      </c>
      <c r="F228" s="92">
        <f>(E228*D228)/(C228*B228)</f>
        <v>1.0591259640102828</v>
      </c>
      <c r="G228" s="115">
        <f>112.506/2</f>
        <v>56.253</v>
      </c>
      <c r="H228" s="115">
        <v>60.65</v>
      </c>
      <c r="I228" s="115">
        <f>G228</f>
        <v>56.253</v>
      </c>
      <c r="J228" s="115">
        <v>64.959999999999994</v>
      </c>
      <c r="K228" s="92">
        <f>(J228*I228)/(H228*G228)</f>
        <v>1.0710634789777409</v>
      </c>
      <c r="L228" s="91">
        <f>106.37/2</f>
        <v>53.185000000000002</v>
      </c>
      <c r="M228" s="91">
        <v>75.33</v>
      </c>
      <c r="N228" s="91">
        <f>L228</f>
        <v>53.185000000000002</v>
      </c>
      <c r="O228" s="91">
        <v>78.62</v>
      </c>
      <c r="P228" s="92">
        <f>(O228*N228)/(M228*L228)</f>
        <v>1.0436744988716316</v>
      </c>
      <c r="Q228" s="91">
        <f>89.58/2</f>
        <v>44.79</v>
      </c>
      <c r="R228" s="91">
        <v>62.8</v>
      </c>
      <c r="S228" s="91">
        <f>Q228</f>
        <v>44.79</v>
      </c>
      <c r="T228" s="91">
        <v>67.260000000000005</v>
      </c>
      <c r="U228" s="92">
        <f>(T228*S228)/(R228*Q228)</f>
        <v>1.0710191082802549</v>
      </c>
      <c r="V228" s="171">
        <f t="shared" si="127"/>
        <v>1.0511179910560715</v>
      </c>
    </row>
    <row r="229" spans="1:22" hidden="1">
      <c r="A229" s="109" t="s">
        <v>43</v>
      </c>
      <c r="B229" s="91"/>
      <c r="C229" s="91"/>
      <c r="D229" s="91"/>
      <c r="E229" s="91"/>
      <c r="F229" s="92"/>
      <c r="G229" s="115">
        <f>40.74/2</f>
        <v>20.37</v>
      </c>
      <c r="H229" s="115">
        <v>57.84</v>
      </c>
      <c r="I229" s="115">
        <f>G229</f>
        <v>20.37</v>
      </c>
      <c r="J229" s="115">
        <v>61.95</v>
      </c>
      <c r="K229" s="92">
        <f>(J229*I229)/(H229*G229)</f>
        <v>1.071058091286307</v>
      </c>
      <c r="L229" s="91">
        <f>50.79/2</f>
        <v>25.395</v>
      </c>
      <c r="M229" s="91">
        <v>110.65</v>
      </c>
      <c r="N229" s="91">
        <f>L229</f>
        <v>25.395</v>
      </c>
      <c r="O229" s="91">
        <v>112.01</v>
      </c>
      <c r="P229" s="92">
        <f>(O229*N229)/(M229*L229)</f>
        <v>1.0122910076818796</v>
      </c>
      <c r="Q229" s="91">
        <f>32.37/2</f>
        <v>16.184999999999999</v>
      </c>
      <c r="R229" s="91">
        <v>98.79</v>
      </c>
      <c r="S229" s="91">
        <f>Q229</f>
        <v>16.184999999999999</v>
      </c>
      <c r="T229" s="91">
        <v>105.8</v>
      </c>
      <c r="U229" s="92">
        <f>(T229*S229)/(R229*Q229)</f>
        <v>1.0709585990484867</v>
      </c>
      <c r="V229" s="171">
        <f t="shared" si="127"/>
        <v>1.0122910076818799</v>
      </c>
    </row>
    <row r="230" spans="1:22" hidden="1">
      <c r="A230" s="109" t="s">
        <v>44</v>
      </c>
      <c r="B230" s="91"/>
      <c r="C230" s="91"/>
      <c r="D230" s="91">
        <f t="shared" ref="D230:D240" si="132">B230</f>
        <v>0</v>
      </c>
      <c r="E230" s="91"/>
      <c r="F230" s="92"/>
      <c r="G230" s="115">
        <v>0</v>
      </c>
      <c r="H230" s="115"/>
      <c r="I230" s="115">
        <f t="shared" ref="I230:I240" si="133">G230</f>
        <v>0</v>
      </c>
      <c r="J230" s="115"/>
      <c r="K230" s="92"/>
      <c r="L230" s="91">
        <v>0</v>
      </c>
      <c r="M230" s="91"/>
      <c r="N230" s="91">
        <f t="shared" ref="N230:N240" si="134">L230</f>
        <v>0</v>
      </c>
      <c r="O230" s="91"/>
      <c r="P230" s="92"/>
      <c r="Q230" s="91">
        <v>0</v>
      </c>
      <c r="R230" s="91"/>
      <c r="S230" s="91">
        <f t="shared" ref="S230:S240" si="135">Q230</f>
        <v>0</v>
      </c>
      <c r="T230" s="91"/>
      <c r="U230" s="92"/>
      <c r="V230" s="171" t="e">
        <f t="shared" si="127"/>
        <v>#DIV/0!</v>
      </c>
    </row>
    <row r="231" spans="1:22" hidden="1">
      <c r="A231" s="109" t="s">
        <v>45</v>
      </c>
      <c r="B231" s="91">
        <f>24.403/2</f>
        <v>12.201499999999999</v>
      </c>
      <c r="C231" s="91">
        <v>62.34</v>
      </c>
      <c r="D231" s="91">
        <f t="shared" si="132"/>
        <v>12.201499999999999</v>
      </c>
      <c r="E231" s="91">
        <v>62.34</v>
      </c>
      <c r="F231" s="92">
        <f t="shared" ref="F231:F240" si="136">(E231*D231)/(C231*B231)</f>
        <v>1</v>
      </c>
      <c r="G231" s="115">
        <f>19.611/2</f>
        <v>9.8055000000000003</v>
      </c>
      <c r="H231" s="115">
        <v>60.3</v>
      </c>
      <c r="I231" s="115">
        <f t="shared" si="133"/>
        <v>9.8055000000000003</v>
      </c>
      <c r="J231" s="115">
        <v>62.34</v>
      </c>
      <c r="K231" s="92">
        <f t="shared" ref="K231:K240" si="137">(J231*I231)/(H231*G231)</f>
        <v>1.0338308457711445</v>
      </c>
      <c r="L231" s="91">
        <f>24.849/2</f>
        <v>12.4245</v>
      </c>
      <c r="M231" s="91">
        <f>148.33</f>
        <v>148.33000000000001</v>
      </c>
      <c r="N231" s="91">
        <f t="shared" si="134"/>
        <v>12.4245</v>
      </c>
      <c r="O231" s="91">
        <v>157.13999999999999</v>
      </c>
      <c r="P231" s="92">
        <f t="shared" ref="P231:P240" si="138">(O231*N231)/(M231*L231)</f>
        <v>1.0593945931369244</v>
      </c>
      <c r="Q231" s="91">
        <f>22.32/2</f>
        <v>11.16</v>
      </c>
      <c r="R231" s="91">
        <v>141.80000000000001</v>
      </c>
      <c r="S231" s="91">
        <f t="shared" si="135"/>
        <v>11.16</v>
      </c>
      <c r="T231" s="91">
        <v>141.80000000000001</v>
      </c>
      <c r="U231" s="92">
        <f t="shared" ref="U231:U240" si="139">(T231*S231)/(R231*Q231)</f>
        <v>1</v>
      </c>
      <c r="V231" s="171">
        <f t="shared" si="127"/>
        <v>1.0418189585607822</v>
      </c>
    </row>
    <row r="232" spans="1:22" hidden="1">
      <c r="A232" s="109" t="s">
        <v>46</v>
      </c>
      <c r="B232" s="91">
        <f>118.14/2</f>
        <v>59.07</v>
      </c>
      <c r="C232" s="91">
        <v>31.49</v>
      </c>
      <c r="D232" s="91">
        <f t="shared" si="132"/>
        <v>59.07</v>
      </c>
      <c r="E232" s="91">
        <v>33.369999999999997</v>
      </c>
      <c r="F232" s="92">
        <f t="shared" si="136"/>
        <v>1.0597014925373134</v>
      </c>
      <c r="G232" s="115">
        <f>97.69/2</f>
        <v>48.844999999999999</v>
      </c>
      <c r="H232" s="115">
        <v>31.49</v>
      </c>
      <c r="I232" s="115">
        <f t="shared" si="133"/>
        <v>48.844999999999999</v>
      </c>
      <c r="J232" s="115">
        <v>33.369999999999997</v>
      </c>
      <c r="K232" s="92">
        <f t="shared" si="137"/>
        <v>1.0597014925373134</v>
      </c>
      <c r="L232" s="91">
        <f>116.32/2</f>
        <v>58.16</v>
      </c>
      <c r="M232" s="91">
        <v>44.47</v>
      </c>
      <c r="N232" s="91">
        <f t="shared" si="134"/>
        <v>58.16</v>
      </c>
      <c r="O232" s="91">
        <v>46.96</v>
      </c>
      <c r="P232" s="92">
        <f t="shared" si="138"/>
        <v>1.055992804137621</v>
      </c>
      <c r="Q232" s="91">
        <f>109.08/2</f>
        <v>54.54</v>
      </c>
      <c r="R232" s="91">
        <v>44.47</v>
      </c>
      <c r="S232" s="91">
        <f t="shared" si="135"/>
        <v>54.54</v>
      </c>
      <c r="T232" s="91">
        <v>46.96</v>
      </c>
      <c r="U232" s="92">
        <f t="shared" si="139"/>
        <v>1.055992804137621</v>
      </c>
      <c r="V232" s="171">
        <f t="shared" si="127"/>
        <v>1.0575302790942602</v>
      </c>
    </row>
    <row r="233" spans="1:22" hidden="1">
      <c r="A233" s="109" t="s">
        <v>47</v>
      </c>
      <c r="B233" s="91">
        <f>21.27/2</f>
        <v>10.635</v>
      </c>
      <c r="C233" s="91">
        <v>107.52</v>
      </c>
      <c r="D233" s="91">
        <f t="shared" si="132"/>
        <v>10.635</v>
      </c>
      <c r="E233" s="91">
        <v>110.2</v>
      </c>
      <c r="F233" s="92">
        <f t="shared" si="136"/>
        <v>1.0249255952380953</v>
      </c>
      <c r="G233" s="115">
        <f>15.9/2</f>
        <v>7.95</v>
      </c>
      <c r="H233" s="115">
        <v>80</v>
      </c>
      <c r="I233" s="115">
        <f t="shared" si="133"/>
        <v>7.95</v>
      </c>
      <c r="J233" s="115">
        <v>83.6</v>
      </c>
      <c r="K233" s="92">
        <f t="shared" si="137"/>
        <v>1.0449999999999999</v>
      </c>
      <c r="L233" s="91">
        <f>15.76/2</f>
        <v>7.88</v>
      </c>
      <c r="M233" s="91">
        <v>121.67</v>
      </c>
      <c r="N233" s="91">
        <f t="shared" si="134"/>
        <v>7.88</v>
      </c>
      <c r="O233" s="91">
        <v>121.67</v>
      </c>
      <c r="P233" s="92">
        <f t="shared" si="138"/>
        <v>1</v>
      </c>
      <c r="Q233" s="91">
        <f>13.57/2</f>
        <v>6.7850000000000001</v>
      </c>
      <c r="R233" s="91">
        <v>80</v>
      </c>
      <c r="S233" s="91">
        <f t="shared" si="135"/>
        <v>6.7850000000000001</v>
      </c>
      <c r="T233" s="91">
        <v>83.6</v>
      </c>
      <c r="U233" s="92">
        <f t="shared" si="139"/>
        <v>1.0450000000000002</v>
      </c>
      <c r="V233" s="171">
        <f t="shared" si="127"/>
        <v>1.0116933548584144</v>
      </c>
    </row>
    <row r="234" spans="1:22" hidden="1">
      <c r="A234" s="109" t="s">
        <v>48</v>
      </c>
      <c r="B234" s="91">
        <f>16.63/2</f>
        <v>8.3149999999999995</v>
      </c>
      <c r="C234" s="91">
        <v>70</v>
      </c>
      <c r="D234" s="91">
        <f t="shared" si="132"/>
        <v>8.3149999999999995</v>
      </c>
      <c r="E234" s="91">
        <v>72.55</v>
      </c>
      <c r="F234" s="92">
        <f t="shared" si="136"/>
        <v>1.0364285714285715</v>
      </c>
      <c r="G234" s="115">
        <f>13.7/2</f>
        <v>6.85</v>
      </c>
      <c r="H234" s="115">
        <v>70</v>
      </c>
      <c r="I234" s="115">
        <f t="shared" si="133"/>
        <v>6.85</v>
      </c>
      <c r="J234" s="115">
        <v>72.55</v>
      </c>
      <c r="K234" s="92">
        <f t="shared" si="137"/>
        <v>1.0364285714285715</v>
      </c>
      <c r="L234" s="91"/>
      <c r="M234" s="91"/>
      <c r="N234" s="91">
        <f t="shared" si="134"/>
        <v>0</v>
      </c>
      <c r="O234" s="91"/>
      <c r="P234" s="92"/>
      <c r="Q234" s="91"/>
      <c r="R234" s="91"/>
      <c r="S234" s="91">
        <f t="shared" si="135"/>
        <v>0</v>
      </c>
      <c r="T234" s="91"/>
      <c r="U234" s="92"/>
      <c r="V234" s="171">
        <f t="shared" si="127"/>
        <v>1.0364285714285715</v>
      </c>
    </row>
    <row r="235" spans="1:22" hidden="1">
      <c r="A235" s="109" t="s">
        <v>49</v>
      </c>
      <c r="B235" s="91">
        <f>60.25/2</f>
        <v>30.125</v>
      </c>
      <c r="C235" s="91">
        <v>58.66</v>
      </c>
      <c r="D235" s="91">
        <f t="shared" si="132"/>
        <v>30.125</v>
      </c>
      <c r="E235" s="91">
        <v>60.16</v>
      </c>
      <c r="F235" s="92">
        <f t="shared" si="136"/>
        <v>1.0255710876235935</v>
      </c>
      <c r="G235" s="115">
        <f>46.08/2</f>
        <v>23.04</v>
      </c>
      <c r="H235" s="115">
        <v>56.31</v>
      </c>
      <c r="I235" s="115">
        <f t="shared" si="133"/>
        <v>23.04</v>
      </c>
      <c r="J235" s="115">
        <v>60.16</v>
      </c>
      <c r="K235" s="92">
        <f t="shared" si="137"/>
        <v>1.0683715148286272</v>
      </c>
      <c r="L235" s="91">
        <f>19.014/2</f>
        <v>9.5069999999999997</v>
      </c>
      <c r="M235" s="91">
        <v>166.77</v>
      </c>
      <c r="N235" s="91">
        <f t="shared" si="134"/>
        <v>9.5069999999999997</v>
      </c>
      <c r="O235" s="91">
        <v>181.18</v>
      </c>
      <c r="P235" s="92">
        <f t="shared" si="138"/>
        <v>1.0864064280146308</v>
      </c>
      <c r="Q235" s="91">
        <f>11.219/2</f>
        <v>5.6094999999999997</v>
      </c>
      <c r="R235" s="91">
        <v>162.15</v>
      </c>
      <c r="S235" s="91">
        <f t="shared" si="135"/>
        <v>5.6094999999999997</v>
      </c>
      <c r="T235" s="91">
        <v>162.15</v>
      </c>
      <c r="U235" s="92">
        <f t="shared" si="139"/>
        <v>1</v>
      </c>
      <c r="V235" s="171">
        <f t="shared" si="127"/>
        <v>1.070576232089784</v>
      </c>
    </row>
    <row r="236" spans="1:22" hidden="1">
      <c r="A236" s="109" t="s">
        <v>49</v>
      </c>
      <c r="B236" s="91"/>
      <c r="C236" s="91"/>
      <c r="D236" s="91">
        <f t="shared" si="132"/>
        <v>0</v>
      </c>
      <c r="E236" s="91"/>
      <c r="F236" s="92"/>
      <c r="G236" s="115"/>
      <c r="H236" s="115"/>
      <c r="I236" s="115">
        <f t="shared" si="133"/>
        <v>0</v>
      </c>
      <c r="J236" s="115"/>
      <c r="K236" s="92"/>
      <c r="L236" s="91">
        <f>4.61/2</f>
        <v>2.3050000000000002</v>
      </c>
      <c r="M236" s="91">
        <v>120.12</v>
      </c>
      <c r="N236" s="91">
        <f t="shared" si="134"/>
        <v>2.3050000000000002</v>
      </c>
      <c r="O236" s="91">
        <v>126.37</v>
      </c>
      <c r="P236" s="92">
        <f t="shared" si="138"/>
        <v>1.0520313020313021</v>
      </c>
      <c r="Q236" s="91">
        <f>4.61/2</f>
        <v>2.3050000000000002</v>
      </c>
      <c r="R236" s="91">
        <v>120.12</v>
      </c>
      <c r="S236" s="91">
        <f t="shared" si="135"/>
        <v>2.3050000000000002</v>
      </c>
      <c r="T236" s="91">
        <v>126.37</v>
      </c>
      <c r="U236" s="92">
        <f t="shared" si="139"/>
        <v>1.0520313020313021</v>
      </c>
      <c r="V236" s="171">
        <f t="shared" si="127"/>
        <v>1.0520313020313021</v>
      </c>
    </row>
    <row r="237" spans="1:22" hidden="1">
      <c r="A237" s="109" t="s">
        <v>50</v>
      </c>
      <c r="B237" s="91">
        <f>13.9/2</f>
        <v>6.95</v>
      </c>
      <c r="C237" s="91">
        <v>114.2</v>
      </c>
      <c r="D237" s="91">
        <f t="shared" si="132"/>
        <v>6.95</v>
      </c>
      <c r="E237" s="91">
        <v>116.94</v>
      </c>
      <c r="F237" s="92">
        <f t="shared" si="136"/>
        <v>1.0239929947460595</v>
      </c>
      <c r="G237" s="115">
        <f>12.15/2</f>
        <v>6.0750000000000002</v>
      </c>
      <c r="H237" s="115">
        <v>104</v>
      </c>
      <c r="I237" s="115">
        <f t="shared" si="133"/>
        <v>6.0750000000000002</v>
      </c>
      <c r="J237" s="115">
        <v>111.38</v>
      </c>
      <c r="K237" s="92">
        <f t="shared" si="137"/>
        <v>1.0709615384615383</v>
      </c>
      <c r="L237" s="91">
        <f>2.9/2</f>
        <v>1.45</v>
      </c>
      <c r="M237" s="91">
        <v>30.83</v>
      </c>
      <c r="N237" s="91">
        <f t="shared" si="134"/>
        <v>1.45</v>
      </c>
      <c r="O237" s="91">
        <v>32.770000000000003</v>
      </c>
      <c r="P237" s="92">
        <f t="shared" si="138"/>
        <v>1.0629257216996433</v>
      </c>
      <c r="Q237" s="91">
        <f>2.1/2</f>
        <v>1.05</v>
      </c>
      <c r="R237" s="91">
        <v>30.83</v>
      </c>
      <c r="S237" s="91">
        <f t="shared" si="135"/>
        <v>1.05</v>
      </c>
      <c r="T237" s="91">
        <v>32.770000000000003</v>
      </c>
      <c r="U237" s="92">
        <f t="shared" si="139"/>
        <v>1.0629257216996435</v>
      </c>
      <c r="V237" s="171">
        <f t="shared" si="127"/>
        <v>1.0322691856857202</v>
      </c>
    </row>
    <row r="238" spans="1:22" hidden="1">
      <c r="A238" s="109" t="s">
        <v>51</v>
      </c>
      <c r="B238" s="91">
        <f>1.2/2</f>
        <v>0.6</v>
      </c>
      <c r="C238" s="91">
        <v>15</v>
      </c>
      <c r="D238" s="91">
        <f t="shared" si="132"/>
        <v>0.6</v>
      </c>
      <c r="E238" s="91">
        <v>15.93</v>
      </c>
      <c r="F238" s="92">
        <f t="shared" si="136"/>
        <v>1.0620000000000001</v>
      </c>
      <c r="G238" s="115">
        <f>1.2/2</f>
        <v>0.6</v>
      </c>
      <c r="H238" s="115">
        <v>15</v>
      </c>
      <c r="I238" s="115">
        <f t="shared" si="133"/>
        <v>0.6</v>
      </c>
      <c r="J238" s="115">
        <v>15.93</v>
      </c>
      <c r="K238" s="92">
        <f t="shared" si="137"/>
        <v>1.0620000000000001</v>
      </c>
      <c r="L238" s="91"/>
      <c r="M238" s="91"/>
      <c r="N238" s="91"/>
      <c r="O238" s="91"/>
      <c r="P238" s="92"/>
      <c r="Q238" s="91"/>
      <c r="R238" s="91"/>
      <c r="S238" s="91">
        <f t="shared" si="135"/>
        <v>0</v>
      </c>
      <c r="T238" s="91"/>
      <c r="U238" s="92"/>
      <c r="V238" s="171">
        <f t="shared" si="127"/>
        <v>1.0620000000000001</v>
      </c>
    </row>
    <row r="239" spans="1:22" hidden="1">
      <c r="A239" s="97" t="s">
        <v>54</v>
      </c>
      <c r="B239" s="91">
        <f>69.25/2</f>
        <v>34.625</v>
      </c>
      <c r="C239" s="91">
        <v>48.05</v>
      </c>
      <c r="D239" s="91">
        <f>B239</f>
        <v>34.625</v>
      </c>
      <c r="E239" s="91">
        <v>51.18</v>
      </c>
      <c r="F239" s="92">
        <f t="shared" si="136"/>
        <v>1.0651404786680543</v>
      </c>
      <c r="G239" s="91">
        <f>20.76/2</f>
        <v>10.38</v>
      </c>
      <c r="H239" s="91">
        <v>48.05</v>
      </c>
      <c r="I239" s="91">
        <f>G239</f>
        <v>10.38</v>
      </c>
      <c r="J239" s="91">
        <v>51.18</v>
      </c>
      <c r="K239" s="92">
        <f t="shared" si="137"/>
        <v>1.0651404786680543</v>
      </c>
      <c r="L239" s="91">
        <f>48.9/2</f>
        <v>24.45</v>
      </c>
      <c r="M239" s="91">
        <v>34.53</v>
      </c>
      <c r="N239" s="91">
        <f>L239</f>
        <v>24.45</v>
      </c>
      <c r="O239" s="91">
        <v>37</v>
      </c>
      <c r="P239" s="92">
        <f t="shared" ref="P239" si="140">(O239*N239)/(M239*L239)</f>
        <v>1.0715320011584129</v>
      </c>
      <c r="Q239" s="96">
        <f>20.76/2</f>
        <v>10.38</v>
      </c>
      <c r="R239" s="96">
        <v>34.53</v>
      </c>
      <c r="S239" s="96">
        <f>Q239</f>
        <v>10.38</v>
      </c>
      <c r="T239" s="112">
        <v>37</v>
      </c>
      <c r="U239" s="92">
        <f t="shared" ref="U239" si="141">T239/R239</f>
        <v>1.0715320011584129</v>
      </c>
      <c r="V239" s="171">
        <f t="shared" si="127"/>
        <v>1.0678130297892954</v>
      </c>
    </row>
    <row r="240" spans="1:22" hidden="1">
      <c r="A240" s="109" t="s">
        <v>52</v>
      </c>
      <c r="B240" s="96">
        <f>82.15/2</f>
        <v>41.075000000000003</v>
      </c>
      <c r="C240" s="96">
        <v>49.78</v>
      </c>
      <c r="D240" s="91">
        <f t="shared" si="132"/>
        <v>41.075000000000003</v>
      </c>
      <c r="E240" s="96">
        <v>52.37</v>
      </c>
      <c r="F240" s="92">
        <f t="shared" si="136"/>
        <v>1.0520289272800318</v>
      </c>
      <c r="G240" s="91">
        <f>65.17/2</f>
        <v>32.585000000000001</v>
      </c>
      <c r="H240" s="91">
        <v>49.78</v>
      </c>
      <c r="I240" s="115">
        <f t="shared" si="133"/>
        <v>32.585000000000001</v>
      </c>
      <c r="J240" s="91">
        <v>52.37</v>
      </c>
      <c r="K240" s="92">
        <f t="shared" si="137"/>
        <v>1.0520289272800321</v>
      </c>
      <c r="L240" s="96">
        <f>79.32/2</f>
        <v>39.659999999999997</v>
      </c>
      <c r="M240" s="96">
        <v>88.71</v>
      </c>
      <c r="N240" s="91">
        <f t="shared" si="134"/>
        <v>39.659999999999997</v>
      </c>
      <c r="O240" s="96">
        <v>88.71</v>
      </c>
      <c r="P240" s="92">
        <f t="shared" si="138"/>
        <v>1</v>
      </c>
      <c r="Q240" s="91">
        <f>63.26/2</f>
        <v>31.63</v>
      </c>
      <c r="R240" s="91">
        <v>78.2</v>
      </c>
      <c r="S240" s="91">
        <f t="shared" si="135"/>
        <v>31.63</v>
      </c>
      <c r="T240" s="91">
        <v>81.72</v>
      </c>
      <c r="U240" s="92">
        <f t="shared" si="139"/>
        <v>1.0450127877237851</v>
      </c>
      <c r="V240" s="171">
        <f t="shared" si="127"/>
        <v>1.0187017113148962</v>
      </c>
    </row>
    <row r="241" spans="1:22" hidden="1">
      <c r="A241" s="97" t="s">
        <v>69</v>
      </c>
      <c r="B241" s="91">
        <f>SUM(B242:B251)</f>
        <v>757.09556779499997</v>
      </c>
      <c r="C241" s="91">
        <f>SUMPRODUCT(B242:B251,C242:C251)/B241</f>
        <v>29.62297649837129</v>
      </c>
      <c r="D241" s="91">
        <f>SUM(D242:D251)</f>
        <v>757.09556779499997</v>
      </c>
      <c r="E241" s="91">
        <f>SUMPRODUCT(D242:D251,E242:E251)/D241</f>
        <v>31.070706939265101</v>
      </c>
      <c r="F241" s="92">
        <f>E241/C241</f>
        <v>1.0488718762266651</v>
      </c>
      <c r="G241" s="91">
        <f>SUM(G242:G251)</f>
        <v>460.14299999999997</v>
      </c>
      <c r="H241" s="91">
        <f>SUMPRODUCT(G242:G251,H242:H251)/G241</f>
        <v>22.718571879478738</v>
      </c>
      <c r="I241" s="91">
        <f>SUM(I242:I251)</f>
        <v>460.14299999999997</v>
      </c>
      <c r="J241" s="91">
        <f>SUMPRODUCT(I242:I251,J242:J251)/I241</f>
        <v>24.348573988071582</v>
      </c>
      <c r="K241" s="92">
        <f>J241/H241</f>
        <v>1.0717475604206088</v>
      </c>
      <c r="L241" s="91">
        <f>SUM(L242:L251)</f>
        <v>614.23799999999994</v>
      </c>
      <c r="M241" s="91">
        <f>SUMPRODUCT(L242:L251,M242:M251)/L241</f>
        <v>31.605080945822309</v>
      </c>
      <c r="N241" s="91">
        <f>SUM(N242:N251)</f>
        <v>614.23799999999994</v>
      </c>
      <c r="O241" s="91">
        <f>SUMPRODUCT(N242:N251,O242:O251)/N241</f>
        <v>33.870761642881106</v>
      </c>
      <c r="P241" s="92">
        <f>O241/M241</f>
        <v>1.0716872296876141</v>
      </c>
      <c r="Q241" s="91">
        <f>SUM(Q242:Q251)</f>
        <v>367.66250000000002</v>
      </c>
      <c r="R241" s="91">
        <f>SUMPRODUCT(Q242:Q251,R242:R251)/Q241</f>
        <v>23.109462744652863</v>
      </c>
      <c r="S241" s="91">
        <f>SUM(S242:S251)</f>
        <v>367.66250000000002</v>
      </c>
      <c r="T241" s="91">
        <f>SUMPRODUCT(S242:S251,T242:T251)/S241</f>
        <v>24.752614406059347</v>
      </c>
      <c r="U241" s="92">
        <f>T241/R241</f>
        <v>1.0711029797430787</v>
      </c>
      <c r="V241" s="171">
        <f t="shared" si="127"/>
        <v>1.0606488478151899</v>
      </c>
    </row>
    <row r="242" spans="1:22" hidden="1">
      <c r="A242" s="90" t="s">
        <v>70</v>
      </c>
      <c r="B242" s="91">
        <f>1079.32/2</f>
        <v>539.66</v>
      </c>
      <c r="C242" s="91">
        <v>27.7</v>
      </c>
      <c r="D242" s="91">
        <f>B242</f>
        <v>539.66</v>
      </c>
      <c r="E242" s="91">
        <v>28.94</v>
      </c>
      <c r="F242" s="92">
        <f>(E242*D242)/(C242*B242)</f>
        <v>1.0447653429602888</v>
      </c>
      <c r="G242" s="91">
        <f>680/2</f>
        <v>340</v>
      </c>
      <c r="H242" s="91">
        <f>26.5/1.18</f>
        <v>22.457627118644069</v>
      </c>
      <c r="I242" s="91">
        <f>G242</f>
        <v>340</v>
      </c>
      <c r="J242" s="91">
        <f>28.38/1.18</f>
        <v>24.050847457627118</v>
      </c>
      <c r="K242" s="92">
        <f>(J242*I242)/(H242*G242)</f>
        <v>1.070943396226415</v>
      </c>
      <c r="L242" s="91">
        <f>997.16/2</f>
        <v>498.58</v>
      </c>
      <c r="M242" s="91">
        <v>28.28</v>
      </c>
      <c r="N242" s="91">
        <f>L242</f>
        <v>498.58</v>
      </c>
      <c r="O242" s="91">
        <v>30.39</v>
      </c>
      <c r="P242" s="92">
        <f>(O242*N242)/(M242*L242)</f>
        <v>1.0746110325318246</v>
      </c>
      <c r="Q242" s="96">
        <f>613.77/2</f>
        <v>306.88499999999999</v>
      </c>
      <c r="R242" s="112">
        <f>26/1.18</f>
        <v>22.033898305084747</v>
      </c>
      <c r="S242" s="112">
        <f>Q242</f>
        <v>306.88499999999999</v>
      </c>
      <c r="T242" s="112">
        <f>27.85/1.18</f>
        <v>23.601694915254239</v>
      </c>
      <c r="U242" s="92">
        <f t="shared" ref="U242:U250" si="142">T242/R242</f>
        <v>1.0711538461538461</v>
      </c>
      <c r="V242" s="171">
        <f t="shared" si="127"/>
        <v>1.0598428010003571</v>
      </c>
    </row>
    <row r="243" spans="1:22" hidden="1">
      <c r="A243" s="90" t="s">
        <v>71</v>
      </c>
      <c r="B243" s="91"/>
      <c r="C243" s="91"/>
      <c r="D243" s="91"/>
      <c r="E243" s="91"/>
      <c r="F243" s="92"/>
      <c r="G243" s="91"/>
      <c r="H243" s="91"/>
      <c r="I243" s="91">
        <f t="shared" ref="I243:I251" si="143">G243</f>
        <v>0</v>
      </c>
      <c r="J243" s="91"/>
      <c r="K243" s="92"/>
      <c r="L243" s="91"/>
      <c r="M243" s="91"/>
      <c r="N243" s="91"/>
      <c r="O243" s="91"/>
      <c r="P243" s="92"/>
      <c r="Q243" s="96"/>
      <c r="R243" s="112"/>
      <c r="S243" s="112"/>
      <c r="T243" s="112"/>
      <c r="U243" s="92"/>
      <c r="V243" s="171" t="e">
        <f t="shared" si="127"/>
        <v>#DIV/0!</v>
      </c>
    </row>
    <row r="244" spans="1:22" hidden="1">
      <c r="A244" s="90" t="s">
        <v>72</v>
      </c>
      <c r="B244" s="91">
        <f>13.994/2</f>
        <v>6.9969999999999999</v>
      </c>
      <c r="C244" s="91">
        <v>39.14</v>
      </c>
      <c r="D244" s="91">
        <f>B244</f>
        <v>6.9969999999999999</v>
      </c>
      <c r="E244" s="91">
        <v>40.5</v>
      </c>
      <c r="F244" s="92">
        <f t="shared" ref="F244:F250" si="144">(E244*D244)/(C244*B244)</f>
        <v>1.0347470618293306</v>
      </c>
      <c r="G244" s="91">
        <f>10.73/2</f>
        <v>5.3650000000000002</v>
      </c>
      <c r="H244" s="91">
        <v>14.8</v>
      </c>
      <c r="I244" s="91">
        <f t="shared" si="143"/>
        <v>5.3650000000000002</v>
      </c>
      <c r="J244" s="91">
        <v>17</v>
      </c>
      <c r="K244" s="92">
        <f t="shared" ref="K244:K251" si="145">(J244*I244)/(H244*G244)</f>
        <v>1.1486486486486487</v>
      </c>
      <c r="L244" s="91"/>
      <c r="M244" s="91"/>
      <c r="N244" s="91"/>
      <c r="O244" s="91"/>
      <c r="P244" s="92"/>
      <c r="Q244" s="96"/>
      <c r="R244" s="96"/>
      <c r="S244" s="96"/>
      <c r="T244" s="96"/>
      <c r="U244" s="92"/>
      <c r="V244" s="171">
        <f t="shared" si="127"/>
        <v>1.0347470618293306</v>
      </c>
    </row>
    <row r="245" spans="1:22" hidden="1">
      <c r="A245" s="90" t="s">
        <v>73</v>
      </c>
      <c r="B245" s="91">
        <f>349.684/2</f>
        <v>174.84200000000001</v>
      </c>
      <c r="C245" s="91">
        <v>34.19</v>
      </c>
      <c r="D245" s="91">
        <f t="shared" ref="D245:D250" si="146">B245</f>
        <v>174.84200000000001</v>
      </c>
      <c r="E245" s="91">
        <v>35.79</v>
      </c>
      <c r="F245" s="92">
        <f t="shared" si="144"/>
        <v>1.0467973091547236</v>
      </c>
      <c r="G245" s="91">
        <f>169.416/2</f>
        <v>84.707999999999998</v>
      </c>
      <c r="H245" s="91">
        <v>24</v>
      </c>
      <c r="I245" s="91">
        <f t="shared" si="143"/>
        <v>84.707999999999998</v>
      </c>
      <c r="J245" s="91">
        <v>25.7</v>
      </c>
      <c r="K245" s="92">
        <f t="shared" si="145"/>
        <v>1.0708333333333333</v>
      </c>
      <c r="L245" s="91">
        <f>227.962/2</f>
        <v>113.98099999999999</v>
      </c>
      <c r="M245" s="91">
        <v>45.85</v>
      </c>
      <c r="N245" s="91">
        <f t="shared" ref="N245" si="147">L245</f>
        <v>113.98099999999999</v>
      </c>
      <c r="O245" s="91">
        <v>48.83</v>
      </c>
      <c r="P245" s="92">
        <f t="shared" ref="P245:P250" si="148">(O245*N245)/(M245*L245)</f>
        <v>1.0649945474372955</v>
      </c>
      <c r="Q245" s="112">
        <f>119.911/2</f>
        <v>59.955500000000001</v>
      </c>
      <c r="R245" s="96">
        <v>28.63</v>
      </c>
      <c r="S245" s="112">
        <f>Q245</f>
        <v>59.955500000000001</v>
      </c>
      <c r="T245" s="96">
        <v>30.66</v>
      </c>
      <c r="U245" s="92">
        <f t="shared" si="142"/>
        <v>1.0709046454767726</v>
      </c>
      <c r="V245" s="171">
        <f t="shared" si="127"/>
        <v>1.0572213893053475</v>
      </c>
    </row>
    <row r="246" spans="1:22" hidden="1">
      <c r="A246" s="90" t="s">
        <v>74</v>
      </c>
      <c r="B246" s="91"/>
      <c r="C246" s="91"/>
      <c r="D246" s="91"/>
      <c r="E246" s="91"/>
      <c r="F246" s="92"/>
      <c r="G246" s="91"/>
      <c r="H246" s="91"/>
      <c r="I246" s="91"/>
      <c r="J246" s="91"/>
      <c r="K246" s="92"/>
      <c r="L246" s="91"/>
      <c r="M246" s="91"/>
      <c r="N246" s="91"/>
      <c r="O246" s="91"/>
      <c r="P246" s="92"/>
      <c r="Q246" s="96"/>
      <c r="R246" s="96"/>
      <c r="S246" s="96"/>
      <c r="T246" s="96"/>
      <c r="U246" s="92"/>
      <c r="V246" s="171" t="e">
        <f t="shared" si="127"/>
        <v>#DIV/0!</v>
      </c>
    </row>
    <row r="247" spans="1:22" hidden="1">
      <c r="A247" s="90" t="s">
        <v>75</v>
      </c>
      <c r="B247" s="91">
        <f>12.92/2*1.08321</f>
        <v>6.9975366000000001</v>
      </c>
      <c r="C247" s="91">
        <v>32.33</v>
      </c>
      <c r="D247" s="91">
        <f t="shared" si="146"/>
        <v>6.9975366000000001</v>
      </c>
      <c r="E247" s="91">
        <v>36.61</v>
      </c>
      <c r="F247" s="92">
        <f t="shared" si="144"/>
        <v>1.1323847819362822</v>
      </c>
      <c r="G247" s="91">
        <f>12.92/2</f>
        <v>6.46</v>
      </c>
      <c r="H247" s="91">
        <v>18</v>
      </c>
      <c r="I247" s="91">
        <f t="shared" si="143"/>
        <v>6.46</v>
      </c>
      <c r="J247" s="91">
        <v>19.399999999999999</v>
      </c>
      <c r="K247" s="92">
        <f t="shared" si="145"/>
        <v>1.0777777777777777</v>
      </c>
      <c r="L247" s="91"/>
      <c r="M247" s="91"/>
      <c r="N247" s="91"/>
      <c r="O247" s="91"/>
      <c r="P247" s="92"/>
      <c r="Q247" s="96"/>
      <c r="R247" s="96"/>
      <c r="S247" s="96"/>
      <c r="T247" s="96"/>
      <c r="U247" s="92"/>
      <c r="V247" s="171">
        <f t="shared" si="127"/>
        <v>1.1323847819362822</v>
      </c>
    </row>
    <row r="248" spans="1:22" hidden="1">
      <c r="A248" s="90" t="s">
        <v>76</v>
      </c>
      <c r="B248" s="91">
        <f>10.735/2*1.08321</f>
        <v>5.8141296749999993</v>
      </c>
      <c r="C248" s="91">
        <v>32.33</v>
      </c>
      <c r="D248" s="91">
        <f t="shared" si="146"/>
        <v>5.8141296749999993</v>
      </c>
      <c r="E248" s="91">
        <v>36.61</v>
      </c>
      <c r="F248" s="92">
        <f t="shared" si="144"/>
        <v>1.132384781936282</v>
      </c>
      <c r="G248" s="91">
        <f>10.735/2</f>
        <v>5.3674999999999997</v>
      </c>
      <c r="H248" s="91">
        <v>26.6</v>
      </c>
      <c r="I248" s="91">
        <f t="shared" si="143"/>
        <v>5.3674999999999997</v>
      </c>
      <c r="J248" s="91">
        <v>28.55</v>
      </c>
      <c r="K248" s="92">
        <f t="shared" si="145"/>
        <v>1.0733082706766917</v>
      </c>
      <c r="L248" s="91"/>
      <c r="M248" s="91"/>
      <c r="N248" s="91"/>
      <c r="O248" s="91"/>
      <c r="P248" s="92"/>
      <c r="Q248" s="96"/>
      <c r="R248" s="96"/>
      <c r="S248" s="96"/>
      <c r="T248" s="96"/>
      <c r="U248" s="92"/>
      <c r="V248" s="171">
        <f t="shared" si="127"/>
        <v>1.1323847819362822</v>
      </c>
    </row>
    <row r="249" spans="1:22" hidden="1">
      <c r="A249" s="90" t="s">
        <v>77</v>
      </c>
      <c r="B249" s="91">
        <f>28.624/2*1.08321</f>
        <v>15.50290152</v>
      </c>
      <c r="C249" s="91">
        <v>32.33</v>
      </c>
      <c r="D249" s="91">
        <f t="shared" si="146"/>
        <v>15.50290152</v>
      </c>
      <c r="E249" s="91">
        <v>36.61</v>
      </c>
      <c r="F249" s="92">
        <f t="shared" si="144"/>
        <v>1.1323847819362822</v>
      </c>
      <c r="G249" s="91">
        <f>28.624/2</f>
        <v>14.311999999999999</v>
      </c>
      <c r="H249" s="91">
        <v>23.8</v>
      </c>
      <c r="I249" s="91">
        <f t="shared" si="143"/>
        <v>14.311999999999999</v>
      </c>
      <c r="J249" s="91">
        <v>25.58</v>
      </c>
      <c r="K249" s="92">
        <f t="shared" si="145"/>
        <v>1.0747899159663865</v>
      </c>
      <c r="L249" s="91"/>
      <c r="M249" s="91"/>
      <c r="N249" s="91"/>
      <c r="O249" s="91"/>
      <c r="P249" s="92"/>
      <c r="Q249" s="96"/>
      <c r="R249" s="96"/>
      <c r="S249" s="96"/>
      <c r="T249" s="96"/>
      <c r="U249" s="92"/>
      <c r="V249" s="171">
        <f t="shared" si="127"/>
        <v>1.1323847819362822</v>
      </c>
    </row>
    <row r="250" spans="1:22" hidden="1">
      <c r="A250" s="90" t="s">
        <v>78</v>
      </c>
      <c r="B250" s="91">
        <f>7.641/2</f>
        <v>3.8205</v>
      </c>
      <c r="C250" s="91">
        <v>43.62</v>
      </c>
      <c r="D250" s="91">
        <f t="shared" si="146"/>
        <v>3.8205</v>
      </c>
      <c r="E250" s="91">
        <v>45.26</v>
      </c>
      <c r="F250" s="92">
        <f t="shared" si="144"/>
        <v>1.0375974323704724</v>
      </c>
      <c r="G250" s="91">
        <f>4.841/2</f>
        <v>2.4205000000000001</v>
      </c>
      <c r="H250" s="91">
        <v>27</v>
      </c>
      <c r="I250" s="91">
        <f t="shared" si="143"/>
        <v>2.4205000000000001</v>
      </c>
      <c r="J250" s="91">
        <v>28.92</v>
      </c>
      <c r="K250" s="92">
        <f t="shared" si="145"/>
        <v>1.0711111111111111</v>
      </c>
      <c r="L250" s="91">
        <f>3.354/2</f>
        <v>1.677</v>
      </c>
      <c r="M250" s="91">
        <v>51.98</v>
      </c>
      <c r="N250" s="91">
        <f>L250</f>
        <v>1.677</v>
      </c>
      <c r="O250" s="91">
        <v>51.98</v>
      </c>
      <c r="P250" s="92">
        <f t="shared" si="148"/>
        <v>1</v>
      </c>
      <c r="Q250" s="96">
        <f>1.644/2</f>
        <v>0.82199999999999995</v>
      </c>
      <c r="R250" s="112">
        <v>22</v>
      </c>
      <c r="S250" s="96">
        <f>Q250</f>
        <v>0.82199999999999995</v>
      </c>
      <c r="T250" s="96">
        <v>23.56</v>
      </c>
      <c r="U250" s="92">
        <f t="shared" si="142"/>
        <v>1.0709090909090908</v>
      </c>
      <c r="V250" s="171">
        <f t="shared" si="127"/>
        <v>1.0171548117154812</v>
      </c>
    </row>
    <row r="251" spans="1:22" hidden="1">
      <c r="A251" s="90" t="s">
        <v>79</v>
      </c>
      <c r="B251" s="91">
        <f>6.923/2</f>
        <v>3.4615</v>
      </c>
      <c r="C251" s="91">
        <v>41.91</v>
      </c>
      <c r="D251" s="91">
        <f>B251</f>
        <v>3.4615</v>
      </c>
      <c r="E251" s="91">
        <v>44.85</v>
      </c>
      <c r="F251" s="92">
        <f>(E251*D251)/(C251*B251)</f>
        <v>1.0701503221188262</v>
      </c>
      <c r="G251" s="91">
        <f>3.02/2</f>
        <v>1.51</v>
      </c>
      <c r="H251" s="91">
        <v>27</v>
      </c>
      <c r="I251" s="91">
        <f t="shared" si="143"/>
        <v>1.51</v>
      </c>
      <c r="J251" s="91">
        <v>28.92</v>
      </c>
      <c r="K251" s="92">
        <f t="shared" si="145"/>
        <v>1.0711111111111111</v>
      </c>
      <c r="L251" s="91"/>
      <c r="M251" s="91"/>
      <c r="N251" s="91"/>
      <c r="O251" s="91"/>
      <c r="P251" s="92"/>
      <c r="Q251" s="96"/>
      <c r="R251" s="96"/>
      <c r="S251" s="96"/>
      <c r="T251" s="96"/>
      <c r="U251" s="92"/>
      <c r="V251" s="171">
        <f t="shared" si="127"/>
        <v>1.0701503221188262</v>
      </c>
    </row>
    <row r="252" spans="1:22" hidden="1">
      <c r="A252" s="90" t="s">
        <v>80</v>
      </c>
      <c r="B252" s="91">
        <f>SUM(B253:B264)</f>
        <v>286.63484500000004</v>
      </c>
      <c r="C252" s="91">
        <f>SUMPRODUCT(B253:B264,C253:C264)/B252</f>
        <v>45.517804938370269</v>
      </c>
      <c r="D252" s="91">
        <f>SUM(D253:D264)</f>
        <v>286.63484500000004</v>
      </c>
      <c r="E252" s="91">
        <f>SUMPRODUCT(D253:D264,E253:E264)/D252</f>
        <v>45.993822468269677</v>
      </c>
      <c r="F252" s="92">
        <f>E252/C252</f>
        <v>1.0104578314034238</v>
      </c>
      <c r="G252" s="91">
        <f>SUM(G253:G264)</f>
        <v>119.078</v>
      </c>
      <c r="H252" s="91">
        <f>SUMPRODUCT(G253:G264,H253:H264)/G252</f>
        <v>37.209501538800524</v>
      </c>
      <c r="I252" s="91">
        <f>SUM(I253:I264)</f>
        <v>119.078</v>
      </c>
      <c r="J252" s="91">
        <f>SUMPRODUCT(I253:I264,J253:J264)/I252</f>
        <v>39.884858806405489</v>
      </c>
      <c r="K252" s="92">
        <f>J252/H252</f>
        <v>1.0718998416255379</v>
      </c>
      <c r="L252" s="91">
        <f>SUM(L253:L264)</f>
        <v>104.746</v>
      </c>
      <c r="M252" s="91">
        <f>SUMPRODUCT(L253:L264,M253:M264)/L252</f>
        <v>76.30067267485154</v>
      </c>
      <c r="N252" s="91">
        <f>SUM(N253:N264)</f>
        <v>104.746</v>
      </c>
      <c r="O252" s="91">
        <f>SUMPRODUCT(N253:N264,O253:O264)/N252</f>
        <v>78.483273442422615</v>
      </c>
      <c r="P252" s="92">
        <f>O252/M252</f>
        <v>1.0286052624578033</v>
      </c>
      <c r="Q252" s="91">
        <f>SUM(Q253:Q264)</f>
        <v>76.736000000000004</v>
      </c>
      <c r="R252" s="91">
        <f>SUMPRODUCT(Q253:Q264,R253:R264)/Q252</f>
        <v>51.34760870640789</v>
      </c>
      <c r="S252" s="91">
        <f>SUM(S253:S264)</f>
        <v>76.736000000000004</v>
      </c>
      <c r="T252" s="91">
        <f>SUMPRODUCT(S253:S264,T253:T264)/S252</f>
        <v>54.992029021359606</v>
      </c>
      <c r="U252" s="92">
        <f>T252/R252</f>
        <v>1.0709754632545705</v>
      </c>
      <c r="V252" s="171">
        <f t="shared" si="127"/>
        <v>1.0218244255679481</v>
      </c>
    </row>
    <row r="253" spans="1:22" hidden="1">
      <c r="A253" s="97" t="s">
        <v>81</v>
      </c>
      <c r="B253" s="91">
        <f>0.98369/2</f>
        <v>0.49184499999999998</v>
      </c>
      <c r="C253" s="91">
        <v>34.85</v>
      </c>
      <c r="D253" s="91">
        <f>B253</f>
        <v>0.49184499999999998</v>
      </c>
      <c r="E253" s="91">
        <v>37.07</v>
      </c>
      <c r="F253" s="92">
        <f>(E253*D253)/(C253*B253)</f>
        <v>1.0637015781922525</v>
      </c>
      <c r="G253" s="91"/>
      <c r="H253" s="91"/>
      <c r="I253" s="91"/>
      <c r="J253" s="91"/>
      <c r="K253" s="92"/>
      <c r="L253" s="91"/>
      <c r="M253" s="91"/>
      <c r="N253" s="91"/>
      <c r="O253" s="91"/>
      <c r="P253" s="92"/>
      <c r="Q253" s="96"/>
      <c r="R253" s="112"/>
      <c r="S253" s="112"/>
      <c r="T253" s="112"/>
      <c r="U253" s="92"/>
      <c r="V253" s="171">
        <f t="shared" si="127"/>
        <v>1.0637015781922525</v>
      </c>
    </row>
    <row r="254" spans="1:22" hidden="1">
      <c r="A254" s="97" t="s">
        <v>92</v>
      </c>
      <c r="B254" s="91">
        <f>14.76/2</f>
        <v>7.38</v>
      </c>
      <c r="C254" s="91">
        <v>93.81</v>
      </c>
      <c r="D254" s="91">
        <f>B254</f>
        <v>7.38</v>
      </c>
      <c r="E254" s="91">
        <v>100.11</v>
      </c>
      <c r="F254" s="92">
        <f t="shared" ref="F254" si="149">(E254*D254)/(C254*B254)</f>
        <v>1.0671570195075151</v>
      </c>
      <c r="G254" s="91">
        <f>7.09/2</f>
        <v>3.5449999999999999</v>
      </c>
      <c r="H254" s="91">
        <v>30.53</v>
      </c>
      <c r="I254" s="91">
        <f>G254</f>
        <v>3.5449999999999999</v>
      </c>
      <c r="J254" s="91">
        <v>32.700000000000003</v>
      </c>
      <c r="K254" s="92">
        <f t="shared" ref="K254:K261" si="150">(J254*I254)/(H254*G254)</f>
        <v>1.07107762856207</v>
      </c>
      <c r="L254" s="91">
        <f>14.76/2</f>
        <v>7.38</v>
      </c>
      <c r="M254" s="91">
        <v>110.48</v>
      </c>
      <c r="N254" s="91">
        <f>L254</f>
        <v>7.38</v>
      </c>
      <c r="O254" s="91">
        <v>118.37</v>
      </c>
      <c r="P254" s="92">
        <f t="shared" ref="P254" si="151">(O254*N254)/(M254*L254)</f>
        <v>1.0714156408399711</v>
      </c>
      <c r="Q254" s="96">
        <f>9.12/2</f>
        <v>4.5599999999999996</v>
      </c>
      <c r="R254" s="96">
        <v>51.35</v>
      </c>
      <c r="S254" s="96">
        <f>Q254</f>
        <v>4.5599999999999996</v>
      </c>
      <c r="T254" s="112">
        <v>55</v>
      </c>
      <c r="U254" s="92">
        <f t="shared" ref="U254:U258" si="152">T254/R254</f>
        <v>1.071080817916261</v>
      </c>
      <c r="V254" s="171">
        <f t="shared" si="127"/>
        <v>1.0694600812570365</v>
      </c>
    </row>
    <row r="255" spans="1:22" hidden="1">
      <c r="A255" s="97" t="s">
        <v>82</v>
      </c>
      <c r="B255" s="91">
        <f>4.92/2</f>
        <v>2.46</v>
      </c>
      <c r="C255" s="91">
        <v>57.33</v>
      </c>
      <c r="D255" s="91">
        <f>B255</f>
        <v>2.46</v>
      </c>
      <c r="E255" s="91">
        <v>59.81</v>
      </c>
      <c r="F255" s="92">
        <f>(E255*D255)/(C255*B255)</f>
        <v>1.0432583289726147</v>
      </c>
      <c r="G255" s="91">
        <f>3.04/2</f>
        <v>1.52</v>
      </c>
      <c r="H255" s="91">
        <v>57.33</v>
      </c>
      <c r="I255" s="91">
        <f t="shared" ref="I255:I261" si="153">G255</f>
        <v>1.52</v>
      </c>
      <c r="J255" s="91">
        <v>59.81</v>
      </c>
      <c r="K255" s="92">
        <f t="shared" si="150"/>
        <v>1.0432583289726147</v>
      </c>
      <c r="L255" s="91"/>
      <c r="M255" s="91"/>
      <c r="N255" s="91"/>
      <c r="O255" s="91"/>
      <c r="P255" s="92"/>
      <c r="Q255" s="96"/>
      <c r="R255" s="112"/>
      <c r="S255" s="112"/>
      <c r="T255" s="112"/>
      <c r="U255" s="92"/>
      <c r="V255" s="171">
        <f t="shared" si="127"/>
        <v>1.0432583289726147</v>
      </c>
    </row>
    <row r="256" spans="1:22" hidden="1">
      <c r="A256" s="97" t="s">
        <v>83</v>
      </c>
      <c r="B256" s="91">
        <f>5.59/2</f>
        <v>2.7949999999999999</v>
      </c>
      <c r="C256" s="91">
        <v>71.900000000000006</v>
      </c>
      <c r="D256" s="91">
        <f>B256</f>
        <v>2.7949999999999999</v>
      </c>
      <c r="E256" s="91">
        <v>75</v>
      </c>
      <c r="F256" s="92">
        <f t="shared" ref="F256:F264" si="154">(E256*D256)/(C256*B256)</f>
        <v>1.0431154381084839</v>
      </c>
      <c r="G256" s="91">
        <f>3.74/2</f>
        <v>1.87</v>
      </c>
      <c r="H256" s="91">
        <v>39.18</v>
      </c>
      <c r="I256" s="91">
        <f t="shared" si="153"/>
        <v>1.87</v>
      </c>
      <c r="J256" s="91">
        <v>42.51</v>
      </c>
      <c r="K256" s="92">
        <f t="shared" si="150"/>
        <v>1.0849923430321593</v>
      </c>
      <c r="L256" s="91"/>
      <c r="M256" s="91"/>
      <c r="N256" s="91"/>
      <c r="O256" s="91"/>
      <c r="P256" s="92"/>
      <c r="Q256" s="96"/>
      <c r="R256" s="96"/>
      <c r="S256" s="96"/>
      <c r="T256" s="96"/>
      <c r="U256" s="92"/>
      <c r="V256" s="171">
        <f t="shared" si="127"/>
        <v>1.0431154381084839</v>
      </c>
    </row>
    <row r="257" spans="1:22" hidden="1">
      <c r="A257" s="97" t="s">
        <v>84</v>
      </c>
      <c r="B257" s="91">
        <f>51.206/2</f>
        <v>25.603000000000002</v>
      </c>
      <c r="C257" s="91">
        <v>63.85</v>
      </c>
      <c r="D257" s="91">
        <f t="shared" ref="D257:D264" si="155">B257</f>
        <v>25.603000000000002</v>
      </c>
      <c r="E257" s="91">
        <v>63.85</v>
      </c>
      <c r="F257" s="92">
        <f t="shared" si="154"/>
        <v>1</v>
      </c>
      <c r="G257" s="91">
        <f>39.507/2</f>
        <v>19.753499999999999</v>
      </c>
      <c r="H257" s="91">
        <v>41</v>
      </c>
      <c r="I257" s="91">
        <f t="shared" si="153"/>
        <v>19.753499999999999</v>
      </c>
      <c r="J257" s="91">
        <v>43.91</v>
      </c>
      <c r="K257" s="92">
        <f t="shared" si="150"/>
        <v>1.0709756097560974</v>
      </c>
      <c r="L257" s="91"/>
      <c r="M257" s="91"/>
      <c r="N257" s="91"/>
      <c r="O257" s="91"/>
      <c r="P257" s="92"/>
      <c r="Q257" s="112"/>
      <c r="R257" s="96"/>
      <c r="S257" s="112"/>
      <c r="T257" s="96"/>
      <c r="U257" s="92"/>
      <c r="V257" s="171">
        <f t="shared" si="127"/>
        <v>1</v>
      </c>
    </row>
    <row r="258" spans="1:22" hidden="1">
      <c r="A258" s="97" t="s">
        <v>85</v>
      </c>
      <c r="B258" s="91">
        <f>340.636/2</f>
        <v>170.31800000000001</v>
      </c>
      <c r="C258" s="91">
        <v>44.4</v>
      </c>
      <c r="D258" s="91">
        <f t="shared" si="155"/>
        <v>170.31800000000001</v>
      </c>
      <c r="E258" s="91">
        <v>44.4</v>
      </c>
      <c r="F258" s="92">
        <f t="shared" si="154"/>
        <v>1</v>
      </c>
      <c r="G258" s="91">
        <f>163.416/2</f>
        <v>81.707999999999998</v>
      </c>
      <c r="H258" s="91">
        <f>42.1/1.18</f>
        <v>35.677966101694921</v>
      </c>
      <c r="I258" s="91">
        <f t="shared" si="153"/>
        <v>81.707999999999998</v>
      </c>
      <c r="J258" s="91">
        <f>45.09/1.18</f>
        <v>38.211864406779668</v>
      </c>
      <c r="K258" s="92">
        <f t="shared" si="150"/>
        <v>1.0710213776722091</v>
      </c>
      <c r="L258" s="91">
        <f>194.732/2</f>
        <v>97.366</v>
      </c>
      <c r="M258" s="91">
        <v>73.709999999999994</v>
      </c>
      <c r="N258" s="91">
        <f t="shared" ref="N258" si="156">L258</f>
        <v>97.366</v>
      </c>
      <c r="O258" s="91">
        <v>75.459999999999994</v>
      </c>
      <c r="P258" s="92">
        <f t="shared" ref="P258" si="157">(O258*N258)/(M258*L258)</f>
        <v>1.0237416904083572</v>
      </c>
      <c r="Q258" s="112">
        <f>144.352/2</f>
        <v>72.176000000000002</v>
      </c>
      <c r="R258" s="112">
        <f>60.59/1.18</f>
        <v>51.347457627118651</v>
      </c>
      <c r="S258" s="112">
        <f>Q258</f>
        <v>72.176000000000002</v>
      </c>
      <c r="T258" s="112">
        <f>64.89/1.18</f>
        <v>54.991525423728817</v>
      </c>
      <c r="U258" s="92">
        <f t="shared" si="152"/>
        <v>1.0709688067337844</v>
      </c>
      <c r="V258" s="171">
        <f t="shared" si="127"/>
        <v>1.0148166963000593</v>
      </c>
    </row>
    <row r="259" spans="1:22" hidden="1">
      <c r="A259" s="97" t="s">
        <v>86</v>
      </c>
      <c r="B259" s="91">
        <f>4.612/2</f>
        <v>2.306</v>
      </c>
      <c r="C259" s="91">
        <v>70.38</v>
      </c>
      <c r="D259" s="91">
        <f t="shared" si="155"/>
        <v>2.306</v>
      </c>
      <c r="E259" s="91">
        <v>71.069999999999993</v>
      </c>
      <c r="F259" s="92">
        <f t="shared" si="154"/>
        <v>1.0098039215686274</v>
      </c>
      <c r="G259" s="91">
        <f>3/2</f>
        <v>1.5</v>
      </c>
      <c r="H259" s="91">
        <v>42.1</v>
      </c>
      <c r="I259" s="91">
        <f t="shared" si="153"/>
        <v>1.5</v>
      </c>
      <c r="J259" s="91">
        <v>45.68</v>
      </c>
      <c r="K259" s="92">
        <f t="shared" si="150"/>
        <v>1.0850356294536816</v>
      </c>
      <c r="L259" s="91"/>
      <c r="M259" s="91"/>
      <c r="N259" s="91"/>
      <c r="O259" s="91"/>
      <c r="P259" s="92"/>
      <c r="Q259" s="96"/>
      <c r="R259" s="96"/>
      <c r="S259" s="96"/>
      <c r="T259" s="96"/>
      <c r="U259" s="92"/>
      <c r="V259" s="171">
        <f t="shared" si="127"/>
        <v>1.0098039215686274</v>
      </c>
    </row>
    <row r="260" spans="1:22" hidden="1">
      <c r="A260" s="97" t="s">
        <v>87</v>
      </c>
      <c r="B260" s="91">
        <f>16.1/2</f>
        <v>8.0500000000000007</v>
      </c>
      <c r="C260" s="91">
        <v>48.63</v>
      </c>
      <c r="D260" s="91">
        <f t="shared" si="155"/>
        <v>8.0500000000000007</v>
      </c>
      <c r="E260" s="91">
        <v>48.63</v>
      </c>
      <c r="F260" s="92">
        <f t="shared" si="154"/>
        <v>1</v>
      </c>
      <c r="G260" s="91">
        <f>11.83/2</f>
        <v>5.915</v>
      </c>
      <c r="H260" s="91">
        <v>42.1</v>
      </c>
      <c r="I260" s="91">
        <f t="shared" si="153"/>
        <v>5.915</v>
      </c>
      <c r="J260" s="91">
        <v>45.68</v>
      </c>
      <c r="K260" s="92">
        <f t="shared" si="150"/>
        <v>1.0850356294536818</v>
      </c>
      <c r="L260" s="91"/>
      <c r="M260" s="91"/>
      <c r="N260" s="91"/>
      <c r="O260" s="91"/>
      <c r="P260" s="92"/>
      <c r="Q260" s="96"/>
      <c r="R260" s="96"/>
      <c r="S260" s="96"/>
      <c r="T260" s="96"/>
      <c r="U260" s="92"/>
      <c r="V260" s="171">
        <f t="shared" si="127"/>
        <v>1</v>
      </c>
    </row>
    <row r="261" spans="1:22" hidden="1">
      <c r="A261" s="97" t="s">
        <v>88</v>
      </c>
      <c r="B261" s="91">
        <f>84.507/2</f>
        <v>42.253500000000003</v>
      </c>
      <c r="C261" s="91">
        <v>34.61</v>
      </c>
      <c r="D261" s="91">
        <f t="shared" si="155"/>
        <v>42.253500000000003</v>
      </c>
      <c r="E261" s="91">
        <v>34.61</v>
      </c>
      <c r="F261" s="92">
        <f t="shared" si="154"/>
        <v>1</v>
      </c>
      <c r="G261" s="91">
        <v>0.17499999999999999</v>
      </c>
      <c r="H261" s="91">
        <v>34.61</v>
      </c>
      <c r="I261" s="91">
        <f t="shared" si="153"/>
        <v>0.17499999999999999</v>
      </c>
      <c r="J261" s="91">
        <v>34.61</v>
      </c>
      <c r="K261" s="92">
        <f t="shared" si="150"/>
        <v>1</v>
      </c>
      <c r="L261" s="91"/>
      <c r="M261" s="91"/>
      <c r="N261" s="91"/>
      <c r="O261" s="91"/>
      <c r="P261" s="92"/>
      <c r="Q261" s="96"/>
      <c r="R261" s="96"/>
      <c r="S261" s="96"/>
      <c r="T261" s="96"/>
      <c r="U261" s="92"/>
      <c r="V261" s="171">
        <f t="shared" si="127"/>
        <v>1</v>
      </c>
    </row>
    <row r="262" spans="1:22" hidden="1">
      <c r="A262" s="97" t="s">
        <v>89</v>
      </c>
      <c r="B262" s="91">
        <f>(41-8.3)/2</f>
        <v>16.350000000000001</v>
      </c>
      <c r="C262" s="91">
        <v>24.41</v>
      </c>
      <c r="D262" s="91">
        <f t="shared" si="155"/>
        <v>16.350000000000001</v>
      </c>
      <c r="E262" s="91">
        <v>26.38</v>
      </c>
      <c r="F262" s="92">
        <f t="shared" si="154"/>
        <v>1.0807046292503073</v>
      </c>
      <c r="G262" s="91"/>
      <c r="H262" s="91"/>
      <c r="I262" s="91"/>
      <c r="J262" s="91"/>
      <c r="K262" s="92"/>
      <c r="L262" s="91"/>
      <c r="M262" s="91"/>
      <c r="N262" s="91"/>
      <c r="O262" s="91"/>
      <c r="P262" s="92"/>
      <c r="Q262" s="96"/>
      <c r="R262" s="96"/>
      <c r="S262" s="96"/>
      <c r="T262" s="96"/>
      <c r="U262" s="92"/>
      <c r="V262" s="171">
        <f t="shared" si="127"/>
        <v>1.0807046292503073</v>
      </c>
    </row>
    <row r="263" spans="1:22" hidden="1">
      <c r="A263" s="97" t="s">
        <v>90</v>
      </c>
      <c r="B263" s="91">
        <f>10.8/2</f>
        <v>5.4</v>
      </c>
      <c r="C263" s="91">
        <v>36</v>
      </c>
      <c r="D263" s="91">
        <f t="shared" si="155"/>
        <v>5.4</v>
      </c>
      <c r="E263" s="91">
        <v>38.65</v>
      </c>
      <c r="F263" s="92">
        <f t="shared" si="154"/>
        <v>1.0736111111111111</v>
      </c>
      <c r="G263" s="91">
        <f>1.4/2</f>
        <v>0.7</v>
      </c>
      <c r="H263" s="91">
        <v>36</v>
      </c>
      <c r="I263" s="91">
        <f t="shared" ref="I263:I264" si="158">G263</f>
        <v>0.7</v>
      </c>
      <c r="J263" s="91">
        <v>38.65</v>
      </c>
      <c r="K263" s="92">
        <f t="shared" ref="K263:K264" si="159">(J263*I263)/(H263*G263)</f>
        <v>1.0736111111111111</v>
      </c>
      <c r="L263" s="91"/>
      <c r="M263" s="91"/>
      <c r="N263" s="91"/>
      <c r="O263" s="91"/>
      <c r="P263" s="92"/>
      <c r="Q263" s="96"/>
      <c r="R263" s="96"/>
      <c r="S263" s="96"/>
      <c r="T263" s="96"/>
      <c r="U263" s="92"/>
      <c r="V263" s="171">
        <f t="shared" si="127"/>
        <v>1.0736111111111111</v>
      </c>
    </row>
    <row r="264" spans="1:22" hidden="1">
      <c r="A264" s="97" t="s">
        <v>91</v>
      </c>
      <c r="B264" s="91">
        <f>6.455/2</f>
        <v>3.2275</v>
      </c>
      <c r="C264" s="91">
        <v>58.56</v>
      </c>
      <c r="D264" s="91">
        <f t="shared" si="155"/>
        <v>3.2275</v>
      </c>
      <c r="E264" s="91">
        <v>66.61</v>
      </c>
      <c r="F264" s="92">
        <f t="shared" si="154"/>
        <v>1.1374658469945353</v>
      </c>
      <c r="G264" s="91">
        <f>4.783/2</f>
        <v>2.3915000000000002</v>
      </c>
      <c r="H264" s="91">
        <v>39.18</v>
      </c>
      <c r="I264" s="91">
        <f t="shared" si="158"/>
        <v>2.3915000000000002</v>
      </c>
      <c r="J264" s="91">
        <v>42.51</v>
      </c>
      <c r="K264" s="92">
        <f t="shared" si="159"/>
        <v>1.0849923430321593</v>
      </c>
      <c r="L264" s="91"/>
      <c r="M264" s="91"/>
      <c r="N264" s="91"/>
      <c r="O264" s="91"/>
      <c r="P264" s="92"/>
      <c r="Q264" s="96"/>
      <c r="R264" s="96"/>
      <c r="S264" s="96"/>
      <c r="T264" s="96"/>
      <c r="U264" s="92"/>
      <c r="V264" s="171">
        <f t="shared" si="127"/>
        <v>1.1374658469945356</v>
      </c>
    </row>
    <row r="265" spans="1:22" hidden="1">
      <c r="A265" s="90" t="s">
        <v>93</v>
      </c>
      <c r="B265" s="91">
        <f>SUM(B266:B271)</f>
        <v>469.62</v>
      </c>
      <c r="C265" s="91">
        <f>SUMPRODUCT(B266:B271,C266:C271)/B265</f>
        <v>42.304141028916995</v>
      </c>
      <c r="D265" s="91">
        <f>SUM(D266:D271)</f>
        <v>469.62</v>
      </c>
      <c r="E265" s="91">
        <f>SUMPRODUCT(D266:D271,E266:E271)/D265</f>
        <v>42.477022156211405</v>
      </c>
      <c r="F265" s="92">
        <f>E265/C265</f>
        <v>1.0040866242190389</v>
      </c>
      <c r="G265" s="91">
        <f>SUM(G266:G271)</f>
        <v>295.31700000000001</v>
      </c>
      <c r="H265" s="91">
        <f>SUMPRODUCT(G266:G271,H266:H271)/G265</f>
        <v>30.527706159821477</v>
      </c>
      <c r="I265" s="91">
        <f>SUM(I266:I271)</f>
        <v>295.31700000000001</v>
      </c>
      <c r="J265" s="91">
        <f>SUMPRODUCT(I266:I271,J266:J271)/I265</f>
        <v>32.692984284683916</v>
      </c>
      <c r="K265" s="92">
        <f>J265/H265</f>
        <v>1.0709282942362774</v>
      </c>
      <c r="L265" s="91">
        <f>SUM(L266:L271)</f>
        <v>250</v>
      </c>
      <c r="M265" s="91">
        <f>SUMPRODUCT(L266:L271,M266:M271)/L265</f>
        <v>51.3</v>
      </c>
      <c r="N265" s="91">
        <f>SUM(N266:N271)</f>
        <v>250</v>
      </c>
      <c r="O265" s="91">
        <f>SUMPRODUCT(N266:N271,O266:O271)/N265</f>
        <v>51.3</v>
      </c>
      <c r="P265" s="92">
        <f>O265/M265</f>
        <v>1</v>
      </c>
      <c r="Q265" s="91">
        <f>SUM(Q266:Q271)</f>
        <v>155</v>
      </c>
      <c r="R265" s="91">
        <f>SUMPRODUCT(Q266:Q271,R266:R271)/Q265</f>
        <v>39</v>
      </c>
      <c r="S265" s="91">
        <f>SUM(S266:S271)</f>
        <v>155</v>
      </c>
      <c r="T265" s="91">
        <f>SUMPRODUCT(S266:S271,T266:T271)/S265</f>
        <v>41.77</v>
      </c>
      <c r="U265" s="92">
        <f>T265/R265</f>
        <v>1.0710256410256411</v>
      </c>
      <c r="V265" s="171">
        <f t="shared" ref="V265:V328" si="160">(E265+O265)/(C265+M265)</f>
        <v>1.0018469388789222</v>
      </c>
    </row>
    <row r="266" spans="1:22" hidden="1">
      <c r="A266" s="97" t="s">
        <v>94</v>
      </c>
      <c r="B266" s="91">
        <f>12.075/2</f>
        <v>6.0374999999999996</v>
      </c>
      <c r="C266" s="91">
        <v>19.920000000000002</v>
      </c>
      <c r="D266" s="91">
        <f>B266</f>
        <v>6.0374999999999996</v>
      </c>
      <c r="E266" s="91">
        <v>21.32</v>
      </c>
      <c r="F266" s="92">
        <f>(E266*D266)/(C266*B266)</f>
        <v>1.0702811244979917</v>
      </c>
      <c r="G266" s="91">
        <f>11.78/2</f>
        <v>5.89</v>
      </c>
      <c r="H266" s="91">
        <v>19.920000000000002</v>
      </c>
      <c r="I266" s="91">
        <f>G266</f>
        <v>5.89</v>
      </c>
      <c r="J266" s="91">
        <v>21.32</v>
      </c>
      <c r="K266" s="92">
        <f>J266/H266</f>
        <v>1.070281124497992</v>
      </c>
      <c r="L266" s="91"/>
      <c r="M266" s="91"/>
      <c r="N266" s="91"/>
      <c r="O266" s="91"/>
      <c r="P266" s="92"/>
      <c r="Q266" s="96"/>
      <c r="R266" s="112"/>
      <c r="S266" s="112"/>
      <c r="T266" s="112"/>
      <c r="U266" s="92"/>
      <c r="V266" s="171">
        <f t="shared" si="160"/>
        <v>1.070281124497992</v>
      </c>
    </row>
    <row r="267" spans="1:22" hidden="1">
      <c r="A267" s="97" t="s">
        <v>95</v>
      </c>
      <c r="B267" s="91">
        <f>50.8/2</f>
        <v>25.4</v>
      </c>
      <c r="C267" s="91">
        <v>30.43</v>
      </c>
      <c r="D267" s="91">
        <f>B267</f>
        <v>25.4</v>
      </c>
      <c r="E267" s="91">
        <v>32.57</v>
      </c>
      <c r="F267" s="92">
        <f>(E267*D267)/(C267*B267)</f>
        <v>1.0703253368386461</v>
      </c>
      <c r="G267" s="91">
        <f>31.2/2</f>
        <v>15.6</v>
      </c>
      <c r="H267" s="91">
        <v>30.43</v>
      </c>
      <c r="I267" s="91">
        <f>G267</f>
        <v>15.6</v>
      </c>
      <c r="J267" s="91">
        <v>32.57</v>
      </c>
      <c r="K267" s="92">
        <f>(J267*I267)/(H267*G267)</f>
        <v>1.0703253368386461</v>
      </c>
      <c r="L267" s="91"/>
      <c r="M267" s="91"/>
      <c r="N267" s="91"/>
      <c r="O267" s="91"/>
      <c r="P267" s="92"/>
      <c r="Q267" s="96"/>
      <c r="R267" s="112"/>
      <c r="S267" s="112"/>
      <c r="T267" s="112"/>
      <c r="U267" s="92"/>
      <c r="V267" s="171">
        <f t="shared" si="160"/>
        <v>1.0703253368386461</v>
      </c>
    </row>
    <row r="268" spans="1:22" hidden="1">
      <c r="A268" s="97" t="s">
        <v>96</v>
      </c>
      <c r="B268" s="91"/>
      <c r="C268" s="91"/>
      <c r="D268" s="91"/>
      <c r="E268" s="91"/>
      <c r="F268" s="92"/>
      <c r="G268" s="91"/>
      <c r="H268" s="91"/>
      <c r="I268" s="91"/>
      <c r="J268" s="91"/>
      <c r="K268" s="92"/>
      <c r="L268" s="91"/>
      <c r="M268" s="91"/>
      <c r="N268" s="91"/>
      <c r="O268" s="91"/>
      <c r="P268" s="92"/>
      <c r="Q268" s="96"/>
      <c r="R268" s="96"/>
      <c r="S268" s="96"/>
      <c r="T268" s="96"/>
      <c r="U268" s="92"/>
      <c r="V268" s="171" t="e">
        <f t="shared" si="160"/>
        <v>#DIV/0!</v>
      </c>
    </row>
    <row r="269" spans="1:22" hidden="1">
      <c r="A269" s="117" t="s">
        <v>97</v>
      </c>
      <c r="B269" s="91">
        <f>18.602/2</f>
        <v>9.3010000000000002</v>
      </c>
      <c r="C269" s="91">
        <v>84.06</v>
      </c>
      <c r="D269" s="91">
        <f t="shared" ref="D269:D271" si="161">B269</f>
        <v>9.3010000000000002</v>
      </c>
      <c r="E269" s="91">
        <v>84.06</v>
      </c>
      <c r="F269" s="92">
        <f t="shared" ref="F269:F271" si="162">(E269*D269)/(C269*B269)</f>
        <v>1</v>
      </c>
      <c r="G269" s="91">
        <f>16.986/2</f>
        <v>8.4930000000000003</v>
      </c>
      <c r="H269" s="91">
        <v>29</v>
      </c>
      <c r="I269" s="91">
        <f>G269</f>
        <v>8.4930000000000003</v>
      </c>
      <c r="J269" s="91">
        <v>31.06</v>
      </c>
      <c r="K269" s="92">
        <f>(J269*I269)/(H269*G269)</f>
        <v>1.0710344827586207</v>
      </c>
      <c r="L269" s="91"/>
      <c r="M269" s="91"/>
      <c r="N269" s="91"/>
      <c r="O269" s="91"/>
      <c r="P269" s="92"/>
      <c r="Q269" s="112"/>
      <c r="R269" s="96"/>
      <c r="S269" s="112"/>
      <c r="T269" s="96"/>
      <c r="U269" s="92"/>
      <c r="V269" s="171">
        <f t="shared" si="160"/>
        <v>1</v>
      </c>
    </row>
    <row r="270" spans="1:22" hidden="1">
      <c r="A270" s="117" t="s">
        <v>98</v>
      </c>
      <c r="B270" s="91">
        <f>14.763/2</f>
        <v>7.3815</v>
      </c>
      <c r="C270" s="91">
        <v>41.1</v>
      </c>
      <c r="D270" s="91">
        <f t="shared" si="161"/>
        <v>7.3815</v>
      </c>
      <c r="E270" s="91">
        <v>43.59</v>
      </c>
      <c r="F270" s="92">
        <f t="shared" si="162"/>
        <v>1.0605839416058394</v>
      </c>
      <c r="G270" s="91">
        <f>16.668/2</f>
        <v>8.3339999999999996</v>
      </c>
      <c r="H270" s="91">
        <v>25.2</v>
      </c>
      <c r="I270" s="91">
        <f>G270</f>
        <v>8.3339999999999996</v>
      </c>
      <c r="J270" s="91">
        <v>26.99</v>
      </c>
      <c r="K270" s="92">
        <f>(J270*I270)/(H270*G270)</f>
        <v>1.071031746031746</v>
      </c>
      <c r="L270" s="91"/>
      <c r="M270" s="91"/>
      <c r="N270" s="91"/>
      <c r="O270" s="91"/>
      <c r="P270" s="92"/>
      <c r="Q270" s="96"/>
      <c r="R270" s="112"/>
      <c r="S270" s="112"/>
      <c r="T270" s="112"/>
      <c r="U270" s="92"/>
      <c r="V270" s="171">
        <f t="shared" si="160"/>
        <v>1.0605839416058394</v>
      </c>
    </row>
    <row r="271" spans="1:22" hidden="1">
      <c r="A271" s="97" t="s">
        <v>99</v>
      </c>
      <c r="B271" s="91">
        <f>843/2</f>
        <v>421.5</v>
      </c>
      <c r="C271" s="91">
        <v>42.44</v>
      </c>
      <c r="D271" s="91">
        <f t="shared" si="161"/>
        <v>421.5</v>
      </c>
      <c r="E271" s="91">
        <v>42.44</v>
      </c>
      <c r="F271" s="92">
        <f t="shared" si="162"/>
        <v>1</v>
      </c>
      <c r="G271" s="91">
        <f>514/2</f>
        <v>257</v>
      </c>
      <c r="H271" s="91">
        <v>31</v>
      </c>
      <c r="I271" s="91">
        <f>G271</f>
        <v>257</v>
      </c>
      <c r="J271" s="91">
        <v>33.200000000000003</v>
      </c>
      <c r="K271" s="92">
        <f>(J271*I271)/(H271*G271)</f>
        <v>1.0709677419354842</v>
      </c>
      <c r="L271" s="91">
        <f>500/2</f>
        <v>250</v>
      </c>
      <c r="M271" s="91">
        <v>51.3</v>
      </c>
      <c r="N271" s="91">
        <f>L271</f>
        <v>250</v>
      </c>
      <c r="O271" s="91">
        <v>51.3</v>
      </c>
      <c r="P271" s="92">
        <f>O271/M271</f>
        <v>1</v>
      </c>
      <c r="Q271" s="96">
        <f>310/2</f>
        <v>155</v>
      </c>
      <c r="R271" s="96">
        <v>39</v>
      </c>
      <c r="S271" s="96">
        <f>Q271</f>
        <v>155</v>
      </c>
      <c r="T271" s="96">
        <v>41.77</v>
      </c>
      <c r="U271" s="92">
        <f>T271/R271</f>
        <v>1.0710256410256411</v>
      </c>
      <c r="V271" s="171">
        <f t="shared" si="160"/>
        <v>1</v>
      </c>
    </row>
    <row r="272" spans="1:22" hidden="1">
      <c r="A272" s="97" t="s">
        <v>104</v>
      </c>
      <c r="B272" s="91">
        <f>SUM(B273:B276)</f>
        <v>116.208</v>
      </c>
      <c r="C272" s="91">
        <f>SUMPRODUCT(B273:B276,C273:C276)/B272</f>
        <v>43.362117840424062</v>
      </c>
      <c r="D272" s="91">
        <f>SUM(D273:D276)</f>
        <v>116.208</v>
      </c>
      <c r="E272" s="91">
        <f>SUMPRODUCT(D273:D276,E273:E276)/D272</f>
        <v>45.2136927750241</v>
      </c>
      <c r="F272" s="92">
        <f>E272/C272</f>
        <v>1.0427002883349465</v>
      </c>
      <c r="G272" s="91">
        <f>SUM(G273:G276)</f>
        <v>57.929000000000002</v>
      </c>
      <c r="H272" s="91">
        <f>SUMPRODUCT(G273:G276,H273:H276)/G272</f>
        <v>29.999999999999996</v>
      </c>
      <c r="I272" s="91">
        <f>SUM(I273:I276)</f>
        <v>57.929000000000002</v>
      </c>
      <c r="J272" s="91">
        <f>SUMPRODUCT(I273:I276,J273:J276)/I272</f>
        <v>32.129999999999995</v>
      </c>
      <c r="K272" s="92">
        <f>J272/H272</f>
        <v>1.071</v>
      </c>
      <c r="L272" s="91">
        <f>SUM(L273:L276)</f>
        <v>53.707500000000003</v>
      </c>
      <c r="M272" s="91">
        <f>SUMPRODUCT(L273:L276,M273:M276)/L272</f>
        <v>49.63</v>
      </c>
      <c r="N272" s="91">
        <f>SUM(N273:N276)</f>
        <v>53.707500000000003</v>
      </c>
      <c r="O272" s="91">
        <f>SUMPRODUCT(N273:N276,O273:O276)/N272</f>
        <v>50.71</v>
      </c>
      <c r="P272" s="92">
        <f>O272/M272</f>
        <v>1.0217610316340922</v>
      </c>
      <c r="Q272" s="91">
        <f>SUM(Q273:Q276)</f>
        <v>24.574999999999999</v>
      </c>
      <c r="R272" s="91">
        <f>SUMPRODUCT(Q273:Q276,R273:R276)/Q272</f>
        <v>35</v>
      </c>
      <c r="S272" s="91">
        <f>SUM(S273:S276)</f>
        <v>24.574999999999999</v>
      </c>
      <c r="T272" s="91">
        <f>SUMPRODUCT(S273:S276,T273:T276)/S272</f>
        <v>37.49</v>
      </c>
      <c r="U272" s="92">
        <f>T272/R272</f>
        <v>1.0711428571428572</v>
      </c>
      <c r="V272" s="171">
        <f t="shared" si="160"/>
        <v>1.0315249830058786</v>
      </c>
    </row>
    <row r="273" spans="1:22" hidden="1">
      <c r="A273" s="97" t="s">
        <v>100</v>
      </c>
      <c r="B273" s="91">
        <f>145.04/2</f>
        <v>72.52</v>
      </c>
      <c r="C273" s="91">
        <v>43.04</v>
      </c>
      <c r="D273" s="91">
        <f>B273</f>
        <v>72.52</v>
      </c>
      <c r="E273" s="91">
        <v>44.79</v>
      </c>
      <c r="F273" s="92">
        <f>(E273*D273)/(C273*B273)</f>
        <v>1.0406598513011154</v>
      </c>
      <c r="G273" s="91">
        <f>55.6/2</f>
        <v>27.8</v>
      </c>
      <c r="H273" s="91">
        <v>30</v>
      </c>
      <c r="I273" s="91">
        <f>G273</f>
        <v>27.8</v>
      </c>
      <c r="J273" s="91">
        <v>32.130000000000003</v>
      </c>
      <c r="K273" s="92">
        <f>J273/H273</f>
        <v>1.0710000000000002</v>
      </c>
      <c r="L273" s="91">
        <f>107.415/2</f>
        <v>53.707500000000003</v>
      </c>
      <c r="M273" s="91">
        <v>49.63</v>
      </c>
      <c r="N273" s="91">
        <f>L273</f>
        <v>53.707500000000003</v>
      </c>
      <c r="O273" s="91">
        <v>50.71</v>
      </c>
      <c r="P273" s="92">
        <f>O273/M273</f>
        <v>1.0217610316340922</v>
      </c>
      <c r="Q273" s="96">
        <f>49.15/2</f>
        <v>24.574999999999999</v>
      </c>
      <c r="R273" s="112">
        <v>35</v>
      </c>
      <c r="S273" s="112">
        <f>Q273</f>
        <v>24.574999999999999</v>
      </c>
      <c r="T273" s="112">
        <v>37.49</v>
      </c>
      <c r="U273" s="92">
        <f>T273/R273</f>
        <v>1.0711428571428572</v>
      </c>
      <c r="V273" s="171">
        <f t="shared" si="160"/>
        <v>1.0305384698392144</v>
      </c>
    </row>
    <row r="274" spans="1:22" hidden="1">
      <c r="A274" s="97" t="s">
        <v>101</v>
      </c>
      <c r="B274" s="91">
        <f>66.934/2</f>
        <v>33.466999999999999</v>
      </c>
      <c r="C274" s="91">
        <v>43.1</v>
      </c>
      <c r="D274" s="91">
        <f>B274</f>
        <v>33.466999999999999</v>
      </c>
      <c r="E274" s="91">
        <v>45.06</v>
      </c>
      <c r="F274" s="92">
        <f>(E274*D274)/(C274*B274)</f>
        <v>1.0454756380510442</v>
      </c>
      <c r="G274" s="91">
        <f>45.344/2</f>
        <v>22.672000000000001</v>
      </c>
      <c r="H274" s="91">
        <v>30</v>
      </c>
      <c r="I274" s="91">
        <f>G274</f>
        <v>22.672000000000001</v>
      </c>
      <c r="J274" s="91">
        <v>32.130000000000003</v>
      </c>
      <c r="K274" s="92">
        <f>(J274*I274)/(H274*G274)</f>
        <v>1.0710000000000002</v>
      </c>
      <c r="L274" s="91"/>
      <c r="M274" s="91"/>
      <c r="N274" s="91"/>
      <c r="O274" s="91"/>
      <c r="P274" s="92"/>
      <c r="Q274" s="96"/>
      <c r="R274" s="112"/>
      <c r="S274" s="112"/>
      <c r="T274" s="112"/>
      <c r="U274" s="92"/>
      <c r="V274" s="171">
        <f t="shared" si="160"/>
        <v>1.0454756380510442</v>
      </c>
    </row>
    <row r="275" spans="1:22" hidden="1">
      <c r="A275" s="97" t="s">
        <v>102</v>
      </c>
      <c r="B275" s="91">
        <f>1.942/2</f>
        <v>0.97099999999999997</v>
      </c>
      <c r="C275" s="91">
        <v>82.19</v>
      </c>
      <c r="D275" s="91">
        <f>B275</f>
        <v>0.97099999999999997</v>
      </c>
      <c r="E275" s="91">
        <v>82.19</v>
      </c>
      <c r="F275" s="92">
        <f>(E275*D275)/(C275*B275)</f>
        <v>1</v>
      </c>
      <c r="G275" s="91">
        <f>1.314/2</f>
        <v>0.65700000000000003</v>
      </c>
      <c r="H275" s="91">
        <v>30</v>
      </c>
      <c r="I275" s="91">
        <f>G275</f>
        <v>0.65700000000000003</v>
      </c>
      <c r="J275" s="91">
        <v>32.130000000000003</v>
      </c>
      <c r="K275" s="92">
        <f>(J275*I275)/(H275*G275)</f>
        <v>1.0710000000000002</v>
      </c>
      <c r="L275" s="91"/>
      <c r="M275" s="91"/>
      <c r="N275" s="91"/>
      <c r="O275" s="91"/>
      <c r="P275" s="92"/>
      <c r="Q275" s="96"/>
      <c r="R275" s="96"/>
      <c r="S275" s="96"/>
      <c r="T275" s="96"/>
      <c r="U275" s="92"/>
      <c r="V275" s="171">
        <f t="shared" si="160"/>
        <v>1</v>
      </c>
    </row>
    <row r="276" spans="1:22" hidden="1">
      <c r="A276" s="97" t="s">
        <v>103</v>
      </c>
      <c r="B276" s="91">
        <f>18.5/2</f>
        <v>9.25</v>
      </c>
      <c r="C276" s="91">
        <v>42.76</v>
      </c>
      <c r="D276" s="91">
        <f t="shared" ref="D276" si="163">B276</f>
        <v>9.25</v>
      </c>
      <c r="E276" s="91">
        <v>45.21</v>
      </c>
      <c r="F276" s="92">
        <f t="shared" ref="F276" si="164">(E276*D276)/(C276*B276)</f>
        <v>1.0572965388213285</v>
      </c>
      <c r="G276" s="91">
        <f>13.6/2</f>
        <v>6.8</v>
      </c>
      <c r="H276" s="91">
        <v>30</v>
      </c>
      <c r="I276" s="91">
        <f>G276</f>
        <v>6.8</v>
      </c>
      <c r="J276" s="91">
        <v>32.130000000000003</v>
      </c>
      <c r="K276" s="92">
        <f>(J276*I276)/(H276*G276)</f>
        <v>1.071</v>
      </c>
      <c r="L276" s="91"/>
      <c r="M276" s="91"/>
      <c r="N276" s="91"/>
      <c r="O276" s="91"/>
      <c r="P276" s="92"/>
      <c r="Q276" s="96"/>
      <c r="R276" s="96"/>
      <c r="S276" s="96"/>
      <c r="T276" s="96"/>
      <c r="U276" s="92"/>
      <c r="V276" s="171">
        <f t="shared" si="160"/>
        <v>1.0572965388213285</v>
      </c>
    </row>
    <row r="277" spans="1:22">
      <c r="A277" s="90" t="s">
        <v>205</v>
      </c>
      <c r="B277" s="91">
        <f>SUM(B278:B278)</f>
        <v>28.525500000000001</v>
      </c>
      <c r="C277" s="91">
        <f>SUMPRODUCT(B278:B278,C278:C278)/B277</f>
        <v>46.03</v>
      </c>
      <c r="D277" s="91">
        <f>SUM(D278:D278)</f>
        <v>28.525500000000001</v>
      </c>
      <c r="E277" s="91">
        <f>SUMPRODUCT(D278:D278,E278:E278)/D277</f>
        <v>48.06</v>
      </c>
      <c r="F277" s="92">
        <f>E277/C277</f>
        <v>1.0441016728220727</v>
      </c>
      <c r="G277" s="91">
        <f>SUM(G278:G278)</f>
        <v>9.5574999999999992</v>
      </c>
      <c r="H277" s="91">
        <f>SUMPRODUCT(G278:G278,H278:H278)/G277</f>
        <v>28.499999999999996</v>
      </c>
      <c r="I277" s="91">
        <f>SUM(I278:I278)</f>
        <v>9.5574999999999992</v>
      </c>
      <c r="J277" s="91">
        <f>SUMPRODUCT(I278:I278,J278:J278)/I277</f>
        <v>30.52</v>
      </c>
      <c r="K277" s="92">
        <f>J277/H277</f>
        <v>1.0708771929824563</v>
      </c>
      <c r="L277" s="91">
        <f>SUM(L278:L278)</f>
        <v>16.508500000000002</v>
      </c>
      <c r="M277" s="91">
        <f>SUMPRODUCT(L278:L278,M278:M278)/L277</f>
        <v>41.3</v>
      </c>
      <c r="N277" s="91">
        <f>SUM(N278:N278)</f>
        <v>16.508500000000002</v>
      </c>
      <c r="O277" s="91">
        <f>SUMPRODUCT(N278:N278,O278:O278)/N277</f>
        <v>42.64</v>
      </c>
      <c r="P277" s="92">
        <f>O277/M277</f>
        <v>1.0324455205811138</v>
      </c>
      <c r="Q277" s="91">
        <f>SUM(Q278:Q278)</f>
        <v>6.7169999999999996</v>
      </c>
      <c r="R277" s="91">
        <f>SUMPRODUCT(Q278:Q278,R278:R278)/Q277</f>
        <v>32</v>
      </c>
      <c r="S277" s="91">
        <f>SUM(S278:S278)</f>
        <v>6.7169999999999996</v>
      </c>
      <c r="T277" s="91">
        <f>SUMPRODUCT(S278:S278,T278:T278)/S277</f>
        <v>34.270000000000003</v>
      </c>
      <c r="U277" s="92">
        <f>T277/R277</f>
        <v>1.0709375000000001</v>
      </c>
      <c r="V277" s="171">
        <f t="shared" si="160"/>
        <v>1.038589259132028</v>
      </c>
    </row>
    <row r="278" spans="1:22" hidden="1">
      <c r="A278" s="90" t="s">
        <v>106</v>
      </c>
      <c r="B278" s="91">
        <f>57.051/2</f>
        <v>28.525500000000001</v>
      </c>
      <c r="C278" s="91">
        <v>46.03</v>
      </c>
      <c r="D278" s="91">
        <f>B278</f>
        <v>28.525500000000001</v>
      </c>
      <c r="E278" s="91">
        <v>48.06</v>
      </c>
      <c r="F278" s="92">
        <f>(E278*D278)/(C278*B278)</f>
        <v>1.0441016728220727</v>
      </c>
      <c r="G278" s="91">
        <f>19.115/2</f>
        <v>9.5574999999999992</v>
      </c>
      <c r="H278" s="91">
        <v>28.5</v>
      </c>
      <c r="I278" s="91">
        <f>G278</f>
        <v>9.5574999999999992</v>
      </c>
      <c r="J278" s="91">
        <v>30.52</v>
      </c>
      <c r="K278" s="92">
        <f>J278/H278</f>
        <v>1.0708771929824561</v>
      </c>
      <c r="L278" s="91">
        <f>33.017/2</f>
        <v>16.508500000000002</v>
      </c>
      <c r="M278" s="91">
        <v>41.3</v>
      </c>
      <c r="N278" s="91">
        <f>L278</f>
        <v>16.508500000000002</v>
      </c>
      <c r="O278" s="91">
        <v>42.64</v>
      </c>
      <c r="P278" s="120">
        <f>O278/M278</f>
        <v>1.0324455205811138</v>
      </c>
      <c r="Q278" s="96">
        <f>13.434/2</f>
        <v>6.7169999999999996</v>
      </c>
      <c r="R278" s="112">
        <v>32</v>
      </c>
      <c r="S278" s="112">
        <f>Q278</f>
        <v>6.7169999999999996</v>
      </c>
      <c r="T278" s="112">
        <v>34.270000000000003</v>
      </c>
      <c r="U278" s="92">
        <f>T278/R278</f>
        <v>1.0709375000000001</v>
      </c>
      <c r="V278" s="171">
        <f t="shared" si="160"/>
        <v>1.038589259132028</v>
      </c>
    </row>
    <row r="279" spans="1:22" hidden="1">
      <c r="A279" s="90" t="s">
        <v>117</v>
      </c>
      <c r="B279" s="91">
        <f>SUM(B280:B300)</f>
        <v>607.9905</v>
      </c>
      <c r="C279" s="91">
        <f>SUMPRODUCT(B280:B300,C280:C300)/B279</f>
        <v>55.673529635742661</v>
      </c>
      <c r="D279" s="91">
        <f>SUM(D280:D300)</f>
        <v>607.9905</v>
      </c>
      <c r="E279" s="91">
        <f>SUMPRODUCT(D280:D300,E280:E300)/D279</f>
        <v>58.850501290727401</v>
      </c>
      <c r="F279" s="92">
        <f>E279/C279</f>
        <v>1.057064311815163</v>
      </c>
      <c r="G279" s="91">
        <f>SUM(G280:G300)</f>
        <v>407.43349999999998</v>
      </c>
      <c r="H279" s="91">
        <f>SUMPRODUCT(G280:G300,H280:H300)/G279</f>
        <v>27.144987942817657</v>
      </c>
      <c r="I279" s="91">
        <f>SUM(I280:I300)</f>
        <v>407.43349999999998</v>
      </c>
      <c r="J279" s="91">
        <f>SUMPRODUCT(I280:I300,J280:J300)/I279</f>
        <v>29.1897784791874</v>
      </c>
      <c r="K279" s="92">
        <f>J279/H279</f>
        <v>1.0753284746590126</v>
      </c>
      <c r="L279" s="91">
        <f>SUM(L280:L300)</f>
        <v>526.64350000000002</v>
      </c>
      <c r="M279" s="91">
        <f>SUMPRODUCT(L280:L300,M280:M300)/L279</f>
        <v>40.267198493857798</v>
      </c>
      <c r="N279" s="91">
        <f>SUM(N280:N300)</f>
        <v>526.64350000000002</v>
      </c>
      <c r="O279" s="91">
        <f>SUMPRODUCT(N280:N300,O280:O300)/N279</f>
        <v>42.460681599602005</v>
      </c>
      <c r="P279" s="120">
        <f>O279/M279</f>
        <v>1.0544731987272169</v>
      </c>
      <c r="Q279" s="91">
        <f>SUM(Q280:Q300)</f>
        <v>365.45050000000009</v>
      </c>
      <c r="R279" s="91">
        <f>SUMPRODUCT(Q280:Q300,R280:R300)/Q279</f>
        <v>23.166234141149072</v>
      </c>
      <c r="S279" s="91">
        <f>SUM(S280:S300)</f>
        <v>365.45050000000009</v>
      </c>
      <c r="T279" s="91">
        <f>SUMPRODUCT(S280:S300,T280:T300)/S279</f>
        <v>24.425115343938504</v>
      </c>
      <c r="U279" s="92">
        <f>T279/R279</f>
        <v>1.0543412103632908</v>
      </c>
      <c r="V279" s="171">
        <f t="shared" si="160"/>
        <v>1.0559767980234038</v>
      </c>
    </row>
    <row r="280" spans="1:22" hidden="1">
      <c r="A280" s="97" t="s">
        <v>107</v>
      </c>
      <c r="B280" s="100">
        <f>112.85/2</f>
        <v>56.424999999999997</v>
      </c>
      <c r="C280" s="100">
        <v>64.41</v>
      </c>
      <c r="D280" s="100">
        <f>B280</f>
        <v>56.424999999999997</v>
      </c>
      <c r="E280" s="100">
        <v>68.03</v>
      </c>
      <c r="F280" s="101">
        <f>(E280*D280)/(C280*B280)</f>
        <v>1.0562024530352432</v>
      </c>
      <c r="G280" s="100">
        <f>39.548/2</f>
        <v>19.774000000000001</v>
      </c>
      <c r="H280" s="100">
        <v>25.26</v>
      </c>
      <c r="I280" s="100">
        <f>G280</f>
        <v>19.774000000000001</v>
      </c>
      <c r="J280" s="100">
        <v>27.05</v>
      </c>
      <c r="K280" s="101">
        <f>(J280*I280)/(H280*G280)</f>
        <v>1.0708630245447346</v>
      </c>
      <c r="L280" s="100">
        <f>140.24/2</f>
        <v>70.12</v>
      </c>
      <c r="M280" s="100">
        <v>42.43</v>
      </c>
      <c r="N280" s="100">
        <f>L280</f>
        <v>70.12</v>
      </c>
      <c r="O280" s="100">
        <v>44.51</v>
      </c>
      <c r="P280" s="121">
        <f>(O280*N280)/(M280*L280)</f>
        <v>1.049021918453924</v>
      </c>
      <c r="Q280" s="118">
        <f>37.5/2</f>
        <v>18.75</v>
      </c>
      <c r="R280" s="118">
        <v>23.59</v>
      </c>
      <c r="S280" s="118">
        <f>Q280</f>
        <v>18.75</v>
      </c>
      <c r="T280" s="118">
        <v>25.26</v>
      </c>
      <c r="U280" s="101">
        <f>(T280*S280)/(R280*Q280)</f>
        <v>1.0707927087749047</v>
      </c>
      <c r="V280" s="171">
        <f t="shared" si="160"/>
        <v>1.0533508049419691</v>
      </c>
    </row>
    <row r="281" spans="1:22" hidden="1">
      <c r="A281" s="109" t="s">
        <v>58</v>
      </c>
      <c r="B281" s="100">
        <f>43.84/2</f>
        <v>21.92</v>
      </c>
      <c r="C281" s="100">
        <v>109.08</v>
      </c>
      <c r="D281" s="100">
        <f>B281</f>
        <v>21.92</v>
      </c>
      <c r="E281" s="100">
        <v>128.27000000000001</v>
      </c>
      <c r="F281" s="101">
        <f>(E281*D281)/(C281*B281)</f>
        <v>1.1759259259259258</v>
      </c>
      <c r="G281" s="116">
        <f>25.181/2</f>
        <v>12.5905</v>
      </c>
      <c r="H281" s="116">
        <v>38.93</v>
      </c>
      <c r="I281" s="116">
        <f>G281</f>
        <v>12.5905</v>
      </c>
      <c r="J281" s="116">
        <v>41.69</v>
      </c>
      <c r="K281" s="101">
        <f t="shared" ref="K281:K300" si="165">(J281*I281)/(H281*G281)</f>
        <v>1.0708964808630874</v>
      </c>
      <c r="L281" s="100">
        <f>28.19/2</f>
        <v>14.095000000000001</v>
      </c>
      <c r="M281" s="100">
        <v>43.07</v>
      </c>
      <c r="N281" s="100">
        <f>L281</f>
        <v>14.095000000000001</v>
      </c>
      <c r="O281" s="100">
        <v>46.2</v>
      </c>
      <c r="P281" s="121">
        <f>(O281*N281)/(M281*L281)</f>
        <v>1.0726723937775715</v>
      </c>
      <c r="Q281" s="118">
        <f>20.54/2</f>
        <v>10.27</v>
      </c>
      <c r="R281" s="118">
        <v>33.06</v>
      </c>
      <c r="S281" s="118">
        <f>Q281</f>
        <v>10.27</v>
      </c>
      <c r="T281" s="118">
        <v>35.409999999999997</v>
      </c>
      <c r="U281" s="101">
        <f t="shared" ref="U281" si="166">T281/R281</f>
        <v>1.0710828796128249</v>
      </c>
      <c r="V281" s="171">
        <f t="shared" si="160"/>
        <v>1.1466973381531385</v>
      </c>
    </row>
    <row r="282" spans="1:22" hidden="1">
      <c r="A282" s="97" t="s">
        <v>108</v>
      </c>
      <c r="B282" s="100">
        <f>168.1/2</f>
        <v>84.05</v>
      </c>
      <c r="C282" s="100">
        <v>62.63</v>
      </c>
      <c r="D282" s="100">
        <f>B282</f>
        <v>84.05</v>
      </c>
      <c r="E282" s="100">
        <v>62.63</v>
      </c>
      <c r="F282" s="101">
        <f t="shared" ref="F282:F298" si="167">(E282*D282)/(C282*B282)</f>
        <v>1</v>
      </c>
      <c r="G282" s="100">
        <f>132.62/2</f>
        <v>66.31</v>
      </c>
      <c r="H282" s="100">
        <v>30.72</v>
      </c>
      <c r="I282" s="100">
        <f t="shared" ref="I282:I298" si="168">G282</f>
        <v>66.31</v>
      </c>
      <c r="J282" s="100">
        <v>32.9</v>
      </c>
      <c r="K282" s="101">
        <f t="shared" si="165"/>
        <v>1.0709635416666667</v>
      </c>
      <c r="L282" s="100">
        <f>198.7/2</f>
        <v>99.35</v>
      </c>
      <c r="M282" s="100">
        <v>28.36</v>
      </c>
      <c r="N282" s="100">
        <f t="shared" ref="N282:N299" si="169">L282</f>
        <v>99.35</v>
      </c>
      <c r="O282" s="100">
        <v>28.36</v>
      </c>
      <c r="P282" s="121">
        <f t="shared" ref="P282:P299" si="170">(O282*N282)/(M282*L282)</f>
        <v>1</v>
      </c>
      <c r="Q282" s="118">
        <f>132.62/2</f>
        <v>66.31</v>
      </c>
      <c r="R282" s="118">
        <v>27.59</v>
      </c>
      <c r="S282" s="118">
        <f t="shared" ref="S282:S300" si="171">Q282</f>
        <v>66.31</v>
      </c>
      <c r="T282" s="118">
        <v>28.36</v>
      </c>
      <c r="U282" s="101">
        <f t="shared" ref="U282:U300" si="172">(T282*S282)/(R282*Q282)</f>
        <v>1.0279086625588982</v>
      </c>
      <c r="V282" s="171">
        <f t="shared" si="160"/>
        <v>1</v>
      </c>
    </row>
    <row r="283" spans="1:22" hidden="1">
      <c r="A283" s="97" t="s">
        <v>109</v>
      </c>
      <c r="B283" s="100">
        <f>66.883/2</f>
        <v>33.441499999999998</v>
      </c>
      <c r="C283" s="100">
        <v>54.83</v>
      </c>
      <c r="D283" s="100">
        <f t="shared" ref="D283:D298" si="173">B283</f>
        <v>33.441499999999998</v>
      </c>
      <c r="E283" s="100">
        <v>58.63</v>
      </c>
      <c r="F283" s="101">
        <f t="shared" si="167"/>
        <v>1.0693051249316068</v>
      </c>
      <c r="G283" s="100">
        <f>55.925/2</f>
        <v>27.962499999999999</v>
      </c>
      <c r="H283" s="100">
        <v>21</v>
      </c>
      <c r="I283" s="100">
        <f t="shared" si="168"/>
        <v>27.962499999999999</v>
      </c>
      <c r="J283" s="100">
        <v>22.5</v>
      </c>
      <c r="K283" s="101">
        <f t="shared" si="165"/>
        <v>1.0714285714285714</v>
      </c>
      <c r="L283" s="100">
        <f>56.428/2</f>
        <v>28.213999999999999</v>
      </c>
      <c r="M283" s="100">
        <v>37.86</v>
      </c>
      <c r="N283" s="100">
        <f t="shared" si="169"/>
        <v>28.213999999999999</v>
      </c>
      <c r="O283" s="100">
        <v>40.54</v>
      </c>
      <c r="P283" s="121">
        <f t="shared" si="170"/>
        <v>1.0707871104067619</v>
      </c>
      <c r="Q283" s="118">
        <f>54.845/2</f>
        <v>27.422499999999999</v>
      </c>
      <c r="R283" s="118">
        <v>16.3</v>
      </c>
      <c r="S283" s="118">
        <f t="shared" si="171"/>
        <v>27.422499999999999</v>
      </c>
      <c r="T283" s="118">
        <v>17.46</v>
      </c>
      <c r="U283" s="101">
        <f t="shared" si="172"/>
        <v>1.0711656441717792</v>
      </c>
      <c r="V283" s="171">
        <f t="shared" si="160"/>
        <v>1.0699104542021793</v>
      </c>
    </row>
    <row r="284" spans="1:22" hidden="1">
      <c r="A284" s="97" t="s">
        <v>109</v>
      </c>
      <c r="B284" s="100">
        <f>53.1/2</f>
        <v>26.55</v>
      </c>
      <c r="C284" s="100">
        <v>39.86</v>
      </c>
      <c r="D284" s="100">
        <f t="shared" si="173"/>
        <v>26.55</v>
      </c>
      <c r="E284" s="100">
        <v>42.67</v>
      </c>
      <c r="F284" s="101">
        <f t="shared" si="167"/>
        <v>1.0704967385850477</v>
      </c>
      <c r="G284" s="100">
        <f>44.496/2</f>
        <v>22.248000000000001</v>
      </c>
      <c r="H284" s="100">
        <v>21</v>
      </c>
      <c r="I284" s="100">
        <f t="shared" si="168"/>
        <v>22.248000000000001</v>
      </c>
      <c r="J284" s="100">
        <v>22.5</v>
      </c>
      <c r="K284" s="101">
        <f t="shared" si="165"/>
        <v>1.0714285714285714</v>
      </c>
      <c r="L284" s="100">
        <f>50.322/2</f>
        <v>25.161000000000001</v>
      </c>
      <c r="M284" s="100">
        <v>46.74</v>
      </c>
      <c r="N284" s="100">
        <f t="shared" si="169"/>
        <v>25.161000000000001</v>
      </c>
      <c r="O284" s="100">
        <v>50.04</v>
      </c>
      <c r="P284" s="121">
        <f t="shared" si="170"/>
        <v>1.0706033376123234</v>
      </c>
      <c r="Q284" s="118">
        <f>43.52/2</f>
        <v>21.76</v>
      </c>
      <c r="R284" s="118">
        <v>20.7</v>
      </c>
      <c r="S284" s="118">
        <f t="shared" si="171"/>
        <v>21.76</v>
      </c>
      <c r="T284" s="118">
        <v>22.17</v>
      </c>
      <c r="U284" s="101">
        <f t="shared" si="172"/>
        <v>1.0710144927536231</v>
      </c>
      <c r="V284" s="171">
        <f t="shared" si="160"/>
        <v>1.0705542725173212</v>
      </c>
    </row>
    <row r="285" spans="1:22" hidden="1">
      <c r="A285" s="97" t="s">
        <v>109</v>
      </c>
      <c r="B285" s="100">
        <f>37.65/2</f>
        <v>18.824999999999999</v>
      </c>
      <c r="C285" s="100">
        <v>78.2</v>
      </c>
      <c r="D285" s="100">
        <f t="shared" si="173"/>
        <v>18.824999999999999</v>
      </c>
      <c r="E285" s="100">
        <v>83.74</v>
      </c>
      <c r="F285" s="101">
        <f t="shared" si="167"/>
        <v>1.0708439897698208</v>
      </c>
      <c r="G285" s="100">
        <f>30.238/2</f>
        <v>15.119</v>
      </c>
      <c r="H285" s="100">
        <v>30.72</v>
      </c>
      <c r="I285" s="100">
        <f t="shared" si="168"/>
        <v>15.119</v>
      </c>
      <c r="J285" s="100">
        <v>32.9</v>
      </c>
      <c r="K285" s="101">
        <f t="shared" si="165"/>
        <v>1.0709635416666667</v>
      </c>
      <c r="L285" s="100">
        <f>28.742/2</f>
        <v>14.371</v>
      </c>
      <c r="M285" s="100">
        <v>36.36</v>
      </c>
      <c r="N285" s="100">
        <f t="shared" si="169"/>
        <v>14.371</v>
      </c>
      <c r="O285" s="100">
        <v>38.93</v>
      </c>
      <c r="P285" s="121">
        <f t="shared" si="170"/>
        <v>1.0706820682068205</v>
      </c>
      <c r="Q285" s="118">
        <f>24.884/2</f>
        <v>12.442</v>
      </c>
      <c r="R285" s="118">
        <v>28.64</v>
      </c>
      <c r="S285" s="118">
        <f t="shared" si="171"/>
        <v>12.442</v>
      </c>
      <c r="T285" s="118">
        <v>30.67</v>
      </c>
      <c r="U285" s="101">
        <f t="shared" si="172"/>
        <v>1.0708798882681565</v>
      </c>
      <c r="V285" s="171">
        <f t="shared" si="160"/>
        <v>1.070792597765363</v>
      </c>
    </row>
    <row r="286" spans="1:22" hidden="1">
      <c r="A286" s="97" t="s">
        <v>109</v>
      </c>
      <c r="B286" s="100">
        <f>3.344/2</f>
        <v>1.6719999999999999</v>
      </c>
      <c r="C286" s="100">
        <v>187.17</v>
      </c>
      <c r="D286" s="100">
        <f t="shared" si="173"/>
        <v>1.6719999999999999</v>
      </c>
      <c r="E286" s="100">
        <v>200.41</v>
      </c>
      <c r="F286" s="101">
        <f t="shared" si="167"/>
        <v>1.0707378319175083</v>
      </c>
      <c r="G286" s="100">
        <f>3.144/2</f>
        <v>1.5720000000000001</v>
      </c>
      <c r="H286" s="100">
        <v>30.72</v>
      </c>
      <c r="I286" s="100">
        <f t="shared" si="168"/>
        <v>1.5720000000000001</v>
      </c>
      <c r="J286" s="100">
        <v>32.9</v>
      </c>
      <c r="K286" s="101">
        <f t="shared" si="165"/>
        <v>1.0709635416666667</v>
      </c>
      <c r="L286" s="100">
        <f>3.284/2</f>
        <v>1.6419999999999999</v>
      </c>
      <c r="M286" s="100">
        <v>163.77000000000001</v>
      </c>
      <c r="N286" s="100">
        <f t="shared" si="169"/>
        <v>1.6419999999999999</v>
      </c>
      <c r="O286" s="100">
        <v>175.34</v>
      </c>
      <c r="P286" s="121">
        <f t="shared" si="170"/>
        <v>1.0706478598033826</v>
      </c>
      <c r="Q286" s="118">
        <f>3.144/2</f>
        <v>1.5720000000000001</v>
      </c>
      <c r="R286" s="118">
        <v>28.64</v>
      </c>
      <c r="S286" s="118">
        <f t="shared" si="171"/>
        <v>1.5720000000000001</v>
      </c>
      <c r="T286" s="118">
        <v>30.67</v>
      </c>
      <c r="U286" s="101">
        <f t="shared" si="172"/>
        <v>1.0708798882681565</v>
      </c>
      <c r="V286" s="171">
        <f t="shared" si="160"/>
        <v>1.0706958454436657</v>
      </c>
    </row>
    <row r="287" spans="1:22" hidden="1">
      <c r="A287" s="97" t="s">
        <v>110</v>
      </c>
      <c r="B287" s="100">
        <f>19.1/2</f>
        <v>9.5500000000000007</v>
      </c>
      <c r="C287" s="100">
        <v>68.34</v>
      </c>
      <c r="D287" s="100">
        <f t="shared" si="173"/>
        <v>9.5500000000000007</v>
      </c>
      <c r="E287" s="100">
        <v>69.94</v>
      </c>
      <c r="F287" s="101">
        <f t="shared" si="167"/>
        <v>1.0234123500146326</v>
      </c>
      <c r="G287" s="100">
        <f>17.6/2</f>
        <v>8.8000000000000007</v>
      </c>
      <c r="H287" s="100">
        <v>30.04</v>
      </c>
      <c r="I287" s="100">
        <f t="shared" si="168"/>
        <v>8.8000000000000007</v>
      </c>
      <c r="J287" s="100">
        <v>32.18</v>
      </c>
      <c r="K287" s="101">
        <f t="shared" si="165"/>
        <v>1.0712383488681758</v>
      </c>
      <c r="L287" s="100">
        <f>14.369/2</f>
        <v>7.1844999999999999</v>
      </c>
      <c r="M287" s="100">
        <v>92.01</v>
      </c>
      <c r="N287" s="100">
        <f t="shared" si="169"/>
        <v>7.1844999999999999</v>
      </c>
      <c r="O287" s="100">
        <v>94.3</v>
      </c>
      <c r="P287" s="121">
        <f t="shared" si="170"/>
        <v>1.0248885990653189</v>
      </c>
      <c r="Q287" s="118">
        <f>13.645/2</f>
        <v>6.8224999999999998</v>
      </c>
      <c r="R287" s="118">
        <v>28.6</v>
      </c>
      <c r="S287" s="118">
        <f t="shared" si="171"/>
        <v>6.8224999999999998</v>
      </c>
      <c r="T287" s="118">
        <v>30.63</v>
      </c>
      <c r="U287" s="101">
        <f t="shared" si="172"/>
        <v>1.0709790209790209</v>
      </c>
      <c r="V287" s="171">
        <f t="shared" si="160"/>
        <v>1.0242594324914249</v>
      </c>
    </row>
    <row r="288" spans="1:22" hidden="1">
      <c r="A288" s="97" t="s">
        <v>111</v>
      </c>
      <c r="B288" s="100">
        <f>108.212/2</f>
        <v>54.106000000000002</v>
      </c>
      <c r="C288" s="100">
        <v>75.290000000000006</v>
      </c>
      <c r="D288" s="100">
        <f t="shared" si="173"/>
        <v>54.106000000000002</v>
      </c>
      <c r="E288" s="100">
        <v>75.290000000000006</v>
      </c>
      <c r="F288" s="101">
        <f t="shared" si="167"/>
        <v>1</v>
      </c>
      <c r="G288" s="100">
        <f>88.68/2</f>
        <v>44.34</v>
      </c>
      <c r="H288" s="100">
        <v>25.46</v>
      </c>
      <c r="I288" s="100">
        <f t="shared" si="168"/>
        <v>44.34</v>
      </c>
      <c r="J288" s="100">
        <v>27.27</v>
      </c>
      <c r="K288" s="101">
        <f t="shared" si="165"/>
        <v>1.0710919088766693</v>
      </c>
      <c r="L288" s="100">
        <f>106.845/2</f>
        <v>53.422499999999999</v>
      </c>
      <c r="M288" s="100">
        <v>65.900000000000006</v>
      </c>
      <c r="N288" s="100">
        <f t="shared" si="169"/>
        <v>53.422499999999999</v>
      </c>
      <c r="O288" s="100">
        <v>65.900000000000006</v>
      </c>
      <c r="P288" s="121">
        <f t="shared" si="170"/>
        <v>1</v>
      </c>
      <c r="Q288" s="118">
        <f>88.671/2</f>
        <v>44.335500000000003</v>
      </c>
      <c r="R288" s="118">
        <v>24.24</v>
      </c>
      <c r="S288" s="118">
        <f t="shared" si="171"/>
        <v>44.335500000000003</v>
      </c>
      <c r="T288" s="118">
        <v>25.96</v>
      </c>
      <c r="U288" s="101">
        <f t="shared" si="172"/>
        <v>1.0709570957095711</v>
      </c>
      <c r="V288" s="171">
        <f t="shared" si="160"/>
        <v>1</v>
      </c>
    </row>
    <row r="289" spans="1:22" hidden="1">
      <c r="A289" s="97" t="s">
        <v>111</v>
      </c>
      <c r="B289" s="100">
        <f>9.587/2</f>
        <v>4.7934999999999999</v>
      </c>
      <c r="C289" s="100">
        <v>59.48</v>
      </c>
      <c r="D289" s="100">
        <f t="shared" si="173"/>
        <v>4.7934999999999999</v>
      </c>
      <c r="E289" s="100">
        <v>63.77</v>
      </c>
      <c r="F289" s="101">
        <f t="shared" si="167"/>
        <v>1.0721250840618697</v>
      </c>
      <c r="G289" s="100">
        <f>9.027/2</f>
        <v>4.5134999999999996</v>
      </c>
      <c r="H289" s="100">
        <v>24</v>
      </c>
      <c r="I289" s="100">
        <f t="shared" si="168"/>
        <v>4.5134999999999996</v>
      </c>
      <c r="J289" s="100">
        <v>26.04</v>
      </c>
      <c r="K289" s="101">
        <f t="shared" si="165"/>
        <v>1.0850000000000002</v>
      </c>
      <c r="L289" s="100">
        <f>14.824/2</f>
        <v>7.4119999999999999</v>
      </c>
      <c r="M289" s="100">
        <v>44.67</v>
      </c>
      <c r="N289" s="100">
        <f t="shared" si="169"/>
        <v>7.4119999999999999</v>
      </c>
      <c r="O289" s="100">
        <v>48.32</v>
      </c>
      <c r="P289" s="121">
        <f t="shared" si="170"/>
        <v>1.0817103201253637</v>
      </c>
      <c r="Q289" s="118">
        <f>14.264/2</f>
        <v>7.1319999999999997</v>
      </c>
      <c r="R289" s="118">
        <v>21.47</v>
      </c>
      <c r="S289" s="118">
        <f t="shared" si="171"/>
        <v>7.1319999999999997</v>
      </c>
      <c r="T289" s="118">
        <v>22.99</v>
      </c>
      <c r="U289" s="101">
        <f t="shared" si="172"/>
        <v>1.0707964601769913</v>
      </c>
      <c r="V289" s="171">
        <f t="shared" si="160"/>
        <v>1.0762361977916466</v>
      </c>
    </row>
    <row r="290" spans="1:22" hidden="1">
      <c r="A290" s="97" t="s">
        <v>112</v>
      </c>
      <c r="B290" s="100">
        <f>86.547/2</f>
        <v>43.273499999999999</v>
      </c>
      <c r="C290" s="100">
        <v>27.18</v>
      </c>
      <c r="D290" s="100">
        <f t="shared" si="173"/>
        <v>43.273499999999999</v>
      </c>
      <c r="E290" s="100">
        <v>28.8</v>
      </c>
      <c r="F290" s="101">
        <f t="shared" si="167"/>
        <v>1.0596026490066226</v>
      </c>
      <c r="G290" s="100">
        <f>1.896/2</f>
        <v>0.94799999999999995</v>
      </c>
      <c r="H290" s="100">
        <v>20.34</v>
      </c>
      <c r="I290" s="100">
        <f t="shared" si="168"/>
        <v>0.94799999999999995</v>
      </c>
      <c r="J290" s="100">
        <v>21.78</v>
      </c>
      <c r="K290" s="101">
        <f t="shared" si="165"/>
        <v>1.0707964601769913</v>
      </c>
      <c r="L290" s="100">
        <f>84.508/2</f>
        <v>42.253999999999998</v>
      </c>
      <c r="M290" s="100">
        <v>21.94</v>
      </c>
      <c r="N290" s="100">
        <f t="shared" si="169"/>
        <v>42.253999999999998</v>
      </c>
      <c r="O290" s="100">
        <v>22.3</v>
      </c>
      <c r="P290" s="121">
        <f t="shared" si="170"/>
        <v>1.0164083865086599</v>
      </c>
      <c r="Q290" s="118">
        <f>1.408/2</f>
        <v>0.70399999999999996</v>
      </c>
      <c r="R290" s="118">
        <v>18.190000000000001</v>
      </c>
      <c r="S290" s="118">
        <f t="shared" si="171"/>
        <v>0.70399999999999996</v>
      </c>
      <c r="T290" s="118">
        <v>19.48</v>
      </c>
      <c r="U290" s="101">
        <f t="shared" si="172"/>
        <v>1.0709180868609127</v>
      </c>
      <c r="V290" s="171">
        <f t="shared" si="160"/>
        <v>1.0403094462540716</v>
      </c>
    </row>
    <row r="291" spans="1:22" hidden="1">
      <c r="A291" s="97" t="s">
        <v>113</v>
      </c>
      <c r="B291" s="100">
        <f>275.76/2</f>
        <v>137.88</v>
      </c>
      <c r="C291" s="100">
        <v>25.48</v>
      </c>
      <c r="D291" s="100">
        <f t="shared" si="173"/>
        <v>137.88</v>
      </c>
      <c r="E291" s="100">
        <v>27.09</v>
      </c>
      <c r="F291" s="101">
        <f t="shared" si="167"/>
        <v>1.0631868131868132</v>
      </c>
      <c r="G291" s="100">
        <f>196.8/2</f>
        <v>98.4</v>
      </c>
      <c r="H291" s="100">
        <v>24</v>
      </c>
      <c r="I291" s="100">
        <f t="shared" si="168"/>
        <v>98.4</v>
      </c>
      <c r="J291" s="100">
        <v>26.04</v>
      </c>
      <c r="K291" s="101">
        <f t="shared" si="165"/>
        <v>1.085</v>
      </c>
      <c r="L291" s="100">
        <f>224.247/2</f>
        <v>112.12350000000001</v>
      </c>
      <c r="M291" s="100">
        <v>19.39</v>
      </c>
      <c r="N291" s="100">
        <f t="shared" si="169"/>
        <v>112.12350000000001</v>
      </c>
      <c r="O291" s="100">
        <v>20.12</v>
      </c>
      <c r="P291" s="121">
        <f t="shared" si="170"/>
        <v>1.037648272305312</v>
      </c>
      <c r="Q291" s="118">
        <f>217.103/2</f>
        <v>108.5515</v>
      </c>
      <c r="R291" s="118">
        <v>19.39</v>
      </c>
      <c r="S291" s="118">
        <f t="shared" si="171"/>
        <v>108.5515</v>
      </c>
      <c r="T291" s="118">
        <v>20.12</v>
      </c>
      <c r="U291" s="101">
        <f t="shared" si="172"/>
        <v>1.037648272305312</v>
      </c>
      <c r="V291" s="171">
        <f t="shared" si="160"/>
        <v>1.0521506574548696</v>
      </c>
    </row>
    <row r="292" spans="1:22" hidden="1">
      <c r="A292" s="97" t="s">
        <v>114</v>
      </c>
      <c r="B292" s="100">
        <f>85.894/2</f>
        <v>42.947000000000003</v>
      </c>
      <c r="C292" s="100">
        <v>57.83</v>
      </c>
      <c r="D292" s="100">
        <f t="shared" si="173"/>
        <v>42.947000000000003</v>
      </c>
      <c r="E292" s="100">
        <v>61.93</v>
      </c>
      <c r="F292" s="101">
        <f t="shared" si="167"/>
        <v>1.0708974580667474</v>
      </c>
      <c r="G292" s="100">
        <f>78.809/2</f>
        <v>39.404499999999999</v>
      </c>
      <c r="H292" s="100">
        <v>35.4</v>
      </c>
      <c r="I292" s="100">
        <f t="shared" si="168"/>
        <v>39.404499999999999</v>
      </c>
      <c r="J292" s="100">
        <v>37.909999999999997</v>
      </c>
      <c r="K292" s="101">
        <f t="shared" si="165"/>
        <v>1.0709039548022599</v>
      </c>
      <c r="L292" s="100"/>
      <c r="M292" s="100"/>
      <c r="N292" s="100"/>
      <c r="O292" s="100"/>
      <c r="P292" s="121"/>
      <c r="Q292" s="118"/>
      <c r="R292" s="118"/>
      <c r="S292" s="118"/>
      <c r="T292" s="118"/>
      <c r="U292" s="101"/>
      <c r="V292" s="171">
        <f t="shared" si="160"/>
        <v>1.0708974580667474</v>
      </c>
    </row>
    <row r="293" spans="1:22" hidden="1">
      <c r="A293" s="97" t="s">
        <v>114</v>
      </c>
      <c r="B293" s="100">
        <f>8.612/2</f>
        <v>4.306</v>
      </c>
      <c r="C293" s="100">
        <v>65.73</v>
      </c>
      <c r="D293" s="100">
        <f t="shared" si="173"/>
        <v>4.306</v>
      </c>
      <c r="E293" s="100">
        <v>70.41</v>
      </c>
      <c r="F293" s="101">
        <f t="shared" si="167"/>
        <v>1.0712003651300774</v>
      </c>
      <c r="G293" s="100">
        <f>8.572/2</f>
        <v>4.2859999999999996</v>
      </c>
      <c r="H293" s="100">
        <v>35.4</v>
      </c>
      <c r="I293" s="100">
        <f t="shared" si="168"/>
        <v>4.2859999999999996</v>
      </c>
      <c r="J293" s="100">
        <v>37.909999999999997</v>
      </c>
      <c r="K293" s="101">
        <f t="shared" si="165"/>
        <v>1.0709039548022599</v>
      </c>
      <c r="L293" s="100"/>
      <c r="M293" s="100"/>
      <c r="N293" s="100"/>
      <c r="O293" s="100"/>
      <c r="P293" s="121"/>
      <c r="Q293" s="118"/>
      <c r="R293" s="118"/>
      <c r="S293" s="118"/>
      <c r="T293" s="118"/>
      <c r="U293" s="101"/>
      <c r="V293" s="171">
        <f t="shared" si="160"/>
        <v>1.0712003651300774</v>
      </c>
    </row>
    <row r="294" spans="1:22" hidden="1">
      <c r="A294" s="97" t="s">
        <v>118</v>
      </c>
      <c r="B294" s="100">
        <f>1.22/2</f>
        <v>0.61</v>
      </c>
      <c r="C294" s="100">
        <v>40.299999999999997</v>
      </c>
      <c r="D294" s="100">
        <f>B294</f>
        <v>0.61</v>
      </c>
      <c r="E294" s="100">
        <v>43.11</v>
      </c>
      <c r="F294" s="101">
        <f>(E294*D294)/(C294*B294)</f>
        <v>1.069727047146402</v>
      </c>
      <c r="G294" s="100"/>
      <c r="H294" s="100"/>
      <c r="I294" s="100"/>
      <c r="J294" s="100"/>
      <c r="K294" s="101"/>
      <c r="L294" s="100"/>
      <c r="M294" s="100"/>
      <c r="N294" s="100"/>
      <c r="O294" s="100"/>
      <c r="P294" s="121"/>
      <c r="Q294" s="118"/>
      <c r="R294" s="118"/>
      <c r="S294" s="118"/>
      <c r="T294" s="118"/>
      <c r="U294" s="101"/>
      <c r="V294" s="171">
        <f t="shared" si="160"/>
        <v>1.069727047146402</v>
      </c>
    </row>
    <row r="295" spans="1:22" hidden="1">
      <c r="A295" s="97" t="s">
        <v>119</v>
      </c>
      <c r="B295" s="100">
        <f>2.46/2</f>
        <v>1.23</v>
      </c>
      <c r="C295" s="100">
        <v>40.299999999999997</v>
      </c>
      <c r="D295" s="100">
        <f>B295</f>
        <v>1.23</v>
      </c>
      <c r="E295" s="100">
        <v>43.11</v>
      </c>
      <c r="F295" s="101">
        <f t="shared" ref="F295:F296" si="174">(E295*D295)/(C295*B295)</f>
        <v>1.0697270471464022</v>
      </c>
      <c r="G295" s="100">
        <f>1.11/2</f>
        <v>0.55500000000000005</v>
      </c>
      <c r="H295" s="100">
        <v>26.03</v>
      </c>
      <c r="I295" s="100">
        <f t="shared" ref="I295:I296" si="175">G295</f>
        <v>0.55500000000000005</v>
      </c>
      <c r="J295" s="100">
        <v>27.88</v>
      </c>
      <c r="K295" s="101">
        <f t="shared" ref="K295:K296" si="176">(J295*I295)/(H295*G295)</f>
        <v>1.0710718401844026</v>
      </c>
      <c r="L295" s="100"/>
      <c r="M295" s="100"/>
      <c r="N295" s="100"/>
      <c r="O295" s="100"/>
      <c r="P295" s="121"/>
      <c r="Q295" s="118"/>
      <c r="R295" s="118"/>
      <c r="S295" s="118"/>
      <c r="T295" s="118"/>
      <c r="U295" s="101"/>
      <c r="V295" s="171">
        <f t="shared" si="160"/>
        <v>1.069727047146402</v>
      </c>
    </row>
    <row r="296" spans="1:22" hidden="1">
      <c r="A296" s="97" t="s">
        <v>120</v>
      </c>
      <c r="B296" s="100">
        <f>50.39/2</f>
        <v>25.195</v>
      </c>
      <c r="C296" s="100">
        <v>69.78</v>
      </c>
      <c r="D296" s="100">
        <f t="shared" ref="D296" si="177">B296</f>
        <v>25.195</v>
      </c>
      <c r="E296" s="100">
        <v>74.45</v>
      </c>
      <c r="F296" s="101">
        <f t="shared" si="174"/>
        <v>1.0669246202350244</v>
      </c>
      <c r="G296" s="100">
        <f>7.71/2</f>
        <v>3.855</v>
      </c>
      <c r="H296" s="100">
        <v>26.03</v>
      </c>
      <c r="I296" s="100">
        <f t="shared" si="175"/>
        <v>3.855</v>
      </c>
      <c r="J296" s="100">
        <v>27.88</v>
      </c>
      <c r="K296" s="101">
        <f t="shared" si="176"/>
        <v>1.0710718401844024</v>
      </c>
      <c r="L296" s="100">
        <f>26.47/2</f>
        <v>13.234999999999999</v>
      </c>
      <c r="M296" s="100">
        <v>65.22</v>
      </c>
      <c r="N296" s="100">
        <f t="shared" ref="N296" si="178">L296</f>
        <v>13.234999999999999</v>
      </c>
      <c r="O296" s="100">
        <v>70.39</v>
      </c>
      <c r="P296" s="121">
        <f t="shared" ref="P296" si="179">(O296*N296)/(M296*L296)</f>
        <v>1.0792701625268322</v>
      </c>
      <c r="Q296" s="118">
        <f>7.71/2</f>
        <v>3.855</v>
      </c>
      <c r="R296" s="118">
        <v>25.48</v>
      </c>
      <c r="S296" s="118">
        <f t="shared" ref="S296" si="180">Q296</f>
        <v>3.855</v>
      </c>
      <c r="T296" s="118">
        <v>27.29</v>
      </c>
      <c r="U296" s="101">
        <f t="shared" ref="U296" si="181">T296/R296</f>
        <v>1.0710361067503924</v>
      </c>
      <c r="V296" s="171">
        <f t="shared" si="160"/>
        <v>1.072888888888889</v>
      </c>
    </row>
    <row r="297" spans="1:22" hidden="1">
      <c r="A297" s="97" t="s">
        <v>115</v>
      </c>
      <c r="B297" s="100">
        <f>21.081/2</f>
        <v>10.5405</v>
      </c>
      <c r="C297" s="100">
        <v>37.26</v>
      </c>
      <c r="D297" s="100">
        <f t="shared" si="173"/>
        <v>10.5405</v>
      </c>
      <c r="E297" s="100">
        <v>40.299999999999997</v>
      </c>
      <c r="F297" s="101">
        <f t="shared" si="167"/>
        <v>1.0815888352120235</v>
      </c>
      <c r="G297" s="100">
        <f>20.271/2</f>
        <v>10.1355</v>
      </c>
      <c r="H297" s="100">
        <v>23</v>
      </c>
      <c r="I297" s="100">
        <f t="shared" si="168"/>
        <v>10.1355</v>
      </c>
      <c r="J297" s="100">
        <v>24.96</v>
      </c>
      <c r="K297" s="101">
        <f t="shared" si="165"/>
        <v>1.0852173913043479</v>
      </c>
      <c r="L297" s="100">
        <f>22.13/2</f>
        <v>11.065</v>
      </c>
      <c r="M297" s="100">
        <v>61.79</v>
      </c>
      <c r="N297" s="100">
        <f>L297</f>
        <v>11.065</v>
      </c>
      <c r="O297" s="100">
        <v>66.930000000000007</v>
      </c>
      <c r="P297" s="121">
        <f t="shared" si="170"/>
        <v>1.0831849813885743</v>
      </c>
      <c r="Q297" s="118">
        <f>21.32/2</f>
        <v>10.66</v>
      </c>
      <c r="R297" s="118">
        <v>25.69</v>
      </c>
      <c r="S297" s="118">
        <f>Q297</f>
        <v>10.66</v>
      </c>
      <c r="T297" s="118">
        <v>28</v>
      </c>
      <c r="U297" s="101">
        <f t="shared" si="172"/>
        <v>1.0899182561307901</v>
      </c>
      <c r="V297" s="171">
        <f t="shared" si="160"/>
        <v>1.0825845532559315</v>
      </c>
    </row>
    <row r="298" spans="1:22" hidden="1">
      <c r="A298" s="97" t="s">
        <v>116</v>
      </c>
      <c r="B298" s="100">
        <f>15.972/2</f>
        <v>7.9859999999999998</v>
      </c>
      <c r="C298" s="100">
        <v>54.14</v>
      </c>
      <c r="D298" s="100">
        <f t="shared" si="173"/>
        <v>7.9859999999999998</v>
      </c>
      <c r="E298" s="100">
        <v>58.29</v>
      </c>
      <c r="F298" s="101">
        <f t="shared" si="167"/>
        <v>1.0766531215367565</v>
      </c>
      <c r="G298" s="100">
        <f>13.797/2</f>
        <v>6.8985000000000003</v>
      </c>
      <c r="H298" s="100">
        <v>23</v>
      </c>
      <c r="I298" s="100">
        <f t="shared" si="168"/>
        <v>6.8985000000000003</v>
      </c>
      <c r="J298" s="100">
        <v>24.96</v>
      </c>
      <c r="K298" s="101">
        <f t="shared" si="165"/>
        <v>1.0852173913043479</v>
      </c>
      <c r="L298" s="100">
        <f>13.438/2</f>
        <v>6.7190000000000003</v>
      </c>
      <c r="M298" s="100">
        <v>63.82</v>
      </c>
      <c r="N298" s="100">
        <f t="shared" si="169"/>
        <v>6.7190000000000003</v>
      </c>
      <c r="O298" s="100">
        <v>68.84</v>
      </c>
      <c r="P298" s="121">
        <f t="shared" si="170"/>
        <v>1.0786587276715764</v>
      </c>
      <c r="Q298" s="118">
        <f>12.436/2</f>
        <v>6.218</v>
      </c>
      <c r="R298" s="118">
        <v>25.69</v>
      </c>
      <c r="S298" s="118">
        <f t="shared" si="171"/>
        <v>6.218</v>
      </c>
      <c r="T298" s="118">
        <v>28</v>
      </c>
      <c r="U298" s="101">
        <f t="shared" si="172"/>
        <v>1.0899182561307901</v>
      </c>
      <c r="V298" s="171">
        <f t="shared" si="160"/>
        <v>1.0777382163445235</v>
      </c>
    </row>
    <row r="299" spans="1:22" hidden="1">
      <c r="A299" s="97" t="s">
        <v>116</v>
      </c>
      <c r="B299" s="100">
        <f>23.972/2</f>
        <v>11.986000000000001</v>
      </c>
      <c r="C299" s="100">
        <v>75.59</v>
      </c>
      <c r="D299" s="100">
        <f>B299</f>
        <v>11.986000000000001</v>
      </c>
      <c r="E299" s="100">
        <v>81.150000000000006</v>
      </c>
      <c r="F299" s="101">
        <f>(E299*D299)/(C299*B299)</f>
        <v>1.0735547030030428</v>
      </c>
      <c r="G299" s="100">
        <f>19.86/2</f>
        <v>9.93</v>
      </c>
      <c r="H299" s="100">
        <v>30.72</v>
      </c>
      <c r="I299" s="100">
        <f>G299</f>
        <v>9.93</v>
      </c>
      <c r="J299" s="100">
        <v>33.33</v>
      </c>
      <c r="K299" s="101">
        <f t="shared" si="165"/>
        <v>1.0849609374999998</v>
      </c>
      <c r="L299" s="100">
        <f>21.068/2</f>
        <v>10.534000000000001</v>
      </c>
      <c r="M299" s="100">
        <v>73.180000000000007</v>
      </c>
      <c r="N299" s="100">
        <f t="shared" si="169"/>
        <v>10.534000000000001</v>
      </c>
      <c r="O299" s="100">
        <v>78.63</v>
      </c>
      <c r="P299" s="121">
        <f t="shared" si="170"/>
        <v>1.07447389997267</v>
      </c>
      <c r="Q299" s="118">
        <f>18.354/2</f>
        <v>9.1769999999999996</v>
      </c>
      <c r="R299" s="118">
        <v>29.99</v>
      </c>
      <c r="S299" s="118">
        <f t="shared" si="171"/>
        <v>9.1769999999999996</v>
      </c>
      <c r="T299" s="118">
        <v>32.700000000000003</v>
      </c>
      <c r="U299" s="101">
        <f t="shared" si="172"/>
        <v>1.0903634544848284</v>
      </c>
      <c r="V299" s="171">
        <f t="shared" si="160"/>
        <v>1.0740068562210123</v>
      </c>
    </row>
    <row r="300" spans="1:22" hidden="1">
      <c r="A300" s="97" t="s">
        <v>116</v>
      </c>
      <c r="B300" s="100">
        <f>21.407/2</f>
        <v>10.7035</v>
      </c>
      <c r="C300" s="100">
        <v>173.01</v>
      </c>
      <c r="D300" s="100">
        <f>B300</f>
        <v>10.7035</v>
      </c>
      <c r="E300" s="100">
        <v>191.67</v>
      </c>
      <c r="F300" s="101">
        <f>(E300*D300)/(C300*B300)</f>
        <v>1.107855037281082</v>
      </c>
      <c r="G300" s="116">
        <f>19.583/2</f>
        <v>9.7914999999999992</v>
      </c>
      <c r="H300" s="116">
        <v>23</v>
      </c>
      <c r="I300" s="100">
        <f>G300</f>
        <v>9.7914999999999992</v>
      </c>
      <c r="J300" s="119">
        <v>24.96</v>
      </c>
      <c r="K300" s="101">
        <f t="shared" si="165"/>
        <v>1.0852173913043479</v>
      </c>
      <c r="L300" s="100">
        <f>19.482/2</f>
        <v>9.7409999999999997</v>
      </c>
      <c r="M300" s="100">
        <v>144.81</v>
      </c>
      <c r="N300" s="100">
        <f>L300</f>
        <v>9.7409999999999997</v>
      </c>
      <c r="O300" s="100">
        <v>185.22</v>
      </c>
      <c r="P300" s="121">
        <f>(O300*N300)/(M300*L300)</f>
        <v>1.2790553138595402</v>
      </c>
      <c r="Q300" s="118">
        <f>18.937/2</f>
        <v>9.4685000000000006</v>
      </c>
      <c r="R300" s="118">
        <v>22.01</v>
      </c>
      <c r="S300" s="118">
        <f t="shared" si="171"/>
        <v>9.4685000000000006</v>
      </c>
      <c r="T300" s="118">
        <v>23</v>
      </c>
      <c r="U300" s="101">
        <f t="shared" si="172"/>
        <v>1.044979554747842</v>
      </c>
      <c r="V300" s="171">
        <f t="shared" si="160"/>
        <v>1.1858599207098357</v>
      </c>
    </row>
    <row r="301" spans="1:22" ht="39" hidden="1">
      <c r="A301" s="104" t="s">
        <v>121</v>
      </c>
      <c r="B301" s="91">
        <f>SUM(B302:B305)</f>
        <v>36.3705</v>
      </c>
      <c r="C301" s="91">
        <f>SUMPRODUCT(B302:B305,C302:C305)/B301</f>
        <v>37.440717339602145</v>
      </c>
      <c r="D301" s="91">
        <f>SUM(D302:D305)</f>
        <v>36.3705</v>
      </c>
      <c r="E301" s="91">
        <f>SUMPRODUCT(D302:D305,E302:E305)/D301</f>
        <v>39.593072545057119</v>
      </c>
      <c r="F301" s="92">
        <f>E301/C301</f>
        <v>1.0574870183691263</v>
      </c>
      <c r="G301" s="91">
        <f>SUM(G302:G305)</f>
        <v>18.859000000000002</v>
      </c>
      <c r="H301" s="91">
        <f>SUMPRODUCT(G302:G305,H302:H305)/G301</f>
        <v>16.640861127313219</v>
      </c>
      <c r="I301" s="91">
        <f>SUM(I302:I305)</f>
        <v>18.859000000000002</v>
      </c>
      <c r="J301" s="91">
        <f>SUMPRODUCT(I302:I305,J302:J305)/I301</f>
        <v>17.825721406225142</v>
      </c>
      <c r="K301" s="92">
        <f>J301/H301</f>
        <v>1.0712018608800942</v>
      </c>
      <c r="L301" s="91">
        <f>SUM(L302:L305)</f>
        <v>10.040000000000001</v>
      </c>
      <c r="M301" s="91">
        <f>SUMPRODUCT(L302:L305,M302:M305)/L301</f>
        <v>63.349203187251</v>
      </c>
      <c r="N301" s="91">
        <f>SUM(N302:N305)</f>
        <v>10.040000000000001</v>
      </c>
      <c r="O301" s="91">
        <f>SUMPRODUCT(N302:N305,O302:O305)/N301</f>
        <v>66.314780876494027</v>
      </c>
      <c r="P301" s="120">
        <f>O301/M301</f>
        <v>1.0468131805932461</v>
      </c>
      <c r="Q301" s="91">
        <f>SUM(Q302:Q305)</f>
        <v>10.040000000000001</v>
      </c>
      <c r="R301" s="91">
        <f>SUMPRODUCT(Q302:Q305,R302:R305)/Q301</f>
        <v>52.780876494023893</v>
      </c>
      <c r="S301" s="91">
        <f>SUM(S302:S305)</f>
        <v>10.040000000000001</v>
      </c>
      <c r="T301" s="91">
        <f>SUMPRODUCT(S302:S305,T302:T305)/S301</f>
        <v>55.340398406374504</v>
      </c>
      <c r="U301" s="92">
        <f>T301/R301</f>
        <v>1.0484933574879229</v>
      </c>
      <c r="V301" s="171">
        <f t="shared" si="160"/>
        <v>1.0507782213533392</v>
      </c>
    </row>
    <row r="302" spans="1:22" ht="51.75" hidden="1">
      <c r="A302" s="113" t="s">
        <v>122</v>
      </c>
      <c r="B302" s="91"/>
      <c r="C302" s="91"/>
      <c r="D302" s="91"/>
      <c r="E302" s="91"/>
      <c r="F302" s="92"/>
      <c r="G302" s="96"/>
      <c r="H302" s="96"/>
      <c r="I302" s="96"/>
      <c r="J302" s="96"/>
      <c r="K302" s="92"/>
      <c r="L302" s="91">
        <f>7.28/2</f>
        <v>3.64</v>
      </c>
      <c r="M302" s="91">
        <v>69.150000000000006</v>
      </c>
      <c r="N302" s="91">
        <f>L302</f>
        <v>3.64</v>
      </c>
      <c r="O302" s="91">
        <v>73.11</v>
      </c>
      <c r="P302" s="120">
        <f>(O302*N302)/(M302*L302)</f>
        <v>1.0572668112798265</v>
      </c>
      <c r="Q302" s="91">
        <f>7.28/2</f>
        <v>3.64</v>
      </c>
      <c r="R302" s="91">
        <v>40</v>
      </c>
      <c r="S302" s="91">
        <f>Q302</f>
        <v>3.64</v>
      </c>
      <c r="T302" s="96">
        <v>42.84</v>
      </c>
      <c r="U302" s="92">
        <f>(T302*S302)/(R302*Q302)</f>
        <v>1.0710000000000002</v>
      </c>
      <c r="V302" s="171">
        <f t="shared" si="160"/>
        <v>1.0572668112798265</v>
      </c>
    </row>
    <row r="303" spans="1:22" ht="39" hidden="1">
      <c r="A303" s="113" t="s">
        <v>123</v>
      </c>
      <c r="B303" s="91">
        <f>39.5/2</f>
        <v>19.75</v>
      </c>
      <c r="C303" s="91">
        <v>38.21</v>
      </c>
      <c r="D303" s="91">
        <f>B303</f>
        <v>19.75</v>
      </c>
      <c r="E303" s="91">
        <v>40.229999999999997</v>
      </c>
      <c r="F303" s="92">
        <f t="shared" ref="F303:F305" si="182">(E303*D303)/(C303*B303)</f>
        <v>1.0528657419523684</v>
      </c>
      <c r="G303" s="91">
        <v>12.67</v>
      </c>
      <c r="H303" s="91">
        <v>15</v>
      </c>
      <c r="I303" s="91">
        <f>G303</f>
        <v>12.67</v>
      </c>
      <c r="J303" s="99">
        <v>16.07</v>
      </c>
      <c r="K303" s="92">
        <f t="shared" ref="K303:K305" si="183">(J303*I303)/(H303*G303)</f>
        <v>1.0713333333333332</v>
      </c>
      <c r="L303" s="91">
        <f>12.8/2</f>
        <v>6.4</v>
      </c>
      <c r="M303" s="91">
        <v>60.05</v>
      </c>
      <c r="N303" s="91">
        <f>L303</f>
        <v>6.4</v>
      </c>
      <c r="O303" s="91">
        <v>62.45</v>
      </c>
      <c r="P303" s="120">
        <f>(O303*N303)/(M303*L303)</f>
        <v>1.0399666944213157</v>
      </c>
      <c r="Q303" s="91">
        <f>12.8/2</f>
        <v>6.4</v>
      </c>
      <c r="R303" s="91">
        <v>60.05</v>
      </c>
      <c r="S303" s="91">
        <f>Q303</f>
        <v>6.4</v>
      </c>
      <c r="T303" s="96">
        <v>62.45</v>
      </c>
      <c r="U303" s="92">
        <f>(T303*S303)/(R303*Q303)</f>
        <v>1.0399666944213157</v>
      </c>
      <c r="V303" s="171">
        <f t="shared" si="160"/>
        <v>1.044982698961938</v>
      </c>
    </row>
    <row r="304" spans="1:22" hidden="1">
      <c r="A304" s="109" t="s">
        <v>124</v>
      </c>
      <c r="B304" s="91">
        <f>14/2</f>
        <v>7</v>
      </c>
      <c r="C304" s="91">
        <v>32.549999999999997</v>
      </c>
      <c r="D304" s="91">
        <f>B304</f>
        <v>7</v>
      </c>
      <c r="E304" s="91">
        <v>32.99</v>
      </c>
      <c r="F304" s="92">
        <f t="shared" si="182"/>
        <v>1.0135176651305686</v>
      </c>
      <c r="G304" s="91">
        <v>0.25</v>
      </c>
      <c r="H304" s="91">
        <v>20</v>
      </c>
      <c r="I304" s="91">
        <f>G304</f>
        <v>0.25</v>
      </c>
      <c r="J304" s="99">
        <v>21.42</v>
      </c>
      <c r="K304" s="92">
        <f t="shared" si="183"/>
        <v>1.0710000000000002</v>
      </c>
      <c r="L304" s="91"/>
      <c r="M304" s="91"/>
      <c r="N304" s="91"/>
      <c r="O304" s="91"/>
      <c r="P304" s="120"/>
      <c r="Q304" s="96"/>
      <c r="R304" s="96"/>
      <c r="S304" s="96"/>
      <c r="T304" s="96"/>
      <c r="U304" s="92"/>
      <c r="V304" s="171">
        <f t="shared" si="160"/>
        <v>1.0135176651305684</v>
      </c>
    </row>
    <row r="305" spans="1:22" hidden="1">
      <c r="A305" s="109" t="s">
        <v>125</v>
      </c>
      <c r="B305" s="112">
        <f>19.241/2</f>
        <v>9.6204999999999998</v>
      </c>
      <c r="C305" s="112">
        <v>39.42</v>
      </c>
      <c r="D305" s="112">
        <f>19.241/2</f>
        <v>9.6204999999999998</v>
      </c>
      <c r="E305" s="96">
        <v>43.09</v>
      </c>
      <c r="F305" s="92">
        <f t="shared" si="182"/>
        <v>1.0930999492643327</v>
      </c>
      <c r="G305" s="112">
        <v>5.9390000000000001</v>
      </c>
      <c r="H305" s="112">
        <v>20</v>
      </c>
      <c r="I305" s="91">
        <f>G305</f>
        <v>5.9390000000000001</v>
      </c>
      <c r="J305" s="112">
        <v>21.42</v>
      </c>
      <c r="K305" s="92">
        <f t="shared" si="183"/>
        <v>1.0710000000000002</v>
      </c>
      <c r="L305" s="96"/>
      <c r="M305" s="96"/>
      <c r="N305" s="96"/>
      <c r="O305" s="96"/>
      <c r="P305" s="120"/>
      <c r="Q305" s="96"/>
      <c r="R305" s="96"/>
      <c r="S305" s="96"/>
      <c r="T305" s="96"/>
      <c r="U305" s="92"/>
      <c r="V305" s="171">
        <f t="shared" si="160"/>
        <v>1.093099949264333</v>
      </c>
    </row>
    <row r="306" spans="1:22" ht="25.5" hidden="1">
      <c r="A306" s="93" t="s">
        <v>126</v>
      </c>
      <c r="B306" s="91">
        <f>SUM(B307:B311)</f>
        <v>104.1095</v>
      </c>
      <c r="C306" s="91">
        <f>SUMPRODUCT(B307:B311,C307:C311)/B306</f>
        <v>40.088333965680363</v>
      </c>
      <c r="D306" s="91">
        <f>SUM(D307:D311)</f>
        <v>104.1095</v>
      </c>
      <c r="E306" s="91">
        <f>SUMPRODUCT(D307:D311,E307:E311)/D306</f>
        <v>41.994961506874979</v>
      </c>
      <c r="F306" s="92">
        <f>E306/C306</f>
        <v>1.0475606579915964</v>
      </c>
      <c r="G306" s="91">
        <f>SUM(G307:G311)</f>
        <v>74.91</v>
      </c>
      <c r="H306" s="91">
        <f>SUMPRODUCT(G307:G311,H307:H311)/G306</f>
        <v>41.119684955279666</v>
      </c>
      <c r="I306" s="91">
        <f>SUM(I307:I311)</f>
        <v>74.91</v>
      </c>
      <c r="J306" s="91">
        <f>SUMPRODUCT(I307:I311,J307:J311)/I306</f>
        <v>43.009116272860766</v>
      </c>
      <c r="K306" s="92">
        <f>J306/H306</f>
        <v>1.045949557240917</v>
      </c>
      <c r="L306" s="91">
        <f>SUM(L307:L311)</f>
        <v>73.930499999999995</v>
      </c>
      <c r="M306" s="91">
        <f>SUMPRODUCT(L307:L311,M307:M311)/L306</f>
        <v>33.067474519988373</v>
      </c>
      <c r="N306" s="91">
        <f>SUM(N307:N311)</f>
        <v>73.930499999999995</v>
      </c>
      <c r="O306" s="91">
        <f>SUMPRODUCT(N307:N311,O307:O311)/N306</f>
        <v>35.153448576703795</v>
      </c>
      <c r="P306" s="120">
        <f>O306/M306</f>
        <v>1.0630823516762524</v>
      </c>
      <c r="Q306" s="91">
        <f>SUM(Q307:Q311)</f>
        <v>64.650000000000006</v>
      </c>
      <c r="R306" s="91">
        <f>SUMPRODUCT(Q307:Q311,R307:R311)/Q306</f>
        <v>31.750793503480274</v>
      </c>
      <c r="S306" s="91">
        <f>SUM(S307:S311)</f>
        <v>64.650000000000006</v>
      </c>
      <c r="T306" s="91">
        <f>SUMPRODUCT(S307:S311,T307:T311)/S306</f>
        <v>33.90634648105182</v>
      </c>
      <c r="U306" s="92">
        <f>T306/R306</f>
        <v>1.06788973564819</v>
      </c>
      <c r="V306" s="171">
        <f t="shared" si="160"/>
        <v>1.05457668612455</v>
      </c>
    </row>
    <row r="307" spans="1:22" ht="51" hidden="1">
      <c r="A307" s="93" t="s">
        <v>127</v>
      </c>
      <c r="B307" s="91">
        <f>11.18/2</f>
        <v>5.59</v>
      </c>
      <c r="C307" s="91">
        <v>33.020000000000003</v>
      </c>
      <c r="D307" s="91">
        <f>B307</f>
        <v>5.59</v>
      </c>
      <c r="E307" s="91">
        <v>34.04</v>
      </c>
      <c r="F307" s="92">
        <f>(E307*D307)/(C307*B307)</f>
        <v>1.0308903694730465</v>
      </c>
      <c r="G307" s="91">
        <v>3.9</v>
      </c>
      <c r="H307" s="91">
        <v>33.020000000000003</v>
      </c>
      <c r="I307" s="91">
        <f>G307</f>
        <v>3.9</v>
      </c>
      <c r="J307" s="99">
        <v>34.04</v>
      </c>
      <c r="K307" s="92">
        <f>(J307*I307)/(H307*G307)</f>
        <v>1.0308903694730465</v>
      </c>
      <c r="L307" s="91">
        <f>6.54/2</f>
        <v>3.27</v>
      </c>
      <c r="M307" s="91">
        <v>78.03</v>
      </c>
      <c r="N307" s="91">
        <f>L307</f>
        <v>3.27</v>
      </c>
      <c r="O307" s="91">
        <v>81.98</v>
      </c>
      <c r="P307" s="120">
        <f>(O307*N307)/(M307*L307)</f>
        <v>1.0506215558118672</v>
      </c>
      <c r="Q307" s="91">
        <v>3.1</v>
      </c>
      <c r="R307" s="91">
        <v>57.08</v>
      </c>
      <c r="S307" s="91">
        <f>Q307</f>
        <v>3.1</v>
      </c>
      <c r="T307" s="96">
        <v>61.93</v>
      </c>
      <c r="U307" s="92">
        <f>(T307*S307)/(R307*Q307)</f>
        <v>1.084968465311843</v>
      </c>
      <c r="V307" s="171">
        <f t="shared" si="160"/>
        <v>1.0447546150382709</v>
      </c>
    </row>
    <row r="308" spans="1:22" ht="25.5" hidden="1">
      <c r="A308" s="93" t="s">
        <v>128</v>
      </c>
      <c r="B308" s="91">
        <f>35.646/2</f>
        <v>17.823</v>
      </c>
      <c r="C308" s="91">
        <v>30.78</v>
      </c>
      <c r="D308" s="91">
        <f>B308</f>
        <v>17.823</v>
      </c>
      <c r="E308" s="91">
        <v>32.83</v>
      </c>
      <c r="F308" s="92">
        <f>(E308*D308)/(C308*B308)</f>
        <v>1.0666016894087069</v>
      </c>
      <c r="G308" s="91">
        <v>7.22</v>
      </c>
      <c r="H308" s="91">
        <v>30.78</v>
      </c>
      <c r="I308" s="91">
        <f>G308</f>
        <v>7.22</v>
      </c>
      <c r="J308" s="99">
        <v>32.83</v>
      </c>
      <c r="K308" s="92">
        <f>(J308*I308)/(H308*G308)</f>
        <v>1.0666016894087067</v>
      </c>
      <c r="L308" s="91">
        <f>10.78/2</f>
        <v>5.39</v>
      </c>
      <c r="M308" s="91">
        <v>52.31</v>
      </c>
      <c r="N308" s="91">
        <f>L308</f>
        <v>5.39</v>
      </c>
      <c r="O308" s="91">
        <v>55.77</v>
      </c>
      <c r="P308" s="120">
        <f>(O308*N308)/(M308*L308)</f>
        <v>1.066144140699675</v>
      </c>
      <c r="Q308" s="91">
        <v>4.2300000000000004</v>
      </c>
      <c r="R308" s="91">
        <v>52.31</v>
      </c>
      <c r="S308" s="91">
        <f>Q308</f>
        <v>4.2300000000000004</v>
      </c>
      <c r="T308" s="96">
        <v>55.77</v>
      </c>
      <c r="U308" s="92">
        <f>(T308*S308)/(R308*Q308)</f>
        <v>1.066144140699675</v>
      </c>
      <c r="V308" s="171">
        <f t="shared" si="160"/>
        <v>1.0663136358165843</v>
      </c>
    </row>
    <row r="309" spans="1:22" ht="51" hidden="1">
      <c r="A309" s="93" t="s">
        <v>129</v>
      </c>
      <c r="B309" s="91">
        <f>(59.46)/2</f>
        <v>29.73</v>
      </c>
      <c r="C309" s="91">
        <v>42.48</v>
      </c>
      <c r="D309" s="91">
        <f>B309</f>
        <v>29.73</v>
      </c>
      <c r="E309" s="91">
        <v>44.87</v>
      </c>
      <c r="F309" s="92">
        <f>(E309*D309)/(C309*B309)</f>
        <v>1.0562617702448209</v>
      </c>
      <c r="G309" s="91">
        <v>22.53</v>
      </c>
      <c r="H309" s="91">
        <v>42.48</v>
      </c>
      <c r="I309" s="91">
        <f>G309</f>
        <v>22.53</v>
      </c>
      <c r="J309" s="99">
        <v>44.87</v>
      </c>
      <c r="K309" s="92">
        <f>(J309*I309)/(H309*G309)</f>
        <v>1.0562617702448212</v>
      </c>
      <c r="L309" s="91">
        <f>122.041/2</f>
        <v>61.020499999999998</v>
      </c>
      <c r="M309" s="91">
        <v>27.85</v>
      </c>
      <c r="N309" s="91">
        <f>L309</f>
        <v>61.020499999999998</v>
      </c>
      <c r="O309" s="91">
        <v>29.86</v>
      </c>
      <c r="P309" s="120">
        <f>(O309*N309)/(M309*L309)</f>
        <v>1.0721723518850987</v>
      </c>
      <c r="Q309" s="96">
        <v>54.57</v>
      </c>
      <c r="R309" s="96">
        <v>27.85</v>
      </c>
      <c r="S309" s="96">
        <f>Q309</f>
        <v>54.57</v>
      </c>
      <c r="T309" s="96">
        <v>29.86</v>
      </c>
      <c r="U309" s="92">
        <f>(T309*S309)/(R309*Q309)</f>
        <v>1.0721723518850987</v>
      </c>
      <c r="V309" s="171">
        <f t="shared" si="160"/>
        <v>1.0625622067396558</v>
      </c>
    </row>
    <row r="310" spans="1:22" ht="63.75" hidden="1">
      <c r="A310" s="93" t="s">
        <v>130</v>
      </c>
      <c r="B310" s="91">
        <f>91.933/2</f>
        <v>45.966500000000003</v>
      </c>
      <c r="C310" s="91">
        <v>44.41</v>
      </c>
      <c r="D310" s="91">
        <f>B310</f>
        <v>45.966500000000003</v>
      </c>
      <c r="E310" s="91">
        <v>46.07</v>
      </c>
      <c r="F310" s="92">
        <f>(E310*D310)/(C310*B310)</f>
        <v>1.0373789687007431</v>
      </c>
      <c r="G310" s="91">
        <v>37.76</v>
      </c>
      <c r="H310" s="91">
        <v>44.41</v>
      </c>
      <c r="I310" s="91">
        <f>G310</f>
        <v>37.76</v>
      </c>
      <c r="J310" s="99">
        <v>46.07</v>
      </c>
      <c r="K310" s="92">
        <f>(J310*I310)/(H310*G310)</f>
        <v>1.0373789687007433</v>
      </c>
      <c r="L310" s="91"/>
      <c r="M310" s="91"/>
      <c r="N310" s="91"/>
      <c r="O310" s="91"/>
      <c r="P310" s="120"/>
      <c r="Q310" s="96"/>
      <c r="R310" s="96"/>
      <c r="S310" s="96"/>
      <c r="T310" s="96"/>
      <c r="U310" s="92"/>
      <c r="V310" s="171">
        <f t="shared" si="160"/>
        <v>1.0373789687007431</v>
      </c>
    </row>
    <row r="311" spans="1:22" hidden="1">
      <c r="A311" s="90" t="s">
        <v>131</v>
      </c>
      <c r="B311" s="91">
        <f>10/2</f>
        <v>5</v>
      </c>
      <c r="C311" s="91">
        <v>27.22</v>
      </c>
      <c r="D311" s="91">
        <f>B311</f>
        <v>5</v>
      </c>
      <c r="E311" s="91">
        <v>29</v>
      </c>
      <c r="F311" s="92">
        <f>(E311*D311)/(C311*B311)</f>
        <v>1.0653930933137399</v>
      </c>
      <c r="G311" s="99">
        <v>3.5</v>
      </c>
      <c r="H311" s="99">
        <v>27.22</v>
      </c>
      <c r="I311" s="99">
        <f>G311</f>
        <v>3.5</v>
      </c>
      <c r="J311" s="99">
        <v>29</v>
      </c>
      <c r="K311" s="92">
        <f>(J311*I311)/(H311*G311)</f>
        <v>1.0653930933137399</v>
      </c>
      <c r="L311" s="91">
        <f>8.5/2</f>
        <v>4.25</v>
      </c>
      <c r="M311" s="91">
        <v>48.98</v>
      </c>
      <c r="N311" s="91">
        <f>L311</f>
        <v>4.25</v>
      </c>
      <c r="O311" s="91">
        <v>48.98</v>
      </c>
      <c r="P311" s="120">
        <f>(O311*N311)/(M311*L311)</f>
        <v>1</v>
      </c>
      <c r="Q311" s="96">
        <v>2.75</v>
      </c>
      <c r="R311" s="96">
        <v>48.98</v>
      </c>
      <c r="S311" s="96">
        <f>Q311</f>
        <v>2.75</v>
      </c>
      <c r="T311" s="96">
        <v>48.98</v>
      </c>
      <c r="U311" s="92">
        <f>(T311*S311)/(R311*Q311)</f>
        <v>1</v>
      </c>
      <c r="V311" s="171">
        <f t="shared" si="160"/>
        <v>1.0233595800524935</v>
      </c>
    </row>
    <row r="312" spans="1:22" hidden="1">
      <c r="A312" s="90" t="s">
        <v>132</v>
      </c>
      <c r="B312" s="91">
        <f>SUM(B313:B322)</f>
        <v>342.76299999999998</v>
      </c>
      <c r="C312" s="91">
        <f>SUMPRODUCT(B313:B322,C313:C322)/B312</f>
        <v>57.695784798826018</v>
      </c>
      <c r="D312" s="91">
        <f>SUM(D313:D322)</f>
        <v>342.76299999999998</v>
      </c>
      <c r="E312" s="91">
        <f>SUMPRODUCT(D313:D322,E313:E322)/D312</f>
        <v>61.308387340523915</v>
      </c>
      <c r="F312" s="92">
        <f>E312/C312</f>
        <v>1.0626146702795418</v>
      </c>
      <c r="G312" s="91">
        <f>SUM(G313:G322)</f>
        <v>175.66</v>
      </c>
      <c r="H312" s="91">
        <f>SUMPRODUCT(G313:G322,H313:H322)/G312</f>
        <v>42.262778663326884</v>
      </c>
      <c r="I312" s="91">
        <f>SUM(I313:I322)</f>
        <v>175.66</v>
      </c>
      <c r="J312" s="91">
        <f>SUMPRODUCT(I313:I322,J313:J322)/I312</f>
        <v>44.093141864966412</v>
      </c>
      <c r="K312" s="92">
        <f>J312/H312</f>
        <v>1.0433091069619567</v>
      </c>
      <c r="L312" s="91">
        <f>SUM(L313:L322)</f>
        <v>239.70950000000002</v>
      </c>
      <c r="M312" s="91">
        <f>SUMPRODUCT(L313:L322,M313:M322)/L312</f>
        <v>59.084798850275014</v>
      </c>
      <c r="N312" s="91">
        <f>SUM(N313:N322)</f>
        <v>239.70950000000002</v>
      </c>
      <c r="O312" s="91">
        <f>SUMPRODUCT(N313:N322,O313:O322)/N312</f>
        <v>63.11635383662307</v>
      </c>
      <c r="P312" s="120">
        <f>O312/M312</f>
        <v>1.068233370761984</v>
      </c>
      <c r="Q312" s="91">
        <f>SUM(Q313:Q322)</f>
        <v>132.92049999999998</v>
      </c>
      <c r="R312" s="91">
        <f>SUMPRODUCT(Q313:Q322,R313:R322)/Q312</f>
        <v>48.468136517692912</v>
      </c>
      <c r="S312" s="91">
        <f>SUM(S313:S322)</f>
        <v>132.92049999999998</v>
      </c>
      <c r="T312" s="91">
        <f>SUMPRODUCT(S313:S322,T313:T322)/S312</f>
        <v>52.457575204727647</v>
      </c>
      <c r="U312" s="92">
        <f>T312/R312</f>
        <v>1.0823105440742171</v>
      </c>
      <c r="V312" s="171">
        <f t="shared" si="160"/>
        <v>1.0654574355529418</v>
      </c>
    </row>
    <row r="313" spans="1:22" ht="89.25" hidden="1">
      <c r="A313" s="93" t="s">
        <v>133</v>
      </c>
      <c r="B313" s="91">
        <f>217.298/2</f>
        <v>108.649</v>
      </c>
      <c r="C313" s="91">
        <v>43.02</v>
      </c>
      <c r="D313" s="91">
        <f>B313</f>
        <v>108.649</v>
      </c>
      <c r="E313" s="91">
        <v>43.46</v>
      </c>
      <c r="F313" s="92">
        <f>(E313*D313)/(C313*B313)</f>
        <v>1.0102278010227801</v>
      </c>
      <c r="G313" s="91">
        <v>30.9</v>
      </c>
      <c r="H313" s="91">
        <v>43.02</v>
      </c>
      <c r="I313" s="91">
        <f>G313</f>
        <v>30.9</v>
      </c>
      <c r="J313" s="99">
        <v>43.46</v>
      </c>
      <c r="K313" s="92">
        <f t="shared" ref="K313:K322" si="184">(J313*I313)/(H313*G313)</f>
        <v>1.0102278010227801</v>
      </c>
      <c r="L313" s="91">
        <f>122.645/2</f>
        <v>61.322499999999998</v>
      </c>
      <c r="M313" s="91">
        <v>68.87</v>
      </c>
      <c r="N313" s="91">
        <f>L313</f>
        <v>61.322499999999998</v>
      </c>
      <c r="O313" s="91">
        <v>71.14</v>
      </c>
      <c r="P313" s="120">
        <f>(O313*N313)/(M313*L313)</f>
        <v>1.0329606505009439</v>
      </c>
      <c r="Q313" s="91">
        <v>29.31</v>
      </c>
      <c r="R313" s="91">
        <v>68.87</v>
      </c>
      <c r="S313" s="91">
        <f>Q313</f>
        <v>29.31</v>
      </c>
      <c r="T313" s="96">
        <v>71.14</v>
      </c>
      <c r="U313" s="92">
        <f>(T313*S313)/(R313*Q313)</f>
        <v>1.0329606505009437</v>
      </c>
      <c r="V313" s="171">
        <f t="shared" si="160"/>
        <v>1.0242202162838501</v>
      </c>
    </row>
    <row r="314" spans="1:22" ht="102" hidden="1">
      <c r="A314" s="93" t="s">
        <v>134</v>
      </c>
      <c r="B314" s="91">
        <v>0</v>
      </c>
      <c r="C314" s="91">
        <v>0</v>
      </c>
      <c r="D314" s="91">
        <v>0</v>
      </c>
      <c r="E314" s="91">
        <v>0</v>
      </c>
      <c r="F314" s="92">
        <v>0</v>
      </c>
      <c r="G314" s="99">
        <v>0</v>
      </c>
      <c r="H314" s="99">
        <v>0</v>
      </c>
      <c r="I314" s="99">
        <v>0</v>
      </c>
      <c r="J314" s="99">
        <v>0</v>
      </c>
      <c r="K314" s="92">
        <v>0</v>
      </c>
      <c r="L314" s="91">
        <f>10.165/2</f>
        <v>5.0824999999999996</v>
      </c>
      <c r="M314" s="91">
        <v>51.78</v>
      </c>
      <c r="N314" s="91">
        <f>L314</f>
        <v>5.0824999999999996</v>
      </c>
      <c r="O314" s="91">
        <v>51.78</v>
      </c>
      <c r="P314" s="120">
        <f>(O314*N314)/(M314*L314)</f>
        <v>1</v>
      </c>
      <c r="Q314" s="112">
        <v>0</v>
      </c>
      <c r="R314" s="112">
        <v>0</v>
      </c>
      <c r="S314" s="112">
        <v>0</v>
      </c>
      <c r="T314" s="112">
        <v>0</v>
      </c>
      <c r="U314" s="92">
        <v>0</v>
      </c>
      <c r="V314" s="171">
        <f t="shared" si="160"/>
        <v>1</v>
      </c>
    </row>
    <row r="315" spans="1:22" ht="89.25" hidden="1">
      <c r="A315" s="93" t="s">
        <v>135</v>
      </c>
      <c r="B315" s="91">
        <f>25.234/2</f>
        <v>12.617000000000001</v>
      </c>
      <c r="C315" s="91">
        <v>116.64</v>
      </c>
      <c r="D315" s="91">
        <f>B315</f>
        <v>12.617000000000001</v>
      </c>
      <c r="E315" s="91">
        <v>117.23</v>
      </c>
      <c r="F315" s="92">
        <f>(E315*D315)/(C315*B315)</f>
        <v>1.0050582990397805</v>
      </c>
      <c r="G315" s="91">
        <v>9.8800000000000008</v>
      </c>
      <c r="H315" s="91">
        <v>70.739999999999995</v>
      </c>
      <c r="I315" s="91">
        <f>G315</f>
        <v>9.8800000000000008</v>
      </c>
      <c r="J315" s="99">
        <v>75.760000000000005</v>
      </c>
      <c r="K315" s="92">
        <f t="shared" si="184"/>
        <v>1.0709640938648572</v>
      </c>
      <c r="L315" s="91">
        <f>20.976/2</f>
        <v>10.488</v>
      </c>
      <c r="M315" s="91">
        <v>101</v>
      </c>
      <c r="N315" s="91">
        <f>L315</f>
        <v>10.488</v>
      </c>
      <c r="O315" s="91">
        <v>103.89</v>
      </c>
      <c r="P315" s="120">
        <f>(O315*N315)/(M315*L315)</f>
        <v>1.0286138613861386</v>
      </c>
      <c r="Q315" s="96">
        <v>9.6105</v>
      </c>
      <c r="R315" s="96">
        <v>84.08</v>
      </c>
      <c r="S315" s="96">
        <f>Q315</f>
        <v>9.6105</v>
      </c>
      <c r="T315" s="96">
        <v>90.05</v>
      </c>
      <c r="U315" s="92">
        <f t="shared" ref="U315" si="185">(T315*S315)/(R315*Q315)</f>
        <v>1.0710038058991436</v>
      </c>
      <c r="V315" s="171">
        <f t="shared" si="160"/>
        <v>1.0159897077743063</v>
      </c>
    </row>
    <row r="316" spans="1:22" hidden="1">
      <c r="A316" s="97" t="s">
        <v>141</v>
      </c>
      <c r="B316" s="91">
        <f>3.13/2</f>
        <v>1.5649999999999999</v>
      </c>
      <c r="C316" s="91">
        <v>291.20999999999998</v>
      </c>
      <c r="D316" s="91">
        <f>B316</f>
        <v>1.5649999999999999</v>
      </c>
      <c r="E316" s="91">
        <v>301.67</v>
      </c>
      <c r="F316" s="92">
        <f>(E316*D316)/(C316*B316)</f>
        <v>1.0359190961848839</v>
      </c>
      <c r="G316" s="91"/>
      <c r="H316" s="91"/>
      <c r="I316" s="91"/>
      <c r="J316" s="91"/>
      <c r="K316" s="92"/>
      <c r="L316" s="91"/>
      <c r="M316" s="91"/>
      <c r="N316" s="91"/>
      <c r="O316" s="91"/>
      <c r="P316" s="120"/>
      <c r="Q316" s="96"/>
      <c r="R316" s="96"/>
      <c r="S316" s="96"/>
      <c r="T316" s="96"/>
      <c r="U316" s="92"/>
      <c r="V316" s="171">
        <f t="shared" si="160"/>
        <v>1.0359190961848839</v>
      </c>
    </row>
    <row r="317" spans="1:22" hidden="1">
      <c r="A317" s="97" t="s">
        <v>142</v>
      </c>
      <c r="B317" s="91">
        <f>136.93/2</f>
        <v>68.465000000000003</v>
      </c>
      <c r="C317" s="91">
        <v>33.83</v>
      </c>
      <c r="D317" s="91">
        <f>B317</f>
        <v>68.465000000000003</v>
      </c>
      <c r="E317" s="91">
        <v>36.35</v>
      </c>
      <c r="F317" s="92">
        <f t="shared" ref="F317:F322" si="186">(E317*D317)/(C317*B317)</f>
        <v>1.0744900975465563</v>
      </c>
      <c r="G317" s="91">
        <f>66.76/2</f>
        <v>33.380000000000003</v>
      </c>
      <c r="H317" s="91">
        <v>19.420000000000002</v>
      </c>
      <c r="I317" s="91">
        <f>G317</f>
        <v>33.380000000000003</v>
      </c>
      <c r="J317" s="91">
        <v>20.8</v>
      </c>
      <c r="K317" s="92">
        <f t="shared" ref="K317" si="187">(J317*I317)/(H317*G317)</f>
        <v>1.0710607621009269</v>
      </c>
      <c r="L317" s="91">
        <f>109.73/2</f>
        <v>54.865000000000002</v>
      </c>
      <c r="M317" s="91">
        <v>30.5</v>
      </c>
      <c r="N317" s="91">
        <f>L317</f>
        <v>54.865000000000002</v>
      </c>
      <c r="O317" s="91">
        <v>32.479999999999997</v>
      </c>
      <c r="P317" s="120">
        <f t="shared" ref="P317" si="188">(O317*N317)/(M317*L317)</f>
        <v>1.064918032786885</v>
      </c>
      <c r="Q317" s="96">
        <f>66.9/2</f>
        <v>33.450000000000003</v>
      </c>
      <c r="R317" s="96">
        <v>21.27</v>
      </c>
      <c r="S317" s="96">
        <f>Q317</f>
        <v>33.450000000000003</v>
      </c>
      <c r="T317" s="96">
        <v>22.78</v>
      </c>
      <c r="U317" s="92">
        <f t="shared" ref="U317" si="189">T317/R317</f>
        <v>1.070992007522332</v>
      </c>
      <c r="V317" s="171">
        <f t="shared" si="160"/>
        <v>1.069951810974662</v>
      </c>
    </row>
    <row r="318" spans="1:22" hidden="1">
      <c r="A318" s="90" t="s">
        <v>136</v>
      </c>
      <c r="B318" s="91">
        <f>7.807/2</f>
        <v>3.9035000000000002</v>
      </c>
      <c r="C318" s="91">
        <v>118.97</v>
      </c>
      <c r="D318" s="91">
        <f t="shared" ref="D318:D322" si="190">B318</f>
        <v>3.9035000000000002</v>
      </c>
      <c r="E318" s="91">
        <v>118.97</v>
      </c>
      <c r="F318" s="92">
        <f t="shared" si="186"/>
        <v>1</v>
      </c>
      <c r="G318" s="99">
        <v>2.06</v>
      </c>
      <c r="H318" s="91">
        <v>74.45</v>
      </c>
      <c r="I318" s="99">
        <f>G318</f>
        <v>2.06</v>
      </c>
      <c r="J318" s="91">
        <v>80.78</v>
      </c>
      <c r="K318" s="92">
        <f t="shared" si="184"/>
        <v>1.0850235057085291</v>
      </c>
      <c r="L318" s="91">
        <v>0</v>
      </c>
      <c r="M318" s="91">
        <v>0</v>
      </c>
      <c r="N318" s="91">
        <v>0</v>
      </c>
      <c r="O318" s="91">
        <v>0</v>
      </c>
      <c r="P318" s="120"/>
      <c r="Q318" s="91">
        <f>L318</f>
        <v>0</v>
      </c>
      <c r="R318" s="96">
        <v>0</v>
      </c>
      <c r="S318" s="91">
        <f>Q318</f>
        <v>0</v>
      </c>
      <c r="T318" s="96">
        <v>0</v>
      </c>
      <c r="U318" s="92"/>
      <c r="V318" s="171">
        <f t="shared" si="160"/>
        <v>1</v>
      </c>
    </row>
    <row r="319" spans="1:22" hidden="1">
      <c r="A319" s="90" t="s">
        <v>137</v>
      </c>
      <c r="B319" s="91">
        <f>79.676/2</f>
        <v>39.838000000000001</v>
      </c>
      <c r="C319" s="91">
        <v>84.6</v>
      </c>
      <c r="D319" s="91">
        <f t="shared" si="190"/>
        <v>39.838000000000001</v>
      </c>
      <c r="E319" s="91">
        <v>87.97</v>
      </c>
      <c r="F319" s="92">
        <f t="shared" si="186"/>
        <v>1.0398345153664303</v>
      </c>
      <c r="G319" s="91">
        <v>21.58</v>
      </c>
      <c r="H319" s="91">
        <v>84.6</v>
      </c>
      <c r="I319" s="91">
        <f t="shared" ref="I319" si="191">G319</f>
        <v>21.58</v>
      </c>
      <c r="J319" s="99">
        <v>87.97</v>
      </c>
      <c r="K319" s="92">
        <f t="shared" si="184"/>
        <v>1.0398345153664303</v>
      </c>
      <c r="L319" s="91">
        <f>52.429/2</f>
        <v>26.214500000000001</v>
      </c>
      <c r="M319" s="91">
        <v>88.27</v>
      </c>
      <c r="N319" s="91">
        <f>L319</f>
        <v>26.214500000000001</v>
      </c>
      <c r="O319" s="91">
        <v>89.16</v>
      </c>
      <c r="P319" s="120">
        <f t="shared" ref="P319" si="192">(O319*N319)/(M319*L319)</f>
        <v>1.0100827008043503</v>
      </c>
      <c r="Q319" s="91">
        <v>0.2</v>
      </c>
      <c r="R319" s="91">
        <v>88.27</v>
      </c>
      <c r="S319" s="91">
        <f>Q319</f>
        <v>0.2</v>
      </c>
      <c r="T319" s="96">
        <v>89.16</v>
      </c>
      <c r="U319" s="92">
        <f t="shared" ref="U319" si="193">(T319*S319)/(R319*Q319)</f>
        <v>1.0100827008043503</v>
      </c>
      <c r="V319" s="171">
        <f t="shared" si="160"/>
        <v>1.024642795163996</v>
      </c>
    </row>
    <row r="320" spans="1:22" hidden="1">
      <c r="A320" s="90" t="s">
        <v>138</v>
      </c>
      <c r="B320" s="91">
        <f>6.025/2</f>
        <v>3.0125000000000002</v>
      </c>
      <c r="C320" s="91">
        <v>145</v>
      </c>
      <c r="D320" s="91">
        <f t="shared" si="190"/>
        <v>3.0125000000000002</v>
      </c>
      <c r="E320" s="91">
        <v>148.31</v>
      </c>
      <c r="F320" s="92">
        <f t="shared" si="186"/>
        <v>1.0228275862068965</v>
      </c>
      <c r="G320" s="99">
        <v>2.34</v>
      </c>
      <c r="H320" s="99">
        <v>93.96</v>
      </c>
      <c r="I320" s="99">
        <f>G320</f>
        <v>2.34</v>
      </c>
      <c r="J320" s="99">
        <v>93.96</v>
      </c>
      <c r="K320" s="92">
        <f t="shared" si="184"/>
        <v>1</v>
      </c>
      <c r="L320" s="91"/>
      <c r="M320" s="91"/>
      <c r="N320" s="91"/>
      <c r="O320" s="91"/>
      <c r="P320" s="120"/>
      <c r="Q320" s="96"/>
      <c r="R320" s="96"/>
      <c r="S320" s="96"/>
      <c r="T320" s="96"/>
      <c r="U320" s="92"/>
      <c r="V320" s="171">
        <f t="shared" si="160"/>
        <v>1.0228275862068965</v>
      </c>
    </row>
    <row r="321" spans="1:22" ht="63.75" hidden="1">
      <c r="A321" s="93" t="s">
        <v>139</v>
      </c>
      <c r="B321" s="91">
        <f>165.666/2</f>
        <v>82.832999999999998</v>
      </c>
      <c r="C321" s="91">
        <v>39.01</v>
      </c>
      <c r="D321" s="91">
        <f t="shared" si="190"/>
        <v>82.832999999999998</v>
      </c>
      <c r="E321" s="91">
        <v>44.13</v>
      </c>
      <c r="F321" s="92">
        <f t="shared" si="186"/>
        <v>1.1312483978467061</v>
      </c>
      <c r="G321" s="91">
        <v>61.75</v>
      </c>
      <c r="H321" s="91">
        <v>33.5</v>
      </c>
      <c r="I321" s="91">
        <f t="shared" ref="I321:I322" si="194">G321</f>
        <v>61.75</v>
      </c>
      <c r="J321" s="99">
        <v>35</v>
      </c>
      <c r="K321" s="92">
        <f t="shared" si="184"/>
        <v>1.044776119402985</v>
      </c>
      <c r="L321" s="91">
        <f>144.314/2</f>
        <v>72.156999999999996</v>
      </c>
      <c r="M321" s="91">
        <v>41.35</v>
      </c>
      <c r="N321" s="91">
        <f>L321</f>
        <v>72.156999999999996</v>
      </c>
      <c r="O321" s="91">
        <v>46.74</v>
      </c>
      <c r="P321" s="120">
        <f>(O321*N321)/(M321*L321)</f>
        <v>1.1303506650544135</v>
      </c>
      <c r="Q321" s="91">
        <v>51.87</v>
      </c>
      <c r="R321" s="91">
        <v>48.79</v>
      </c>
      <c r="S321" s="91">
        <f>Q321</f>
        <v>51.87</v>
      </c>
      <c r="T321" s="96">
        <v>55.16</v>
      </c>
      <c r="U321" s="92">
        <f>(T321*S321)/(R321*Q321)</f>
        <v>1.1305595408895266</v>
      </c>
      <c r="V321" s="171">
        <f t="shared" si="160"/>
        <v>1.1307864609258338</v>
      </c>
    </row>
    <row r="322" spans="1:22" ht="63.75" hidden="1">
      <c r="A322" s="93" t="s">
        <v>140</v>
      </c>
      <c r="B322" s="91">
        <f>43.76/2</f>
        <v>21.88</v>
      </c>
      <c r="C322" s="91">
        <v>153.36000000000001</v>
      </c>
      <c r="D322" s="91">
        <f t="shared" si="190"/>
        <v>21.88</v>
      </c>
      <c r="E322" s="91">
        <v>172.82</v>
      </c>
      <c r="F322" s="92">
        <f t="shared" si="186"/>
        <v>1.1268909754825247</v>
      </c>
      <c r="G322" s="91">
        <v>13.77</v>
      </c>
      <c r="H322" s="91">
        <v>34.85</v>
      </c>
      <c r="I322" s="91">
        <f t="shared" si="194"/>
        <v>13.77</v>
      </c>
      <c r="J322" s="99">
        <v>37.31</v>
      </c>
      <c r="K322" s="92">
        <f t="shared" si="184"/>
        <v>1.0705882352941176</v>
      </c>
      <c r="L322" s="91">
        <f>19.16/2</f>
        <v>9.58</v>
      </c>
      <c r="M322" s="91">
        <v>171.86</v>
      </c>
      <c r="N322" s="91">
        <f>L322</f>
        <v>9.58</v>
      </c>
      <c r="O322" s="91">
        <v>200.67</v>
      </c>
      <c r="P322" s="120">
        <f>(O322*N322)/(M322*L322)</f>
        <v>1.1676364482718491</v>
      </c>
      <c r="Q322" s="91">
        <v>8.48</v>
      </c>
      <c r="R322" s="91">
        <v>41.97</v>
      </c>
      <c r="S322" s="91">
        <f>Q322</f>
        <v>8.48</v>
      </c>
      <c r="T322" s="96">
        <v>44.95</v>
      </c>
      <c r="U322" s="92">
        <f>(T322*S322)/(R322*Q322)</f>
        <v>1.07100309745056</v>
      </c>
      <c r="V322" s="171">
        <f t="shared" si="160"/>
        <v>1.1484226062357787</v>
      </c>
    </row>
    <row r="323" spans="1:22" hidden="1">
      <c r="A323" s="90" t="s">
        <v>143</v>
      </c>
      <c r="B323" s="91">
        <f>SUM(B324:B329)</f>
        <v>433.26949999999999</v>
      </c>
      <c r="C323" s="91">
        <f>SUMPRODUCT(B324:B329,C324:C329)/B323</f>
        <v>47.107297663463505</v>
      </c>
      <c r="D323" s="91">
        <f>SUM(D324:D329)</f>
        <v>433.26949999999999</v>
      </c>
      <c r="E323" s="91">
        <f>SUMPRODUCT(D324:D329,E324:E329)/D323</f>
        <v>67.673509213087939</v>
      </c>
      <c r="F323" s="92">
        <f>E323/C323</f>
        <v>1.4365822827823898</v>
      </c>
      <c r="G323" s="91">
        <f>SUM(G324:G329)</f>
        <v>287.15900000000005</v>
      </c>
      <c r="H323" s="91">
        <f>SUMPRODUCT(G324:G329,H324:H329)/G323</f>
        <v>29.377964820883196</v>
      </c>
      <c r="I323" s="91">
        <f>SUM(I324:I329)</f>
        <v>381.65700000000004</v>
      </c>
      <c r="J323" s="91">
        <f>SUMPRODUCT(I324:I329,J324:J329)/I323</f>
        <v>34.702182470123695</v>
      </c>
      <c r="K323" s="92">
        <f>J323/H323</f>
        <v>1.1812316708016413</v>
      </c>
      <c r="L323" s="91">
        <f>SUM(L324:L329)</f>
        <v>392.23749999999995</v>
      </c>
      <c r="M323" s="91">
        <f>SUMPRODUCT(L324:L329,M324:M329)/L323</f>
        <v>35.808039937537842</v>
      </c>
      <c r="N323" s="91">
        <f>SUM(N324:N329)</f>
        <v>392.23749999999995</v>
      </c>
      <c r="O323" s="91">
        <f>SUMPRODUCT(N324:N329,O324:O329)/N323</f>
        <v>41.148639051595012</v>
      </c>
      <c r="P323" s="120">
        <f>O323/M323</f>
        <v>1.1491452512724267</v>
      </c>
      <c r="Q323" s="91">
        <f>SUM(Q324:Q329)</f>
        <v>234.03700000000001</v>
      </c>
      <c r="R323" s="91">
        <f>SUMPRODUCT(Q324:Q329,R324:R329)/Q323</f>
        <v>25.25054354653324</v>
      </c>
      <c r="S323" s="91">
        <f>SUM(S324:S329)</f>
        <v>234.03700000000001</v>
      </c>
      <c r="T323" s="91">
        <f>SUMPRODUCT(S324:S329,T324:T329)/S323</f>
        <v>31.69</v>
      </c>
      <c r="U323" s="92">
        <f>T323/R323</f>
        <v>1.2550224885891956</v>
      </c>
      <c r="V323" s="171">
        <f t="shared" si="160"/>
        <v>1.3124489559259631</v>
      </c>
    </row>
    <row r="324" spans="1:22" hidden="1">
      <c r="A324" s="90" t="s">
        <v>144</v>
      </c>
      <c r="B324" s="91">
        <f>430.581/2</f>
        <v>215.29050000000001</v>
      </c>
      <c r="C324" s="91">
        <v>55.17</v>
      </c>
      <c r="D324" s="91">
        <f>B324</f>
        <v>215.29050000000001</v>
      </c>
      <c r="E324" s="91">
        <v>95.72</v>
      </c>
      <c r="F324" s="92">
        <f>(E324*D324)/(C324*B324)</f>
        <v>1.7350009062896503</v>
      </c>
      <c r="G324" s="91">
        <v>164.86</v>
      </c>
      <c r="H324" s="91">
        <v>27.42</v>
      </c>
      <c r="I324" s="91">
        <f>G324</f>
        <v>164.86</v>
      </c>
      <c r="J324" s="91">
        <v>35.03</v>
      </c>
      <c r="K324" s="92">
        <f>(J324*I324)/(H324*G324)</f>
        <v>1.2775346462436177</v>
      </c>
      <c r="L324" s="91">
        <f>765.458/2</f>
        <v>382.72899999999998</v>
      </c>
      <c r="M324" s="91">
        <v>33.86</v>
      </c>
      <c r="N324" s="91">
        <f>L324</f>
        <v>382.72899999999998</v>
      </c>
      <c r="O324" s="91">
        <v>39.33</v>
      </c>
      <c r="P324" s="120">
        <f>(O324*N324)/(M324*L324)</f>
        <v>1.1615475487300648</v>
      </c>
      <c r="Q324" s="112">
        <v>225.18700000000001</v>
      </c>
      <c r="R324" s="96">
        <v>25.08</v>
      </c>
      <c r="S324" s="96">
        <f>Q324</f>
        <v>225.18700000000001</v>
      </c>
      <c r="T324" s="96">
        <v>31.69</v>
      </c>
      <c r="U324" s="92">
        <f>(T324*S324)/(R324*Q324)</f>
        <v>1.2635566188197769</v>
      </c>
      <c r="V324" s="171">
        <f t="shared" si="160"/>
        <v>1.5169044142423904</v>
      </c>
    </row>
    <row r="325" spans="1:22" hidden="1">
      <c r="A325" s="90" t="s">
        <v>145</v>
      </c>
      <c r="B325" s="91">
        <f>11.3/2</f>
        <v>5.65</v>
      </c>
      <c r="C325" s="91">
        <v>62.62</v>
      </c>
      <c r="D325" s="91">
        <f>B325</f>
        <v>5.65</v>
      </c>
      <c r="E325" s="91">
        <v>62.62</v>
      </c>
      <c r="F325" s="92">
        <f>(E325*D325)/(C325*B325)</f>
        <v>1</v>
      </c>
      <c r="G325" s="91">
        <v>4.71</v>
      </c>
      <c r="H325" s="91">
        <v>32.36</v>
      </c>
      <c r="I325" s="91">
        <f>G325</f>
        <v>4.71</v>
      </c>
      <c r="J325" s="91">
        <v>34.659999999999997</v>
      </c>
      <c r="K325" s="92">
        <f t="shared" ref="K325:K329" si="195">(J325*I325)/(H325*G325)</f>
        <v>1.0710754017305315</v>
      </c>
      <c r="L325" s="91">
        <f>5.8/2</f>
        <v>2.9</v>
      </c>
      <c r="M325" s="91">
        <v>54.9</v>
      </c>
      <c r="N325" s="91">
        <f t="shared" ref="N325:N326" si="196">L325</f>
        <v>2.9</v>
      </c>
      <c r="O325" s="91">
        <v>54.9</v>
      </c>
      <c r="P325" s="120">
        <f t="shared" ref="P325:P326" si="197">(O325*N325)/(M325*L325)</f>
        <v>1</v>
      </c>
      <c r="Q325" s="96">
        <v>2.42</v>
      </c>
      <c r="R325" s="96">
        <v>29.59</v>
      </c>
      <c r="S325" s="96">
        <f>Q325</f>
        <v>2.42</v>
      </c>
      <c r="T325" s="96">
        <v>31.69</v>
      </c>
      <c r="U325" s="92">
        <f>(T325*S325)/(R325*Q325)</f>
        <v>1.0709699222710376</v>
      </c>
      <c r="V325" s="171">
        <f t="shared" si="160"/>
        <v>1</v>
      </c>
    </row>
    <row r="326" spans="1:22" hidden="1">
      <c r="A326" s="90" t="s">
        <v>146</v>
      </c>
      <c r="B326" s="91">
        <f>410.776/2</f>
        <v>205.38800000000001</v>
      </c>
      <c r="C326" s="91">
        <v>34.270000000000003</v>
      </c>
      <c r="D326" s="91">
        <f>410.776/2</f>
        <v>205.38800000000001</v>
      </c>
      <c r="E326" s="91">
        <v>34.78</v>
      </c>
      <c r="F326" s="92">
        <f>(E326*D326)/(C326*B326)</f>
        <v>1.0148818208345491</v>
      </c>
      <c r="G326" s="91">
        <v>110.89</v>
      </c>
      <c r="H326" s="91">
        <v>32.36</v>
      </c>
      <c r="I326" s="91">
        <f>410.776/2</f>
        <v>205.38800000000001</v>
      </c>
      <c r="J326" s="91">
        <v>34.659999999999997</v>
      </c>
      <c r="K326" s="92">
        <f t="shared" si="195"/>
        <v>1.9838221175095174</v>
      </c>
      <c r="L326" s="91">
        <f>13.217/2</f>
        <v>6.6085000000000003</v>
      </c>
      <c r="M326" s="91">
        <v>140.25</v>
      </c>
      <c r="N326" s="91">
        <f t="shared" si="196"/>
        <v>6.6085000000000003</v>
      </c>
      <c r="O326" s="91">
        <v>140.44</v>
      </c>
      <c r="P326" s="120">
        <f t="shared" si="197"/>
        <v>1.001354723707665</v>
      </c>
      <c r="Q326" s="91">
        <v>6.43</v>
      </c>
      <c r="R326" s="96">
        <v>29.59</v>
      </c>
      <c r="S326" s="91">
        <f>Q326</f>
        <v>6.43</v>
      </c>
      <c r="T326" s="96">
        <v>31.69</v>
      </c>
      <c r="U326" s="92">
        <f>(T326*S326)/(R326*Q326)</f>
        <v>1.0709699222710374</v>
      </c>
      <c r="V326" s="171">
        <f t="shared" si="160"/>
        <v>1.0040110016044006</v>
      </c>
    </row>
    <row r="327" spans="1:22" hidden="1">
      <c r="A327" s="90" t="s">
        <v>147</v>
      </c>
      <c r="B327" s="91">
        <f>13.882/2</f>
        <v>6.9409999999999998</v>
      </c>
      <c r="C327" s="91">
        <v>164.26</v>
      </c>
      <c r="D327" s="91">
        <f>B327</f>
        <v>6.9409999999999998</v>
      </c>
      <c r="E327" s="91">
        <v>175.2</v>
      </c>
      <c r="F327" s="92">
        <f>(E327*D327)/(C327*B327)</f>
        <v>1.066601728966273</v>
      </c>
      <c r="G327" s="91">
        <f>1.553/2</f>
        <v>0.77649999999999997</v>
      </c>
      <c r="H327" s="91">
        <v>68.25</v>
      </c>
      <c r="I327" s="91">
        <f>G327</f>
        <v>0.77649999999999997</v>
      </c>
      <c r="J327" s="99">
        <v>73.099999999999994</v>
      </c>
      <c r="K327" s="92">
        <f t="shared" si="195"/>
        <v>1.0710622710622708</v>
      </c>
      <c r="L327" s="91"/>
      <c r="M327" s="91"/>
      <c r="N327" s="91"/>
      <c r="O327" s="91"/>
      <c r="P327" s="120"/>
      <c r="Q327" s="96"/>
      <c r="R327" s="96"/>
      <c r="S327" s="96"/>
      <c r="T327" s="96"/>
      <c r="U327" s="92"/>
      <c r="V327" s="171">
        <f t="shared" si="160"/>
        <v>1.066601728966273</v>
      </c>
    </row>
    <row r="328" spans="1:22" hidden="1">
      <c r="A328" s="90" t="s">
        <v>148</v>
      </c>
      <c r="B328" s="91"/>
      <c r="C328" s="91"/>
      <c r="D328" s="91"/>
      <c r="E328" s="91"/>
      <c r="F328" s="92"/>
      <c r="G328" s="91">
        <f>1.005/2</f>
        <v>0.50249999999999995</v>
      </c>
      <c r="H328" s="91">
        <v>57.23</v>
      </c>
      <c r="I328" s="91">
        <f>G328</f>
        <v>0.50249999999999995</v>
      </c>
      <c r="J328" s="99">
        <v>61.29</v>
      </c>
      <c r="K328" s="92">
        <f t="shared" si="195"/>
        <v>1.0709418137340556</v>
      </c>
      <c r="L328" s="91"/>
      <c r="M328" s="91"/>
      <c r="N328" s="91"/>
      <c r="O328" s="91"/>
      <c r="P328" s="120"/>
      <c r="Q328" s="96"/>
      <c r="R328" s="96"/>
      <c r="S328" s="96"/>
      <c r="T328" s="96"/>
      <c r="U328" s="92"/>
      <c r="V328" s="171" t="e">
        <f t="shared" si="160"/>
        <v>#DIV/0!</v>
      </c>
    </row>
    <row r="329" spans="1:22" hidden="1">
      <c r="A329" s="90" t="s">
        <v>149</v>
      </c>
      <c r="B329" s="91"/>
      <c r="C329" s="91"/>
      <c r="D329" s="91"/>
      <c r="E329" s="91"/>
      <c r="F329" s="92"/>
      <c r="G329" s="91">
        <v>5.42</v>
      </c>
      <c r="H329" s="91">
        <v>17.18</v>
      </c>
      <c r="I329" s="91">
        <f>G329</f>
        <v>5.42</v>
      </c>
      <c r="J329" s="99">
        <v>18.399999999999999</v>
      </c>
      <c r="K329" s="92">
        <f t="shared" si="195"/>
        <v>1.0710128055878929</v>
      </c>
      <c r="L329" s="91"/>
      <c r="M329" s="91"/>
      <c r="N329" s="91"/>
      <c r="O329" s="91"/>
      <c r="P329" s="120"/>
      <c r="Q329" s="96"/>
      <c r="R329" s="96"/>
      <c r="S329" s="96"/>
      <c r="T329" s="96"/>
      <c r="U329" s="92"/>
      <c r="V329" s="171" t="e">
        <f t="shared" ref="V329:V359" si="198">(E329+O329)/(C329+M329)</f>
        <v>#DIV/0!</v>
      </c>
    </row>
    <row r="330" spans="1:22" hidden="1">
      <c r="A330" s="97" t="s">
        <v>150</v>
      </c>
      <c r="B330" s="91">
        <f>SUM(B331:B342)</f>
        <v>751.49400000000014</v>
      </c>
      <c r="C330" s="91">
        <f>SUMPRODUCT(B331:B342,C331:C342)/B330</f>
        <v>37.520562013801829</v>
      </c>
      <c r="D330" s="91">
        <f>SUM(D331:D342)</f>
        <v>751.49400000000014</v>
      </c>
      <c r="E330" s="91">
        <f>SUMPRODUCT(D331:D342,E331:E342)/D330</f>
        <v>38.685019441272971</v>
      </c>
      <c r="F330" s="92">
        <f>E330/C330</f>
        <v>1.0310351808441143</v>
      </c>
      <c r="G330" s="91">
        <f>SUM(G331:G342)</f>
        <v>532.94249999999988</v>
      </c>
      <c r="H330" s="91">
        <f>SUMPRODUCT(G331:G342,H331:H342)/G330</f>
        <v>26.786138560914175</v>
      </c>
      <c r="I330" s="91">
        <f>SUM(I331:I342)</f>
        <v>532.94249999999988</v>
      </c>
      <c r="J330" s="91">
        <f>SUMPRODUCT(I331:I342,J331:J342)/I330</f>
        <v>28.615674861734625</v>
      </c>
      <c r="K330" s="92">
        <f>J330/H330</f>
        <v>1.0683016066933244</v>
      </c>
      <c r="L330" s="91">
        <f>SUM(L331:L342)</f>
        <v>541.51800000000003</v>
      </c>
      <c r="M330" s="91">
        <f>SUMPRODUCT(L331:L342,M331:M342)/L330</f>
        <v>34.442230156707623</v>
      </c>
      <c r="N330" s="91">
        <f>SUM(N331:N342)</f>
        <v>541.51800000000003</v>
      </c>
      <c r="O330" s="91">
        <f>SUMPRODUCT(N331:N342,O331:O342)/N330</f>
        <v>36.408307073818413</v>
      </c>
      <c r="P330" s="120">
        <f>O330/M330</f>
        <v>1.0570833220777343</v>
      </c>
      <c r="Q330" s="91">
        <f>SUM(Q331:Q342)</f>
        <v>421.09750000000003</v>
      </c>
      <c r="R330" s="91">
        <f>SUMPRODUCT(Q331:Q342,R331:R342)/Q330</f>
        <v>20.73313425038144</v>
      </c>
      <c r="S330" s="91">
        <f>SUM(S331:S342)</f>
        <v>421.09750000000003</v>
      </c>
      <c r="T330" s="91">
        <f>SUMPRODUCT(S331:S342,T331:T342)/S330</f>
        <v>22.111120464975446</v>
      </c>
      <c r="U330" s="92">
        <f>T330/R330</f>
        <v>1.0664629957995211</v>
      </c>
      <c r="V330" s="171">
        <f t="shared" si="198"/>
        <v>1.043502124502957</v>
      </c>
    </row>
    <row r="331" spans="1:22" ht="51.75" hidden="1">
      <c r="A331" s="104" t="s">
        <v>151</v>
      </c>
      <c r="B331" s="91">
        <f>35.93/2</f>
        <v>17.965</v>
      </c>
      <c r="C331" s="91">
        <v>9.75</v>
      </c>
      <c r="D331" s="91">
        <f t="shared" ref="D331:D342" si="199">B331</f>
        <v>17.965</v>
      </c>
      <c r="E331" s="91">
        <v>9.85</v>
      </c>
      <c r="F331" s="92">
        <f t="shared" ref="F331:F342" si="200">(E331*D331)/(C331*B331)</f>
        <v>1.0102564102564102</v>
      </c>
      <c r="G331" s="91">
        <f>1.58/2</f>
        <v>0.79</v>
      </c>
      <c r="H331" s="91">
        <v>9.75</v>
      </c>
      <c r="I331" s="91">
        <f t="shared" ref="I331:I342" si="201">G331</f>
        <v>0.79</v>
      </c>
      <c r="J331" s="91">
        <v>9.85</v>
      </c>
      <c r="K331" s="92">
        <f>(J331*I331)/(H331*G331)</f>
        <v>1.0102564102564102</v>
      </c>
      <c r="L331" s="91"/>
      <c r="M331" s="91"/>
      <c r="N331" s="91"/>
      <c r="O331" s="91"/>
      <c r="P331" s="120"/>
      <c r="Q331" s="112"/>
      <c r="R331" s="112"/>
      <c r="S331" s="112"/>
      <c r="T331" s="112"/>
      <c r="U331" s="98"/>
      <c r="V331" s="171">
        <f t="shared" si="198"/>
        <v>1.0102564102564102</v>
      </c>
    </row>
    <row r="332" spans="1:22" ht="51.75" hidden="1">
      <c r="A332" s="104" t="s">
        <v>152</v>
      </c>
      <c r="B332" s="91">
        <f>21.5/2-5.95/2</f>
        <v>7.7750000000000004</v>
      </c>
      <c r="C332" s="91">
        <v>31.1</v>
      </c>
      <c r="D332" s="91">
        <f t="shared" si="199"/>
        <v>7.7750000000000004</v>
      </c>
      <c r="E332" s="91">
        <v>32.130000000000003</v>
      </c>
      <c r="F332" s="92">
        <f t="shared" si="200"/>
        <v>1.0331189710610933</v>
      </c>
      <c r="G332" s="91"/>
      <c r="H332" s="91"/>
      <c r="I332" s="91"/>
      <c r="J332" s="91"/>
      <c r="K332" s="92"/>
      <c r="L332" s="91"/>
      <c r="M332" s="91"/>
      <c r="N332" s="91"/>
      <c r="O332" s="91"/>
      <c r="P332" s="120"/>
      <c r="Q332" s="112"/>
      <c r="R332" s="112"/>
      <c r="S332" s="112"/>
      <c r="T332" s="112"/>
      <c r="U332" s="98"/>
      <c r="V332" s="171">
        <f t="shared" si="198"/>
        <v>1.0331189710610933</v>
      </c>
    </row>
    <row r="333" spans="1:22" ht="51.75" hidden="1">
      <c r="A333" s="104" t="s">
        <v>153</v>
      </c>
      <c r="B333" s="91">
        <f>57.54/2</f>
        <v>28.77</v>
      </c>
      <c r="C333" s="91">
        <v>37.520000000000003</v>
      </c>
      <c r="D333" s="91">
        <f t="shared" si="199"/>
        <v>28.77</v>
      </c>
      <c r="E333" s="91">
        <v>38</v>
      </c>
      <c r="F333" s="92">
        <f t="shared" si="200"/>
        <v>1.0127931769722813</v>
      </c>
      <c r="G333" s="99">
        <f>4.54/2</f>
        <v>2.27</v>
      </c>
      <c r="H333" s="99">
        <v>24.14</v>
      </c>
      <c r="I333" s="91">
        <f t="shared" si="201"/>
        <v>2.27</v>
      </c>
      <c r="J333" s="99">
        <v>26.7</v>
      </c>
      <c r="K333" s="92">
        <f t="shared" ref="K333:K342" si="202">(J333*I333)/(H333*G333)</f>
        <v>1.1060480530240264</v>
      </c>
      <c r="L333" s="91"/>
      <c r="M333" s="91"/>
      <c r="N333" s="91"/>
      <c r="O333" s="91"/>
      <c r="P333" s="120"/>
      <c r="Q333" s="112"/>
      <c r="R333" s="112"/>
      <c r="S333" s="112"/>
      <c r="T333" s="112"/>
      <c r="U333" s="98"/>
      <c r="V333" s="171">
        <f t="shared" si="198"/>
        <v>1.0127931769722813</v>
      </c>
    </row>
    <row r="334" spans="1:22" ht="26.25" hidden="1">
      <c r="A334" s="104" t="s">
        <v>154</v>
      </c>
      <c r="B334" s="91">
        <f>229.28/2</f>
        <v>114.64</v>
      </c>
      <c r="C334" s="91">
        <v>19.170000000000002</v>
      </c>
      <c r="D334" s="91">
        <f t="shared" si="199"/>
        <v>114.64</v>
      </c>
      <c r="E334" s="91">
        <v>20.149999999999999</v>
      </c>
      <c r="F334" s="92">
        <f t="shared" si="200"/>
        <v>1.0511215440792903</v>
      </c>
      <c r="G334" s="112">
        <f>191/2</f>
        <v>95.5</v>
      </c>
      <c r="H334" s="112">
        <v>19.170000000000002</v>
      </c>
      <c r="I334" s="91">
        <f t="shared" si="201"/>
        <v>95.5</v>
      </c>
      <c r="J334" s="112">
        <v>20.149999999999999</v>
      </c>
      <c r="K334" s="92">
        <f t="shared" si="202"/>
        <v>1.0511215440792905</v>
      </c>
      <c r="L334" s="91">
        <f>356.276/2</f>
        <v>178.13800000000001</v>
      </c>
      <c r="M334" s="91">
        <v>20.68</v>
      </c>
      <c r="N334" s="91">
        <f>L334</f>
        <v>178.13800000000001</v>
      </c>
      <c r="O334" s="91">
        <v>21.86</v>
      </c>
      <c r="P334" s="120">
        <f t="shared" ref="P334:P340" si="203">(O334*N334)/(M334*L334)</f>
        <v>1.0570599613152805</v>
      </c>
      <c r="Q334" s="112">
        <f>281.7/2</f>
        <v>140.85</v>
      </c>
      <c r="R334" s="112">
        <v>20.68</v>
      </c>
      <c r="S334" s="112">
        <f t="shared" ref="S334:S340" si="204">Q334</f>
        <v>140.85</v>
      </c>
      <c r="T334" s="112">
        <v>21.86</v>
      </c>
      <c r="U334" s="92">
        <f t="shared" ref="U334:U340" si="205">(T334*S334)/(R334*Q334)</f>
        <v>1.0570599613152805</v>
      </c>
      <c r="V334" s="171">
        <f t="shared" si="198"/>
        <v>1.054203262233375</v>
      </c>
    </row>
    <row r="335" spans="1:22" ht="26.25" hidden="1">
      <c r="A335" s="104" t="s">
        <v>155</v>
      </c>
      <c r="B335" s="91">
        <f>29.434/2</f>
        <v>14.717000000000001</v>
      </c>
      <c r="C335" s="91">
        <v>79.73</v>
      </c>
      <c r="D335" s="91">
        <f t="shared" si="199"/>
        <v>14.717000000000001</v>
      </c>
      <c r="E335" s="91">
        <v>85.39</v>
      </c>
      <c r="F335" s="92">
        <f t="shared" si="200"/>
        <v>1.0709895898657971</v>
      </c>
      <c r="G335" s="112">
        <f>21.28/2</f>
        <v>10.64</v>
      </c>
      <c r="H335" s="112">
        <v>67.540000000000006</v>
      </c>
      <c r="I335" s="91">
        <f t="shared" si="201"/>
        <v>10.64</v>
      </c>
      <c r="J335" s="112">
        <v>72.34</v>
      </c>
      <c r="K335" s="92">
        <f t="shared" si="202"/>
        <v>1.0710689961504294</v>
      </c>
      <c r="L335" s="91"/>
      <c r="M335" s="91"/>
      <c r="N335" s="91"/>
      <c r="O335" s="91"/>
      <c r="P335" s="120"/>
      <c r="Q335" s="112"/>
      <c r="R335" s="112"/>
      <c r="S335" s="112"/>
      <c r="T335" s="112"/>
      <c r="U335" s="92"/>
      <c r="V335" s="171">
        <f t="shared" si="198"/>
        <v>1.0709895898657971</v>
      </c>
    </row>
    <row r="336" spans="1:22" ht="26.25" hidden="1">
      <c r="A336" s="104" t="s">
        <v>156</v>
      </c>
      <c r="B336" s="91">
        <f>4.944/2</f>
        <v>2.472</v>
      </c>
      <c r="C336" s="91">
        <v>83.81</v>
      </c>
      <c r="D336" s="91">
        <f t="shared" si="199"/>
        <v>2.472</v>
      </c>
      <c r="E336" s="91">
        <v>88.86</v>
      </c>
      <c r="F336" s="92">
        <f t="shared" si="200"/>
        <v>1.0602553394582985</v>
      </c>
      <c r="G336" s="99">
        <f>3.69/2</f>
        <v>1.845</v>
      </c>
      <c r="H336" s="99">
        <v>56.89</v>
      </c>
      <c r="I336" s="91">
        <f t="shared" si="201"/>
        <v>1.845</v>
      </c>
      <c r="J336" s="99">
        <v>60.93</v>
      </c>
      <c r="K336" s="92">
        <f t="shared" si="202"/>
        <v>1.071014238003164</v>
      </c>
      <c r="L336" s="91"/>
      <c r="M336" s="91"/>
      <c r="N336" s="91"/>
      <c r="O336" s="91"/>
      <c r="P336" s="120"/>
      <c r="Q336" s="112"/>
      <c r="R336" s="112"/>
      <c r="S336" s="112"/>
      <c r="T336" s="112"/>
      <c r="U336" s="92"/>
      <c r="V336" s="171">
        <f t="shared" si="198"/>
        <v>1.0602553394582985</v>
      </c>
    </row>
    <row r="337" spans="1:22" ht="39" hidden="1">
      <c r="A337" s="104" t="s">
        <v>157</v>
      </c>
      <c r="B337" s="91">
        <f>25.57/2</f>
        <v>12.785</v>
      </c>
      <c r="C337" s="91">
        <v>67.62</v>
      </c>
      <c r="D337" s="91">
        <f t="shared" si="199"/>
        <v>12.785</v>
      </c>
      <c r="E337" s="91">
        <v>68.67</v>
      </c>
      <c r="F337" s="92">
        <f t="shared" si="200"/>
        <v>1.015527950310559</v>
      </c>
      <c r="G337" s="112">
        <f>20.87/2</f>
        <v>10.435</v>
      </c>
      <c r="H337" s="112">
        <v>24.5</v>
      </c>
      <c r="I337" s="91">
        <f t="shared" si="201"/>
        <v>10.435</v>
      </c>
      <c r="J337" s="112">
        <v>26.24</v>
      </c>
      <c r="K337" s="92">
        <f t="shared" si="202"/>
        <v>1.0710204081632653</v>
      </c>
      <c r="L337" s="91"/>
      <c r="M337" s="91"/>
      <c r="N337" s="91"/>
      <c r="O337" s="91"/>
      <c r="P337" s="120"/>
      <c r="Q337" s="112"/>
      <c r="R337" s="112"/>
      <c r="S337" s="112"/>
      <c r="T337" s="112"/>
      <c r="U337" s="92"/>
      <c r="V337" s="171">
        <f t="shared" si="198"/>
        <v>1.015527950310559</v>
      </c>
    </row>
    <row r="338" spans="1:22" hidden="1">
      <c r="A338" s="104" t="s">
        <v>158</v>
      </c>
      <c r="B338" s="91">
        <f>95.72/2</f>
        <v>47.86</v>
      </c>
      <c r="C338" s="91">
        <v>55.58</v>
      </c>
      <c r="D338" s="91">
        <f t="shared" si="199"/>
        <v>47.86</v>
      </c>
      <c r="E338" s="91">
        <v>58.59</v>
      </c>
      <c r="F338" s="92">
        <f t="shared" si="200"/>
        <v>1.0541561712846348</v>
      </c>
      <c r="G338" s="112">
        <f>84.19/2</f>
        <v>42.094999999999999</v>
      </c>
      <c r="H338" s="112">
        <v>26.45</v>
      </c>
      <c r="I338" s="91">
        <f t="shared" si="201"/>
        <v>42.094999999999999</v>
      </c>
      <c r="J338" s="112">
        <v>28.33</v>
      </c>
      <c r="K338" s="92">
        <f t="shared" si="202"/>
        <v>1.071077504725898</v>
      </c>
      <c r="L338" s="91">
        <f>33.71/2</f>
        <v>16.855</v>
      </c>
      <c r="M338" s="91">
        <v>33.79</v>
      </c>
      <c r="N338" s="91">
        <f>L338</f>
        <v>16.855</v>
      </c>
      <c r="O338" s="91">
        <v>35.94</v>
      </c>
      <c r="P338" s="120">
        <f t="shared" si="203"/>
        <v>1.0636282923941995</v>
      </c>
      <c r="Q338" s="112">
        <f>31.915/2</f>
        <v>15.9575</v>
      </c>
      <c r="R338" s="112">
        <v>26.24</v>
      </c>
      <c r="S338" s="112">
        <f t="shared" si="204"/>
        <v>15.9575</v>
      </c>
      <c r="T338" s="112">
        <v>28.1</v>
      </c>
      <c r="U338" s="92">
        <f t="shared" si="205"/>
        <v>1.0708841463414636</v>
      </c>
      <c r="V338" s="171">
        <f t="shared" si="198"/>
        <v>1.0577374958039609</v>
      </c>
    </row>
    <row r="339" spans="1:22" hidden="1">
      <c r="A339" s="104" t="s">
        <v>159</v>
      </c>
      <c r="B339" s="91">
        <f>410.93/2</f>
        <v>205.465</v>
      </c>
      <c r="C339" s="91">
        <v>58.12</v>
      </c>
      <c r="D339" s="91">
        <f t="shared" si="199"/>
        <v>205.465</v>
      </c>
      <c r="E339" s="91">
        <v>60.11</v>
      </c>
      <c r="F339" s="92">
        <f t="shared" si="200"/>
        <v>1.0342395044735031</v>
      </c>
      <c r="G339" s="99">
        <f>325.43/2</f>
        <v>162.715</v>
      </c>
      <c r="H339" s="99">
        <v>36.729999999999997</v>
      </c>
      <c r="I339" s="91">
        <f t="shared" si="201"/>
        <v>162.715</v>
      </c>
      <c r="J339" s="99">
        <v>39.340000000000003</v>
      </c>
      <c r="K339" s="92">
        <f t="shared" si="202"/>
        <v>1.0710590797713044</v>
      </c>
      <c r="L339" s="91">
        <f>292.94/2</f>
        <v>146.47</v>
      </c>
      <c r="M339" s="91">
        <v>53.58</v>
      </c>
      <c r="N339" s="91">
        <f>L339</f>
        <v>146.47</v>
      </c>
      <c r="O339" s="91">
        <v>53.58</v>
      </c>
      <c r="P339" s="120">
        <f t="shared" si="203"/>
        <v>1</v>
      </c>
      <c r="Q339" s="112">
        <f>241.34/2</f>
        <v>120.67</v>
      </c>
      <c r="R339" s="112">
        <v>26.7</v>
      </c>
      <c r="S339" s="112">
        <f t="shared" si="204"/>
        <v>120.67</v>
      </c>
      <c r="T339" s="112">
        <v>28.6</v>
      </c>
      <c r="U339" s="92">
        <f t="shared" si="205"/>
        <v>1.0711610486891385</v>
      </c>
      <c r="V339" s="171">
        <f t="shared" si="198"/>
        <v>1.0178155774395703</v>
      </c>
    </row>
    <row r="340" spans="1:22" ht="26.25" hidden="1">
      <c r="A340" s="104" t="s">
        <v>160</v>
      </c>
      <c r="B340" s="91">
        <f>481.61/2</f>
        <v>240.80500000000001</v>
      </c>
      <c r="C340" s="91">
        <v>26.65</v>
      </c>
      <c r="D340" s="91">
        <f t="shared" si="199"/>
        <v>240.80500000000001</v>
      </c>
      <c r="E340" s="91">
        <v>26.65</v>
      </c>
      <c r="F340" s="92">
        <f t="shared" si="200"/>
        <v>1</v>
      </c>
      <c r="G340" s="99">
        <f>327.54/2</f>
        <v>163.77000000000001</v>
      </c>
      <c r="H340" s="99">
        <v>20.46</v>
      </c>
      <c r="I340" s="91">
        <f t="shared" si="201"/>
        <v>163.77000000000001</v>
      </c>
      <c r="J340" s="99">
        <v>21.91</v>
      </c>
      <c r="K340" s="92">
        <f t="shared" si="202"/>
        <v>1.0708699902248289</v>
      </c>
      <c r="L340" s="91">
        <f>400.11/2</f>
        <v>200.05500000000001</v>
      </c>
      <c r="M340" s="91">
        <v>32.74</v>
      </c>
      <c r="N340" s="91">
        <f>L340</f>
        <v>200.05500000000001</v>
      </c>
      <c r="O340" s="91">
        <v>36.83</v>
      </c>
      <c r="P340" s="120">
        <f t="shared" si="203"/>
        <v>1.124923640806353</v>
      </c>
      <c r="Q340" s="112">
        <f>287.24/2</f>
        <v>143.62</v>
      </c>
      <c r="R340" s="112">
        <v>15.16</v>
      </c>
      <c r="S340" s="112">
        <f t="shared" si="204"/>
        <v>143.62</v>
      </c>
      <c r="T340" s="112">
        <v>16.239999999999998</v>
      </c>
      <c r="U340" s="92">
        <f t="shared" si="205"/>
        <v>1.0712401055408971</v>
      </c>
      <c r="V340" s="171">
        <f t="shared" si="198"/>
        <v>1.0688668125947129</v>
      </c>
    </row>
    <row r="341" spans="1:22" ht="39" hidden="1">
      <c r="A341" s="104" t="s">
        <v>161</v>
      </c>
      <c r="B341" s="91">
        <f>111.26/2</f>
        <v>55.63</v>
      </c>
      <c r="C341" s="91">
        <v>19.84</v>
      </c>
      <c r="D341" s="91">
        <f t="shared" si="199"/>
        <v>55.63</v>
      </c>
      <c r="E341" s="91">
        <v>21.16</v>
      </c>
      <c r="F341" s="92">
        <f t="shared" si="200"/>
        <v>1.0665322580645162</v>
      </c>
      <c r="G341" s="99">
        <f>82.27/2</f>
        <v>41.134999999999998</v>
      </c>
      <c r="H341" s="99">
        <v>19.84</v>
      </c>
      <c r="I341" s="91">
        <f t="shared" si="201"/>
        <v>41.134999999999998</v>
      </c>
      <c r="J341" s="99">
        <v>21.16</v>
      </c>
      <c r="K341" s="92">
        <f t="shared" si="202"/>
        <v>1.0665322580645162</v>
      </c>
      <c r="L341" s="91"/>
      <c r="M341" s="91"/>
      <c r="N341" s="91"/>
      <c r="O341" s="91"/>
      <c r="P341" s="120"/>
      <c r="Q341" s="112"/>
      <c r="R341" s="112"/>
      <c r="S341" s="112"/>
      <c r="T341" s="112"/>
      <c r="U341" s="92"/>
      <c r="V341" s="171">
        <f t="shared" si="198"/>
        <v>1.0665322580645162</v>
      </c>
    </row>
    <row r="342" spans="1:22" ht="39" hidden="1">
      <c r="A342" s="104" t="s">
        <v>162</v>
      </c>
      <c r="B342" s="91">
        <f>5.22/2</f>
        <v>2.61</v>
      </c>
      <c r="C342" s="91">
        <v>51.53</v>
      </c>
      <c r="D342" s="91">
        <f t="shared" si="199"/>
        <v>2.61</v>
      </c>
      <c r="E342" s="91">
        <v>52.89</v>
      </c>
      <c r="F342" s="92">
        <f t="shared" si="200"/>
        <v>1.0263923927809042</v>
      </c>
      <c r="G342" s="99">
        <f>3.495/2</f>
        <v>1.7475000000000001</v>
      </c>
      <c r="H342" s="99">
        <v>26.44</v>
      </c>
      <c r="I342" s="91">
        <f t="shared" si="201"/>
        <v>1.7475000000000001</v>
      </c>
      <c r="J342" s="99">
        <v>28.32</v>
      </c>
      <c r="K342" s="92">
        <f t="shared" si="202"/>
        <v>1.0711043872919819</v>
      </c>
      <c r="L342" s="91"/>
      <c r="M342" s="91"/>
      <c r="N342" s="91"/>
      <c r="O342" s="91"/>
      <c r="P342" s="120"/>
      <c r="Q342" s="112"/>
      <c r="R342" s="112"/>
      <c r="S342" s="112"/>
      <c r="T342" s="112"/>
      <c r="U342" s="92"/>
      <c r="V342" s="171">
        <f t="shared" si="198"/>
        <v>1.0263923927809042</v>
      </c>
    </row>
    <row r="343" spans="1:22">
      <c r="A343" s="97" t="s">
        <v>243</v>
      </c>
      <c r="B343" s="91">
        <f>SUM(B344:B354)</f>
        <v>287.745</v>
      </c>
      <c r="C343" s="91">
        <f>SUMPRODUCT(B344:B354,C344:C354)/B343</f>
        <v>40.284724721541643</v>
      </c>
      <c r="D343" s="91">
        <f>SUM(D344:D354)</f>
        <v>287.745</v>
      </c>
      <c r="E343" s="91">
        <f>SUMPRODUCT(D344:D354,E344:E354)/D343</f>
        <v>42.439539939877321</v>
      </c>
      <c r="F343" s="92">
        <f>E343/C343</f>
        <v>1.0534896349231704</v>
      </c>
      <c r="G343" s="91">
        <f>SUM(G344:G354)</f>
        <v>215.15350000000001</v>
      </c>
      <c r="H343" s="91">
        <f>SUMPRODUCT(G344:G354,H344:H354)/G343</f>
        <v>25.083766008919213</v>
      </c>
      <c r="I343" s="91">
        <f>SUM(I344:I354)</f>
        <v>215.15350000000001</v>
      </c>
      <c r="J343" s="91">
        <f>SUMPRODUCT(I344:I354,J344:J354)/I343</f>
        <v>27.17914177552305</v>
      </c>
      <c r="K343" s="92">
        <f>J343/H343</f>
        <v>1.0835351344713855</v>
      </c>
      <c r="L343" s="91">
        <f>SUM(L344:L354)</f>
        <v>215.91449999999998</v>
      </c>
      <c r="M343" s="91">
        <f>SUMPRODUCT(L344:L354,M344:M354)/L343</f>
        <v>47.448413121860746</v>
      </c>
      <c r="N343" s="91">
        <f>SUM(N344:N354)</f>
        <v>215.91449999999998</v>
      </c>
      <c r="O343" s="91">
        <f>SUMPRODUCT(N344:N354,O344:O354)/N343</f>
        <v>50.254451044279108</v>
      </c>
      <c r="P343" s="120">
        <f>O343/M343</f>
        <v>1.0591387095541356</v>
      </c>
      <c r="Q343" s="91">
        <f>SUM(Q344:Q354)</f>
        <v>167.29050000000001</v>
      </c>
      <c r="R343" s="91">
        <f>SUMPRODUCT(Q344:Q354,R344:R354)/Q343</f>
        <v>25.110715731018793</v>
      </c>
      <c r="S343" s="91">
        <f>SUM(S344:S354)</f>
        <v>167.29050000000001</v>
      </c>
      <c r="T343" s="91">
        <f>SUMPRODUCT(S344:S354,T344:T354)/S343</f>
        <v>27.047838430753682</v>
      </c>
      <c r="U343" s="92">
        <f>T343/R343</f>
        <v>1.0771432690523433</v>
      </c>
      <c r="V343" s="171">
        <f t="shared" si="198"/>
        <v>1.0565448046507675</v>
      </c>
    </row>
    <row r="344" spans="1:22" ht="30" hidden="1">
      <c r="A344" s="6" t="s">
        <v>164</v>
      </c>
      <c r="B344" s="13">
        <f>16.111/2</f>
        <v>8.0555000000000003</v>
      </c>
      <c r="C344" s="13">
        <v>55.15</v>
      </c>
      <c r="D344" s="13">
        <f>B344</f>
        <v>8.0555000000000003</v>
      </c>
      <c r="E344" s="13">
        <v>59.56</v>
      </c>
      <c r="F344" s="14">
        <f>(E344*D344)/(C344*B344)</f>
        <v>1.0799637352674525</v>
      </c>
      <c r="G344" s="22">
        <f>13.222/2</f>
        <v>6.6109999999999998</v>
      </c>
      <c r="H344" s="22">
        <v>25.05</v>
      </c>
      <c r="I344" s="22">
        <f>G344</f>
        <v>6.6109999999999998</v>
      </c>
      <c r="J344" s="22">
        <v>27.18</v>
      </c>
      <c r="K344" s="14">
        <f t="shared" ref="K344:K354" si="206">J344/H344</f>
        <v>1.0850299401197605</v>
      </c>
      <c r="L344" s="13"/>
      <c r="M344" s="13"/>
      <c r="N344" s="13"/>
      <c r="O344" s="13"/>
      <c r="P344" s="14"/>
      <c r="Q344" s="28"/>
      <c r="R344" s="28"/>
      <c r="S344" s="28"/>
      <c r="T344" s="28"/>
      <c r="U344" s="45"/>
      <c r="V344" s="171">
        <f t="shared" si="198"/>
        <v>1.0799637352674525</v>
      </c>
    </row>
    <row r="345" spans="1:22" hidden="1">
      <c r="A345" s="6" t="s">
        <v>165</v>
      </c>
      <c r="B345" s="13">
        <f>9.752/2</f>
        <v>4.8760000000000003</v>
      </c>
      <c r="C345" s="13">
        <v>56.42</v>
      </c>
      <c r="D345" s="13">
        <f t="shared" ref="D345:D354" si="207">B345</f>
        <v>4.8760000000000003</v>
      </c>
      <c r="E345" s="13">
        <v>59.68</v>
      </c>
      <c r="F345" s="14">
        <f t="shared" ref="F345:F354" si="208">(E345*D345)/(C345*B345)</f>
        <v>1.0577809287486706</v>
      </c>
      <c r="G345" s="22">
        <f>6.022/2</f>
        <v>3.0110000000000001</v>
      </c>
      <c r="H345" s="22">
        <v>25.05</v>
      </c>
      <c r="I345" s="22">
        <f t="shared" ref="I345:I354" si="209">G345</f>
        <v>3.0110000000000001</v>
      </c>
      <c r="J345" s="22">
        <v>27.18</v>
      </c>
      <c r="K345" s="14">
        <f t="shared" si="206"/>
        <v>1.0850299401197605</v>
      </c>
      <c r="L345" s="13"/>
      <c r="M345" s="13"/>
      <c r="N345" s="13"/>
      <c r="O345" s="13"/>
      <c r="P345" s="14"/>
      <c r="Q345" s="13"/>
      <c r="R345" s="13"/>
      <c r="S345" s="13"/>
      <c r="T345" s="13"/>
      <c r="U345" s="45"/>
      <c r="V345" s="171">
        <f t="shared" si="198"/>
        <v>1.0577809287486706</v>
      </c>
    </row>
    <row r="346" spans="1:22" hidden="1">
      <c r="A346" s="6" t="s">
        <v>166</v>
      </c>
      <c r="B346" s="13">
        <f>14.85/2</f>
        <v>7.4249999999999998</v>
      </c>
      <c r="C346" s="13">
        <v>41.44</v>
      </c>
      <c r="D346" s="13">
        <f t="shared" si="207"/>
        <v>7.4249999999999998</v>
      </c>
      <c r="E346" s="13">
        <v>44.23</v>
      </c>
      <c r="F346" s="14">
        <f t="shared" si="208"/>
        <v>1.067326254826255</v>
      </c>
      <c r="G346" s="22">
        <f>12.82/2</f>
        <v>6.41</v>
      </c>
      <c r="H346" s="22">
        <v>25.05</v>
      </c>
      <c r="I346" s="22">
        <f t="shared" si="209"/>
        <v>6.41</v>
      </c>
      <c r="J346" s="22">
        <v>26.83</v>
      </c>
      <c r="K346" s="14">
        <f t="shared" si="206"/>
        <v>1.0710578842315368</v>
      </c>
      <c r="L346" s="13"/>
      <c r="M346" s="13"/>
      <c r="N346" s="13"/>
      <c r="O346" s="13"/>
      <c r="P346" s="14"/>
      <c r="Q346" s="13"/>
      <c r="R346" s="13"/>
      <c r="S346" s="13"/>
      <c r="T346" s="13"/>
      <c r="U346" s="45"/>
      <c r="V346" s="171">
        <f t="shared" si="198"/>
        <v>1.0673262548262548</v>
      </c>
    </row>
    <row r="347" spans="1:22" hidden="1">
      <c r="A347" s="6" t="s">
        <v>167</v>
      </c>
      <c r="B347" s="13">
        <f>74.3/2</f>
        <v>37.15</v>
      </c>
      <c r="C347" s="13">
        <v>43.06</v>
      </c>
      <c r="D347" s="13">
        <f t="shared" si="207"/>
        <v>37.15</v>
      </c>
      <c r="E347" s="13">
        <v>43.06</v>
      </c>
      <c r="F347" s="14">
        <f t="shared" si="208"/>
        <v>1</v>
      </c>
      <c r="G347" s="22">
        <f>63.28/2</f>
        <v>31.64</v>
      </c>
      <c r="H347" s="22">
        <v>25.05</v>
      </c>
      <c r="I347" s="22">
        <f t="shared" si="209"/>
        <v>31.64</v>
      </c>
      <c r="J347" s="22">
        <v>26.83</v>
      </c>
      <c r="K347" s="14">
        <f t="shared" si="206"/>
        <v>1.0710578842315368</v>
      </c>
      <c r="L347" s="13">
        <f>33.34/2</f>
        <v>16.670000000000002</v>
      </c>
      <c r="M347" s="13">
        <v>111.8</v>
      </c>
      <c r="N347" s="13">
        <f t="shared" ref="N347:N354" si="210">L347</f>
        <v>16.670000000000002</v>
      </c>
      <c r="O347" s="13">
        <v>119.65</v>
      </c>
      <c r="P347" s="14">
        <f t="shared" ref="P347:P354" si="211">(O347*N347)/(M347*L347)</f>
        <v>1.0702146690518786</v>
      </c>
      <c r="Q347" s="13">
        <f>29.19/2</f>
        <v>14.595000000000001</v>
      </c>
      <c r="R347" s="13">
        <v>25.05</v>
      </c>
      <c r="S347" s="13">
        <f t="shared" ref="S347:S354" si="212">Q347</f>
        <v>14.595000000000001</v>
      </c>
      <c r="T347" s="13">
        <v>26.83</v>
      </c>
      <c r="U347" s="14">
        <f t="shared" ref="U347:U354" si="213">(T347*S347)/(R347*Q347)</f>
        <v>1.0710578842315368</v>
      </c>
      <c r="V347" s="171">
        <f t="shared" si="198"/>
        <v>1.0506909466615006</v>
      </c>
    </row>
    <row r="348" spans="1:22" hidden="1">
      <c r="A348" s="6" t="s">
        <v>168</v>
      </c>
      <c r="B348" s="13">
        <f>6.91/2</f>
        <v>3.4550000000000001</v>
      </c>
      <c r="C348" s="13">
        <v>47.16</v>
      </c>
      <c r="D348" s="13">
        <f t="shared" si="207"/>
        <v>3.4550000000000001</v>
      </c>
      <c r="E348" s="13">
        <v>49.78</v>
      </c>
      <c r="F348" s="14">
        <f t="shared" si="208"/>
        <v>1.0555555555555558</v>
      </c>
      <c r="G348" s="22">
        <f>2.19/2</f>
        <v>1.095</v>
      </c>
      <c r="H348" s="22">
        <v>25.05</v>
      </c>
      <c r="I348" s="22">
        <f t="shared" si="209"/>
        <v>1.095</v>
      </c>
      <c r="J348" s="22">
        <v>26.83</v>
      </c>
      <c r="K348" s="14">
        <f t="shared" si="206"/>
        <v>1.0710578842315368</v>
      </c>
      <c r="L348" s="13"/>
      <c r="M348" s="13"/>
      <c r="N348" s="13"/>
      <c r="O348" s="13"/>
      <c r="P348" s="14"/>
      <c r="Q348" s="13"/>
      <c r="R348" s="13"/>
      <c r="S348" s="13"/>
      <c r="T348" s="13"/>
      <c r="U348" s="14"/>
      <c r="V348" s="171">
        <f t="shared" si="198"/>
        <v>1.0555555555555556</v>
      </c>
    </row>
    <row r="349" spans="1:22" hidden="1">
      <c r="A349" s="6" t="s">
        <v>169</v>
      </c>
      <c r="B349" s="13">
        <f>12.995/2</f>
        <v>6.4974999999999996</v>
      </c>
      <c r="C349" s="13">
        <v>48.36</v>
      </c>
      <c r="D349" s="13">
        <f t="shared" si="207"/>
        <v>6.4974999999999996</v>
      </c>
      <c r="E349" s="13">
        <v>48.36</v>
      </c>
      <c r="F349" s="14">
        <f t="shared" si="208"/>
        <v>1</v>
      </c>
      <c r="G349" s="22">
        <f>6.385/2</f>
        <v>3.1924999999999999</v>
      </c>
      <c r="H349" s="22">
        <v>25.05</v>
      </c>
      <c r="I349" s="22">
        <f t="shared" si="209"/>
        <v>3.1924999999999999</v>
      </c>
      <c r="J349" s="22">
        <v>26.83</v>
      </c>
      <c r="K349" s="14">
        <f t="shared" si="206"/>
        <v>1.0710578842315368</v>
      </c>
      <c r="L349" s="13"/>
      <c r="M349" s="13"/>
      <c r="N349" s="13"/>
      <c r="O349" s="13"/>
      <c r="P349" s="14"/>
      <c r="Q349" s="13"/>
      <c r="R349" s="13"/>
      <c r="S349" s="13"/>
      <c r="T349" s="13"/>
      <c r="U349" s="14"/>
      <c r="V349" s="171">
        <f t="shared" si="198"/>
        <v>1</v>
      </c>
    </row>
    <row r="350" spans="1:22" hidden="1">
      <c r="A350" s="6" t="s">
        <v>170</v>
      </c>
      <c r="B350" s="13">
        <f>347.5/2</f>
        <v>173.75</v>
      </c>
      <c r="C350" s="13">
        <v>36.14</v>
      </c>
      <c r="D350" s="13">
        <f t="shared" si="207"/>
        <v>173.75</v>
      </c>
      <c r="E350" s="13">
        <v>38.97</v>
      </c>
      <c r="F350" s="14">
        <f t="shared" si="208"/>
        <v>1.07830658550083</v>
      </c>
      <c r="G350" s="22">
        <f>254.2/2</f>
        <v>127.1</v>
      </c>
      <c r="H350" s="22">
        <v>24.58</v>
      </c>
      <c r="I350" s="22">
        <f t="shared" si="209"/>
        <v>127.1</v>
      </c>
      <c r="J350" s="22">
        <v>26.83</v>
      </c>
      <c r="K350" s="14">
        <f t="shared" si="206"/>
        <v>1.0915378356387306</v>
      </c>
      <c r="L350" s="13">
        <f>365.545/2</f>
        <v>182.77250000000001</v>
      </c>
      <c r="M350" s="13">
        <v>40.869999999999997</v>
      </c>
      <c r="N350" s="13">
        <f t="shared" si="210"/>
        <v>182.77250000000001</v>
      </c>
      <c r="O350" s="13">
        <v>43.44</v>
      </c>
      <c r="P350" s="14">
        <f t="shared" si="211"/>
        <v>1.0628823097626621</v>
      </c>
      <c r="Q350" s="13">
        <f>281.581/2</f>
        <v>140.79050000000001</v>
      </c>
      <c r="R350" s="13">
        <v>24.88</v>
      </c>
      <c r="S350" s="13">
        <f t="shared" si="212"/>
        <v>140.79050000000001</v>
      </c>
      <c r="T350" s="13">
        <v>26.83</v>
      </c>
      <c r="U350" s="14">
        <f t="shared" si="213"/>
        <v>1.0783762057877813</v>
      </c>
      <c r="V350" s="171">
        <f t="shared" si="198"/>
        <v>1.070120763537203</v>
      </c>
    </row>
    <row r="351" spans="1:22" ht="30" hidden="1">
      <c r="A351" s="6" t="s">
        <v>171</v>
      </c>
      <c r="B351" s="13">
        <f>15.444/2</f>
        <v>7.7220000000000004</v>
      </c>
      <c r="C351" s="13">
        <v>31.6</v>
      </c>
      <c r="D351" s="13">
        <f t="shared" si="207"/>
        <v>7.7220000000000004</v>
      </c>
      <c r="E351" s="13">
        <v>32.619999999999997</v>
      </c>
      <c r="F351" s="14">
        <f t="shared" si="208"/>
        <v>1.0322784810126582</v>
      </c>
      <c r="G351" s="22">
        <f>11.343/2</f>
        <v>5.6715</v>
      </c>
      <c r="H351" s="22">
        <v>25.05</v>
      </c>
      <c r="I351" s="22">
        <f t="shared" si="209"/>
        <v>5.6715</v>
      </c>
      <c r="J351" s="22">
        <v>26.83</v>
      </c>
      <c r="K351" s="14">
        <f t="shared" si="206"/>
        <v>1.0710578842315368</v>
      </c>
      <c r="L351" s="13">
        <f>9.599/2</f>
        <v>4.7995000000000001</v>
      </c>
      <c r="M351" s="13">
        <v>54.41</v>
      </c>
      <c r="N351" s="13">
        <f t="shared" si="210"/>
        <v>4.7995000000000001</v>
      </c>
      <c r="O351" s="13">
        <v>55.51</v>
      </c>
      <c r="P351" s="14">
        <f t="shared" si="211"/>
        <v>1.0202168718985483</v>
      </c>
      <c r="Q351" s="13">
        <f>6.425/2</f>
        <v>3.2124999999999999</v>
      </c>
      <c r="R351" s="13">
        <v>24</v>
      </c>
      <c r="S351" s="13">
        <f t="shared" si="212"/>
        <v>3.2124999999999999</v>
      </c>
      <c r="T351" s="13">
        <v>25.7</v>
      </c>
      <c r="U351" s="14">
        <f t="shared" si="213"/>
        <v>1.0708333333333335</v>
      </c>
      <c r="V351" s="171">
        <f t="shared" si="198"/>
        <v>1.024648296709685</v>
      </c>
    </row>
    <row r="352" spans="1:22" ht="30" hidden="1">
      <c r="A352" s="6" t="s">
        <v>172</v>
      </c>
      <c r="B352" s="13">
        <f>24.16/2</f>
        <v>12.08</v>
      </c>
      <c r="C352" s="13">
        <v>50</v>
      </c>
      <c r="D352" s="13">
        <f t="shared" si="207"/>
        <v>12.08</v>
      </c>
      <c r="E352" s="13">
        <v>53.25</v>
      </c>
      <c r="F352" s="14">
        <f t="shared" si="208"/>
        <v>1.0649999999999999</v>
      </c>
      <c r="G352" s="22">
        <f>22.38/2</f>
        <v>11.19</v>
      </c>
      <c r="H352" s="22">
        <v>25.05</v>
      </c>
      <c r="I352" s="22">
        <f t="shared" si="209"/>
        <v>11.19</v>
      </c>
      <c r="J352" s="22">
        <v>26.83</v>
      </c>
      <c r="K352" s="14">
        <f t="shared" si="206"/>
        <v>1.0710578842315368</v>
      </c>
      <c r="L352" s="13"/>
      <c r="M352" s="13"/>
      <c r="N352" s="13"/>
      <c r="O352" s="13"/>
      <c r="P352" s="14"/>
      <c r="Q352" s="13"/>
      <c r="R352" s="13"/>
      <c r="S352" s="13"/>
      <c r="T352" s="13"/>
      <c r="U352" s="14"/>
      <c r="V352" s="171">
        <f t="shared" si="198"/>
        <v>1.0649999999999999</v>
      </c>
    </row>
    <row r="353" spans="1:22" ht="30" hidden="1">
      <c r="A353" s="6" t="s">
        <v>173</v>
      </c>
      <c r="B353" s="13">
        <f>5.322/2</f>
        <v>2.661</v>
      </c>
      <c r="C353" s="13">
        <v>44.92</v>
      </c>
      <c r="D353" s="13">
        <f t="shared" si="207"/>
        <v>2.661</v>
      </c>
      <c r="E353" s="13">
        <v>44.92</v>
      </c>
      <c r="F353" s="14">
        <f t="shared" si="208"/>
        <v>1</v>
      </c>
      <c r="G353" s="22">
        <f>4.54/2</f>
        <v>2.27</v>
      </c>
      <c r="H353" s="22">
        <v>25.05</v>
      </c>
      <c r="I353" s="22">
        <f t="shared" si="209"/>
        <v>2.27</v>
      </c>
      <c r="J353" s="22">
        <v>26.83</v>
      </c>
      <c r="K353" s="14">
        <f t="shared" si="206"/>
        <v>1.0710578842315368</v>
      </c>
      <c r="L353" s="13"/>
      <c r="M353" s="13"/>
      <c r="N353" s="13"/>
      <c r="O353" s="13"/>
      <c r="P353" s="14"/>
      <c r="Q353" s="13"/>
      <c r="R353" s="13"/>
      <c r="S353" s="13"/>
      <c r="T353" s="13"/>
      <c r="U353" s="14"/>
      <c r="V353" s="171">
        <f t="shared" si="198"/>
        <v>1</v>
      </c>
    </row>
    <row r="354" spans="1:22" ht="30" hidden="1">
      <c r="A354" s="6" t="s">
        <v>174</v>
      </c>
      <c r="B354" s="13">
        <f>48.146/2</f>
        <v>24.073</v>
      </c>
      <c r="C354" s="13">
        <v>51.55</v>
      </c>
      <c r="D354" s="13">
        <f t="shared" si="207"/>
        <v>24.073</v>
      </c>
      <c r="E354" s="13">
        <v>51.55</v>
      </c>
      <c r="F354" s="14">
        <f t="shared" si="208"/>
        <v>1</v>
      </c>
      <c r="G354" s="22">
        <f>33.925/2</f>
        <v>16.962499999999999</v>
      </c>
      <c r="H354" s="22">
        <v>29</v>
      </c>
      <c r="I354" s="22">
        <f t="shared" si="209"/>
        <v>16.962499999999999</v>
      </c>
      <c r="J354" s="22">
        <v>31.06</v>
      </c>
      <c r="K354" s="14">
        <f t="shared" si="206"/>
        <v>1.0710344827586207</v>
      </c>
      <c r="L354" s="13">
        <f>23.345/2</f>
        <v>11.672499999999999</v>
      </c>
      <c r="M354" s="13">
        <v>55.69</v>
      </c>
      <c r="N354" s="13">
        <f t="shared" si="210"/>
        <v>11.672499999999999</v>
      </c>
      <c r="O354" s="13">
        <v>55.69</v>
      </c>
      <c r="P354" s="14">
        <f t="shared" si="211"/>
        <v>1</v>
      </c>
      <c r="Q354" s="13">
        <f>17.385/2</f>
        <v>8.6925000000000008</v>
      </c>
      <c r="R354" s="13">
        <v>29.36</v>
      </c>
      <c r="S354" s="13">
        <f t="shared" si="212"/>
        <v>8.6925000000000008</v>
      </c>
      <c r="T354" s="13">
        <v>31.44</v>
      </c>
      <c r="U354" s="14">
        <f t="shared" si="213"/>
        <v>1.0708446866485015</v>
      </c>
      <c r="V354" s="171">
        <f t="shared" si="198"/>
        <v>1</v>
      </c>
    </row>
    <row r="355" spans="1:22" ht="45" hidden="1">
      <c r="A355" s="25" t="s">
        <v>175</v>
      </c>
      <c r="B355" s="18">
        <f>SUM(B356:B359)</f>
        <v>55.34</v>
      </c>
      <c r="C355" s="18">
        <f>SUMPRODUCT(B356:B359,C356:C359)/B355</f>
        <v>45.424795807734007</v>
      </c>
      <c r="D355" s="18">
        <f>SUM(D356:D359)</f>
        <v>55.34</v>
      </c>
      <c r="E355" s="18">
        <f>SUMPRODUCT(D356:D359,E356:E359)/D355</f>
        <v>48.176331767256954</v>
      </c>
      <c r="F355" s="50">
        <f>E355/C355</f>
        <v>1.0605734359526713</v>
      </c>
      <c r="G355" s="18">
        <f>SUM(G356:G359)</f>
        <v>30.889000000000003</v>
      </c>
      <c r="H355" s="18">
        <f>SUMPRODUCT(G356:G359,H356:H359)/G355</f>
        <v>50.628265401923016</v>
      </c>
      <c r="I355" s="18">
        <f>SUM(I356:I359)</f>
        <v>30.889000000000003</v>
      </c>
      <c r="J355" s="18">
        <f>SUMPRODUCT(I356:I359,J356:J359)/I355</f>
        <v>52.912127618245968</v>
      </c>
      <c r="K355" s="50">
        <f>J355/H355</f>
        <v>1.0451104180281912</v>
      </c>
      <c r="L355" s="18">
        <f>SUM(L356:L359)</f>
        <v>31.89</v>
      </c>
      <c r="M355" s="18">
        <f>SUMPRODUCT(L356:L359,M356:M359)/L355</f>
        <v>63.360714957666971</v>
      </c>
      <c r="N355" s="18">
        <f>SUM(N356:N359)</f>
        <v>31.89</v>
      </c>
      <c r="O355" s="18">
        <f>SUMPRODUCT(N356:N359,O356:O359)/N355</f>
        <v>65.939818124804006</v>
      </c>
      <c r="P355" s="50">
        <f>O355/M355</f>
        <v>1.0407050830922631</v>
      </c>
      <c r="Q355" s="18">
        <f>SUM(Q356:Q359)</f>
        <v>27.05</v>
      </c>
      <c r="R355" s="18">
        <f>SUMPRODUCT(Q356:Q359,R356:R359)/Q355</f>
        <v>30</v>
      </c>
      <c r="S355" s="18">
        <f>SUM(S356:S359)</f>
        <v>27.05</v>
      </c>
      <c r="T355" s="18">
        <f>SUMPRODUCT(S356:S359,T356:T359)/S355</f>
        <v>32.130000000000003</v>
      </c>
      <c r="U355" s="49">
        <f>T355/R355</f>
        <v>1.0710000000000002</v>
      </c>
      <c r="V355" s="171">
        <f t="shared" si="198"/>
        <v>1.0490013705791728</v>
      </c>
    </row>
    <row r="356" spans="1:22" ht="30" hidden="1">
      <c r="A356" s="23" t="s">
        <v>176</v>
      </c>
      <c r="B356" s="13">
        <f>19.48/2</f>
        <v>9.74</v>
      </c>
      <c r="C356" s="13">
        <v>62.83</v>
      </c>
      <c r="D356" s="13">
        <f>B356</f>
        <v>9.74</v>
      </c>
      <c r="E356" s="13">
        <v>67.180000000000007</v>
      </c>
      <c r="F356" s="14">
        <f>(E356*D356)/(C356*B356)</f>
        <v>1.069234442145472</v>
      </c>
      <c r="G356" s="13"/>
      <c r="H356" s="13"/>
      <c r="I356" s="13"/>
      <c r="J356" s="13"/>
      <c r="K356" s="48"/>
      <c r="L356" s="13">
        <f>7/2</f>
        <v>3.5</v>
      </c>
      <c r="M356" s="13">
        <v>109.19</v>
      </c>
      <c r="N356" s="13">
        <f>L356</f>
        <v>3.5</v>
      </c>
      <c r="O356" s="13">
        <v>117.04</v>
      </c>
      <c r="P356" s="14">
        <f>(O356*N356)/(M356*L356)</f>
        <v>1.0718930304972984</v>
      </c>
      <c r="Q356" s="13">
        <f>7/2</f>
        <v>3.5</v>
      </c>
      <c r="R356" s="13">
        <v>30</v>
      </c>
      <c r="S356" s="13">
        <f>Q356</f>
        <v>3.5</v>
      </c>
      <c r="T356" s="13">
        <v>32.130000000000003</v>
      </c>
      <c r="U356" s="14">
        <f>(T356*S356)/(R356*Q356)</f>
        <v>1.0710000000000002</v>
      </c>
      <c r="V356" s="171">
        <f t="shared" si="198"/>
        <v>1.0709219858156032</v>
      </c>
    </row>
    <row r="357" spans="1:22" ht="30" hidden="1">
      <c r="A357" s="23" t="s">
        <v>177</v>
      </c>
      <c r="B357" s="13">
        <v>0</v>
      </c>
      <c r="C357" s="13"/>
      <c r="D357" s="13">
        <f>B357</f>
        <v>0</v>
      </c>
      <c r="E357" s="13"/>
      <c r="F357" s="14"/>
      <c r="G357" s="13">
        <f>3.378/2</f>
        <v>1.6890000000000001</v>
      </c>
      <c r="H357" s="13">
        <v>474.41</v>
      </c>
      <c r="I357" s="13">
        <f>G357</f>
        <v>1.6890000000000001</v>
      </c>
      <c r="J357" s="13">
        <v>476.39</v>
      </c>
      <c r="K357" s="14">
        <f t="shared" ref="K357:K359" si="214">(J357*I357)/(H357*G357)</f>
        <v>1.0041736051095045</v>
      </c>
      <c r="L357" s="13">
        <f>3.18/2</f>
        <v>1.59</v>
      </c>
      <c r="M357" s="13">
        <v>62.78</v>
      </c>
      <c r="N357" s="13">
        <f>L357</f>
        <v>1.59</v>
      </c>
      <c r="O357" s="13">
        <v>66.72</v>
      </c>
      <c r="P357" s="14">
        <f>(O357*N357)/(M357*L357)</f>
        <v>1.0627588403950303</v>
      </c>
      <c r="Q357" s="13"/>
      <c r="R357" s="13"/>
      <c r="S357" s="13"/>
      <c r="T357" s="13"/>
      <c r="U357" s="48"/>
      <c r="V357" s="171">
        <f t="shared" si="198"/>
        <v>1.0627588403950303</v>
      </c>
    </row>
    <row r="358" spans="1:22" ht="30" hidden="1">
      <c r="A358" s="23" t="s">
        <v>178</v>
      </c>
      <c r="B358" s="13">
        <f>13.4/2</f>
        <v>6.7</v>
      </c>
      <c r="C358" s="13">
        <v>53.07</v>
      </c>
      <c r="D358" s="13">
        <f>B358</f>
        <v>6.7</v>
      </c>
      <c r="E358" s="13">
        <v>56.7</v>
      </c>
      <c r="F358" s="14">
        <f>(E358*D358)/(C358*B358)</f>
        <v>1.06840022611645</v>
      </c>
      <c r="G358" s="13">
        <f>10.8/2</f>
        <v>5.4</v>
      </c>
      <c r="H358" s="13">
        <v>53.07</v>
      </c>
      <c r="I358" s="13">
        <f>G358</f>
        <v>5.4</v>
      </c>
      <c r="J358" s="13">
        <v>56.7</v>
      </c>
      <c r="K358" s="14">
        <f t="shared" si="214"/>
        <v>1.06840022611645</v>
      </c>
      <c r="L358" s="13"/>
      <c r="M358" s="13"/>
      <c r="N358" s="13"/>
      <c r="O358" s="13"/>
      <c r="P358" s="48"/>
      <c r="Q358" s="13"/>
      <c r="R358" s="13"/>
      <c r="S358" s="13"/>
      <c r="T358" s="13"/>
      <c r="U358" s="48"/>
      <c r="V358" s="171">
        <f t="shared" si="198"/>
        <v>1.06840022611645</v>
      </c>
    </row>
    <row r="359" spans="1:22" ht="30" hidden="1">
      <c r="A359" s="23" t="s">
        <v>179</v>
      </c>
      <c r="B359" s="13">
        <f>77.8/2</f>
        <v>38.9</v>
      </c>
      <c r="C359" s="13">
        <v>39.75</v>
      </c>
      <c r="D359" s="13">
        <f>B359</f>
        <v>38.9</v>
      </c>
      <c r="E359" s="13">
        <v>41.95</v>
      </c>
      <c r="F359" s="14">
        <f>(E359*D359)/(C359*B359)</f>
        <v>1.0553459119496857</v>
      </c>
      <c r="G359" s="13">
        <f>47.6/2</f>
        <v>23.8</v>
      </c>
      <c r="H359" s="13">
        <v>20</v>
      </c>
      <c r="I359" s="13">
        <f>G359</f>
        <v>23.8</v>
      </c>
      <c r="J359" s="13">
        <v>22</v>
      </c>
      <c r="K359" s="14">
        <f t="shared" si="214"/>
        <v>1.1000000000000001</v>
      </c>
      <c r="L359" s="13">
        <f>53.6/2</f>
        <v>26.8</v>
      </c>
      <c r="M359" s="13">
        <v>57.41</v>
      </c>
      <c r="N359" s="13">
        <f>L359</f>
        <v>26.8</v>
      </c>
      <c r="O359" s="13">
        <v>59.22</v>
      </c>
      <c r="P359" s="14">
        <f>(O359*N359)/(M359*L359)</f>
        <v>1.0315276084305871</v>
      </c>
      <c r="Q359" s="28">
        <f>47.1/2</f>
        <v>23.55</v>
      </c>
      <c r="R359" s="28">
        <v>30</v>
      </c>
      <c r="S359" s="28">
        <f>Q359</f>
        <v>23.55</v>
      </c>
      <c r="T359" s="28">
        <v>32.130000000000003</v>
      </c>
      <c r="U359" s="14">
        <f t="shared" ref="U359" si="215">(T359*S359)/(R359*Q359)</f>
        <v>1.0710000000000002</v>
      </c>
      <c r="V359" s="171">
        <f t="shared" si="198"/>
        <v>1.0412721284479209</v>
      </c>
    </row>
  </sheetData>
  <mergeCells count="20">
    <mergeCell ref="L4:P4"/>
    <mergeCell ref="Q4:U4"/>
    <mergeCell ref="B5:C5"/>
    <mergeCell ref="D5:E5"/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16"/>
  <sheetViews>
    <sheetView workbookViewId="0">
      <selection activeCell="F26" sqref="F26"/>
    </sheetView>
  </sheetViews>
  <sheetFormatPr defaultRowHeight="15"/>
  <cols>
    <col min="1" max="1" width="26.140625" customWidth="1"/>
    <col min="2" max="2" width="11.28515625" hidden="1" customWidth="1"/>
    <col min="3" max="3" width="12.140625" customWidth="1"/>
    <col min="4" max="4" width="10.7109375" hidden="1" customWidth="1"/>
    <col min="5" max="5" width="11.42578125" customWidth="1"/>
    <col min="7" max="7" width="0" hidden="1" customWidth="1"/>
    <col min="8" max="8" width="11.140625" customWidth="1"/>
    <col min="9" max="9" width="0" hidden="1" customWidth="1"/>
    <col min="10" max="10" width="11.85546875" customWidth="1"/>
    <col min="12" max="12" width="10.140625" hidden="1" customWidth="1"/>
    <col min="13" max="13" width="11.28515625" customWidth="1"/>
    <col min="14" max="14" width="10.85546875" hidden="1" customWidth="1"/>
    <col min="15" max="15" width="10.42578125" customWidth="1"/>
    <col min="17" max="17" width="0" hidden="1" customWidth="1"/>
    <col min="18" max="18" width="12.140625" customWidth="1"/>
    <col min="19" max="19" width="0" hidden="1" customWidth="1"/>
    <col min="20" max="20" width="11.7109375" customWidth="1"/>
  </cols>
  <sheetData>
    <row r="1" spans="1:21" ht="39" customHeight="1">
      <c r="A1" s="242" t="s">
        <v>254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3" spans="1:21">
      <c r="A3" s="122"/>
      <c r="B3" s="239" t="s">
        <v>252</v>
      </c>
      <c r="C3" s="239"/>
      <c r="D3" s="239"/>
      <c r="E3" s="239"/>
      <c r="F3" s="239"/>
      <c r="G3" s="239"/>
      <c r="H3" s="239"/>
      <c r="I3" s="239"/>
      <c r="J3" s="239"/>
      <c r="K3" s="239"/>
      <c r="L3" s="239" t="s">
        <v>253</v>
      </c>
      <c r="M3" s="239"/>
      <c r="N3" s="239"/>
      <c r="O3" s="239"/>
      <c r="P3" s="239"/>
      <c r="Q3" s="239"/>
      <c r="R3" s="239"/>
      <c r="S3" s="239"/>
      <c r="T3" s="239"/>
      <c r="U3" s="239"/>
    </row>
    <row r="4" spans="1:21">
      <c r="A4" s="123"/>
      <c r="B4" s="239" t="s">
        <v>2</v>
      </c>
      <c r="C4" s="239"/>
      <c r="D4" s="239"/>
      <c r="E4" s="239"/>
      <c r="F4" s="239"/>
      <c r="G4" s="239" t="s">
        <v>3</v>
      </c>
      <c r="H4" s="239"/>
      <c r="I4" s="239"/>
      <c r="J4" s="239"/>
      <c r="K4" s="239"/>
      <c r="L4" s="239" t="s">
        <v>2</v>
      </c>
      <c r="M4" s="239"/>
      <c r="N4" s="239"/>
      <c r="O4" s="239"/>
      <c r="P4" s="239"/>
      <c r="Q4" s="239" t="s">
        <v>3</v>
      </c>
      <c r="R4" s="239"/>
      <c r="S4" s="239"/>
      <c r="T4" s="239"/>
      <c r="U4" s="239"/>
    </row>
    <row r="5" spans="1:21" ht="15" customHeight="1">
      <c r="A5" s="123"/>
      <c r="B5" s="237" t="s">
        <v>255</v>
      </c>
      <c r="C5" s="238"/>
      <c r="D5" s="237" t="s">
        <v>256</v>
      </c>
      <c r="E5" s="238"/>
      <c r="F5" s="71" t="s">
        <v>251</v>
      </c>
      <c r="G5" s="237" t="s">
        <v>255</v>
      </c>
      <c r="H5" s="238"/>
      <c r="I5" s="239" t="s">
        <v>257</v>
      </c>
      <c r="J5" s="239"/>
      <c r="K5" s="71" t="s">
        <v>251</v>
      </c>
      <c r="L5" s="237" t="s">
        <v>255</v>
      </c>
      <c r="M5" s="238"/>
      <c r="N5" s="237" t="s">
        <v>257</v>
      </c>
      <c r="O5" s="238"/>
      <c r="P5" s="71" t="s">
        <v>251</v>
      </c>
      <c r="Q5" s="237" t="s">
        <v>255</v>
      </c>
      <c r="R5" s="238"/>
      <c r="S5" s="239" t="s">
        <v>257</v>
      </c>
      <c r="T5" s="239"/>
      <c r="U5" s="71" t="s">
        <v>251</v>
      </c>
    </row>
    <row r="6" spans="1:21" ht="15" hidden="1" customHeight="1">
      <c r="A6" s="124" t="s">
        <v>193</v>
      </c>
      <c r="B6" s="73">
        <f>B7+B17+B23+B27+B31+B39+B44+B53+B59+B61+B64+B72+B86+B97+B110+B117+B122+B124+B146+B151+B157+B168+B175+B188+B200</f>
        <v>10847.223</v>
      </c>
      <c r="C6" s="74">
        <f>(B7*C7+B17*C17+B23*C23+B27*C27+B31*C31+B39*C39+B44+C44+B53*C53+B59*C59+B61*C61+B64*C64+B72*C72+B86*C86+B97*C97+B110*C110+B117*C117+B122*C122+B124*C124+B146*C146+B151*C151+B157*C157+B168*C168+B175*C175+B188*C188+B200*C200)/B6</f>
        <v>30.85451204239094</v>
      </c>
      <c r="D6" s="73">
        <f>D7+D17+D23+D27+D31+D39+D44+D53+D59+D61+D64+D72+D86+D97+D110+D117+D122+D124+D146+D151+D157+D168+D175+D188+D200</f>
        <v>10847.223</v>
      </c>
      <c r="E6" s="74">
        <f>(D7*E7+D17*E17+D23*E23+D27*E27+D31*E31+D39*E39+D44+E44+D53*E53+D59*E59+D61*E61+D64*E64+D72*E72+D86*E86+D97*E97+D110*E110+D117*E117+D122*E122+D124*E124+D146*E146+D151*E151+D157*E157+D168*E168+D175*E175+D188*E188+D200*E200)/D6</f>
        <v>32.957985309235369</v>
      </c>
      <c r="F6" s="75">
        <f>E6/C6</f>
        <v>1.0681739274941204</v>
      </c>
      <c r="G6" s="73">
        <f>G7+G17+G23+G27+G31+G39+G44+G53+G59+G61+G64+G72+G86+G97+G110+G117+G122+G124+G146+G151+G157+G168+G175+G188+G200</f>
        <v>8501.6435000000019</v>
      </c>
      <c r="H6" s="74">
        <f>(G7*H7+G17*H17+G23*H23+G27*H27+G31*H31+G39*H39+G44+H44+G53*H53+G59*H59+G61*H61+G64*H64+G72*H72+G86*H86+G97*H97+G110*H110+G117*H117+G122*H122+G124*H124+G146*H146+G151*H151+G157*H157+G168*H168+G175*H175+G188*H188+G200*H200)/G6</f>
        <v>21.569999999999993</v>
      </c>
      <c r="I6" s="73">
        <f>I7+I17+I23+I27+I31+I39+I44+I53+I59+I61+I64+I72+I86+I97+I110+I117+I122+I124+I146+I151+I157+I168+I175+I188+I200</f>
        <v>8501.6435000000019</v>
      </c>
      <c r="J6" s="74">
        <f>(I7*J7+I17*J17+I23*J23+I27*J27+I31*J31+I39*J39+I44+J44+I53*J53+I59*J59+I61*J61+I64*J64+I72*J72+I86*J86+I97*J97+I110*J110+I117*J117+I122*J122+I124*J124+I146*J146+I151*J151+I157*J157+I168*J168+I175*J175+I188*J188+I200*J200)/I6</f>
        <v>22.579999999999991</v>
      </c>
      <c r="K6" s="75">
        <f>J6/H6</f>
        <v>1.0468242929995364</v>
      </c>
      <c r="L6" s="73">
        <f>L7+L17+L23+L27+L31+L39+L44+L53+L59+L61+L64+L72+L86+L97+L110+L117+L122+L124+L146+L151+L157+L168+L175+L188+L200</f>
        <v>12070.099999999999</v>
      </c>
      <c r="M6" s="74">
        <f>(L7*M7+L17*M17+L23*M23+L27*M27+L31*M31+L39*M39+L44+M44+L53*M53+L59*M59+L61*M61+L64*M64+L72*M72+L86*M86+L97*M97+L110*M110+L117*M117+L122*M122+L124*M124+L146*M146+L151*M151+L157*M157+L168*M168+L175*M175+L188*M188+L200*M200)/L6</f>
        <v>24.118118872254584</v>
      </c>
      <c r="N6" s="73">
        <f>N7+N17+N23+N27+N31+N39+N44+N53+N59+N61+N64+N72+N86+N97+N110+N117+N122+N124+N146+N151+N157+N168+N175+N188+N200</f>
        <v>12070.099999999999</v>
      </c>
      <c r="O6" s="74">
        <f>(N7*O7+N17*O17+N23*O23+N27*O27+N31*O31+N39*O39+N44+O44+N53*O53+N59*O59+N61*O61+N64*O64+N72*O72+N86*O86+N97*O97+N110*O110+N117*O117+N122*O122+N124*O124+N146*O146+N151*O151+N157*O157+N168*O168+N175*O175+N188*O188+N200*O200)/N6</f>
        <v>28.350053860365694</v>
      </c>
      <c r="P6" s="75">
        <f>O6/M6</f>
        <v>1.1754670424557661</v>
      </c>
      <c r="Q6" s="73">
        <f>Q7+Q17+Q23+Q27+Q31+Q39+Q44+Q53+Q59+Q61+Q64+Q72+Q86+Q97+Q110+Q117+Q122+Q124+Q146+Q151+Q157+Q168+Q175+Q188+Q200</f>
        <v>8150.375</v>
      </c>
      <c r="R6" s="74">
        <f>(Q7*R7+Q17*R17+Q23*R23+Q27*R27+Q31*R31+Q39*R39+Q44+R44+Q53*R53+Q59*R59+Q61*R61+Q64*R64+Q72*R72+Q86*R86+Q97*R97+Q110*R110+Q117*R117+Q122*R122+Q124*R124+Q146*R146+Q151*R151+Q157*R157+Q168*R168+Q175*R175+Q188*R188+Q200*R200)/Q6</f>
        <v>19.760000000000002</v>
      </c>
      <c r="S6" s="73">
        <f>S7+S17+S23+S27+S31+S39+S44+S53+S59+S61+S64+S72+S86+S97+S110+S117+S122+S124+S146+S151+S157+S168+S175+S188+S200</f>
        <v>8150.375</v>
      </c>
      <c r="T6" s="74">
        <f>(S7*T7+S17*T17+S23*T23+S27*T27+S31*T31+S39*T39+S44+T44+S53*T53+S59*T59+S61*T61+S64*T64+S72*T72+S86*T86+S97*T97+S110*T110+S117*T117+S122*T122+S124*T124+S146*T146+S151*T151+S157*T157+S168*T168+S175*T175+S188*T188+S200*T200)/S6</f>
        <v>20.690000000000005</v>
      </c>
      <c r="U6" s="75">
        <f>T6/R6</f>
        <v>1.0470647773279353</v>
      </c>
    </row>
    <row r="7" spans="1:21">
      <c r="A7" s="125" t="s">
        <v>258</v>
      </c>
      <c r="B7" s="126">
        <f>SUM(B8:B16)</f>
        <v>10847.223</v>
      </c>
      <c r="C7" s="126">
        <f>SUMPRODUCT(B8:B16,C8:C16)/B7</f>
        <v>30.85451204239094</v>
      </c>
      <c r="D7" s="126">
        <f>SUM(D8:D16)</f>
        <v>10847.223</v>
      </c>
      <c r="E7" s="126">
        <f>SUMPRODUCT(D8:D16,E8:E16)/D7</f>
        <v>32.957985309235369</v>
      </c>
      <c r="F7" s="75">
        <f>E7/C7</f>
        <v>1.0681739274941204</v>
      </c>
      <c r="G7" s="126">
        <f>SUM(G8:G16)</f>
        <v>8501.6435000000019</v>
      </c>
      <c r="H7" s="126">
        <f>SUMPRODUCT(G8:G16,H8:H16)/G7</f>
        <v>21.569999999999993</v>
      </c>
      <c r="I7" s="126">
        <f>SUM(I8:I16)</f>
        <v>8501.6435000000019</v>
      </c>
      <c r="J7" s="126">
        <f>SUMPRODUCT(I8:I16,J8:J16)/I7</f>
        <v>22.579999999999991</v>
      </c>
      <c r="K7" s="75">
        <f>J7/H7</f>
        <v>1.0468242929995364</v>
      </c>
      <c r="L7" s="126">
        <f>SUM(L8:L16)</f>
        <v>12070.099999999999</v>
      </c>
      <c r="M7" s="126">
        <f>SUMPRODUCT(L8:L16,M8:M16)/L7</f>
        <v>24.118118872254584</v>
      </c>
      <c r="N7" s="126">
        <f>SUM(N8:N16)</f>
        <v>12070.099999999999</v>
      </c>
      <c r="O7" s="126">
        <f>SUMPRODUCT(N8:N16,O8:O16)/N7</f>
        <v>28.350053860365694</v>
      </c>
      <c r="P7" s="75">
        <f>O7/M7</f>
        <v>1.1754670424557661</v>
      </c>
      <c r="Q7" s="126">
        <f>SUM(Q8:Q16)</f>
        <v>8150.375</v>
      </c>
      <c r="R7" s="126">
        <f>SUMPRODUCT(Q8:Q16,R8:R16)/Q7</f>
        <v>19.760000000000002</v>
      </c>
      <c r="S7" s="126">
        <f>SUM(S8:S16)</f>
        <v>8150.375</v>
      </c>
      <c r="T7" s="126">
        <f>SUMPRODUCT(S8:S16,T8:T16)/S7</f>
        <v>20.690000000000005</v>
      </c>
      <c r="U7" s="75">
        <f>T7/R7</f>
        <v>1.0470647773279353</v>
      </c>
    </row>
    <row r="8" spans="1:21" ht="30">
      <c r="A8" s="127" t="s">
        <v>29</v>
      </c>
      <c r="B8" s="128">
        <f>18691.5/2</f>
        <v>9345.75</v>
      </c>
      <c r="C8" s="128">
        <v>23.89</v>
      </c>
      <c r="D8" s="128">
        <f t="shared" ref="D8:D16" si="0">B8</f>
        <v>9345.75</v>
      </c>
      <c r="E8" s="128">
        <v>25.3</v>
      </c>
      <c r="F8" s="129">
        <f t="shared" ref="F8:F16" si="1">(E8*D8)/(C8*B8)</f>
        <v>1.0590205106739221</v>
      </c>
      <c r="G8" s="130">
        <f>14951/2</f>
        <v>7475.5</v>
      </c>
      <c r="H8" s="130">
        <v>21.57</v>
      </c>
      <c r="I8" s="130">
        <f>G8</f>
        <v>7475.5</v>
      </c>
      <c r="J8" s="130">
        <v>22.58</v>
      </c>
      <c r="K8" s="129">
        <f>(J8*I8)/(H8*G8)</f>
        <v>1.0468242929995362</v>
      </c>
      <c r="L8" s="128">
        <f>21018.87/2</f>
        <v>10509.434999999999</v>
      </c>
      <c r="M8" s="128">
        <v>19.760000000000002</v>
      </c>
      <c r="N8" s="128">
        <f>L8</f>
        <v>10509.434999999999</v>
      </c>
      <c r="O8" s="128">
        <v>22.88</v>
      </c>
      <c r="P8" s="129">
        <f>(O8*N8)/(M8*L8)</f>
        <v>1.1578947368421051</v>
      </c>
      <c r="Q8" s="128">
        <f>14381.5/2</f>
        <v>7190.75</v>
      </c>
      <c r="R8" s="128">
        <v>19.760000000000002</v>
      </c>
      <c r="S8" s="128">
        <f>Q8</f>
        <v>7190.75</v>
      </c>
      <c r="T8" s="128">
        <v>20.69</v>
      </c>
      <c r="U8" s="129">
        <f>(T8*S8)/(R8*Q8)</f>
        <v>1.0470647773279353</v>
      </c>
    </row>
    <row r="9" spans="1:21" ht="30">
      <c r="A9" s="127" t="s">
        <v>30</v>
      </c>
      <c r="B9" s="128">
        <f>7.79/2</f>
        <v>3.895</v>
      </c>
      <c r="C9" s="128">
        <v>9.7200000000000006</v>
      </c>
      <c r="D9" s="128">
        <f t="shared" si="0"/>
        <v>3.895</v>
      </c>
      <c r="E9" s="128">
        <v>10.199999999999999</v>
      </c>
      <c r="F9" s="129">
        <f t="shared" si="1"/>
        <v>1.0493827160493827</v>
      </c>
      <c r="G9" s="130"/>
      <c r="H9" s="130"/>
      <c r="I9" s="130"/>
      <c r="J9" s="130"/>
      <c r="K9" s="129"/>
      <c r="L9" s="128"/>
      <c r="M9" s="128"/>
      <c r="N9" s="128"/>
      <c r="O9" s="128"/>
      <c r="P9" s="129"/>
      <c r="Q9" s="128"/>
      <c r="R9" s="128"/>
      <c r="S9" s="128"/>
      <c r="T9" s="128"/>
      <c r="U9" s="129"/>
    </row>
    <row r="10" spans="1:21" ht="30">
      <c r="A10" s="127" t="s">
        <v>27</v>
      </c>
      <c r="B10" s="128">
        <f>1117.41/2</f>
        <v>558.70500000000004</v>
      </c>
      <c r="C10" s="128">
        <v>135.32</v>
      </c>
      <c r="D10" s="128">
        <f t="shared" si="0"/>
        <v>558.70500000000004</v>
      </c>
      <c r="E10" s="128">
        <v>148.69</v>
      </c>
      <c r="F10" s="129">
        <f t="shared" si="1"/>
        <v>1.0988028377180019</v>
      </c>
      <c r="G10" s="130">
        <f>847.45/2</f>
        <v>423.72500000000002</v>
      </c>
      <c r="H10" s="130">
        <v>21.57</v>
      </c>
      <c r="I10" s="130">
        <f>G10</f>
        <v>423.72500000000002</v>
      </c>
      <c r="J10" s="130">
        <v>22.58</v>
      </c>
      <c r="K10" s="129">
        <f t="shared" ref="K10:K12" si="2">(J10*I10)/(H10*G10)</f>
        <v>1.0468242929995362</v>
      </c>
      <c r="L10" s="128">
        <f>906/2</f>
        <v>453</v>
      </c>
      <c r="M10" s="128">
        <v>111.34</v>
      </c>
      <c r="N10" s="128">
        <f>L10</f>
        <v>453</v>
      </c>
      <c r="O10" s="128">
        <v>148.13</v>
      </c>
      <c r="P10" s="129">
        <f t="shared" ref="P10" si="3">(O10*N10)/(M10*L10)</f>
        <v>1.3304293156098437</v>
      </c>
      <c r="Q10" s="128">
        <f>718.1/2</f>
        <v>359.05</v>
      </c>
      <c r="R10" s="128">
        <v>19.760000000000002</v>
      </c>
      <c r="S10" s="128">
        <f>Q10</f>
        <v>359.05</v>
      </c>
      <c r="T10" s="128">
        <v>20.69</v>
      </c>
      <c r="U10" s="129">
        <f t="shared" ref="U10:U12" si="4">(T10*S10)/(R10*Q10)</f>
        <v>1.0470647773279353</v>
      </c>
    </row>
    <row r="11" spans="1:21" ht="30">
      <c r="A11" s="127" t="s">
        <v>28</v>
      </c>
      <c r="B11" s="128">
        <f>5.8/2</f>
        <v>2.9</v>
      </c>
      <c r="C11" s="128">
        <v>57.32</v>
      </c>
      <c r="D11" s="128">
        <f t="shared" si="0"/>
        <v>2.9</v>
      </c>
      <c r="E11" s="128">
        <v>60</v>
      </c>
      <c r="F11" s="129">
        <f t="shared" si="1"/>
        <v>1.0467550593161199</v>
      </c>
      <c r="G11" s="130"/>
      <c r="H11" s="130"/>
      <c r="I11" s="130"/>
      <c r="J11" s="130"/>
      <c r="K11" s="129"/>
      <c r="L11" s="128"/>
      <c r="M11" s="128"/>
      <c r="N11" s="128"/>
      <c r="O11" s="128"/>
      <c r="P11" s="129"/>
      <c r="Q11" s="128"/>
      <c r="R11" s="128"/>
      <c r="S11" s="128"/>
      <c r="T11" s="128"/>
      <c r="U11" s="129"/>
    </row>
    <row r="12" spans="1:21">
      <c r="A12" s="131" t="s">
        <v>11</v>
      </c>
      <c r="B12" s="128">
        <f>1387.91/2</f>
        <v>693.95500000000004</v>
      </c>
      <c r="C12" s="128">
        <v>38.76</v>
      </c>
      <c r="D12" s="128">
        <f t="shared" si="0"/>
        <v>693.95500000000004</v>
      </c>
      <c r="E12" s="128">
        <v>40.57</v>
      </c>
      <c r="F12" s="129">
        <f t="shared" si="1"/>
        <v>1.0466976264189887</v>
      </c>
      <c r="G12" s="132">
        <f>1194.27/2</f>
        <v>597.13499999999999</v>
      </c>
      <c r="H12" s="132">
        <v>21.57</v>
      </c>
      <c r="I12" s="130">
        <f>G12</f>
        <v>597.13499999999999</v>
      </c>
      <c r="J12" s="132">
        <v>22.58</v>
      </c>
      <c r="K12" s="129">
        <f t="shared" si="2"/>
        <v>1.0468242929995362</v>
      </c>
      <c r="L12" s="128">
        <f>1827.73/2</f>
        <v>913.86500000000001</v>
      </c>
      <c r="M12" s="128">
        <v>26.12</v>
      </c>
      <c r="N12" s="128">
        <f>L12</f>
        <v>913.86500000000001</v>
      </c>
      <c r="O12" s="128">
        <v>27.36</v>
      </c>
      <c r="P12" s="129">
        <f>(O12*N12)/(M12*L12)</f>
        <v>1.0474732006125573</v>
      </c>
      <c r="Q12" s="128">
        <f>1194.27/2</f>
        <v>597.13499999999999</v>
      </c>
      <c r="R12" s="128">
        <v>19.760000000000002</v>
      </c>
      <c r="S12" s="128">
        <f>Q12</f>
        <v>597.13499999999999</v>
      </c>
      <c r="T12" s="128">
        <v>20.69</v>
      </c>
      <c r="U12" s="129">
        <f t="shared" si="4"/>
        <v>1.0470647773279351</v>
      </c>
    </row>
    <row r="13" spans="1:21" hidden="1">
      <c r="A13" s="8" t="s">
        <v>12</v>
      </c>
      <c r="B13" s="13">
        <f>62.1/2</f>
        <v>31.05</v>
      </c>
      <c r="C13" s="13">
        <v>18.079999999999998</v>
      </c>
      <c r="D13" s="13">
        <f t="shared" si="0"/>
        <v>31.05</v>
      </c>
      <c r="E13" s="13">
        <v>35.36</v>
      </c>
      <c r="F13" s="78">
        <f t="shared" si="1"/>
        <v>1.9557522123893807</v>
      </c>
      <c r="G13" s="15"/>
      <c r="H13" s="15"/>
      <c r="I13" s="15"/>
      <c r="J13" s="15"/>
      <c r="K13" s="78"/>
      <c r="L13" s="13"/>
      <c r="M13" s="13"/>
      <c r="N13" s="13">
        <f>L13</f>
        <v>0</v>
      </c>
      <c r="O13" s="13"/>
      <c r="P13" s="78"/>
      <c r="Q13" s="28"/>
      <c r="R13" s="28"/>
      <c r="S13" s="28"/>
      <c r="T13" s="28"/>
      <c r="U13" s="78"/>
    </row>
    <row r="14" spans="1:21" hidden="1">
      <c r="A14" s="8" t="s">
        <v>15</v>
      </c>
      <c r="B14" s="13">
        <f>(255.069+3.687)/2</f>
        <v>129.37799999999999</v>
      </c>
      <c r="C14" s="13">
        <v>32.71</v>
      </c>
      <c r="D14" s="13">
        <f t="shared" si="0"/>
        <v>129.37799999999999</v>
      </c>
      <c r="E14" s="13">
        <v>34.159999999999997</v>
      </c>
      <c r="F14" s="78">
        <f t="shared" si="1"/>
        <v>1.0443289513910119</v>
      </c>
      <c r="G14" s="15">
        <f>3.687/2</f>
        <v>1.8434999999999999</v>
      </c>
      <c r="H14" s="15">
        <v>21.57</v>
      </c>
      <c r="I14" s="15">
        <f>G14</f>
        <v>1.8434999999999999</v>
      </c>
      <c r="J14" s="15">
        <v>22.58</v>
      </c>
      <c r="K14" s="78">
        <f>(J14*I14)/(H14*G14)</f>
        <v>1.0468242929995364</v>
      </c>
      <c r="L14" s="13">
        <f>(184.8)/2</f>
        <v>92.4</v>
      </c>
      <c r="M14" s="13">
        <v>52.27</v>
      </c>
      <c r="N14" s="13">
        <f>L14</f>
        <v>92.4</v>
      </c>
      <c r="O14" s="13">
        <v>55.52</v>
      </c>
      <c r="P14" s="78">
        <f>(O14*N14)/(M14*L14)</f>
        <v>1.0621771570690646</v>
      </c>
      <c r="Q14" s="28">
        <v>0</v>
      </c>
      <c r="R14" s="28"/>
      <c r="S14" s="28">
        <f>Q14</f>
        <v>0</v>
      </c>
      <c r="T14" s="28"/>
      <c r="U14" s="78"/>
    </row>
    <row r="15" spans="1:21" hidden="1">
      <c r="A15" s="8" t="s">
        <v>53</v>
      </c>
      <c r="B15" s="13">
        <f>125.6/2</f>
        <v>62.8</v>
      </c>
      <c r="C15" s="13">
        <v>46.66</v>
      </c>
      <c r="D15" s="13">
        <f>B15</f>
        <v>62.8</v>
      </c>
      <c r="E15" s="13">
        <v>49.52</v>
      </c>
      <c r="F15" s="78">
        <f t="shared" si="1"/>
        <v>1.0612944706386629</v>
      </c>
      <c r="G15" s="13">
        <f>6.88/2</f>
        <v>3.44</v>
      </c>
      <c r="H15" s="13">
        <v>21.57</v>
      </c>
      <c r="I15" s="13">
        <f>G15</f>
        <v>3.44</v>
      </c>
      <c r="J15" s="13">
        <v>22.58</v>
      </c>
      <c r="K15" s="78">
        <f t="shared" ref="K15" si="5">(J15*I15)/(H15*G15)</f>
        <v>1.0468242929995362</v>
      </c>
      <c r="L15" s="13">
        <f>127.02/2</f>
        <v>63.51</v>
      </c>
      <c r="M15" s="13">
        <v>44.74</v>
      </c>
      <c r="N15" s="13">
        <f>L15</f>
        <v>63.51</v>
      </c>
      <c r="O15" s="13">
        <v>47.51</v>
      </c>
      <c r="P15" s="78">
        <f t="shared" ref="P15" si="6">(O15*N15)/(M15*L15)</f>
        <v>1.0619132767098791</v>
      </c>
      <c r="Q15" s="28">
        <f>6.88/2</f>
        <v>3.44</v>
      </c>
      <c r="R15" s="28">
        <v>19.760000000000002</v>
      </c>
      <c r="S15" s="28">
        <f>Q15</f>
        <v>3.44</v>
      </c>
      <c r="T15" s="28">
        <v>20.69</v>
      </c>
      <c r="U15" s="86">
        <f t="shared" ref="U15" si="7">T15/R15</f>
        <v>1.0470647773279351</v>
      </c>
    </row>
    <row r="16" spans="1:21" hidden="1">
      <c r="A16" s="8" t="s">
        <v>13</v>
      </c>
      <c r="B16" s="13">
        <f>37.58/2</f>
        <v>18.79</v>
      </c>
      <c r="C16" s="13">
        <v>52.5</v>
      </c>
      <c r="D16" s="13">
        <f t="shared" si="0"/>
        <v>18.79</v>
      </c>
      <c r="E16" s="13">
        <v>52.5</v>
      </c>
      <c r="F16" s="78">
        <f t="shared" si="1"/>
        <v>1</v>
      </c>
      <c r="G16" s="15"/>
      <c r="H16" s="15"/>
      <c r="I16" s="15"/>
      <c r="J16" s="15"/>
      <c r="K16" s="78"/>
      <c r="L16" s="13">
        <f>75.78/2</f>
        <v>37.89</v>
      </c>
      <c r="M16" s="13">
        <v>38.619999999999997</v>
      </c>
      <c r="N16" s="13">
        <f>L16</f>
        <v>37.89</v>
      </c>
      <c r="O16" s="13">
        <v>39.020000000000003</v>
      </c>
      <c r="P16" s="78">
        <f>(O16*N16)/(M16*L16)</f>
        <v>1.0103573278094253</v>
      </c>
      <c r="Q16" s="28"/>
      <c r="R16" s="28"/>
      <c r="S16" s="28"/>
      <c r="T16" s="28"/>
      <c r="U16" s="78"/>
    </row>
  </sheetData>
  <mergeCells count="15">
    <mergeCell ref="Q5:R5"/>
    <mergeCell ref="S5:T5"/>
    <mergeCell ref="A1:U1"/>
    <mergeCell ref="G5:H5"/>
    <mergeCell ref="I5:J5"/>
    <mergeCell ref="L5:M5"/>
    <mergeCell ref="N5:O5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9"/>
  <sheetViews>
    <sheetView workbookViewId="0">
      <selection activeCell="J49" sqref="J49"/>
    </sheetView>
  </sheetViews>
  <sheetFormatPr defaultRowHeight="15"/>
  <cols>
    <col min="1" max="1" width="28" customWidth="1"/>
    <col min="2" max="2" width="10.5703125" hidden="1" customWidth="1"/>
    <col min="3" max="3" width="11.140625" customWidth="1"/>
    <col min="4" max="4" width="11.42578125" hidden="1" customWidth="1"/>
    <col min="5" max="5" width="10.42578125" customWidth="1"/>
    <col min="7" max="7" width="0" hidden="1" customWidth="1"/>
    <col min="8" max="8" width="10.5703125" customWidth="1"/>
    <col min="9" max="9" width="0" hidden="1" customWidth="1"/>
    <col min="10" max="10" width="10.7109375" customWidth="1"/>
    <col min="12" max="12" width="0" hidden="1" customWidth="1"/>
    <col min="13" max="13" width="12.7109375" customWidth="1"/>
    <col min="14" max="14" width="0" hidden="1" customWidth="1"/>
    <col min="15" max="15" width="11.42578125" customWidth="1"/>
    <col min="17" max="17" width="0" hidden="1" customWidth="1"/>
    <col min="18" max="18" width="11.28515625" customWidth="1"/>
    <col min="19" max="19" width="0" hidden="1" customWidth="1"/>
    <col min="20" max="20" width="11.7109375" customWidth="1"/>
  </cols>
  <sheetData>
    <row r="1" spans="1:21" ht="38.25" customHeight="1">
      <c r="A1" s="242" t="s">
        <v>260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3" spans="1:21">
      <c r="A3" s="241"/>
      <c r="B3" s="239" t="s">
        <v>252</v>
      </c>
      <c r="C3" s="239"/>
      <c r="D3" s="239"/>
      <c r="E3" s="239"/>
      <c r="F3" s="239"/>
      <c r="G3" s="239"/>
      <c r="H3" s="239"/>
      <c r="I3" s="239"/>
      <c r="J3" s="239"/>
      <c r="K3" s="239"/>
      <c r="L3" s="239" t="s">
        <v>253</v>
      </c>
      <c r="M3" s="239"/>
      <c r="N3" s="239"/>
      <c r="O3" s="239"/>
      <c r="P3" s="239"/>
      <c r="Q3" s="239"/>
      <c r="R3" s="239"/>
      <c r="S3" s="239"/>
      <c r="T3" s="239"/>
      <c r="U3" s="239"/>
    </row>
    <row r="4" spans="1:21">
      <c r="A4" s="241"/>
      <c r="B4" s="239" t="s">
        <v>2</v>
      </c>
      <c r="C4" s="239"/>
      <c r="D4" s="239"/>
      <c r="E4" s="239"/>
      <c r="F4" s="239"/>
      <c r="G4" s="239" t="s">
        <v>3</v>
      </c>
      <c r="H4" s="239"/>
      <c r="I4" s="239"/>
      <c r="J4" s="239"/>
      <c r="K4" s="239"/>
      <c r="L4" s="239" t="s">
        <v>2</v>
      </c>
      <c r="M4" s="239"/>
      <c r="N4" s="239"/>
      <c r="O4" s="239"/>
      <c r="P4" s="239"/>
      <c r="Q4" s="239" t="s">
        <v>3</v>
      </c>
      <c r="R4" s="239"/>
      <c r="S4" s="239"/>
      <c r="T4" s="239"/>
      <c r="U4" s="239"/>
    </row>
    <row r="5" spans="1:21" ht="15" customHeight="1">
      <c r="A5" s="241"/>
      <c r="B5" s="237" t="s">
        <v>255</v>
      </c>
      <c r="C5" s="238"/>
      <c r="D5" s="237" t="s">
        <v>257</v>
      </c>
      <c r="E5" s="238"/>
      <c r="F5" s="235" t="s">
        <v>259</v>
      </c>
      <c r="G5" s="237" t="s">
        <v>255</v>
      </c>
      <c r="H5" s="238"/>
      <c r="I5" s="239" t="s">
        <v>257</v>
      </c>
      <c r="J5" s="239"/>
      <c r="K5" s="235" t="s">
        <v>259</v>
      </c>
      <c r="L5" s="237" t="s">
        <v>255</v>
      </c>
      <c r="M5" s="238"/>
      <c r="N5" s="237" t="s">
        <v>257</v>
      </c>
      <c r="O5" s="238"/>
      <c r="P5" s="235" t="s">
        <v>259</v>
      </c>
      <c r="Q5" s="237" t="s">
        <v>255</v>
      </c>
      <c r="R5" s="238"/>
      <c r="S5" s="239" t="s">
        <v>257</v>
      </c>
      <c r="T5" s="239"/>
      <c r="U5" s="235" t="s">
        <v>259</v>
      </c>
    </row>
    <row r="6" spans="1:21" ht="25.5" hidden="1" customHeight="1">
      <c r="A6" s="241"/>
      <c r="B6" s="72" t="s">
        <v>6</v>
      </c>
      <c r="C6" s="72" t="s">
        <v>7</v>
      </c>
      <c r="D6" s="72" t="s">
        <v>6</v>
      </c>
      <c r="E6" s="72" t="s">
        <v>7</v>
      </c>
      <c r="F6" s="236"/>
      <c r="G6" s="72" t="s">
        <v>8</v>
      </c>
      <c r="H6" s="72" t="s">
        <v>7</v>
      </c>
      <c r="I6" s="72" t="s">
        <v>8</v>
      </c>
      <c r="J6" s="72" t="s">
        <v>7</v>
      </c>
      <c r="K6" s="236"/>
      <c r="L6" s="72" t="s">
        <v>6</v>
      </c>
      <c r="M6" s="72" t="s">
        <v>7</v>
      </c>
      <c r="N6" s="72" t="s">
        <v>6</v>
      </c>
      <c r="O6" s="72" t="s">
        <v>7</v>
      </c>
      <c r="P6" s="236"/>
      <c r="Q6" s="72" t="s">
        <v>8</v>
      </c>
      <c r="R6" s="72" t="s">
        <v>7</v>
      </c>
      <c r="S6" s="72" t="s">
        <v>8</v>
      </c>
      <c r="T6" s="72" t="s">
        <v>7</v>
      </c>
      <c r="U6" s="236"/>
    </row>
    <row r="7" spans="1:21" hidden="1">
      <c r="A7" s="124" t="s">
        <v>193</v>
      </c>
      <c r="B7" s="73">
        <f>B8+B18+B24+B28+B32+B40+B45+B54+B60+B62+B65+B73+B87+B98+B111+B118+B123+B125+B147+B152+B158+B169+B176+B189+B201</f>
        <v>29950.388999999996</v>
      </c>
      <c r="C7" s="74">
        <f>(B8*C8+B18*C18+B24*C24+B28*C28+B32*C32+B40*C40+B45+C45+B54*C54+B60*C60+B62*C62+B65*C65+B73*C73+B87*C87+B98*C98+B111*C111+B118*C118+B123*C123+B125*C125+B147*C147+B152*C152+B158*C158+B169*C169+B176*C176+B189*C189+B201*C201)/B7</f>
        <v>25.589658129649006</v>
      </c>
      <c r="D7" s="73">
        <f>D8+D18+D24+D28+D32+D40+D45+D54+D60+D62+D65+D73+D87+D98+D111+D118+D123+D125+D147+D152+D158+D169+D176+D189+D201</f>
        <v>29950.388999999996</v>
      </c>
      <c r="E7" s="74">
        <f>(D8*E8+D18*E18+D24*E24+D28*E28+D32*E32+D40*E40+D45+E45+D54*E54+D60*E60+D62*E62+D65*E65+D73*E73+D87*E87+D98*E98+D111*E111+D118*E118+D123*E123+D125*E125+D147*E147+D152*E152+D158*E158+D169*E169+D176*E176+D189*E189+D201*E201)/D7</f>
        <v>27.133911162556188</v>
      </c>
      <c r="F7" s="75">
        <f>E7/C7</f>
        <v>1.0603467629416261</v>
      </c>
      <c r="G7" s="73">
        <f>G8+G18+G24+G28+G32+G40+G45+G54+G60+G62+G65+G73+G87+G98+G111+G118+G123+G125+G147+G152+G158+G169+G176+G189+G201</f>
        <v>14166.818500000001</v>
      </c>
      <c r="H7" s="74">
        <f>(G8*H8+G18*H18+G24*H24+G28*H28+G32*H32+G40*H40+G45+H45+G54*H54+G60*H60+G62*H62+G65*H65+G73*H73+G87*H87+G98*H98+G111*H111+G118*H118+G123*H123+G125*H125+G147*H147+G152*H152+G158*H158+G169*H169+G176*H176+G189*H189+G201*H201)/G7</f>
        <v>21.997803652598499</v>
      </c>
      <c r="I7" s="73">
        <f>I8+I18+I24+I28+I32+I40+I45+I54+I60+I62+I65+I73+I87+I98+I111+I118+I123+I125+I147+I152+I158+I169+I176+I189+I201</f>
        <v>14166.818500000001</v>
      </c>
      <c r="J7" s="74">
        <f>(I8*J8+I18*J18+I24*J24+I28*J28+I32*J32+I40*J40+I45+J45+I54*J54+I60*J60+I62*J62+I65*J65+I73*J73+I87*J87+I98*J98+I111*J111+I118*J118+I123*J123+I125*J125+I147*J147+I152*J152+I158*J158+I169*J169+I176*J176+I189*J189+I201*J201)/I7</f>
        <v>23.115556910678283</v>
      </c>
      <c r="K7" s="75">
        <f>J7/H7</f>
        <v>1.0508120390440774</v>
      </c>
      <c r="L7" s="73">
        <f>L8+L18+L24+L28+L32+L40+L45+L54+L60+L62+L65+L73+L87+L98+L111+L118+L123+L125+L147+L152+L158+L169+L176+L189+L201</f>
        <v>27760.675000000003</v>
      </c>
      <c r="M7" s="74">
        <f>(L8*M8+L18*M18+L24*M24+L28*M28+L32*M32+L40*M40+L45+M45+L54*M54+L60*M60+L62*M62+L65*M65+L73*M73+L87*M87+L98*M98+L111*M111+L118*M118+L123*M123+L125*M125+L147*M147+L152*M152+L158*M158+L169*M169+L176*M176+L189*M189+L201*M201)/L7</f>
        <v>22.480153444395715</v>
      </c>
      <c r="N7" s="73">
        <f>N8+N18+N24+N28+N32+N40+N45+N54+N60+N62+N65+N73+N87+N98+N111+N118+N123+N125+N147+N152+N158+N169+N176+N189+N201</f>
        <v>27760.675000000003</v>
      </c>
      <c r="O7" s="74">
        <f>(N8*O8+N18*O18+N24*O24+N28*O28+N32*O32+N40*O40+N45+O45+N54*O54+N60*O60+N62*O62+N65*O65+N73*O73+N87*O87+N98*O98+N111*O111+N118*O118+N123*O123+N125*O125+N147*O147+N152*O152+N158*O158+N169*O169+N176*O176+N189*O189+N201*O201)/N7</f>
        <v>25.049844917855921</v>
      </c>
      <c r="P7" s="75">
        <f>O7/M7</f>
        <v>1.1143093386713883</v>
      </c>
      <c r="Q7" s="73">
        <f>Q8+Q18+Q24+Q28+Q32+Q40+Q45+Q54+Q60+Q62+Q65+Q73+Q87+Q98+Q111+Q118+Q123+Q125+Q147+Q152+Q158+Q169+Q176+Q189+Q201</f>
        <v>16716.246500000001</v>
      </c>
      <c r="R7" s="74">
        <f>(Q8*R8+Q18*R18+Q24*R24+Q28*R28+Q32*R32+Q40*R40+Q45+R45+Q54*R54+Q60*R60+Q62*R62+Q65*R65+Q73*R73+Q87*R87+Q98*R98+Q111*R111+Q118*R118+Q123*R123+Q125*R125+Q147*R147+Q152*R152+Q158*R158+Q169*R169+Q176*R176+Q189*R189+Q201*R201)/Q7</f>
        <v>19.78713840275088</v>
      </c>
      <c r="S7" s="73">
        <f>S8+S18+S24+S28+S32+S40+S45+S54+S60+S62+S65+S73+S87+S98+S111+S118+S123+S125+S147+S152+S158+S169+S176+S189+S201</f>
        <v>16716.246500000001</v>
      </c>
      <c r="T7" s="74">
        <f>(S8*T8+S18*T18+S24*T24+S28*T28+S32*T32+S40*T40+S45+T45+S54*T54+S60*T60+S62*T62+S65*T65+S73*T73+S87*T87+S98*T98+S111*T111+S118*T118+S123*T123+S125*T125+S147*T147+S152*T152+S158*T158+S169*T169+S176*T176+S189*T189+S201*T201)/S7</f>
        <v>20.981400232402653</v>
      </c>
      <c r="U7" s="75">
        <f>T7/R7</f>
        <v>1.0603554594577325</v>
      </c>
    </row>
    <row r="8" spans="1:21" hidden="1">
      <c r="A8" s="125" t="s">
        <v>10</v>
      </c>
      <c r="B8" s="126">
        <f>SUM(B9:B17)</f>
        <v>10847.223</v>
      </c>
      <c r="C8" s="126">
        <f>SUMPRODUCT(B9:B17,C9:C17)/B8</f>
        <v>30.85451204239094</v>
      </c>
      <c r="D8" s="126">
        <f>SUM(D9:D17)</f>
        <v>10847.223</v>
      </c>
      <c r="E8" s="126">
        <f>SUMPRODUCT(D9:D17,E9:E17)/D8</f>
        <v>32.957985309235369</v>
      </c>
      <c r="F8" s="75">
        <f>E8/C8</f>
        <v>1.0681739274941204</v>
      </c>
      <c r="G8" s="126">
        <f>SUM(G9:G17)</f>
        <v>8501.6435000000019</v>
      </c>
      <c r="H8" s="126">
        <f>SUMPRODUCT(G9:G17,H9:H17)/G8</f>
        <v>21.569999999999993</v>
      </c>
      <c r="I8" s="126">
        <f>SUM(I9:I17)</f>
        <v>8501.6435000000019</v>
      </c>
      <c r="J8" s="126">
        <f>SUMPRODUCT(I9:I17,J9:J17)/I8</f>
        <v>22.579999999999991</v>
      </c>
      <c r="K8" s="75">
        <f>J8/H8</f>
        <v>1.0468242929995364</v>
      </c>
      <c r="L8" s="126">
        <f>SUM(L9:L17)</f>
        <v>12070.099999999999</v>
      </c>
      <c r="M8" s="126">
        <f>SUMPRODUCT(L9:L17,M9:M17)/L8</f>
        <v>24.118118872254584</v>
      </c>
      <c r="N8" s="126">
        <f>SUM(N9:N17)</f>
        <v>12070.099999999999</v>
      </c>
      <c r="O8" s="126">
        <f>SUMPRODUCT(N9:N17,O9:O17)/N8</f>
        <v>28.350053860365694</v>
      </c>
      <c r="P8" s="75">
        <f>O8/M8</f>
        <v>1.1754670424557661</v>
      </c>
      <c r="Q8" s="126">
        <f>SUM(Q9:Q17)</f>
        <v>8150.375</v>
      </c>
      <c r="R8" s="126">
        <f>SUMPRODUCT(Q9:Q17,R9:R17)/Q8</f>
        <v>19.760000000000002</v>
      </c>
      <c r="S8" s="126">
        <f>SUM(S9:S17)</f>
        <v>8150.375</v>
      </c>
      <c r="T8" s="126">
        <f>SUMPRODUCT(S9:S17,T9:T17)/S8</f>
        <v>20.690000000000005</v>
      </c>
      <c r="U8" s="75">
        <f>T8/R8</f>
        <v>1.0470647773279353</v>
      </c>
    </row>
    <row r="9" spans="1:21" ht="30" hidden="1">
      <c r="A9" s="127" t="s">
        <v>29</v>
      </c>
      <c r="B9" s="128">
        <f>18691.5/2</f>
        <v>9345.75</v>
      </c>
      <c r="C9" s="128">
        <v>23.89</v>
      </c>
      <c r="D9" s="128">
        <f t="shared" ref="D9:D17" si="0">B9</f>
        <v>9345.75</v>
      </c>
      <c r="E9" s="128">
        <v>25.3</v>
      </c>
      <c r="F9" s="129">
        <f t="shared" ref="F9:F17" si="1">(E9*D9)/(C9*B9)</f>
        <v>1.0590205106739221</v>
      </c>
      <c r="G9" s="130">
        <f>14951/2</f>
        <v>7475.5</v>
      </c>
      <c r="H9" s="130">
        <v>21.57</v>
      </c>
      <c r="I9" s="130">
        <f>G9</f>
        <v>7475.5</v>
      </c>
      <c r="J9" s="130">
        <v>22.58</v>
      </c>
      <c r="K9" s="129">
        <f>(J9*I9)/(H9*G9)</f>
        <v>1.0468242929995362</v>
      </c>
      <c r="L9" s="128">
        <f>21018.87/2</f>
        <v>10509.434999999999</v>
      </c>
      <c r="M9" s="128">
        <v>19.760000000000002</v>
      </c>
      <c r="N9" s="128">
        <f>L9</f>
        <v>10509.434999999999</v>
      </c>
      <c r="O9" s="128">
        <v>22.88</v>
      </c>
      <c r="P9" s="129">
        <f>(O9*N9)/(M9*L9)</f>
        <v>1.1578947368421051</v>
      </c>
      <c r="Q9" s="128">
        <f>14381.5/2</f>
        <v>7190.75</v>
      </c>
      <c r="R9" s="128">
        <v>19.760000000000002</v>
      </c>
      <c r="S9" s="128">
        <f>Q9</f>
        <v>7190.75</v>
      </c>
      <c r="T9" s="128">
        <v>20.69</v>
      </c>
      <c r="U9" s="129">
        <f>(T9*S9)/(R9*Q9)</f>
        <v>1.0470647773279353</v>
      </c>
    </row>
    <row r="10" spans="1:21" ht="30" hidden="1">
      <c r="A10" s="127" t="s">
        <v>30</v>
      </c>
      <c r="B10" s="128">
        <f>7.79/2</f>
        <v>3.895</v>
      </c>
      <c r="C10" s="128">
        <v>9.7200000000000006</v>
      </c>
      <c r="D10" s="128">
        <f t="shared" si="0"/>
        <v>3.895</v>
      </c>
      <c r="E10" s="128">
        <v>10.199999999999999</v>
      </c>
      <c r="F10" s="129">
        <f t="shared" si="1"/>
        <v>1.0493827160493827</v>
      </c>
      <c r="G10" s="130"/>
      <c r="H10" s="130"/>
      <c r="I10" s="130"/>
      <c r="J10" s="130"/>
      <c r="K10" s="129"/>
      <c r="L10" s="128"/>
      <c r="M10" s="128"/>
      <c r="N10" s="128"/>
      <c r="O10" s="128"/>
      <c r="P10" s="129"/>
      <c r="Q10" s="128"/>
      <c r="R10" s="128"/>
      <c r="S10" s="128"/>
      <c r="T10" s="128"/>
      <c r="U10" s="129"/>
    </row>
    <row r="11" spans="1:21" ht="30" hidden="1">
      <c r="A11" s="127" t="s">
        <v>27</v>
      </c>
      <c r="B11" s="128">
        <f>1117.41/2</f>
        <v>558.70500000000004</v>
      </c>
      <c r="C11" s="128">
        <v>135.32</v>
      </c>
      <c r="D11" s="128">
        <f t="shared" si="0"/>
        <v>558.70500000000004</v>
      </c>
      <c r="E11" s="128">
        <v>148.69</v>
      </c>
      <c r="F11" s="129">
        <f t="shared" si="1"/>
        <v>1.0988028377180019</v>
      </c>
      <c r="G11" s="130">
        <f>847.45/2</f>
        <v>423.72500000000002</v>
      </c>
      <c r="H11" s="130">
        <v>21.57</v>
      </c>
      <c r="I11" s="130">
        <f>G11</f>
        <v>423.72500000000002</v>
      </c>
      <c r="J11" s="130">
        <v>22.58</v>
      </c>
      <c r="K11" s="129">
        <f t="shared" ref="K11:K13" si="2">(J11*I11)/(H11*G11)</f>
        <v>1.0468242929995362</v>
      </c>
      <c r="L11" s="128">
        <f>906/2</f>
        <v>453</v>
      </c>
      <c r="M11" s="128">
        <v>111.34</v>
      </c>
      <c r="N11" s="128">
        <f>L11</f>
        <v>453</v>
      </c>
      <c r="O11" s="128">
        <v>148.13</v>
      </c>
      <c r="P11" s="129">
        <f t="shared" ref="P11" si="3">(O11*N11)/(M11*L11)</f>
        <v>1.3304293156098437</v>
      </c>
      <c r="Q11" s="128">
        <f>718.1/2</f>
        <v>359.05</v>
      </c>
      <c r="R11" s="128">
        <v>19.760000000000002</v>
      </c>
      <c r="S11" s="128">
        <f>Q11</f>
        <v>359.05</v>
      </c>
      <c r="T11" s="128">
        <v>20.69</v>
      </c>
      <c r="U11" s="129">
        <f t="shared" ref="U11:U13" si="4">(T11*S11)/(R11*Q11)</f>
        <v>1.0470647773279353</v>
      </c>
    </row>
    <row r="12" spans="1:21" ht="30" hidden="1">
      <c r="A12" s="127" t="s">
        <v>28</v>
      </c>
      <c r="B12" s="128">
        <f>5.8/2</f>
        <v>2.9</v>
      </c>
      <c r="C12" s="128">
        <v>57.32</v>
      </c>
      <c r="D12" s="128">
        <f t="shared" si="0"/>
        <v>2.9</v>
      </c>
      <c r="E12" s="128">
        <v>60</v>
      </c>
      <c r="F12" s="129">
        <f t="shared" si="1"/>
        <v>1.0467550593161199</v>
      </c>
      <c r="G12" s="130"/>
      <c r="H12" s="130"/>
      <c r="I12" s="130"/>
      <c r="J12" s="130"/>
      <c r="K12" s="129"/>
      <c r="L12" s="128"/>
      <c r="M12" s="128"/>
      <c r="N12" s="128"/>
      <c r="O12" s="128"/>
      <c r="P12" s="129"/>
      <c r="Q12" s="128"/>
      <c r="R12" s="128"/>
      <c r="S12" s="128"/>
      <c r="T12" s="128"/>
      <c r="U12" s="129"/>
    </row>
    <row r="13" spans="1:21" hidden="1">
      <c r="A13" s="131" t="s">
        <v>11</v>
      </c>
      <c r="B13" s="128">
        <f>1387.91/2</f>
        <v>693.95500000000004</v>
      </c>
      <c r="C13" s="128">
        <v>38.76</v>
      </c>
      <c r="D13" s="128">
        <f t="shared" si="0"/>
        <v>693.95500000000004</v>
      </c>
      <c r="E13" s="128">
        <v>40.57</v>
      </c>
      <c r="F13" s="129">
        <f t="shared" si="1"/>
        <v>1.0466976264189887</v>
      </c>
      <c r="G13" s="132">
        <f>1194.27/2</f>
        <v>597.13499999999999</v>
      </c>
      <c r="H13" s="132">
        <v>21.57</v>
      </c>
      <c r="I13" s="130">
        <f>G13</f>
        <v>597.13499999999999</v>
      </c>
      <c r="J13" s="132">
        <v>22.58</v>
      </c>
      <c r="K13" s="129">
        <f t="shared" si="2"/>
        <v>1.0468242929995362</v>
      </c>
      <c r="L13" s="128">
        <f>1827.73/2</f>
        <v>913.86500000000001</v>
      </c>
      <c r="M13" s="128">
        <v>26.12</v>
      </c>
      <c r="N13" s="128">
        <f>L13</f>
        <v>913.86500000000001</v>
      </c>
      <c r="O13" s="128">
        <v>27.36</v>
      </c>
      <c r="P13" s="129">
        <f>(O13*N13)/(M13*L13)</f>
        <v>1.0474732006125573</v>
      </c>
      <c r="Q13" s="128">
        <f>1194.27/2</f>
        <v>597.13499999999999</v>
      </c>
      <c r="R13" s="128">
        <v>19.760000000000002</v>
      </c>
      <c r="S13" s="128">
        <f>Q13</f>
        <v>597.13499999999999</v>
      </c>
      <c r="T13" s="128">
        <v>20.69</v>
      </c>
      <c r="U13" s="129">
        <f t="shared" si="4"/>
        <v>1.0470647773279351</v>
      </c>
    </row>
    <row r="14" spans="1:21" hidden="1">
      <c r="A14" s="131" t="s">
        <v>12</v>
      </c>
      <c r="B14" s="128">
        <f>62.1/2</f>
        <v>31.05</v>
      </c>
      <c r="C14" s="128">
        <v>18.079999999999998</v>
      </c>
      <c r="D14" s="128">
        <f t="shared" si="0"/>
        <v>31.05</v>
      </c>
      <c r="E14" s="128">
        <v>35.36</v>
      </c>
      <c r="F14" s="129">
        <f t="shared" si="1"/>
        <v>1.9557522123893807</v>
      </c>
      <c r="G14" s="130"/>
      <c r="H14" s="130"/>
      <c r="I14" s="130"/>
      <c r="J14" s="130"/>
      <c r="K14" s="129"/>
      <c r="L14" s="128"/>
      <c r="M14" s="128"/>
      <c r="N14" s="128">
        <f>L14</f>
        <v>0</v>
      </c>
      <c r="O14" s="128"/>
      <c r="P14" s="129"/>
      <c r="Q14" s="70"/>
      <c r="R14" s="70"/>
      <c r="S14" s="70"/>
      <c r="T14" s="70"/>
      <c r="U14" s="129"/>
    </row>
    <row r="15" spans="1:21" hidden="1">
      <c r="A15" s="131" t="s">
        <v>15</v>
      </c>
      <c r="B15" s="128">
        <f>(255.069+3.687)/2</f>
        <v>129.37799999999999</v>
      </c>
      <c r="C15" s="128">
        <v>32.71</v>
      </c>
      <c r="D15" s="128">
        <f t="shared" si="0"/>
        <v>129.37799999999999</v>
      </c>
      <c r="E15" s="128">
        <v>34.159999999999997</v>
      </c>
      <c r="F15" s="129">
        <f t="shared" si="1"/>
        <v>1.0443289513910119</v>
      </c>
      <c r="G15" s="130">
        <f>3.687/2</f>
        <v>1.8434999999999999</v>
      </c>
      <c r="H15" s="130">
        <v>21.57</v>
      </c>
      <c r="I15" s="130">
        <f>G15</f>
        <v>1.8434999999999999</v>
      </c>
      <c r="J15" s="130">
        <v>22.58</v>
      </c>
      <c r="K15" s="129">
        <f>(J15*I15)/(H15*G15)</f>
        <v>1.0468242929995364</v>
      </c>
      <c r="L15" s="128">
        <f>(184.8)/2</f>
        <v>92.4</v>
      </c>
      <c r="M15" s="128">
        <v>52.27</v>
      </c>
      <c r="N15" s="128">
        <f>L15</f>
        <v>92.4</v>
      </c>
      <c r="O15" s="128">
        <v>55.52</v>
      </c>
      <c r="P15" s="129">
        <f>(O15*N15)/(M15*L15)</f>
        <v>1.0621771570690646</v>
      </c>
      <c r="Q15" s="70">
        <v>0</v>
      </c>
      <c r="R15" s="70"/>
      <c r="S15" s="70">
        <f>Q15</f>
        <v>0</v>
      </c>
      <c r="T15" s="70"/>
      <c r="U15" s="129"/>
    </row>
    <row r="16" spans="1:21" hidden="1">
      <c r="A16" s="131" t="s">
        <v>53</v>
      </c>
      <c r="B16" s="128">
        <f>125.6/2</f>
        <v>62.8</v>
      </c>
      <c r="C16" s="128">
        <v>46.66</v>
      </c>
      <c r="D16" s="128">
        <f>B16</f>
        <v>62.8</v>
      </c>
      <c r="E16" s="128">
        <v>49.52</v>
      </c>
      <c r="F16" s="129">
        <f t="shared" si="1"/>
        <v>1.0612944706386629</v>
      </c>
      <c r="G16" s="128">
        <f>6.88/2</f>
        <v>3.44</v>
      </c>
      <c r="H16" s="128">
        <v>21.57</v>
      </c>
      <c r="I16" s="128">
        <f>G16</f>
        <v>3.44</v>
      </c>
      <c r="J16" s="128">
        <v>22.58</v>
      </c>
      <c r="K16" s="129">
        <f t="shared" ref="K16" si="5">(J16*I16)/(H16*G16)</f>
        <v>1.0468242929995362</v>
      </c>
      <c r="L16" s="128">
        <f>127.02/2</f>
        <v>63.51</v>
      </c>
      <c r="M16" s="128">
        <v>44.74</v>
      </c>
      <c r="N16" s="128">
        <f>L16</f>
        <v>63.51</v>
      </c>
      <c r="O16" s="128">
        <v>47.51</v>
      </c>
      <c r="P16" s="129">
        <f t="shared" ref="P16" si="6">(O16*N16)/(M16*L16)</f>
        <v>1.0619132767098791</v>
      </c>
      <c r="Q16" s="70">
        <f>6.88/2</f>
        <v>3.44</v>
      </c>
      <c r="R16" s="70">
        <v>19.760000000000002</v>
      </c>
      <c r="S16" s="70">
        <f>Q16</f>
        <v>3.44</v>
      </c>
      <c r="T16" s="70">
        <v>20.69</v>
      </c>
      <c r="U16" s="133">
        <f t="shared" ref="U16" si="7">T16/R16</f>
        <v>1.0470647773279351</v>
      </c>
    </row>
    <row r="17" spans="1:21" hidden="1">
      <c r="A17" s="131" t="s">
        <v>13</v>
      </c>
      <c r="B17" s="128">
        <f>37.58/2</f>
        <v>18.79</v>
      </c>
      <c r="C17" s="128">
        <v>52.5</v>
      </c>
      <c r="D17" s="128">
        <f t="shared" si="0"/>
        <v>18.79</v>
      </c>
      <c r="E17" s="128">
        <v>52.5</v>
      </c>
      <c r="F17" s="129">
        <f t="shared" si="1"/>
        <v>1</v>
      </c>
      <c r="G17" s="130"/>
      <c r="H17" s="130"/>
      <c r="I17" s="130"/>
      <c r="J17" s="130"/>
      <c r="K17" s="129"/>
      <c r="L17" s="128">
        <f>75.78/2</f>
        <v>37.89</v>
      </c>
      <c r="M17" s="128">
        <v>38.619999999999997</v>
      </c>
      <c r="N17" s="128">
        <f>L17</f>
        <v>37.89</v>
      </c>
      <c r="O17" s="128">
        <v>39.020000000000003</v>
      </c>
      <c r="P17" s="129">
        <f>(O17*N17)/(M17*L17)</f>
        <v>1.0103573278094253</v>
      </c>
      <c r="Q17" s="70"/>
      <c r="R17" s="70"/>
      <c r="S17" s="70"/>
      <c r="T17" s="70"/>
      <c r="U17" s="129"/>
    </row>
    <row r="18" spans="1:21" hidden="1">
      <c r="A18" s="134" t="s">
        <v>31</v>
      </c>
      <c r="B18" s="126">
        <f>SUM(B19:B23)</f>
        <v>1061.7099999999996</v>
      </c>
      <c r="C18" s="126">
        <f>SUMPRODUCT(B19:B23,C19:C23)/B18</f>
        <v>26.329244238068789</v>
      </c>
      <c r="D18" s="126">
        <f>SUM(D19:D23)</f>
        <v>1061.7099999999996</v>
      </c>
      <c r="E18" s="126">
        <f>SUMPRODUCT(D19:D23,E19:E23)/D18</f>
        <v>29.055365448192081</v>
      </c>
      <c r="F18" s="75">
        <f>E18/C18</f>
        <v>1.1035396681148053</v>
      </c>
      <c r="G18" s="126">
        <f>SUM(G19:G23)</f>
        <v>732.98</v>
      </c>
      <c r="H18" s="126">
        <f>SUMPRODUCT(G19:G23,H19:H23)/G18</f>
        <v>31.77</v>
      </c>
      <c r="I18" s="126">
        <f>SUM(I19:I23)</f>
        <v>732.98</v>
      </c>
      <c r="J18" s="126">
        <f>SUMPRODUCT(I19:I23,J19:J23)/I18</f>
        <v>35.03</v>
      </c>
      <c r="K18" s="75">
        <f>J18/H18</f>
        <v>1.102612527541706</v>
      </c>
      <c r="L18" s="126">
        <f>SUM(L19:L23)</f>
        <v>1684.7000000000003</v>
      </c>
      <c r="M18" s="126">
        <f>SUMPRODUCT(L19:L23,M19:M23)/L18</f>
        <v>13.503225381373538</v>
      </c>
      <c r="N18" s="126">
        <f>SUM(N19:N23)</f>
        <v>1684.7000000000003</v>
      </c>
      <c r="O18" s="126">
        <f>SUMPRODUCT(N19:N23,O19:O23)/N18</f>
        <v>15.252882293583429</v>
      </c>
      <c r="P18" s="75">
        <f>O18/M18</f>
        <v>1.1295732584470806</v>
      </c>
      <c r="Q18" s="126">
        <f>SUM(Q19:Q23)</f>
        <v>1106.665</v>
      </c>
      <c r="R18" s="126">
        <f>SUMPRODUCT(Q19:Q23,R19:R23)/Q18</f>
        <v>15.02</v>
      </c>
      <c r="S18" s="126">
        <f>SUM(S19:S23)</f>
        <v>1106.665</v>
      </c>
      <c r="T18" s="126">
        <f>SUMPRODUCT(S19:S23,T19:T23)/S18</f>
        <v>17.010000000000002</v>
      </c>
      <c r="U18" s="75">
        <f>T18/R18</f>
        <v>1.1324900133155793</v>
      </c>
    </row>
    <row r="19" spans="1:21" hidden="1">
      <c r="A19" s="131" t="s">
        <v>32</v>
      </c>
      <c r="B19" s="128">
        <f>1.5/2</f>
        <v>0.75</v>
      </c>
      <c r="C19" s="128">
        <v>17.579999999999998</v>
      </c>
      <c r="D19" s="128">
        <f>B19</f>
        <v>0.75</v>
      </c>
      <c r="E19" s="128">
        <v>18.09</v>
      </c>
      <c r="F19" s="129">
        <f>(E19*D19)/(C19*B19)</f>
        <v>1.0290102389078499</v>
      </c>
      <c r="G19" s="128"/>
      <c r="H19" s="128"/>
      <c r="I19" s="128"/>
      <c r="J19" s="128"/>
      <c r="K19" s="129"/>
      <c r="L19" s="128">
        <f>5285.17/2-3028.63/2-2147.25/2</f>
        <v>54.644999999999982</v>
      </c>
      <c r="M19" s="128">
        <v>7.52</v>
      </c>
      <c r="N19" s="128">
        <f>L19</f>
        <v>54.644999999999982</v>
      </c>
      <c r="O19" s="128">
        <v>7.77</v>
      </c>
      <c r="P19" s="129">
        <f>(O19*N19)/(M19*L19)</f>
        <v>1.0332446808510638</v>
      </c>
      <c r="Q19" s="128"/>
      <c r="R19" s="128"/>
      <c r="S19" s="128"/>
      <c r="T19" s="128"/>
      <c r="U19" s="135"/>
    </row>
    <row r="20" spans="1:21" hidden="1">
      <c r="A20" s="131" t="s">
        <v>33</v>
      </c>
      <c r="B20" s="128">
        <f>2194.46/2-31.2/2-2113.85/2</f>
        <v>24.705000000000155</v>
      </c>
      <c r="C20" s="128">
        <v>8.32</v>
      </c>
      <c r="D20" s="128">
        <f>B20</f>
        <v>24.705000000000155</v>
      </c>
      <c r="E20" s="128">
        <v>9.77</v>
      </c>
      <c r="F20" s="129">
        <f>(E20*D20)/(C20*B20)</f>
        <v>1.1742788461538463</v>
      </c>
      <c r="G20" s="128"/>
      <c r="H20" s="128"/>
      <c r="I20" s="128"/>
      <c r="J20" s="128"/>
      <c r="K20" s="129"/>
      <c r="L20" s="128">
        <f>183.61/2</f>
        <v>91.805000000000007</v>
      </c>
      <c r="M20" s="128">
        <v>1.26</v>
      </c>
      <c r="N20" s="128">
        <f>L20</f>
        <v>91.805000000000007</v>
      </c>
      <c r="O20" s="128">
        <v>1.33</v>
      </c>
      <c r="P20" s="129">
        <f>(O20*N20)/(M20*L20)</f>
        <v>1.0555555555555556</v>
      </c>
      <c r="Q20" s="128"/>
      <c r="R20" s="128"/>
      <c r="S20" s="128"/>
      <c r="T20" s="128"/>
      <c r="U20" s="135"/>
    </row>
    <row r="21" spans="1:21" hidden="1">
      <c r="A21" s="131" t="s">
        <v>34</v>
      </c>
      <c r="B21" s="128">
        <f>38081.57/2-37759/2</f>
        <v>161.28499999999985</v>
      </c>
      <c r="C21" s="128">
        <v>1.44</v>
      </c>
      <c r="D21" s="128">
        <f>B21</f>
        <v>161.28499999999985</v>
      </c>
      <c r="E21" s="128">
        <v>1.66</v>
      </c>
      <c r="F21" s="129">
        <f>(E21*D21)/(C21*B21)</f>
        <v>1.1527777777777777</v>
      </c>
      <c r="G21" s="128"/>
      <c r="H21" s="128"/>
      <c r="I21" s="128"/>
      <c r="J21" s="128"/>
      <c r="K21" s="129"/>
      <c r="L21" s="128">
        <f>188.11/2</f>
        <v>94.055000000000007</v>
      </c>
      <c r="M21" s="128">
        <v>5.64</v>
      </c>
      <c r="N21" s="128">
        <f>L21</f>
        <v>94.055000000000007</v>
      </c>
      <c r="O21" s="128">
        <v>6.21</v>
      </c>
      <c r="P21" s="129">
        <f>(O21*N21)/(M21*L21)</f>
        <v>1.1010638297872342</v>
      </c>
      <c r="Q21" s="128"/>
      <c r="R21" s="128"/>
      <c r="S21" s="128"/>
      <c r="T21" s="128"/>
      <c r="U21" s="135"/>
    </row>
    <row r="22" spans="1:21" hidden="1">
      <c r="A22" s="131" t="s">
        <v>35</v>
      </c>
      <c r="B22" s="128">
        <f>31590.53/2-31570.23/2</f>
        <v>10.149999999999636</v>
      </c>
      <c r="C22" s="128">
        <v>2.73</v>
      </c>
      <c r="D22" s="128">
        <f>B22</f>
        <v>10.149999999999636</v>
      </c>
      <c r="E22" s="128">
        <v>3.06</v>
      </c>
      <c r="F22" s="129">
        <f>(E22*D22)/(C22*B22)</f>
        <v>1.1208791208791209</v>
      </c>
      <c r="G22" s="128"/>
      <c r="H22" s="128"/>
      <c r="I22" s="128"/>
      <c r="J22" s="128"/>
      <c r="K22" s="129"/>
      <c r="L22" s="128"/>
      <c r="M22" s="128"/>
      <c r="N22" s="128"/>
      <c r="O22" s="128"/>
      <c r="P22" s="129"/>
      <c r="Q22" s="128"/>
      <c r="R22" s="128"/>
      <c r="S22" s="128"/>
      <c r="T22" s="128"/>
      <c r="U22" s="135"/>
    </row>
    <row r="23" spans="1:21" hidden="1">
      <c r="A23" s="131" t="s">
        <v>36</v>
      </c>
      <c r="B23" s="128">
        <f>1841.99/2-112.35/2</f>
        <v>864.82</v>
      </c>
      <c r="C23" s="128">
        <v>31.77</v>
      </c>
      <c r="D23" s="128">
        <f>B23</f>
        <v>864.82</v>
      </c>
      <c r="E23" s="128">
        <v>35.03</v>
      </c>
      <c r="F23" s="129">
        <f>(E23*D23)/(C23*B23)</f>
        <v>1.102612527541706</v>
      </c>
      <c r="G23" s="128">
        <f>1465.96/2</f>
        <v>732.98</v>
      </c>
      <c r="H23" s="128">
        <v>31.77</v>
      </c>
      <c r="I23" s="128">
        <f>G23</f>
        <v>732.98</v>
      </c>
      <c r="J23" s="128">
        <v>35.03</v>
      </c>
      <c r="K23" s="129">
        <f>(J23*I23)/(H23*G23)</f>
        <v>1.102612527541706</v>
      </c>
      <c r="L23" s="128">
        <f>3028.63/2-140.24/2</f>
        <v>1444.1950000000002</v>
      </c>
      <c r="M23" s="128">
        <v>15.02</v>
      </c>
      <c r="N23" s="128">
        <f>L23</f>
        <v>1444.1950000000002</v>
      </c>
      <c r="O23" s="128">
        <v>17.010000000000002</v>
      </c>
      <c r="P23" s="129">
        <f>(O23*N23)/(M23*L23)</f>
        <v>1.1324900133155793</v>
      </c>
      <c r="Q23" s="128">
        <f>2213.33/2</f>
        <v>1106.665</v>
      </c>
      <c r="R23" s="128">
        <v>15.02</v>
      </c>
      <c r="S23" s="128">
        <f>Q23</f>
        <v>1106.665</v>
      </c>
      <c r="T23" s="128">
        <v>17.010000000000002</v>
      </c>
      <c r="U23" s="129">
        <f>(T23*S23)/(R23*Q23)</f>
        <v>1.1324900133155793</v>
      </c>
    </row>
    <row r="24" spans="1:21" hidden="1">
      <c r="A24" s="134" t="s">
        <v>55</v>
      </c>
      <c r="B24" s="126">
        <f>SUM(B25:B27)</f>
        <v>2063.4050000000002</v>
      </c>
      <c r="C24" s="126">
        <f>SUMPRODUCT(B25:B27,C25:C27)/B24</f>
        <v>34.540719611515911</v>
      </c>
      <c r="D24" s="126">
        <f>SUM(D25:D27)</f>
        <v>2063.4050000000002</v>
      </c>
      <c r="E24" s="126">
        <f>SUMPRODUCT(D25:D27,E25:E27)/D24</f>
        <v>36.648427187100928</v>
      </c>
      <c r="F24" s="75">
        <f>E24/C24</f>
        <v>1.061020951482502</v>
      </c>
      <c r="G24" s="126">
        <f>SUM(G25:G27)</f>
        <v>950.94499999999994</v>
      </c>
      <c r="H24" s="126">
        <f>SUMPRODUCT(G25:G27,H25:H27)/G24</f>
        <v>20.93</v>
      </c>
      <c r="I24" s="126">
        <f>SUM(I25:I27)</f>
        <v>950.94499999999994</v>
      </c>
      <c r="J24" s="126">
        <f>SUMPRODUCT(I25:I27,J25:J27)/I24</f>
        <v>21.949328720378151</v>
      </c>
      <c r="K24" s="75">
        <f>J24/H24</f>
        <v>1.0487018022158696</v>
      </c>
      <c r="L24" s="126">
        <f>SUM(L25:L27)</f>
        <v>1945.2950000000001</v>
      </c>
      <c r="M24" s="126">
        <f>SUMPRODUCT(L25:L27,M25:M27)/L24</f>
        <v>27.691892052362235</v>
      </c>
      <c r="N24" s="126">
        <f>SUM(N25:N27)</f>
        <v>1945.2950000000001</v>
      </c>
      <c r="O24" s="126">
        <f>SUMPRODUCT(N25:N27,O25:O27)/N24</f>
        <v>29.914735271514086</v>
      </c>
      <c r="P24" s="75">
        <f>O24/M24</f>
        <v>1.0802705432676361</v>
      </c>
      <c r="Q24" s="126">
        <f>SUM(Q25:Q27)</f>
        <v>981.13499999999999</v>
      </c>
      <c r="R24" s="126">
        <f>SUMPRODUCT(Q25:Q27,R25:R27)/Q24</f>
        <v>18.59</v>
      </c>
      <c r="S24" s="126">
        <f>SUM(S25:S27)</f>
        <v>981.13499999999999</v>
      </c>
      <c r="T24" s="126">
        <f>SUMPRODUCT(S25:S27,T25:T27)/S24</f>
        <v>20.599652800073383</v>
      </c>
      <c r="U24" s="75">
        <f>T24/R24</f>
        <v>1.1081039698802251</v>
      </c>
    </row>
    <row r="25" spans="1:21" hidden="1">
      <c r="A25" s="136" t="s">
        <v>56</v>
      </c>
      <c r="B25" s="128">
        <f>2180.07/2</f>
        <v>1090.0350000000001</v>
      </c>
      <c r="C25" s="128">
        <v>20.93</v>
      </c>
      <c r="D25" s="128">
        <f>B25</f>
        <v>1090.0350000000001</v>
      </c>
      <c r="E25" s="128">
        <v>21.92</v>
      </c>
      <c r="F25" s="129">
        <f>(E25*D25)/(C25*B25)</f>
        <v>1.0473005255613952</v>
      </c>
      <c r="G25" s="137">
        <f>1790.33/2</f>
        <v>895.16499999999996</v>
      </c>
      <c r="H25" s="137">
        <v>20.93</v>
      </c>
      <c r="I25" s="137">
        <f>G25</f>
        <v>895.16499999999996</v>
      </c>
      <c r="J25" s="137">
        <v>21.92</v>
      </c>
      <c r="K25" s="129">
        <f t="shared" ref="K25:K26" si="8">(J25*I25)/(H25*G25)</f>
        <v>1.0473005255613952</v>
      </c>
      <c r="L25" s="128">
        <f>2024.78/2</f>
        <v>1012.39</v>
      </c>
      <c r="M25" s="128">
        <v>18.59</v>
      </c>
      <c r="N25" s="128">
        <f>L25</f>
        <v>1012.39</v>
      </c>
      <c r="O25" s="128">
        <v>20.66</v>
      </c>
      <c r="P25" s="129">
        <f>(O25*N25)/(M25*L25)</f>
        <v>1.1113501882732653</v>
      </c>
      <c r="Q25" s="70">
        <f>1804.38/2</f>
        <v>902.19</v>
      </c>
      <c r="R25" s="70">
        <v>18.59</v>
      </c>
      <c r="S25" s="70">
        <f>Q25</f>
        <v>902.19</v>
      </c>
      <c r="T25" s="70">
        <v>20.66</v>
      </c>
      <c r="U25" s="133">
        <f t="shared" ref="U25:U26" si="9">T25/R25</f>
        <v>1.1113501882732653</v>
      </c>
    </row>
    <row r="26" spans="1:21" hidden="1">
      <c r="A26" s="136" t="s">
        <v>57</v>
      </c>
      <c r="B26" s="128">
        <f>396.74/2</f>
        <v>198.37</v>
      </c>
      <c r="C26" s="128">
        <v>40.299999999999997</v>
      </c>
      <c r="D26" s="128">
        <f>B26</f>
        <v>198.37</v>
      </c>
      <c r="E26" s="128">
        <v>43.11</v>
      </c>
      <c r="F26" s="129">
        <f>(E26*D26)/(C26*B26)</f>
        <v>1.069727047146402</v>
      </c>
      <c r="G26" s="137">
        <f>111.56/2</f>
        <v>55.78</v>
      </c>
      <c r="H26" s="137">
        <v>20.93</v>
      </c>
      <c r="I26" s="137">
        <f t="shared" ref="I26" si="10">G26</f>
        <v>55.78</v>
      </c>
      <c r="J26" s="137">
        <v>22.42</v>
      </c>
      <c r="K26" s="129">
        <f t="shared" si="8"/>
        <v>1.071189679885332</v>
      </c>
      <c r="L26" s="128">
        <f>580.81/2</f>
        <v>290.40499999999997</v>
      </c>
      <c r="M26" s="128">
        <v>28.01</v>
      </c>
      <c r="N26" s="128">
        <f t="shared" ref="N26:N27" si="11">L26</f>
        <v>290.40499999999997</v>
      </c>
      <c r="O26" s="128">
        <v>29.71</v>
      </c>
      <c r="P26" s="129">
        <f t="shared" ref="P26:P27" si="12">(O26*N26)/(M26*L26)</f>
        <v>1.0606926097822207</v>
      </c>
      <c r="Q26" s="70">
        <f>157.89/2</f>
        <v>78.944999999999993</v>
      </c>
      <c r="R26" s="70">
        <v>18.59</v>
      </c>
      <c r="S26" s="70">
        <f t="shared" ref="S26" si="13">Q26</f>
        <v>78.944999999999993</v>
      </c>
      <c r="T26" s="70">
        <v>19.91</v>
      </c>
      <c r="U26" s="133">
        <f t="shared" si="9"/>
        <v>1.0710059171597632</v>
      </c>
    </row>
    <row r="27" spans="1:21" hidden="1">
      <c r="A27" s="136" t="s">
        <v>57</v>
      </c>
      <c r="B27" s="128">
        <v>775</v>
      </c>
      <c r="C27" s="128">
        <v>52.21</v>
      </c>
      <c r="D27" s="128">
        <f>B27</f>
        <v>775</v>
      </c>
      <c r="E27" s="128">
        <v>55.71</v>
      </c>
      <c r="F27" s="129">
        <f>(E27*D27)/(C27*B27)</f>
        <v>1.0670369660984487</v>
      </c>
      <c r="G27" s="137"/>
      <c r="H27" s="137"/>
      <c r="I27" s="137"/>
      <c r="J27" s="137"/>
      <c r="K27" s="129"/>
      <c r="L27" s="128">
        <f>1285/2</f>
        <v>642.5</v>
      </c>
      <c r="M27" s="128">
        <v>41.89</v>
      </c>
      <c r="N27" s="128">
        <f t="shared" si="11"/>
        <v>642.5</v>
      </c>
      <c r="O27" s="128">
        <v>44.59</v>
      </c>
      <c r="P27" s="129">
        <f t="shared" si="12"/>
        <v>1.0644545237526857</v>
      </c>
      <c r="Q27" s="70"/>
      <c r="R27" s="70"/>
      <c r="S27" s="70"/>
      <c r="T27" s="70"/>
      <c r="U27" s="133"/>
    </row>
    <row r="28" spans="1:21" hidden="1">
      <c r="A28" s="134" t="s">
        <v>14</v>
      </c>
      <c r="B28" s="138">
        <f>SUM(B29:B31)</f>
        <v>1920.192</v>
      </c>
      <c r="C28" s="138">
        <f>SUMPRODUCT(B29:B31,C29:C31)/B28</f>
        <v>10.247535871412859</v>
      </c>
      <c r="D28" s="138">
        <f>SUM(D29:D31)</f>
        <v>1920.192</v>
      </c>
      <c r="E28" s="138">
        <f>SUMPRODUCT(D29:D31,E29:E31)/D28</f>
        <v>10.308914108589143</v>
      </c>
      <c r="F28" s="139">
        <f>E28/C28</f>
        <v>1.0059895606072</v>
      </c>
      <c r="G28" s="138">
        <f>SUM(G29:G31)</f>
        <v>726.42499999999995</v>
      </c>
      <c r="H28" s="138">
        <f>SUMPRODUCT(G29:G31,H29:H31)/G28</f>
        <v>17.2</v>
      </c>
      <c r="I28" s="138">
        <f>SUM(I29:I31)</f>
        <v>726.42499999999995</v>
      </c>
      <c r="J28" s="138">
        <f>SUMPRODUCT(I29:I31,J29:J31)/I28</f>
        <v>17.3</v>
      </c>
      <c r="K28" s="139">
        <f>J28/H28</f>
        <v>1.0058139534883721</v>
      </c>
      <c r="L28" s="126">
        <f>SUM(L29:L31)</f>
        <v>1977.0435000000002</v>
      </c>
      <c r="M28" s="126">
        <f>SUMPRODUCT(L29:L31,M29:M31)/L28</f>
        <v>14.11663817715695</v>
      </c>
      <c r="N28" s="126">
        <f>SUM(N29:N31)</f>
        <v>1977.0435000000002</v>
      </c>
      <c r="O28" s="126">
        <f>SUMPRODUCT(N29:N31,O29:O31)/N28</f>
        <v>15.078327629108816</v>
      </c>
      <c r="P28" s="75">
        <f>O28/M28</f>
        <v>1.0681245378597319</v>
      </c>
      <c r="Q28" s="126">
        <f>SUM(Q29:Q31)</f>
        <v>1250.8565000000001</v>
      </c>
      <c r="R28" s="126">
        <f>SUMPRODUCT(Q29:Q31,R29:R31)/Q28</f>
        <v>17.18</v>
      </c>
      <c r="S28" s="126">
        <f>SUM(S29:S31)</f>
        <v>1250.8565000000001</v>
      </c>
      <c r="T28" s="126">
        <f>SUMPRODUCT(S29:S31,T29:T31)/S28</f>
        <v>18.7</v>
      </c>
      <c r="U28" s="75">
        <f>T28/R28</f>
        <v>1.0884749708963912</v>
      </c>
    </row>
    <row r="29" spans="1:21" hidden="1">
      <c r="A29" s="136" t="s">
        <v>16</v>
      </c>
      <c r="B29" s="128">
        <v>709.11199999999997</v>
      </c>
      <c r="C29" s="128">
        <v>5.45</v>
      </c>
      <c r="D29" s="128">
        <f>B29</f>
        <v>709.11199999999997</v>
      </c>
      <c r="E29" s="128">
        <v>5.45</v>
      </c>
      <c r="F29" s="129">
        <f>(E29*D29)/(C29*B29)</f>
        <v>1</v>
      </c>
      <c r="G29" s="132"/>
      <c r="H29" s="132"/>
      <c r="I29" s="132"/>
      <c r="J29" s="132"/>
      <c r="K29" s="129"/>
      <c r="L29" s="128">
        <v>726.18700000000001</v>
      </c>
      <c r="M29" s="128">
        <v>8.84</v>
      </c>
      <c r="N29" s="128">
        <f>L29</f>
        <v>726.18700000000001</v>
      </c>
      <c r="O29" s="128">
        <v>8.84</v>
      </c>
      <c r="P29" s="129">
        <f>(O29*N29)/(M29*L29)</f>
        <v>1</v>
      </c>
      <c r="Q29" s="70"/>
      <c r="R29" s="70"/>
      <c r="S29" s="70"/>
      <c r="T29" s="70"/>
      <c r="U29" s="135"/>
    </row>
    <row r="30" spans="1:21" hidden="1">
      <c r="A30" s="136" t="s">
        <v>16</v>
      </c>
      <c r="B30" s="128">
        <v>325</v>
      </c>
      <c r="C30" s="128">
        <v>1.76</v>
      </c>
      <c r="D30" s="128">
        <v>325</v>
      </c>
      <c r="E30" s="128">
        <v>1.85</v>
      </c>
      <c r="F30" s="129">
        <f>(E30*D30)/(C30*B30)</f>
        <v>1.0511363636363635</v>
      </c>
      <c r="G30" s="132"/>
      <c r="H30" s="132"/>
      <c r="I30" s="132"/>
      <c r="J30" s="132"/>
      <c r="K30" s="129"/>
      <c r="L30" s="128"/>
      <c r="M30" s="128"/>
      <c r="N30" s="128"/>
      <c r="O30" s="128"/>
      <c r="P30" s="129"/>
      <c r="Q30" s="70"/>
      <c r="R30" s="70"/>
      <c r="S30" s="70"/>
      <c r="T30" s="70"/>
      <c r="U30" s="135"/>
    </row>
    <row r="31" spans="1:21" hidden="1">
      <c r="A31" s="136" t="s">
        <v>17</v>
      </c>
      <c r="B31" s="128">
        <v>886.08</v>
      </c>
      <c r="C31" s="128">
        <v>17.2</v>
      </c>
      <c r="D31" s="128">
        <f>B31</f>
        <v>886.08</v>
      </c>
      <c r="E31" s="128">
        <v>17.3</v>
      </c>
      <c r="F31" s="129">
        <f>(E31*D31)/(C31*B31)</f>
        <v>1.0058139534883721</v>
      </c>
      <c r="G31" s="132">
        <v>726.42499999999995</v>
      </c>
      <c r="H31" s="132">
        <v>17.2</v>
      </c>
      <c r="I31" s="132">
        <f>G31</f>
        <v>726.42499999999995</v>
      </c>
      <c r="J31" s="132">
        <v>17.3</v>
      </c>
      <c r="K31" s="129">
        <f t="shared" ref="K31" si="14">(J31*I31)/(H31*G31)</f>
        <v>1.0058139534883723</v>
      </c>
      <c r="L31" s="128">
        <f>2501.713/2</f>
        <v>1250.8565000000001</v>
      </c>
      <c r="M31" s="128">
        <v>17.18</v>
      </c>
      <c r="N31" s="128">
        <f>L31</f>
        <v>1250.8565000000001</v>
      </c>
      <c r="O31" s="128">
        <v>18.7</v>
      </c>
      <c r="P31" s="129">
        <f>(O31*N31)/(M31*L31)</f>
        <v>1.088474970896391</v>
      </c>
      <c r="Q31" s="128">
        <f>2501.713/2</f>
        <v>1250.8565000000001</v>
      </c>
      <c r="R31" s="128">
        <v>17.18</v>
      </c>
      <c r="S31" s="128">
        <f>Q31</f>
        <v>1250.8565000000001</v>
      </c>
      <c r="T31" s="128">
        <v>18.7</v>
      </c>
      <c r="U31" s="129">
        <f>(T31*S31)/(R31*Q31)</f>
        <v>1.088474970896391</v>
      </c>
    </row>
    <row r="32" spans="1:21">
      <c r="A32" s="134" t="s">
        <v>180</v>
      </c>
      <c r="B32" s="140">
        <f>SUM(B33:B39)</f>
        <v>14057.858999999999</v>
      </c>
      <c r="C32" s="140">
        <f>SUMPRODUCT(B33:B39,C33:C39)/B32</f>
        <v>22.253153259682005</v>
      </c>
      <c r="D32" s="140">
        <f>SUM(D33:D39)</f>
        <v>14057.858999999999</v>
      </c>
      <c r="E32" s="140">
        <f>SUMPRODUCT(D33:D39,E33:E39)/D32</f>
        <v>23.396490445664597</v>
      </c>
      <c r="F32" s="141">
        <f>E32/C32</f>
        <v>1.0513786595832275</v>
      </c>
      <c r="G32" s="140">
        <f>SUM(G33:G39)</f>
        <v>3254.8249999999998</v>
      </c>
      <c r="H32" s="140">
        <f>SUMPRODUCT(G33:G39,H33:H39)/G32</f>
        <v>22.297321054127334</v>
      </c>
      <c r="I32" s="140">
        <f>SUM(I33:I39)</f>
        <v>3254.8249999999998</v>
      </c>
      <c r="J32" s="140">
        <f>SUMPRODUCT(I33:I39,J33:J39)/I32</f>
        <v>23.47</v>
      </c>
      <c r="K32" s="141">
        <f>J32/H32</f>
        <v>1.0525928179006776</v>
      </c>
      <c r="L32" s="140">
        <f>SUM(L33:L39)</f>
        <v>10083.5365</v>
      </c>
      <c r="M32" s="140">
        <f>SUMPRODUCT(L33:L39,M33:M39)/L32</f>
        <v>22.653672788311916</v>
      </c>
      <c r="N32" s="140">
        <f>SUM(N33:N39)</f>
        <v>10083.5365</v>
      </c>
      <c r="O32" s="140">
        <f>SUMPRODUCT(N33:N39,O33:O39)/N32</f>
        <v>23.752836426485885</v>
      </c>
      <c r="P32" s="141">
        <f>O32/M32</f>
        <v>1.048520328180121</v>
      </c>
      <c r="Q32" s="140">
        <f>SUM(Q33:Q39)</f>
        <v>5227.2150000000001</v>
      </c>
      <c r="R32" s="140">
        <f>SUMPRODUCT(Q33:Q39,R33:R39)/Q32</f>
        <v>21.687294371859583</v>
      </c>
      <c r="S32" s="140">
        <f>SUM(S33:S39)</f>
        <v>5227.2150000000001</v>
      </c>
      <c r="T32" s="140">
        <f>SUMPRODUCT(S33:S39,T33:T39)/S32</f>
        <v>22.894135959588422</v>
      </c>
      <c r="U32" s="141">
        <f>T32/R32</f>
        <v>1.0556474019781268</v>
      </c>
    </row>
    <row r="33" spans="1:21" ht="30">
      <c r="A33" s="142" t="s">
        <v>261</v>
      </c>
      <c r="B33" s="143">
        <f>25724.898/2-3100/2</f>
        <v>11312.449000000001</v>
      </c>
      <c r="C33" s="145">
        <v>22.27</v>
      </c>
      <c r="D33" s="145">
        <f>B33</f>
        <v>11312.449000000001</v>
      </c>
      <c r="E33" s="145">
        <v>23.47</v>
      </c>
      <c r="F33" s="146">
        <f>(E33*D33)/(C33*B33)</f>
        <v>1.053884149079479</v>
      </c>
      <c r="G33" s="145">
        <f>5323.98/2</f>
        <v>2661.99</v>
      </c>
      <c r="H33" s="145">
        <v>22.27</v>
      </c>
      <c r="I33" s="145">
        <f>G33</f>
        <v>2661.99</v>
      </c>
      <c r="J33" s="145">
        <v>23.47</v>
      </c>
      <c r="K33" s="146">
        <f>(J33*I33)/(H33*G33)</f>
        <v>1.053884149079479</v>
      </c>
      <c r="L33" s="145">
        <f>17258/2</f>
        <v>8629</v>
      </c>
      <c r="M33" s="145">
        <v>22.13</v>
      </c>
      <c r="N33" s="145">
        <f>L33</f>
        <v>8629</v>
      </c>
      <c r="O33" s="145">
        <v>23.24</v>
      </c>
      <c r="P33" s="146">
        <f>(O33*N33)/(M33*L33)</f>
        <v>1.0501581563488478</v>
      </c>
      <c r="Q33" s="147">
        <f>8520/2</f>
        <v>4260</v>
      </c>
      <c r="R33" s="147">
        <v>22.13</v>
      </c>
      <c r="S33" s="147">
        <f>Q33</f>
        <v>4260</v>
      </c>
      <c r="T33" s="147">
        <v>23.24</v>
      </c>
      <c r="U33" s="146">
        <f t="shared" ref="U33:U39" si="15">(T33*S33)/(R33*Q33)</f>
        <v>1.0501581563488476</v>
      </c>
    </row>
    <row r="34" spans="1:21" ht="30">
      <c r="A34" s="142" t="s">
        <v>262</v>
      </c>
      <c r="B34" s="143">
        <f>2510/2</f>
        <v>1255</v>
      </c>
      <c r="C34" s="143">
        <v>2.1</v>
      </c>
      <c r="D34" s="143">
        <f>B34</f>
        <v>1255</v>
      </c>
      <c r="E34" s="143">
        <v>2.96</v>
      </c>
      <c r="F34" s="144">
        <f>(E34*D34)/(C34*B34)</f>
        <v>1.4095238095238096</v>
      </c>
      <c r="G34" s="145"/>
      <c r="H34" s="145"/>
      <c r="I34" s="145"/>
      <c r="J34" s="145"/>
      <c r="K34" s="148"/>
      <c r="L34" s="145"/>
      <c r="M34" s="145"/>
      <c r="N34" s="145"/>
      <c r="O34" s="145"/>
      <c r="P34" s="148"/>
      <c r="Q34" s="145"/>
      <c r="R34" s="145"/>
      <c r="S34" s="145"/>
      <c r="T34" s="145"/>
      <c r="U34" s="148"/>
    </row>
    <row r="35" spans="1:21">
      <c r="A35" s="136" t="s">
        <v>188</v>
      </c>
      <c r="B35" s="149">
        <f>2.09/2</f>
        <v>1.0449999999999999</v>
      </c>
      <c r="C35" s="149">
        <v>5.62</v>
      </c>
      <c r="D35" s="149">
        <f>B35</f>
        <v>1.0449999999999999</v>
      </c>
      <c r="E35" s="149">
        <v>5.77</v>
      </c>
      <c r="F35" s="150">
        <f>(E35*D35)/(C35*B35)</f>
        <v>1.0266903914590746</v>
      </c>
      <c r="G35" s="128"/>
      <c r="H35" s="128"/>
      <c r="I35" s="128"/>
      <c r="J35" s="128"/>
      <c r="K35" s="129"/>
      <c r="L35" s="128"/>
      <c r="M35" s="128"/>
      <c r="N35" s="128"/>
      <c r="O35" s="128"/>
      <c r="P35" s="129"/>
      <c r="Q35" s="151"/>
      <c r="R35" s="151"/>
      <c r="S35" s="151"/>
      <c r="T35" s="151"/>
      <c r="U35" s="152"/>
    </row>
    <row r="36" spans="1:21">
      <c r="A36" s="136" t="s">
        <v>53</v>
      </c>
      <c r="B36" s="149">
        <f>136.84/2</f>
        <v>68.42</v>
      </c>
      <c r="C36" s="149">
        <v>75.14</v>
      </c>
      <c r="D36" s="149">
        <f>B36</f>
        <v>68.42</v>
      </c>
      <c r="E36" s="149">
        <v>76.77</v>
      </c>
      <c r="F36" s="150">
        <f t="shared" ref="F36:F38" si="16">(E36*D36)/(C36*B36)</f>
        <v>1.0216928400319403</v>
      </c>
      <c r="G36" s="128"/>
      <c r="H36" s="128"/>
      <c r="I36" s="128"/>
      <c r="J36" s="128"/>
      <c r="K36" s="129"/>
      <c r="L36" s="128">
        <f>136.84/2</f>
        <v>68.42</v>
      </c>
      <c r="M36" s="128">
        <v>72.7</v>
      </c>
      <c r="N36" s="128">
        <f>L36</f>
        <v>68.42</v>
      </c>
      <c r="O36" s="128">
        <v>76.040000000000006</v>
      </c>
      <c r="P36" s="129">
        <f t="shared" ref="P36:P38" si="17">(O36*N36)/(M36*L36)</f>
        <v>1.0459422283356259</v>
      </c>
      <c r="Q36" s="151"/>
      <c r="R36" s="151"/>
      <c r="S36" s="153"/>
      <c r="T36" s="151"/>
      <c r="U36" s="150"/>
    </row>
    <row r="37" spans="1:21">
      <c r="A37" s="136" t="s">
        <v>189</v>
      </c>
      <c r="B37" s="149">
        <f>98.19/2</f>
        <v>49.094999999999999</v>
      </c>
      <c r="C37" s="149">
        <v>87.02</v>
      </c>
      <c r="D37" s="149">
        <f t="shared" ref="D37:D38" si="18">B37</f>
        <v>49.094999999999999</v>
      </c>
      <c r="E37" s="149">
        <v>96.16</v>
      </c>
      <c r="F37" s="150">
        <f t="shared" si="16"/>
        <v>1.1050333256722591</v>
      </c>
      <c r="G37" s="128">
        <f>29.56/2</f>
        <v>14.78</v>
      </c>
      <c r="H37" s="128">
        <v>22.42</v>
      </c>
      <c r="I37" s="128">
        <f t="shared" ref="I37:I38" si="19">G37</f>
        <v>14.78</v>
      </c>
      <c r="J37" s="128">
        <v>23.47</v>
      </c>
      <c r="K37" s="129">
        <f t="shared" ref="K37:K39" si="20">(J37*I37)/(H37*G37)</f>
        <v>1.0468331846565564</v>
      </c>
      <c r="L37" s="128">
        <f>69.6/2</f>
        <v>34.799999999999997</v>
      </c>
      <c r="M37" s="128">
        <v>54.98</v>
      </c>
      <c r="N37" s="128">
        <f t="shared" ref="N37:N38" si="21">L37</f>
        <v>34.799999999999997</v>
      </c>
      <c r="O37" s="128">
        <v>59.27</v>
      </c>
      <c r="P37" s="129">
        <f t="shared" si="17"/>
        <v>1.0780283739541654</v>
      </c>
      <c r="Q37" s="151">
        <f>44.1/2</f>
        <v>22.05</v>
      </c>
      <c r="R37" s="154">
        <v>15.77</v>
      </c>
      <c r="S37" s="155">
        <f t="shared" ref="S37:S38" si="22">Q37</f>
        <v>22.05</v>
      </c>
      <c r="T37" s="154">
        <v>16.510000000000002</v>
      </c>
      <c r="U37" s="150">
        <f t="shared" ref="U37:U38" si="23">T37/R37</f>
        <v>1.0469245402663285</v>
      </c>
    </row>
    <row r="38" spans="1:21">
      <c r="A38" s="136" t="s">
        <v>190</v>
      </c>
      <c r="B38" s="149">
        <f>56.1/2</f>
        <v>28.05</v>
      </c>
      <c r="C38" s="149">
        <v>40.299999999999997</v>
      </c>
      <c r="D38" s="149">
        <f t="shared" si="18"/>
        <v>28.05</v>
      </c>
      <c r="E38" s="149">
        <v>43.11</v>
      </c>
      <c r="F38" s="150">
        <f t="shared" si="16"/>
        <v>1.069727047146402</v>
      </c>
      <c r="G38" s="128">
        <f>36.11/2</f>
        <v>18.055</v>
      </c>
      <c r="H38" s="128">
        <v>22.42</v>
      </c>
      <c r="I38" s="128">
        <f t="shared" si="19"/>
        <v>18.055</v>
      </c>
      <c r="J38" s="128">
        <v>23.47</v>
      </c>
      <c r="K38" s="129">
        <f t="shared" si="20"/>
        <v>1.0468331846565564</v>
      </c>
      <c r="L38" s="128">
        <f>73.9/2</f>
        <v>36.950000000000003</v>
      </c>
      <c r="M38" s="128">
        <v>28.01</v>
      </c>
      <c r="N38" s="128">
        <f t="shared" si="21"/>
        <v>36.950000000000003</v>
      </c>
      <c r="O38" s="128">
        <v>29.71</v>
      </c>
      <c r="P38" s="129">
        <f t="shared" si="17"/>
        <v>1.0606926097822207</v>
      </c>
      <c r="Q38" s="153">
        <f>40.33/2</f>
        <v>20.164999999999999</v>
      </c>
      <c r="R38" s="154">
        <v>19.829999999999998</v>
      </c>
      <c r="S38" s="155">
        <f t="shared" si="22"/>
        <v>20.164999999999999</v>
      </c>
      <c r="T38" s="154">
        <v>20.76</v>
      </c>
      <c r="U38" s="150">
        <f t="shared" si="23"/>
        <v>1.0468986384266266</v>
      </c>
    </row>
    <row r="39" spans="1:21" ht="30">
      <c r="A39" s="142" t="s">
        <v>263</v>
      </c>
      <c r="B39" s="143">
        <f>2687.6/2</f>
        <v>1343.8</v>
      </c>
      <c r="C39" s="145">
        <v>35.51</v>
      </c>
      <c r="D39" s="145">
        <f>B39</f>
        <v>1343.8</v>
      </c>
      <c r="E39" s="145">
        <v>36.090000000000003</v>
      </c>
      <c r="F39" s="146">
        <f>(E39*D39)/(C39*B39)</f>
        <v>1.0163334272036049</v>
      </c>
      <c r="G39" s="145">
        <f>1120/2</f>
        <v>560</v>
      </c>
      <c r="H39" s="145">
        <v>22.42</v>
      </c>
      <c r="I39" s="145">
        <f>G39</f>
        <v>560</v>
      </c>
      <c r="J39" s="145">
        <v>23.47</v>
      </c>
      <c r="K39" s="146">
        <f t="shared" si="20"/>
        <v>1.0468331846565564</v>
      </c>
      <c r="L39" s="145">
        <f>2628.733/2</f>
        <v>1314.3665000000001</v>
      </c>
      <c r="M39" s="145">
        <v>22.48</v>
      </c>
      <c r="N39" s="145">
        <f>L39</f>
        <v>1314.3665000000001</v>
      </c>
      <c r="O39" s="145">
        <v>23.29</v>
      </c>
      <c r="P39" s="146">
        <f>(O39*N39)/(M39*L39)</f>
        <v>1.0360320284697508</v>
      </c>
      <c r="Q39" s="145">
        <f>1850/2</f>
        <v>925</v>
      </c>
      <c r="R39" s="145">
        <v>19.829999999999998</v>
      </c>
      <c r="S39" s="145">
        <f>Q39</f>
        <v>925</v>
      </c>
      <c r="T39" s="145">
        <v>21.5</v>
      </c>
      <c r="U39" s="146">
        <f t="shared" si="15"/>
        <v>1.0842158345940494</v>
      </c>
    </row>
  </sheetData>
  <mergeCells count="20">
    <mergeCell ref="F5:F6"/>
    <mergeCell ref="Q5:R5"/>
    <mergeCell ref="S5:T5"/>
    <mergeCell ref="U5:U6"/>
    <mergeCell ref="A1:U1"/>
    <mergeCell ref="G5:H5"/>
    <mergeCell ref="I5:J5"/>
    <mergeCell ref="K5:K6"/>
    <mergeCell ref="L5:M5"/>
    <mergeCell ref="N5:O5"/>
    <mergeCell ref="P5:P6"/>
    <mergeCell ref="A3:A6"/>
    <mergeCell ref="B3:K3"/>
    <mergeCell ref="L3:U3"/>
    <mergeCell ref="B4:F4"/>
    <mergeCell ref="G4:K4"/>
    <mergeCell ref="L4:P4"/>
    <mergeCell ref="Q4:U4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R123"/>
  <sheetViews>
    <sheetView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83" sqref="G83"/>
    </sheetView>
  </sheetViews>
  <sheetFormatPr defaultRowHeight="15"/>
  <cols>
    <col min="1" max="1" width="50.42578125" style="5" customWidth="1"/>
    <col min="2" max="2" width="13.5703125" style="5" hidden="1" customWidth="1"/>
    <col min="3" max="3" width="11" style="5" hidden="1" customWidth="1"/>
    <col min="4" max="4" width="13.140625" style="5" hidden="1" customWidth="1"/>
    <col min="5" max="5" width="9.42578125" style="5" hidden="1" customWidth="1"/>
    <col min="6" max="6" width="11" style="5" hidden="1" customWidth="1"/>
    <col min="7" max="7" width="29.42578125" style="5" customWidth="1"/>
    <col min="8" max="8" width="11" style="5" customWidth="1"/>
    <col min="9" max="9" width="9.42578125" style="5" customWidth="1"/>
    <col min="10" max="10" width="11.28515625" style="5" customWidth="1"/>
    <col min="11" max="11" width="10.7109375" style="5" customWidth="1"/>
    <col min="12" max="12" width="10.42578125" style="5" customWidth="1"/>
    <col min="13" max="13" width="11.140625" style="5" hidden="1" customWidth="1"/>
    <col min="14" max="14" width="10.85546875" style="5" hidden="1" customWidth="1"/>
    <col min="15" max="15" width="11.5703125" style="5" hidden="1" customWidth="1"/>
    <col min="16" max="16" width="11.7109375" style="5" hidden="1" customWidth="1"/>
    <col min="17" max="17" width="10.7109375" style="5" hidden="1" customWidth="1"/>
  </cols>
  <sheetData>
    <row r="5" spans="1:17" ht="38.25" customHeight="1">
      <c r="A5" s="226"/>
      <c r="C5" s="156"/>
      <c r="D5" s="156"/>
      <c r="E5" s="156"/>
      <c r="F5" s="156"/>
      <c r="G5" s="243" t="s">
        <v>264</v>
      </c>
      <c r="H5" s="246" t="s">
        <v>281</v>
      </c>
      <c r="I5" s="247"/>
      <c r="J5" s="247"/>
      <c r="K5" s="247"/>
      <c r="L5" s="248"/>
      <c r="M5" s="227" t="s">
        <v>5</v>
      </c>
      <c r="N5" s="227"/>
      <c r="O5" s="227"/>
      <c r="P5" s="227"/>
      <c r="Q5" s="227"/>
    </row>
    <row r="6" spans="1:17">
      <c r="A6" s="226"/>
      <c r="B6" s="246" t="s">
        <v>2</v>
      </c>
      <c r="C6" s="247"/>
      <c r="D6" s="247"/>
      <c r="E6" s="247"/>
      <c r="F6" s="248"/>
      <c r="G6" s="244"/>
      <c r="H6" s="227" t="s">
        <v>3</v>
      </c>
      <c r="I6" s="227"/>
      <c r="J6" s="227"/>
      <c r="K6" s="227"/>
      <c r="L6" s="227"/>
      <c r="M6" s="246" t="s">
        <v>2</v>
      </c>
      <c r="N6" s="247"/>
      <c r="O6" s="247"/>
      <c r="P6" s="247"/>
      <c r="Q6" s="248"/>
    </row>
    <row r="7" spans="1:17" ht="29.25" customHeight="1">
      <c r="A7" s="226"/>
      <c r="B7" s="228" t="s">
        <v>0</v>
      </c>
      <c r="C7" s="229"/>
      <c r="D7" s="228" t="s">
        <v>1</v>
      </c>
      <c r="E7" s="229"/>
      <c r="F7" s="230" t="s">
        <v>245</v>
      </c>
      <c r="G7" s="244"/>
      <c r="H7" s="228" t="s">
        <v>0</v>
      </c>
      <c r="I7" s="229"/>
      <c r="J7" s="227" t="s">
        <v>1</v>
      </c>
      <c r="K7" s="227"/>
      <c r="L7" s="230" t="s">
        <v>245</v>
      </c>
      <c r="M7" s="228" t="s">
        <v>0</v>
      </c>
      <c r="N7" s="229"/>
      <c r="O7" s="228" t="s">
        <v>1</v>
      </c>
      <c r="P7" s="229"/>
      <c r="Q7" s="230" t="s">
        <v>245</v>
      </c>
    </row>
    <row r="8" spans="1:17" ht="25.5">
      <c r="A8" s="226"/>
      <c r="B8" s="38" t="s">
        <v>6</v>
      </c>
      <c r="C8" s="38" t="s">
        <v>7</v>
      </c>
      <c r="D8" s="38" t="s">
        <v>6</v>
      </c>
      <c r="E8" s="38" t="s">
        <v>7</v>
      </c>
      <c r="F8" s="231"/>
      <c r="G8" s="245"/>
      <c r="H8" s="38" t="s">
        <v>8</v>
      </c>
      <c r="I8" s="38" t="s">
        <v>7</v>
      </c>
      <c r="J8" s="38" t="s">
        <v>8</v>
      </c>
      <c r="K8" s="38" t="s">
        <v>7</v>
      </c>
      <c r="L8" s="231"/>
      <c r="M8" s="38" t="s">
        <v>6</v>
      </c>
      <c r="N8" s="38" t="s">
        <v>7</v>
      </c>
      <c r="O8" s="38" t="s">
        <v>6</v>
      </c>
      <c r="P8" s="38" t="s">
        <v>7</v>
      </c>
      <c r="Q8" s="231"/>
    </row>
    <row r="9" spans="1:17">
      <c r="A9" s="60" t="s">
        <v>193</v>
      </c>
      <c r="B9" s="61" t="e">
        <f>B10+B20+B21+B25+B29+B37+B42+B51+B53+B55+B58+B66+B67+B70+B74+B76+B78+B79+B86+B91+B97+B108+B115+B116+B119</f>
        <v>#REF!</v>
      </c>
      <c r="C9" s="62" t="e">
        <f>(B10*C10+B20*C20+B21*C21+B25*C25+B29*C29+B37*C37+B42+C42+B51*C51+B53*C53+B55*C55+B58*C58+B66*C66+B67*C67+B70*C70+B74*C74+B76*C76+B78*C78+B79*C79+B86*C86+B91*C91+B97*C97+B108*C108+B115*C115+B116*C116+B119*C119)/B9</f>
        <v>#REF!</v>
      </c>
      <c r="D9" s="61" t="e">
        <f>D10+D20+D21+D25+D29+D37+D42+D51+D53+D55+D58+D66+D67+D70+D74+D76+D78+D79+D86+D91+D97+D108+D115+D116+D119</f>
        <v>#REF!</v>
      </c>
      <c r="E9" s="62" t="e">
        <f>(D10*E10+D20*E20+D21*E21+D25*E25+D29*E29+D37*E37+D42+E42+D51*E51+D53*E53+D55*E55+D58*E58+D66*E66+D67*E67+D70*E70+D74*E74+D76*E76+D78*E78+D79*E79+D86*E86+D91*E91+D97*E97+D108*E108+D115*E115+D116*E116+D119*E119)/D9</f>
        <v>#REF!</v>
      </c>
      <c r="F9" s="76" t="e">
        <f>E9/C9</f>
        <v>#REF!</v>
      </c>
      <c r="G9" s="76"/>
      <c r="H9" s="61">
        <f>H10+H20+H21+H25+H29+H37+H42+H51+H53+H55+H58+H66+H67+H70+H74+H76+H78+H79+H86+H91+H97+H108+H115+H116+H119</f>
        <v>6792.0554999999995</v>
      </c>
      <c r="I9" s="62" t="e">
        <f>(H10*I10+H20*I20+H21*I21+H25*I25+H29*I29+H37*I37+H42+I42+H51*I51+H53*I53+H55*I55+H58*I58+H66*I66+H67*I67+H70*I70+H74*I74+H76*I76+H78*I78+H79*I79+H86*I86+H91*I91+H97*I97+H108*I108+H115*I115+H116*I116+H119*I119)/H9</f>
        <v>#DIV/0!</v>
      </c>
      <c r="J9" s="61">
        <f>J10+J20+J21+J25+J29+J37+J42+J51+J53+J55+J58+J66+J67+J70+J74+J76+J78+J79+J86+J91+J97+J108+J115+J116+J119</f>
        <v>6886.5535</v>
      </c>
      <c r="K9" s="62" t="e">
        <f>(J10*K10+J20*K20+J21*K21+J25*K25+J29*K29+J37*K37+J42+K42+J51*K51+J53*K53+J55*K55+J58*K58+J66*K66+J67*K67+J70*K70+J74*K74+J76*K76+J78*K78+J79*K79+J86*K86+J91*K91+J97*K97+J108*K108+J115*K115+J116*K116+J119*K119)/J9</f>
        <v>#DIV/0!</v>
      </c>
      <c r="L9" s="76" t="e">
        <f>K9/I9</f>
        <v>#DIV/0!</v>
      </c>
      <c r="M9" s="61" t="e">
        <f>M10+M20+M21+M25+M29+M37+M42+M51+M53+M55+M58+M66+M67+M70+M74+M76+M78+M79+M86+M91+M97+M108+M115+M116+M119</f>
        <v>#REF!</v>
      </c>
      <c r="N9" s="62" t="e">
        <f>(M10*N10+M20*N20+M21*N21+M25*N25+M29*N29+M37*N37+M42+N42+M51*N51+M53*N53+M55*N55+M58*N58+M66*N66+M67*N67+M70*N70+M74*N74+M76*N76+M78*N78+M79*N79+M86*N86+M91*N91+M97*N97+M108*N108+M115*N115+M116*N116+M119*N119)/M9</f>
        <v>#REF!</v>
      </c>
      <c r="O9" s="61" t="e">
        <f>O10+O20+O21+O25+O29+O37+O42+O51+O53+O55+O58+O66+O67+O70+O74+O76+O78+O79+O86+O91+O97+O108+O115+O116+O119</f>
        <v>#REF!</v>
      </c>
      <c r="P9" s="62" t="e">
        <f>(O10*P10+O20*P20+O21*P21+O25*P25+O29*P29+O37*P37+O42+P42+O51*P51+O53*P53+O55*P55+O58*P58+O66*P66+O67*P67+O70*P70+O74*P74+O76*P76+O78*P78+O79*P79+O86*P86+O91*P91+O97*P97+O108*P108+O115*P115+O116*P116+O119*P119)/O9</f>
        <v>#REF!</v>
      </c>
      <c r="Q9" s="76" t="e">
        <f>P9/N9</f>
        <v>#REF!</v>
      </c>
    </row>
    <row r="10" spans="1:17" s="1" customFormat="1">
      <c r="A10" s="9" t="s">
        <v>10</v>
      </c>
      <c r="B10" s="18">
        <f>SUM(B11:B19)</f>
        <v>10847.223</v>
      </c>
      <c r="C10" s="18">
        <f>SUMPRODUCT(B11:B19,C11:C19)/B10</f>
        <v>30.85451204239094</v>
      </c>
      <c r="D10" s="18">
        <f>SUM(D11:D19)</f>
        <v>10847.223</v>
      </c>
      <c r="E10" s="18">
        <f>SUMPRODUCT(D11:D19,E11:E19)/D10</f>
        <v>32.957985309235369</v>
      </c>
      <c r="F10" s="77">
        <f>E10/C10</f>
        <v>1.0681739274941204</v>
      </c>
      <c r="G10" s="77"/>
      <c r="H10" s="18">
        <f>SUM(H11:H19)</f>
        <v>1059.278</v>
      </c>
      <c r="I10" s="18">
        <f>SUMPRODUCT(H11:H19,I11:I19)/H10</f>
        <v>21.57</v>
      </c>
      <c r="J10" s="18">
        <f>SUM(J11:J19)</f>
        <v>1059.278</v>
      </c>
      <c r="K10" s="18">
        <f>SUMPRODUCT(J11:J19,K11:K19)/J10</f>
        <v>22.580000000000002</v>
      </c>
      <c r="L10" s="77">
        <f>K10/I10</f>
        <v>1.0468242929995364</v>
      </c>
      <c r="M10" s="18">
        <f>SUM(M11:M19)</f>
        <v>12070.099999999999</v>
      </c>
      <c r="N10" s="18">
        <f>SUMPRODUCT(M11:M19,N11:N19)/M10</f>
        <v>24.118118872254584</v>
      </c>
      <c r="O10" s="18">
        <f>SUM(O11:O19)</f>
        <v>12070.099999999999</v>
      </c>
      <c r="P10" s="18">
        <f>SUMPRODUCT(O11:O19,P11:P19)/O10</f>
        <v>28.350053860365694</v>
      </c>
      <c r="Q10" s="77">
        <f>P10/N10</f>
        <v>1.1754670424557661</v>
      </c>
    </row>
    <row r="11" spans="1:17" s="1" customFormat="1">
      <c r="A11" s="166" t="s">
        <v>285</v>
      </c>
      <c r="B11" s="13">
        <f>18691.5/2</f>
        <v>9345.75</v>
      </c>
      <c r="C11" s="13">
        <v>23.89</v>
      </c>
      <c r="D11" s="13">
        <f t="shared" ref="D11:D19" si="0">B11</f>
        <v>9345.75</v>
      </c>
      <c r="E11" s="13">
        <v>25.3</v>
      </c>
      <c r="F11" s="78">
        <f t="shared" ref="F11:F19" si="1">(E11*D11)/(C11*B11)</f>
        <v>1.0590205106739221</v>
      </c>
      <c r="G11" s="78" t="s">
        <v>271</v>
      </c>
      <c r="H11" s="167">
        <f>66.269/2</f>
        <v>33.134500000000003</v>
      </c>
      <c r="I11" s="167">
        <v>21.57</v>
      </c>
      <c r="J11" s="167">
        <f>H11</f>
        <v>33.134500000000003</v>
      </c>
      <c r="K11" s="167">
        <v>22.58</v>
      </c>
      <c r="L11" s="78">
        <f>(K11*J11)/(I11*H11)</f>
        <v>1.0468242929995364</v>
      </c>
      <c r="M11" s="13">
        <f>21018.87/2</f>
        <v>10509.434999999999</v>
      </c>
      <c r="N11" s="13">
        <v>19.760000000000002</v>
      </c>
      <c r="O11" s="13">
        <f>M11</f>
        <v>10509.434999999999</v>
      </c>
      <c r="P11" s="13">
        <v>22.88</v>
      </c>
      <c r="Q11" s="78">
        <f>(P11*O11)/(N11*M11)</f>
        <v>1.1578947368421051</v>
      </c>
    </row>
    <row r="12" spans="1:17" s="1" customFormat="1">
      <c r="A12" s="7" t="s">
        <v>30</v>
      </c>
      <c r="B12" s="13">
        <f>7.79/2</f>
        <v>3.895</v>
      </c>
      <c r="C12" s="13">
        <v>9.7200000000000006</v>
      </c>
      <c r="D12" s="13">
        <f t="shared" si="0"/>
        <v>3.895</v>
      </c>
      <c r="E12" s="13">
        <v>10.199999999999999</v>
      </c>
      <c r="F12" s="78">
        <f t="shared" si="1"/>
        <v>1.0493827160493827</v>
      </c>
      <c r="G12" s="78" t="s">
        <v>271</v>
      </c>
      <c r="H12" s="15"/>
      <c r="I12" s="15"/>
      <c r="J12" s="15"/>
      <c r="K12" s="15"/>
      <c r="L12" s="78"/>
      <c r="M12" s="13"/>
      <c r="N12" s="13"/>
      <c r="O12" s="13"/>
      <c r="P12" s="13"/>
      <c r="Q12" s="78"/>
    </row>
    <row r="13" spans="1:17" s="1" customFormat="1">
      <c r="A13" s="7" t="s">
        <v>27</v>
      </c>
      <c r="B13" s="13">
        <f>1117.41/2</f>
        <v>558.70500000000004</v>
      </c>
      <c r="C13" s="13">
        <v>135.32</v>
      </c>
      <c r="D13" s="13">
        <f t="shared" si="0"/>
        <v>558.70500000000004</v>
      </c>
      <c r="E13" s="13">
        <v>148.69</v>
      </c>
      <c r="F13" s="78">
        <f t="shared" si="1"/>
        <v>1.0988028377180019</v>
      </c>
      <c r="G13" s="78" t="s">
        <v>271</v>
      </c>
      <c r="H13" s="15">
        <f>847.45/2</f>
        <v>423.72500000000002</v>
      </c>
      <c r="I13" s="15">
        <v>21.57</v>
      </c>
      <c r="J13" s="15">
        <f>H13</f>
        <v>423.72500000000002</v>
      </c>
      <c r="K13" s="15">
        <v>22.58</v>
      </c>
      <c r="L13" s="78">
        <f t="shared" ref="L13:L15" si="2">(K13*J13)/(I13*H13)</f>
        <v>1.0468242929995362</v>
      </c>
      <c r="M13" s="13">
        <f>906/2</f>
        <v>453</v>
      </c>
      <c r="N13" s="13">
        <v>111.34</v>
      </c>
      <c r="O13" s="13">
        <f>M13</f>
        <v>453</v>
      </c>
      <c r="P13" s="13">
        <v>148.13</v>
      </c>
      <c r="Q13" s="78">
        <f t="shared" ref="Q13" si="3">(P13*O13)/(N13*M13)</f>
        <v>1.3304293156098437</v>
      </c>
    </row>
    <row r="14" spans="1:17" s="1" customFormat="1">
      <c r="A14" s="7" t="s">
        <v>28</v>
      </c>
      <c r="B14" s="13">
        <f>5.8/2</f>
        <v>2.9</v>
      </c>
      <c r="C14" s="13">
        <v>57.32</v>
      </c>
      <c r="D14" s="13">
        <f t="shared" si="0"/>
        <v>2.9</v>
      </c>
      <c r="E14" s="13">
        <v>60</v>
      </c>
      <c r="F14" s="78">
        <f t="shared" si="1"/>
        <v>1.0467550593161199</v>
      </c>
      <c r="G14" s="78" t="s">
        <v>271</v>
      </c>
      <c r="H14" s="15"/>
      <c r="I14" s="15"/>
      <c r="J14" s="15"/>
      <c r="K14" s="15"/>
      <c r="L14" s="78"/>
      <c r="M14" s="13"/>
      <c r="N14" s="13"/>
      <c r="O14" s="13"/>
      <c r="P14" s="13"/>
      <c r="Q14" s="78"/>
    </row>
    <row r="15" spans="1:17" s="1" customFormat="1">
      <c r="A15" s="8" t="s">
        <v>11</v>
      </c>
      <c r="B15" s="13">
        <f>1387.91/2</f>
        <v>693.95500000000004</v>
      </c>
      <c r="C15" s="13">
        <v>38.76</v>
      </c>
      <c r="D15" s="13">
        <f t="shared" si="0"/>
        <v>693.95500000000004</v>
      </c>
      <c r="E15" s="13">
        <v>40.57</v>
      </c>
      <c r="F15" s="78">
        <f t="shared" si="1"/>
        <v>1.0466976264189887</v>
      </c>
      <c r="G15" s="78" t="s">
        <v>271</v>
      </c>
      <c r="H15" s="16">
        <f>1194.27/2</f>
        <v>597.13499999999999</v>
      </c>
      <c r="I15" s="16">
        <v>21.57</v>
      </c>
      <c r="J15" s="15">
        <f>H15</f>
        <v>597.13499999999999</v>
      </c>
      <c r="K15" s="16">
        <v>22.58</v>
      </c>
      <c r="L15" s="78">
        <f t="shared" si="2"/>
        <v>1.0468242929995362</v>
      </c>
      <c r="M15" s="13">
        <f>1827.73/2</f>
        <v>913.86500000000001</v>
      </c>
      <c r="N15" s="13">
        <v>26.12</v>
      </c>
      <c r="O15" s="13">
        <f>M15</f>
        <v>913.86500000000001</v>
      </c>
      <c r="P15" s="13">
        <v>27.36</v>
      </c>
      <c r="Q15" s="78">
        <f>(P15*O15)/(N15*M15)</f>
        <v>1.0474732006125573</v>
      </c>
    </row>
    <row r="16" spans="1:17">
      <c r="A16" s="8" t="s">
        <v>12</v>
      </c>
      <c r="B16" s="13">
        <f>62.1/2</f>
        <v>31.05</v>
      </c>
      <c r="C16" s="13">
        <v>18.079999999999998</v>
      </c>
      <c r="D16" s="13">
        <f t="shared" si="0"/>
        <v>31.05</v>
      </c>
      <c r="E16" s="13">
        <v>35.36</v>
      </c>
      <c r="F16" s="78">
        <f t="shared" si="1"/>
        <v>1.9557522123893807</v>
      </c>
      <c r="G16" s="78" t="s">
        <v>271</v>
      </c>
      <c r="H16" s="15"/>
      <c r="I16" s="15"/>
      <c r="J16" s="15"/>
      <c r="K16" s="15"/>
      <c r="L16" s="78"/>
      <c r="M16" s="13"/>
      <c r="N16" s="13"/>
      <c r="O16" s="13">
        <f>M16</f>
        <v>0</v>
      </c>
      <c r="P16" s="13"/>
      <c r="Q16" s="78"/>
    </row>
    <row r="17" spans="1:18">
      <c r="A17" s="8" t="s">
        <v>15</v>
      </c>
      <c r="B17" s="13">
        <f>(255.069+3.687)/2</f>
        <v>129.37799999999999</v>
      </c>
      <c r="C17" s="13">
        <v>32.71</v>
      </c>
      <c r="D17" s="13">
        <f t="shared" si="0"/>
        <v>129.37799999999999</v>
      </c>
      <c r="E17" s="13">
        <v>34.159999999999997</v>
      </c>
      <c r="F17" s="78">
        <f t="shared" si="1"/>
        <v>1.0443289513910119</v>
      </c>
      <c r="G17" s="78" t="s">
        <v>271</v>
      </c>
      <c r="H17" s="15">
        <f>3.687/2</f>
        <v>1.8434999999999999</v>
      </c>
      <c r="I17" s="15">
        <v>21.57</v>
      </c>
      <c r="J17" s="15">
        <f>H17</f>
        <v>1.8434999999999999</v>
      </c>
      <c r="K17" s="15">
        <v>22.58</v>
      </c>
      <c r="L17" s="78">
        <f>(K17*J17)/(I17*H17)</f>
        <v>1.0468242929995364</v>
      </c>
      <c r="M17" s="13">
        <f>(184.8)/2</f>
        <v>92.4</v>
      </c>
      <c r="N17" s="13">
        <v>52.27</v>
      </c>
      <c r="O17" s="13">
        <f>M17</f>
        <v>92.4</v>
      </c>
      <c r="P17" s="13">
        <v>55.52</v>
      </c>
      <c r="Q17" s="78">
        <f>(P17*O17)/(N17*M17)</f>
        <v>1.0621771570690646</v>
      </c>
    </row>
    <row r="18" spans="1:18">
      <c r="A18" s="8" t="s">
        <v>53</v>
      </c>
      <c r="B18" s="13">
        <f>125.6/2</f>
        <v>62.8</v>
      </c>
      <c r="C18" s="13">
        <v>46.66</v>
      </c>
      <c r="D18" s="13">
        <f>B18</f>
        <v>62.8</v>
      </c>
      <c r="E18" s="13">
        <v>49.52</v>
      </c>
      <c r="F18" s="78">
        <f t="shared" si="1"/>
        <v>1.0612944706386629</v>
      </c>
      <c r="G18" s="78" t="s">
        <v>271</v>
      </c>
      <c r="H18" s="13">
        <f>6.88/2</f>
        <v>3.44</v>
      </c>
      <c r="I18" s="13">
        <v>21.57</v>
      </c>
      <c r="J18" s="13">
        <f>H18</f>
        <v>3.44</v>
      </c>
      <c r="K18" s="13">
        <v>22.58</v>
      </c>
      <c r="L18" s="78">
        <f t="shared" ref="L18" si="4">(K18*J18)/(I18*H18)</f>
        <v>1.0468242929995362</v>
      </c>
      <c r="M18" s="13">
        <f>127.02/2</f>
        <v>63.51</v>
      </c>
      <c r="N18" s="13">
        <v>44.74</v>
      </c>
      <c r="O18" s="13">
        <f>M18</f>
        <v>63.51</v>
      </c>
      <c r="P18" s="13">
        <v>47.51</v>
      </c>
      <c r="Q18" s="78">
        <f t="shared" ref="Q18" si="5">(P18*O18)/(N18*M18)</f>
        <v>1.0619132767098791</v>
      </c>
      <c r="R18" t="s">
        <v>294</v>
      </c>
    </row>
    <row r="19" spans="1:18">
      <c r="A19" s="8" t="s">
        <v>13</v>
      </c>
      <c r="B19" s="13">
        <f>37.58/2</f>
        <v>18.79</v>
      </c>
      <c r="C19" s="13">
        <v>52.5</v>
      </c>
      <c r="D19" s="13">
        <f t="shared" si="0"/>
        <v>18.79</v>
      </c>
      <c r="E19" s="13">
        <v>52.5</v>
      </c>
      <c r="F19" s="78">
        <f t="shared" si="1"/>
        <v>1</v>
      </c>
      <c r="G19" s="78"/>
      <c r="H19" s="15"/>
      <c r="I19" s="15"/>
      <c r="J19" s="15"/>
      <c r="K19" s="15"/>
      <c r="L19" s="78"/>
      <c r="M19" s="13">
        <f>75.78/2</f>
        <v>37.89</v>
      </c>
      <c r="N19" s="13">
        <v>38.619999999999997</v>
      </c>
      <c r="O19" s="13">
        <f>M19</f>
        <v>37.89</v>
      </c>
      <c r="P19" s="13">
        <v>39.020000000000003</v>
      </c>
      <c r="Q19" s="78">
        <f>(P19*O19)/(N19*M19)</f>
        <v>1.0103573278094253</v>
      </c>
    </row>
    <row r="20" spans="1:18">
      <c r="A20" s="10" t="s">
        <v>31</v>
      </c>
      <c r="B20" s="18" t="e">
        <f>SUM(#REF!)</f>
        <v>#REF!</v>
      </c>
      <c r="C20" s="18" t="e">
        <f>SUMPRODUCT(#REF!,#REF!)/B20</f>
        <v>#REF!</v>
      </c>
      <c r="D20" s="18" t="e">
        <f>SUM(#REF!)</f>
        <v>#REF!</v>
      </c>
      <c r="E20" s="18" t="e">
        <f>SUMPRODUCT(#REF!,#REF!)/D20</f>
        <v>#REF!</v>
      </c>
      <c r="F20" s="77" t="e">
        <f>E20/C20</f>
        <v>#REF!</v>
      </c>
      <c r="G20" s="77"/>
      <c r="H20" s="18"/>
      <c r="I20" s="18"/>
      <c r="J20" s="18"/>
      <c r="K20" s="18"/>
      <c r="L20" s="77"/>
      <c r="M20" s="18" t="e">
        <f>SUM(#REF!)</f>
        <v>#REF!</v>
      </c>
      <c r="N20" s="18" t="e">
        <f>SUMPRODUCT(#REF!,#REF!)/M20</f>
        <v>#REF!</v>
      </c>
      <c r="O20" s="18" t="e">
        <f>SUM(#REF!)</f>
        <v>#REF!</v>
      </c>
      <c r="P20" s="18" t="e">
        <f>SUMPRODUCT(#REF!,#REF!)/O20</f>
        <v>#REF!</v>
      </c>
      <c r="Q20" s="77" t="e">
        <f>P20/N20</f>
        <v>#REF!</v>
      </c>
      <c r="R20" s="159"/>
    </row>
    <row r="21" spans="1:18">
      <c r="A21" s="10" t="s">
        <v>55</v>
      </c>
      <c r="B21" s="18">
        <f>SUM(B22:B24)</f>
        <v>2063.4050000000002</v>
      </c>
      <c r="C21" s="18">
        <f>SUMPRODUCT(B22:B24,C22:C24)/B21</f>
        <v>34.540719611515911</v>
      </c>
      <c r="D21" s="18">
        <f>SUM(D22:D24)</f>
        <v>2063.4050000000002</v>
      </c>
      <c r="E21" s="18">
        <f>SUMPRODUCT(D22:D24,E22:E24)/D21</f>
        <v>36.648427187100928</v>
      </c>
      <c r="F21" s="77">
        <f>E21/C21</f>
        <v>1.061020951482502</v>
      </c>
      <c r="G21" s="77"/>
      <c r="H21" s="18">
        <f>SUM(H22:H24)</f>
        <v>950.94499999999994</v>
      </c>
      <c r="I21" s="18">
        <f>SUMPRODUCT(H22:H24,I22:I24)/H21</f>
        <v>20.93</v>
      </c>
      <c r="J21" s="18">
        <f>SUM(J22:J24)</f>
        <v>950.94499999999994</v>
      </c>
      <c r="K21" s="18">
        <f>SUMPRODUCT(J22:J24,K22:K24)/J21</f>
        <v>21.949328720378151</v>
      </c>
      <c r="L21" s="77">
        <f>K21/I21</f>
        <v>1.0487018022158696</v>
      </c>
      <c r="M21" s="18">
        <f>SUM(M22:M24)</f>
        <v>1945.2950000000001</v>
      </c>
      <c r="N21" s="18">
        <f>SUMPRODUCT(M22:M24,N22:N24)/M21</f>
        <v>27.691892052362235</v>
      </c>
      <c r="O21" s="18">
        <f>SUM(O22:O24)</f>
        <v>1945.2950000000001</v>
      </c>
      <c r="P21" s="18">
        <f>SUMPRODUCT(O22:O24,P22:P24)/O21</f>
        <v>29.914735271514086</v>
      </c>
      <c r="Q21" s="77">
        <f>P21/N21</f>
        <v>1.0802705432676361</v>
      </c>
    </row>
    <row r="22" spans="1:18" hidden="1">
      <c r="A22" s="2" t="s">
        <v>56</v>
      </c>
      <c r="B22" s="13">
        <f>2180.07/2</f>
        <v>1090.0350000000001</v>
      </c>
      <c r="C22" s="13">
        <v>20.93</v>
      </c>
      <c r="D22" s="13">
        <f>B22</f>
        <v>1090.0350000000001</v>
      </c>
      <c r="E22" s="13">
        <v>21.92</v>
      </c>
      <c r="F22" s="78">
        <f>(E22*D22)/(C22*B22)</f>
        <v>1.0473005255613952</v>
      </c>
      <c r="G22" s="78" t="s">
        <v>226</v>
      </c>
      <c r="H22" s="22">
        <f>1790.33/2</f>
        <v>895.16499999999996</v>
      </c>
      <c r="I22" s="22">
        <v>20.93</v>
      </c>
      <c r="J22" s="22">
        <f>H22</f>
        <v>895.16499999999996</v>
      </c>
      <c r="K22" s="22">
        <v>21.92</v>
      </c>
      <c r="L22" s="78">
        <f t="shared" ref="L22:L23" si="6">(K22*J22)/(I22*H22)</f>
        <v>1.0473005255613952</v>
      </c>
      <c r="M22" s="13">
        <f>2024.78/2</f>
        <v>1012.39</v>
      </c>
      <c r="N22" s="13">
        <v>18.59</v>
      </c>
      <c r="O22" s="13">
        <f>M22</f>
        <v>1012.39</v>
      </c>
      <c r="P22" s="13">
        <v>20.66</v>
      </c>
      <c r="Q22" s="78">
        <f>(P22*O22)/(N22*M22)</f>
        <v>1.1113501882732653</v>
      </c>
    </row>
    <row r="23" spans="1:18" hidden="1">
      <c r="A23" s="2" t="s">
        <v>57</v>
      </c>
      <c r="B23" s="13">
        <f>396.74/2</f>
        <v>198.37</v>
      </c>
      <c r="C23" s="13">
        <v>40.299999999999997</v>
      </c>
      <c r="D23" s="13">
        <f>B23</f>
        <v>198.37</v>
      </c>
      <c r="E23" s="13">
        <v>43.11</v>
      </c>
      <c r="F23" s="78">
        <f>(E23*D23)/(C23*B23)</f>
        <v>1.069727047146402</v>
      </c>
      <c r="G23" s="78" t="s">
        <v>226</v>
      </c>
      <c r="H23" s="22">
        <f>111.56/2</f>
        <v>55.78</v>
      </c>
      <c r="I23" s="22">
        <v>20.93</v>
      </c>
      <c r="J23" s="22">
        <f t="shared" ref="J23" si="7">H23</f>
        <v>55.78</v>
      </c>
      <c r="K23" s="22">
        <v>22.42</v>
      </c>
      <c r="L23" s="78">
        <f t="shared" si="6"/>
        <v>1.071189679885332</v>
      </c>
      <c r="M23" s="13">
        <f>580.81/2</f>
        <v>290.40499999999997</v>
      </c>
      <c r="N23" s="13">
        <v>28.01</v>
      </c>
      <c r="O23" s="13">
        <f t="shared" ref="O23:O24" si="8">M23</f>
        <v>290.40499999999997</v>
      </c>
      <c r="P23" s="13">
        <v>29.71</v>
      </c>
      <c r="Q23" s="78">
        <f t="shared" ref="Q23:Q24" si="9">(P23*O23)/(N23*M23)</f>
        <v>1.0606926097822207</v>
      </c>
    </row>
    <row r="24" spans="1:18" hidden="1">
      <c r="A24" s="2" t="s">
        <v>57</v>
      </c>
      <c r="B24" s="13">
        <v>775</v>
      </c>
      <c r="C24" s="13">
        <v>52.21</v>
      </c>
      <c r="D24" s="13">
        <f>B24</f>
        <v>775</v>
      </c>
      <c r="E24" s="13">
        <v>55.71</v>
      </c>
      <c r="F24" s="78">
        <f>(E24*D24)/(C24*B24)</f>
        <v>1.0670369660984487</v>
      </c>
      <c r="G24" s="78"/>
      <c r="H24" s="22"/>
      <c r="I24" s="22"/>
      <c r="J24" s="22"/>
      <c r="K24" s="22"/>
      <c r="L24" s="78"/>
      <c r="M24" s="13">
        <f>1285/2</f>
        <v>642.5</v>
      </c>
      <c r="N24" s="13">
        <v>41.89</v>
      </c>
      <c r="O24" s="13">
        <f t="shared" si="8"/>
        <v>642.5</v>
      </c>
      <c r="P24" s="13">
        <v>44.59</v>
      </c>
      <c r="Q24" s="78">
        <f t="shared" si="9"/>
        <v>1.0644545237526857</v>
      </c>
    </row>
    <row r="25" spans="1:18" s="1" customFormat="1">
      <c r="A25" s="10" t="s">
        <v>14</v>
      </c>
      <c r="B25" s="20">
        <f>SUM(B26:B28)</f>
        <v>1920.192</v>
      </c>
      <c r="C25" s="20">
        <f>SUMPRODUCT(B26:B28,C26:C28)/B25</f>
        <v>10.247535871412859</v>
      </c>
      <c r="D25" s="20">
        <f>SUM(D26:D28)</f>
        <v>1920.192</v>
      </c>
      <c r="E25" s="20">
        <f>SUMPRODUCT(D26:D28,E26:E28)/D25</f>
        <v>10.308914108589143</v>
      </c>
      <c r="F25" s="79">
        <f>E25/C25</f>
        <v>1.0059895606072</v>
      </c>
      <c r="G25" s="79"/>
      <c r="H25" s="20">
        <f>SUM(H26:H28)</f>
        <v>726.42499999999995</v>
      </c>
      <c r="I25" s="20">
        <f>SUMPRODUCT(H26:H28,I26:I28)/H25</f>
        <v>17.2</v>
      </c>
      <c r="J25" s="20">
        <f>SUM(J26:J28)</f>
        <v>726.42499999999995</v>
      </c>
      <c r="K25" s="20">
        <f>SUMPRODUCT(J26:J28,K26:K28)/J25</f>
        <v>17.3</v>
      </c>
      <c r="L25" s="79">
        <f>K25/I25</f>
        <v>1.0058139534883721</v>
      </c>
      <c r="M25" s="18">
        <f>SUM(M26:M28)</f>
        <v>1977.0435000000002</v>
      </c>
      <c r="N25" s="18">
        <f>SUMPRODUCT(M26:M28,N26:N28)/M25</f>
        <v>14.11663817715695</v>
      </c>
      <c r="O25" s="18">
        <f>SUM(O26:O28)</f>
        <v>1977.0435000000002</v>
      </c>
      <c r="P25" s="18">
        <f>SUMPRODUCT(O26:O28,P26:P28)/O25</f>
        <v>15.078327629108816</v>
      </c>
      <c r="Q25" s="77">
        <f>P25/N25</f>
        <v>1.0681245378597319</v>
      </c>
    </row>
    <row r="26" spans="1:18">
      <c r="A26" s="2" t="s">
        <v>16</v>
      </c>
      <c r="B26" s="13">
        <v>709.11199999999997</v>
      </c>
      <c r="C26" s="13">
        <v>5.45</v>
      </c>
      <c r="D26" s="13">
        <f>B26</f>
        <v>709.11199999999997</v>
      </c>
      <c r="E26" s="13">
        <v>5.45</v>
      </c>
      <c r="F26" s="78">
        <f>(E26*D26)/(C26*B26)</f>
        <v>1</v>
      </c>
      <c r="G26" s="78"/>
      <c r="H26" s="16"/>
      <c r="I26" s="16"/>
      <c r="J26" s="16"/>
      <c r="K26" s="16"/>
      <c r="L26" s="78"/>
      <c r="M26" s="13">
        <v>726.18700000000001</v>
      </c>
      <c r="N26" s="13">
        <v>8.84</v>
      </c>
      <c r="O26" s="13">
        <f>M26</f>
        <v>726.18700000000001</v>
      </c>
      <c r="P26" s="13">
        <v>8.84</v>
      </c>
      <c r="Q26" s="78">
        <f>(P26*O26)/(N26*M26)</f>
        <v>1</v>
      </c>
    </row>
    <row r="27" spans="1:18">
      <c r="A27" s="2" t="s">
        <v>16</v>
      </c>
      <c r="B27" s="13">
        <v>325</v>
      </c>
      <c r="C27" s="13">
        <v>1.76</v>
      </c>
      <c r="D27" s="13">
        <v>325</v>
      </c>
      <c r="E27" s="13">
        <v>1.85</v>
      </c>
      <c r="F27" s="78">
        <f>(E27*D27)/(C27*B27)</f>
        <v>1.0511363636363635</v>
      </c>
      <c r="G27" s="78"/>
      <c r="H27" s="16"/>
      <c r="I27" s="16"/>
      <c r="J27" s="16"/>
      <c r="K27" s="16"/>
      <c r="L27" s="78"/>
      <c r="M27" s="13"/>
      <c r="N27" s="13"/>
      <c r="O27" s="13"/>
      <c r="P27" s="13"/>
      <c r="Q27" s="78"/>
    </row>
    <row r="28" spans="1:18">
      <c r="A28" s="2" t="s">
        <v>17</v>
      </c>
      <c r="B28" s="13">
        <v>886.08</v>
      </c>
      <c r="C28" s="13">
        <v>17.2</v>
      </c>
      <c r="D28" s="13">
        <f>B28</f>
        <v>886.08</v>
      </c>
      <c r="E28" s="13">
        <v>17.3</v>
      </c>
      <c r="F28" s="78">
        <f>(E28*D28)/(C28*B28)</f>
        <v>1.0058139534883721</v>
      </c>
      <c r="G28" s="78"/>
      <c r="H28" s="16">
        <v>726.42499999999995</v>
      </c>
      <c r="I28" s="16">
        <v>17.2</v>
      </c>
      <c r="J28" s="16">
        <f>H28</f>
        <v>726.42499999999995</v>
      </c>
      <c r="K28" s="16">
        <v>17.3</v>
      </c>
      <c r="L28" s="78">
        <f t="shared" ref="L28" si="10">(K28*J28)/(I28*H28)</f>
        <v>1.0058139534883723</v>
      </c>
      <c r="M28" s="13">
        <f>2501.713/2</f>
        <v>1250.8565000000001</v>
      </c>
      <c r="N28" s="13">
        <v>17.18</v>
      </c>
      <c r="O28" s="13">
        <f>M28</f>
        <v>1250.8565000000001</v>
      </c>
      <c r="P28" s="13">
        <v>18.7</v>
      </c>
      <c r="Q28" s="78">
        <f>(P28*O28)/(N28*M28)</f>
        <v>1.088474970896391</v>
      </c>
    </row>
    <row r="29" spans="1:18">
      <c r="A29" s="10" t="s">
        <v>180</v>
      </c>
      <c r="B29" s="53">
        <f>SUM(B30:B36)</f>
        <v>14057.858999999999</v>
      </c>
      <c r="C29" s="53">
        <f>SUMPRODUCT(B30:B36,C30:C36)/B29</f>
        <v>22.253153259682005</v>
      </c>
      <c r="D29" s="53">
        <f>SUM(D30:D36)</f>
        <v>14057.858999999999</v>
      </c>
      <c r="E29" s="53">
        <f>SUMPRODUCT(D30:D36,E30:E36)/D29</f>
        <v>23.396490445664597</v>
      </c>
      <c r="F29" s="80">
        <f>E29/C29</f>
        <v>1.0513786595832275</v>
      </c>
      <c r="G29" s="80"/>
      <c r="H29" s="53">
        <f>SUM(H30:H36)</f>
        <v>3254.8249999999998</v>
      </c>
      <c r="I29" s="53">
        <f>SUMPRODUCT(H30:H36,I30:I36)/H29</f>
        <v>22.297321054127334</v>
      </c>
      <c r="J29" s="53">
        <f>SUM(J30:J36)</f>
        <v>3254.8249999999998</v>
      </c>
      <c r="K29" s="53">
        <f>SUMPRODUCT(J30:J36,K30:K36)/J29</f>
        <v>23.47</v>
      </c>
      <c r="L29" s="80">
        <f>K29/I29</f>
        <v>1.0525928179006776</v>
      </c>
      <c r="M29" s="53">
        <f>SUM(M30:M36)</f>
        <v>10083.5365</v>
      </c>
      <c r="N29" s="53">
        <f>SUMPRODUCT(M30:M36,N30:N36)/M29</f>
        <v>22.653672788311916</v>
      </c>
      <c r="O29" s="53">
        <f>SUM(O30:O36)</f>
        <v>10083.5365</v>
      </c>
      <c r="P29" s="53">
        <f>SUMPRODUCT(O30:O36,P30:P36)/O29</f>
        <v>23.752836426485885</v>
      </c>
      <c r="Q29" s="80">
        <f>P29/N29</f>
        <v>1.048520328180121</v>
      </c>
    </row>
    <row r="30" spans="1:18">
      <c r="A30" s="6" t="s">
        <v>181</v>
      </c>
      <c r="B30" s="57">
        <f>25724.898/2-3100/2</f>
        <v>11312.449000000001</v>
      </c>
      <c r="C30" s="57">
        <v>22.27</v>
      </c>
      <c r="D30" s="57">
        <f>B30</f>
        <v>11312.449000000001</v>
      </c>
      <c r="E30" s="57">
        <v>23.47</v>
      </c>
      <c r="F30" s="81">
        <f>(E30*D30)/(C30*B30)</f>
        <v>1.053884149079479</v>
      </c>
      <c r="G30" s="81"/>
      <c r="H30" s="54">
        <f>5323.98/2</f>
        <v>2661.99</v>
      </c>
      <c r="I30" s="54">
        <v>22.27</v>
      </c>
      <c r="J30" s="54">
        <f>H30</f>
        <v>2661.99</v>
      </c>
      <c r="K30" s="54">
        <v>23.47</v>
      </c>
      <c r="L30" s="83">
        <f>(K30*J30)/(I30*H30)</f>
        <v>1.053884149079479</v>
      </c>
      <c r="M30" s="54">
        <f>17258/2</f>
        <v>8629</v>
      </c>
      <c r="N30" s="54">
        <v>22.13</v>
      </c>
      <c r="O30" s="54">
        <f>M30</f>
        <v>8629</v>
      </c>
      <c r="P30" s="54">
        <v>23.24</v>
      </c>
      <c r="Q30" s="83">
        <f>(P30*O30)/(N30*M30)</f>
        <v>1.0501581563488478</v>
      </c>
    </row>
    <row r="31" spans="1:18">
      <c r="A31" s="6" t="s">
        <v>182</v>
      </c>
      <c r="B31" s="57">
        <f>2510/2</f>
        <v>1255</v>
      </c>
      <c r="C31" s="57">
        <v>2.1</v>
      </c>
      <c r="D31" s="57">
        <f>B31</f>
        <v>1255</v>
      </c>
      <c r="E31" s="57">
        <v>2.96</v>
      </c>
      <c r="F31" s="81">
        <f>(E31*D31)/(C31*B31)</f>
        <v>1.4095238095238096</v>
      </c>
      <c r="G31" s="81"/>
      <c r="H31" s="54"/>
      <c r="I31" s="54"/>
      <c r="J31" s="54"/>
      <c r="K31" s="54"/>
      <c r="L31" s="85"/>
      <c r="M31" s="54"/>
      <c r="N31" s="54"/>
      <c r="O31" s="54"/>
      <c r="P31" s="54"/>
      <c r="Q31" s="85"/>
    </row>
    <row r="32" spans="1:18" hidden="1">
      <c r="A32" s="2" t="s">
        <v>188</v>
      </c>
      <c r="B32" s="11">
        <f>2.09/2</f>
        <v>1.0449999999999999</v>
      </c>
      <c r="C32" s="11">
        <v>5.62</v>
      </c>
      <c r="D32" s="11">
        <f>B32</f>
        <v>1.0449999999999999</v>
      </c>
      <c r="E32" s="11">
        <v>5.77</v>
      </c>
      <c r="F32" s="82">
        <f>(E32*D32)/(C32*B32)</f>
        <v>1.0266903914590746</v>
      </c>
      <c r="G32" s="82"/>
      <c r="H32" s="13"/>
      <c r="I32" s="13"/>
      <c r="J32" s="13"/>
      <c r="K32" s="13"/>
      <c r="L32" s="78"/>
      <c r="M32" s="13"/>
      <c r="N32" s="13"/>
      <c r="O32" s="13"/>
      <c r="P32" s="13"/>
      <c r="Q32" s="78"/>
    </row>
    <row r="33" spans="1:18" hidden="1">
      <c r="A33" s="2" t="s">
        <v>53</v>
      </c>
      <c r="B33" s="11">
        <f>136.84/2</f>
        <v>68.42</v>
      </c>
      <c r="C33" s="11">
        <v>75.14</v>
      </c>
      <c r="D33" s="11">
        <f>B33</f>
        <v>68.42</v>
      </c>
      <c r="E33" s="11">
        <v>76.77</v>
      </c>
      <c r="F33" s="82">
        <f t="shared" ref="F33:F35" si="11">(E33*D33)/(C33*B33)</f>
        <v>1.0216928400319403</v>
      </c>
      <c r="G33" s="82"/>
      <c r="H33" s="13"/>
      <c r="I33" s="13"/>
      <c r="J33" s="13"/>
      <c r="K33" s="13"/>
      <c r="L33" s="78"/>
      <c r="M33" s="13">
        <f>136.84/2</f>
        <v>68.42</v>
      </c>
      <c r="N33" s="13">
        <v>72.7</v>
      </c>
      <c r="O33" s="13">
        <f>M33</f>
        <v>68.42</v>
      </c>
      <c r="P33" s="13">
        <v>76.040000000000006</v>
      </c>
      <c r="Q33" s="78">
        <f t="shared" ref="Q33:Q35" si="12">(P33*O33)/(N33*M33)</f>
        <v>1.0459422283356259</v>
      </c>
    </row>
    <row r="34" spans="1:18">
      <c r="A34" s="2" t="s">
        <v>189</v>
      </c>
      <c r="B34" s="11">
        <f>98.19/2</f>
        <v>49.094999999999999</v>
      </c>
      <c r="C34" s="11">
        <v>87.02</v>
      </c>
      <c r="D34" s="11">
        <f t="shared" ref="D34:D35" si="13">B34</f>
        <v>49.094999999999999</v>
      </c>
      <c r="E34" s="11">
        <v>96.16</v>
      </c>
      <c r="F34" s="82">
        <f t="shared" si="11"/>
        <v>1.1050333256722591</v>
      </c>
      <c r="G34" s="82" t="s">
        <v>228</v>
      </c>
      <c r="H34" s="13">
        <f>29.56/2</f>
        <v>14.78</v>
      </c>
      <c r="I34" s="13">
        <v>22.42</v>
      </c>
      <c r="J34" s="13">
        <f t="shared" ref="J34:J35" si="14">H34</f>
        <v>14.78</v>
      </c>
      <c r="K34" s="13">
        <v>23.47</v>
      </c>
      <c r="L34" s="78">
        <f t="shared" ref="L34:L36" si="15">(K34*J34)/(I34*H34)</f>
        <v>1.0468331846565564</v>
      </c>
      <c r="M34" s="13">
        <f>69.6/2</f>
        <v>34.799999999999997</v>
      </c>
      <c r="N34" s="13">
        <v>54.98</v>
      </c>
      <c r="O34" s="13">
        <f t="shared" ref="O34:O35" si="16">M34</f>
        <v>34.799999999999997</v>
      </c>
      <c r="P34" s="13">
        <v>59.27</v>
      </c>
      <c r="Q34" s="78">
        <f t="shared" si="12"/>
        <v>1.0780283739541654</v>
      </c>
      <c r="R34" t="s">
        <v>294</v>
      </c>
    </row>
    <row r="35" spans="1:18" hidden="1">
      <c r="A35" s="2" t="s">
        <v>190</v>
      </c>
      <c r="B35" s="11">
        <f>56.1/2</f>
        <v>28.05</v>
      </c>
      <c r="C35" s="11">
        <v>40.299999999999997</v>
      </c>
      <c r="D35" s="11">
        <f t="shared" si="13"/>
        <v>28.05</v>
      </c>
      <c r="E35" s="11">
        <v>43.11</v>
      </c>
      <c r="F35" s="82">
        <f t="shared" si="11"/>
        <v>1.069727047146402</v>
      </c>
      <c r="G35" s="82" t="s">
        <v>228</v>
      </c>
      <c r="H35" s="13">
        <f>36.11/2</f>
        <v>18.055</v>
      </c>
      <c r="I35" s="13">
        <v>22.42</v>
      </c>
      <c r="J35" s="13">
        <f t="shared" si="14"/>
        <v>18.055</v>
      </c>
      <c r="K35" s="13">
        <v>23.47</v>
      </c>
      <c r="L35" s="78">
        <f t="shared" si="15"/>
        <v>1.0468331846565564</v>
      </c>
      <c r="M35" s="13">
        <f>73.9/2</f>
        <v>36.950000000000003</v>
      </c>
      <c r="N35" s="13">
        <v>28.01</v>
      </c>
      <c r="O35" s="13">
        <f t="shared" si="16"/>
        <v>36.950000000000003</v>
      </c>
      <c r="P35" s="13">
        <v>29.71</v>
      </c>
      <c r="Q35" s="78">
        <f t="shared" si="12"/>
        <v>1.0606926097822207</v>
      </c>
    </row>
    <row r="36" spans="1:18">
      <c r="A36" s="6" t="s">
        <v>280</v>
      </c>
      <c r="B36" s="57">
        <f>2687.6/2</f>
        <v>1343.8</v>
      </c>
      <c r="C36" s="57">
        <v>35.51</v>
      </c>
      <c r="D36" s="57">
        <f>B36</f>
        <v>1343.8</v>
      </c>
      <c r="E36" s="57">
        <v>36.090000000000003</v>
      </c>
      <c r="F36" s="81">
        <f>(E36*D36)/(C36*B36)</f>
        <v>1.0163334272036049</v>
      </c>
      <c r="G36" s="81" t="s">
        <v>228</v>
      </c>
      <c r="H36" s="54">
        <f>1120/2</f>
        <v>560</v>
      </c>
      <c r="I36" s="54">
        <v>22.42</v>
      </c>
      <c r="J36" s="54">
        <f>H36</f>
        <v>560</v>
      </c>
      <c r="K36" s="54">
        <v>23.47</v>
      </c>
      <c r="L36" s="83">
        <f t="shared" si="15"/>
        <v>1.0468331846565564</v>
      </c>
      <c r="M36" s="54">
        <f>2628.733/2</f>
        <v>1314.3665000000001</v>
      </c>
      <c r="N36" s="54">
        <v>22.48</v>
      </c>
      <c r="O36" s="54">
        <f>M36</f>
        <v>1314.3665000000001</v>
      </c>
      <c r="P36" s="54">
        <v>23.29</v>
      </c>
      <c r="Q36" s="83">
        <f>(P36*O36)/(N36*M36)</f>
        <v>1.0360320284697508</v>
      </c>
    </row>
    <row r="37" spans="1:18">
      <c r="A37" s="10" t="s">
        <v>184</v>
      </c>
      <c r="B37" s="53">
        <f>SUM(B38:B41)</f>
        <v>13.5</v>
      </c>
      <c r="C37" s="53">
        <f>SUMPRODUCT(B38:B41,C38:C41)/B37</f>
        <v>40.299999999999997</v>
      </c>
      <c r="D37" s="53">
        <f>SUM(D38:D41)</f>
        <v>13.5</v>
      </c>
      <c r="E37" s="53">
        <f>SUMPRODUCT(D38:D41,E38:E41)/D37</f>
        <v>43.11</v>
      </c>
      <c r="F37" s="80">
        <f>E37/C37</f>
        <v>1.069727047146402</v>
      </c>
      <c r="G37" s="80"/>
      <c r="H37" s="53">
        <f>SUM(H38:H41)</f>
        <v>253.64599999999999</v>
      </c>
      <c r="I37" s="53">
        <f>SUMPRODUCT(H38:H41,I38:I41)/H37</f>
        <v>25.761303233640586</v>
      </c>
      <c r="J37" s="53">
        <f>SUM(J38:J41)</f>
        <v>253.64599999999999</v>
      </c>
      <c r="K37" s="53">
        <f>SUMPRODUCT(J38:J41,K38:K41)/J37</f>
        <v>27.593134604921822</v>
      </c>
      <c r="L37" s="80">
        <f>K37/I37</f>
        <v>1.0711078688320832</v>
      </c>
      <c r="M37" s="53">
        <f>SUM(M38:M41)</f>
        <v>2313.84</v>
      </c>
      <c r="N37" s="53">
        <f>SUMPRODUCT(M38:M41,N38:N41)/M37</f>
        <v>28.00516375375998</v>
      </c>
      <c r="O37" s="53">
        <f>SUM(O38:O41)</f>
        <v>2313.84</v>
      </c>
      <c r="P37" s="53">
        <f>SUMPRODUCT(O38:O41,P38:P41)/O37</f>
        <v>29.100166951906786</v>
      </c>
      <c r="Q37" s="80">
        <f>P37/N37</f>
        <v>1.039100046254855</v>
      </c>
    </row>
    <row r="38" spans="1:18">
      <c r="A38" s="164" t="s">
        <v>282</v>
      </c>
      <c r="B38" s="164" t="s">
        <v>229</v>
      </c>
      <c r="C38" s="54">
        <v>31.52</v>
      </c>
      <c r="D38" s="54" t="str">
        <f>B38</f>
        <v>Котлас</v>
      </c>
      <c r="E38" s="54">
        <v>33.72</v>
      </c>
      <c r="F38" s="83" t="e">
        <f>(E38*D38)/(C38*B38)</f>
        <v>#VALUE!</v>
      </c>
      <c r="G38" s="83" t="s">
        <v>229</v>
      </c>
      <c r="H38" s="165">
        <f>307.26/2</f>
        <v>153.63</v>
      </c>
      <c r="I38" s="165">
        <v>25.95</v>
      </c>
      <c r="J38" s="165">
        <f>H38</f>
        <v>153.63</v>
      </c>
      <c r="K38" s="165">
        <v>27.8</v>
      </c>
      <c r="L38" s="83">
        <f>(K38*J38)/(I38*H38)</f>
        <v>1.071290944123314</v>
      </c>
      <c r="M38" s="54">
        <f>3445/2</f>
        <v>1722.5</v>
      </c>
      <c r="N38" s="54">
        <v>24.29</v>
      </c>
      <c r="O38" s="54">
        <f>M38</f>
        <v>1722.5</v>
      </c>
      <c r="P38" s="54">
        <v>25.13</v>
      </c>
      <c r="Q38" s="83">
        <f>(P38*O38)/(N38*M38)</f>
        <v>1.0345821325648414</v>
      </c>
    </row>
    <row r="39" spans="1:18">
      <c r="A39" s="164" t="s">
        <v>283</v>
      </c>
      <c r="B39" s="164" t="s">
        <v>229</v>
      </c>
      <c r="C39" s="54">
        <v>16.059999999999999</v>
      </c>
      <c r="D39" s="54" t="str">
        <f>B39</f>
        <v>Котлас</v>
      </c>
      <c r="E39" s="54">
        <v>16.059999999999999</v>
      </c>
      <c r="F39" s="83" t="e">
        <f>(E39*D39)/(C39*B39)</f>
        <v>#VALUE!</v>
      </c>
      <c r="G39" s="83" t="s">
        <v>229</v>
      </c>
      <c r="H39" s="165">
        <f>180.612/2</f>
        <v>90.305999999999997</v>
      </c>
      <c r="I39" s="165">
        <v>25.42</v>
      </c>
      <c r="J39" s="165">
        <f>H39</f>
        <v>90.305999999999997</v>
      </c>
      <c r="K39" s="165">
        <v>27.22</v>
      </c>
      <c r="L39" s="85"/>
      <c r="M39" s="54"/>
      <c r="N39" s="54"/>
      <c r="O39" s="54"/>
      <c r="P39" s="54"/>
      <c r="Q39" s="85"/>
    </row>
    <row r="40" spans="1:18" hidden="1">
      <c r="A40" s="2" t="s">
        <v>191</v>
      </c>
      <c r="B40" s="11">
        <f>27/2</f>
        <v>13.5</v>
      </c>
      <c r="C40" s="11">
        <v>40.299999999999997</v>
      </c>
      <c r="D40" s="11">
        <f>B40</f>
        <v>13.5</v>
      </c>
      <c r="E40" s="11">
        <v>43.11</v>
      </c>
      <c r="F40" s="78">
        <f t="shared" ref="F40" si="17">(E40*D40)/(C40*B40)</f>
        <v>1.0697270471464022</v>
      </c>
      <c r="G40" s="78" t="s">
        <v>229</v>
      </c>
      <c r="H40" s="13">
        <f>18.62/2</f>
        <v>9.31</v>
      </c>
      <c r="I40" s="13">
        <v>25.95</v>
      </c>
      <c r="J40" s="13">
        <f>H40</f>
        <v>9.31</v>
      </c>
      <c r="K40" s="13">
        <v>27.79</v>
      </c>
      <c r="L40" s="78">
        <f t="shared" ref="L40:L41" si="18">(K40*J40)/(I40*H40)</f>
        <v>1.0709055876685933</v>
      </c>
      <c r="M40" s="13">
        <f>18.62/2</f>
        <v>9.31</v>
      </c>
      <c r="N40" s="13">
        <v>28.01</v>
      </c>
      <c r="O40" s="13">
        <f>M40</f>
        <v>9.31</v>
      </c>
      <c r="P40" s="13">
        <v>29.71</v>
      </c>
      <c r="Q40" s="78">
        <f t="shared" ref="Q40:Q41" si="19">(P40*O40)/(N40*M40)</f>
        <v>1.0606926097822205</v>
      </c>
    </row>
    <row r="41" spans="1:18">
      <c r="A41" s="164" t="s">
        <v>284</v>
      </c>
      <c r="B41" s="164" t="s">
        <v>229</v>
      </c>
      <c r="C41" s="54">
        <v>41.75</v>
      </c>
      <c r="D41" s="54" t="str">
        <f>B41</f>
        <v>Котлас</v>
      </c>
      <c r="E41" s="54">
        <f>41.75</f>
        <v>41.75</v>
      </c>
      <c r="F41" s="83" t="e">
        <f>(E41*D41)/(C41*B41)</f>
        <v>#VALUE!</v>
      </c>
      <c r="G41" s="83" t="s">
        <v>229</v>
      </c>
      <c r="H41" s="165">
        <f>0.8/2</f>
        <v>0.4</v>
      </c>
      <c r="I41" s="165">
        <v>25.95</v>
      </c>
      <c r="J41" s="165">
        <f t="shared" ref="J41" si="20">H41</f>
        <v>0.4</v>
      </c>
      <c r="K41" s="165">
        <v>27.8</v>
      </c>
      <c r="L41" s="83">
        <f t="shared" si="18"/>
        <v>1.071290944123314</v>
      </c>
      <c r="M41" s="54">
        <f>1164.06/2</f>
        <v>582.03</v>
      </c>
      <c r="N41" s="54">
        <v>39</v>
      </c>
      <c r="O41" s="54">
        <f>M41</f>
        <v>582.03</v>
      </c>
      <c r="P41" s="54">
        <v>40.840000000000003</v>
      </c>
      <c r="Q41" s="83">
        <f t="shared" si="19"/>
        <v>1.0471794871794873</v>
      </c>
    </row>
    <row r="42" spans="1:18" s="24" customFormat="1" ht="29.25" customHeight="1">
      <c r="A42" s="25" t="s">
        <v>18</v>
      </c>
      <c r="B42" s="18">
        <f>SUM(B43:B50)</f>
        <v>116.78150000000001</v>
      </c>
      <c r="C42" s="18">
        <f>SUMPRODUCT(B43:B50,C43:C50)/B42</f>
        <v>57.438001395769021</v>
      </c>
      <c r="D42" s="18">
        <f>SUM(D43:D50)</f>
        <v>116.78150000000001</v>
      </c>
      <c r="E42" s="18">
        <f>SUMPRODUCT(D43:D50,E43:E50)/D42</f>
        <v>58.499699738400338</v>
      </c>
      <c r="F42" s="77">
        <f>E42/C42</f>
        <v>1.0184842493964201</v>
      </c>
      <c r="G42" s="77"/>
      <c r="H42" s="18">
        <f>SUM(H43:H50)</f>
        <v>71.305000000000007</v>
      </c>
      <c r="I42" s="18">
        <f>SUMPRODUCT(H43:H50,I43:I50)/H42</f>
        <v>50.704421849800148</v>
      </c>
      <c r="J42" s="18">
        <f>SUM(J43:J50)</f>
        <v>71.305000000000007</v>
      </c>
      <c r="K42" s="18">
        <f>SUMPRODUCT(J43:J50,K43:K50)/J42</f>
        <v>54.038694341210274</v>
      </c>
      <c r="L42" s="77">
        <f>K42/I42</f>
        <v>1.0657590081844759</v>
      </c>
      <c r="M42" s="18">
        <f>SUM(M43:M48)</f>
        <v>43.805</v>
      </c>
      <c r="N42" s="18">
        <f>SUMPRODUCT(M43:M48,N43:N48)/M42</f>
        <v>52.4</v>
      </c>
      <c r="O42" s="18">
        <f>SUM(O43:O48)</f>
        <v>43.805</v>
      </c>
      <c r="P42" s="18">
        <f>SUMPRODUCT(O43:O48,P43:P48)/O42</f>
        <v>59.69</v>
      </c>
      <c r="Q42" s="77">
        <f>P42/N42</f>
        <v>1.1391221374045801</v>
      </c>
    </row>
    <row r="43" spans="1:18" s="1" customFormat="1" ht="14.25" customHeight="1">
      <c r="A43" s="6" t="s">
        <v>19</v>
      </c>
      <c r="B43" s="13">
        <f>168.83/2</f>
        <v>84.415000000000006</v>
      </c>
      <c r="C43" s="13">
        <v>53.5</v>
      </c>
      <c r="D43" s="13">
        <f>B43</f>
        <v>84.415000000000006</v>
      </c>
      <c r="E43" s="13">
        <v>53.5</v>
      </c>
      <c r="F43" s="78">
        <f>(E43*D43)/(C43*B43)</f>
        <v>1</v>
      </c>
      <c r="G43" s="78"/>
      <c r="H43" s="15">
        <f>110.36/2</f>
        <v>55.18</v>
      </c>
      <c r="I43" s="15">
        <v>43</v>
      </c>
      <c r="J43" s="15">
        <f>H43</f>
        <v>55.18</v>
      </c>
      <c r="K43" s="15">
        <v>46.05</v>
      </c>
      <c r="L43" s="78">
        <f>(K43*J43)/(I43*H43)</f>
        <v>1.0709302325581396</v>
      </c>
      <c r="M43" s="13">
        <f>87.61/2</f>
        <v>43.805</v>
      </c>
      <c r="N43" s="13">
        <v>52.4</v>
      </c>
      <c r="O43" s="13">
        <f>M43</f>
        <v>43.805</v>
      </c>
      <c r="P43" s="13">
        <v>59.69</v>
      </c>
      <c r="Q43" s="78">
        <f>(P43*O43)/(N43*M43)</f>
        <v>1.1391221374045801</v>
      </c>
    </row>
    <row r="44" spans="1:18" s="1" customFormat="1" ht="15" customHeight="1">
      <c r="A44" s="6" t="s">
        <v>20</v>
      </c>
      <c r="B44" s="13">
        <f>13.06/2</f>
        <v>6.53</v>
      </c>
      <c r="C44" s="13">
        <v>91.26</v>
      </c>
      <c r="D44" s="13">
        <f>B44</f>
        <v>6.53</v>
      </c>
      <c r="E44" s="13">
        <v>94.88</v>
      </c>
      <c r="F44" s="78">
        <f>(E44*D44)/(C44*B44)</f>
        <v>1.0396668858207319</v>
      </c>
      <c r="G44" s="78"/>
      <c r="H44" s="15">
        <f>8.27/2</f>
        <v>4.1349999999999998</v>
      </c>
      <c r="I44" s="15">
        <v>91.26</v>
      </c>
      <c r="J44" s="15">
        <f t="shared" ref="J44:J50" si="21">H44</f>
        <v>4.1349999999999998</v>
      </c>
      <c r="K44" s="15">
        <v>94.88</v>
      </c>
      <c r="L44" s="78">
        <f>(K44*J44)/(I44*H44)</f>
        <v>1.0396668858207319</v>
      </c>
      <c r="M44" s="13"/>
      <c r="N44" s="13"/>
      <c r="O44" s="13"/>
      <c r="P44" s="13"/>
      <c r="Q44" s="78"/>
    </row>
    <row r="45" spans="1:18" s="1" customFormat="1" ht="14.25" customHeight="1">
      <c r="A45" s="6" t="s">
        <v>21</v>
      </c>
      <c r="B45" s="13">
        <f>13/2</f>
        <v>6.5</v>
      </c>
      <c r="C45" s="13">
        <v>81.069999999999993</v>
      </c>
      <c r="D45" s="13">
        <f>B45</f>
        <v>6.5</v>
      </c>
      <c r="E45" s="13">
        <v>84.59</v>
      </c>
      <c r="F45" s="78">
        <f>(E45*D45)/(C45*B45)</f>
        <v>1.0434192672998646</v>
      </c>
      <c r="G45" s="78"/>
      <c r="H45" s="15">
        <f>8.61/2</f>
        <v>4.3049999999999997</v>
      </c>
      <c r="I45" s="15">
        <v>81.069999999999993</v>
      </c>
      <c r="J45" s="15">
        <f t="shared" si="21"/>
        <v>4.3049999999999997</v>
      </c>
      <c r="K45" s="15">
        <v>84.59</v>
      </c>
      <c r="L45" s="78">
        <f>(K45*J45)/(I45*H45)</f>
        <v>1.0434192672998643</v>
      </c>
      <c r="M45" s="13"/>
      <c r="N45" s="13"/>
      <c r="O45" s="13"/>
      <c r="P45" s="13"/>
      <c r="Q45" s="78"/>
    </row>
    <row r="46" spans="1:18">
      <c r="A46" s="3" t="s">
        <v>22</v>
      </c>
      <c r="B46" s="13">
        <f>7.97/2</f>
        <v>3.9849999999999999</v>
      </c>
      <c r="C46" s="13">
        <v>87.3</v>
      </c>
      <c r="D46" s="13">
        <f>B46</f>
        <v>3.9849999999999999</v>
      </c>
      <c r="E46" s="13">
        <v>92.57</v>
      </c>
      <c r="F46" s="78">
        <f>(E46*D46)/(C46*B46)</f>
        <v>1.0603665521191294</v>
      </c>
      <c r="G46" s="78"/>
      <c r="H46" s="16">
        <f>3.23/2</f>
        <v>1.615</v>
      </c>
      <c r="I46" s="16">
        <v>87.3</v>
      </c>
      <c r="J46" s="15">
        <f t="shared" si="21"/>
        <v>1.615</v>
      </c>
      <c r="K46" s="16">
        <v>92.57</v>
      </c>
      <c r="L46" s="78">
        <f t="shared" ref="L46:L50" si="22">(K46*J46)/(I46*H46)</f>
        <v>1.0603665521191292</v>
      </c>
      <c r="M46" s="13"/>
      <c r="N46" s="13"/>
      <c r="O46" s="13"/>
      <c r="P46" s="13"/>
      <c r="Q46" s="78"/>
    </row>
    <row r="47" spans="1:18">
      <c r="A47" s="3" t="s">
        <v>23</v>
      </c>
      <c r="B47" s="13">
        <f>2.103/2</f>
        <v>1.0515000000000001</v>
      </c>
      <c r="C47" s="13">
        <v>99.44</v>
      </c>
      <c r="D47" s="13">
        <f>B47</f>
        <v>1.0515000000000001</v>
      </c>
      <c r="E47" s="13">
        <v>107.89</v>
      </c>
      <c r="F47" s="78">
        <f>(E47*D47)/(C47*B47)</f>
        <v>1.0849758648431216</v>
      </c>
      <c r="G47" s="78"/>
      <c r="H47" s="16">
        <f>0.55/2</f>
        <v>0.27500000000000002</v>
      </c>
      <c r="I47" s="16">
        <v>99.44</v>
      </c>
      <c r="J47" s="15">
        <f t="shared" si="21"/>
        <v>0.27500000000000002</v>
      </c>
      <c r="K47" s="16">
        <v>107.89</v>
      </c>
      <c r="L47" s="78">
        <f t="shared" si="22"/>
        <v>1.0849758648431216</v>
      </c>
      <c r="M47" s="13"/>
      <c r="N47" s="13"/>
      <c r="O47" s="13"/>
      <c r="P47" s="13"/>
      <c r="Q47" s="78"/>
    </row>
    <row r="48" spans="1:18">
      <c r="A48" s="3" t="s">
        <v>24</v>
      </c>
      <c r="B48" s="28">
        <f>7.4/2</f>
        <v>3.7</v>
      </c>
      <c r="C48" s="28">
        <v>73.23</v>
      </c>
      <c r="D48" s="13">
        <f t="shared" ref="D48:D50" si="23">B48</f>
        <v>3.7</v>
      </c>
      <c r="E48" s="28">
        <v>79.430000000000007</v>
      </c>
      <c r="F48" s="78">
        <f t="shared" ref="F48:F50" si="24">(E48*D48)/(C48*B48)</f>
        <v>1.0846647548818791</v>
      </c>
      <c r="G48" s="78"/>
      <c r="H48" s="15">
        <f>5.27/2</f>
        <v>2.6349999999999998</v>
      </c>
      <c r="I48" s="15">
        <v>73.23</v>
      </c>
      <c r="J48" s="15">
        <f t="shared" si="21"/>
        <v>2.6349999999999998</v>
      </c>
      <c r="K48" s="15">
        <v>79.430000000000007</v>
      </c>
      <c r="L48" s="78">
        <f t="shared" si="22"/>
        <v>1.0846647548818789</v>
      </c>
      <c r="M48" s="28"/>
      <c r="N48" s="28"/>
      <c r="O48" s="28"/>
      <c r="P48" s="28"/>
      <c r="Q48" s="87"/>
    </row>
    <row r="49" spans="1:18">
      <c r="A49" s="3" t="s">
        <v>25</v>
      </c>
      <c r="B49" s="28">
        <f>2.6/2</f>
        <v>1.3</v>
      </c>
      <c r="C49" s="28">
        <v>94.21</v>
      </c>
      <c r="D49" s="13">
        <f t="shared" si="23"/>
        <v>1.3</v>
      </c>
      <c r="E49" s="28">
        <v>102.22</v>
      </c>
      <c r="F49" s="78">
        <f t="shared" si="24"/>
        <v>1.0850228213565438</v>
      </c>
      <c r="G49" s="78"/>
      <c r="H49" s="15">
        <f>2.26/2</f>
        <v>1.1299999999999999</v>
      </c>
      <c r="I49" s="15">
        <v>94.21</v>
      </c>
      <c r="J49" s="15">
        <f t="shared" si="21"/>
        <v>1.1299999999999999</v>
      </c>
      <c r="K49" s="15">
        <v>102.22</v>
      </c>
      <c r="L49" s="78">
        <f t="shared" si="22"/>
        <v>1.0850228213565438</v>
      </c>
      <c r="M49" s="28"/>
      <c r="N49" s="28"/>
      <c r="O49" s="28"/>
      <c r="P49" s="28"/>
      <c r="Q49" s="87"/>
    </row>
    <row r="50" spans="1:18" ht="18" customHeight="1">
      <c r="A50" s="27" t="s">
        <v>26</v>
      </c>
      <c r="B50" s="28">
        <f>18.6/2</f>
        <v>9.3000000000000007</v>
      </c>
      <c r="C50" s="28">
        <v>23.95</v>
      </c>
      <c r="D50" s="13">
        <f t="shared" si="23"/>
        <v>9.3000000000000007</v>
      </c>
      <c r="E50" s="28">
        <v>25.48</v>
      </c>
      <c r="F50" s="78">
        <f t="shared" si="24"/>
        <v>1.0638830897703551</v>
      </c>
      <c r="G50" s="78"/>
      <c r="H50" s="15">
        <f>4.06/2</f>
        <v>2.0299999999999998</v>
      </c>
      <c r="I50" s="15">
        <v>23.95</v>
      </c>
      <c r="J50" s="15">
        <f t="shared" si="21"/>
        <v>2.0299999999999998</v>
      </c>
      <c r="K50" s="15">
        <v>25.48</v>
      </c>
      <c r="L50" s="78">
        <f t="shared" si="22"/>
        <v>1.0638830897703548</v>
      </c>
      <c r="M50" s="28"/>
      <c r="N50" s="28"/>
      <c r="O50" s="28"/>
      <c r="P50" s="28"/>
      <c r="Q50" s="87"/>
    </row>
    <row r="51" spans="1:18" s="29" customFormat="1" ht="18" customHeight="1">
      <c r="A51" s="9" t="s">
        <v>37</v>
      </c>
      <c r="B51" s="18">
        <f>SUM(B52:B52)</f>
        <v>80.944999999999993</v>
      </c>
      <c r="C51" s="18">
        <f>SUMPRODUCT(B52:B52,C52:C52)/B51</f>
        <v>36.25</v>
      </c>
      <c r="D51" s="18">
        <f>SUM(D52:D52)</f>
        <v>80.944999999999993</v>
      </c>
      <c r="E51" s="18">
        <f>SUMPRODUCT(D52:D52,E52:E52)/D51</f>
        <v>48.5</v>
      </c>
      <c r="F51" s="77">
        <f>E51/C51</f>
        <v>1.3379310344827586</v>
      </c>
      <c r="G51" s="77"/>
      <c r="H51" s="18">
        <f>SUM(H52:H52)</f>
        <v>3.53</v>
      </c>
      <c r="I51" s="18">
        <f>SUMPRODUCT(H52:H52,I52:I52)/H51</f>
        <v>16.61</v>
      </c>
      <c r="J51" s="18">
        <f>SUM(J52:J52)</f>
        <v>3.53</v>
      </c>
      <c r="K51" s="18">
        <f>SUMPRODUCT(J52:J52,K52:K52)/J51</f>
        <v>17.79</v>
      </c>
      <c r="L51" s="77">
        <f>K51/I51</f>
        <v>1.0710415412402168</v>
      </c>
      <c r="M51" s="18">
        <f>SUM(M52:M52)</f>
        <v>78.009999999999991</v>
      </c>
      <c r="N51" s="18">
        <f>SUMPRODUCT(M52:M52,N52:N52)/M51</f>
        <v>61.79</v>
      </c>
      <c r="O51" s="18">
        <f>SUM(O52:O52)</f>
        <v>78.009999999999991</v>
      </c>
      <c r="P51" s="18">
        <f>SUMPRODUCT(O52:O52,P52:P52)/O51</f>
        <v>71.33</v>
      </c>
      <c r="Q51" s="77">
        <f>P51/N51</f>
        <v>1.1543939148729567</v>
      </c>
      <c r="R51" s="162"/>
    </row>
    <row r="52" spans="1:18">
      <c r="A52" s="168" t="s">
        <v>38</v>
      </c>
      <c r="B52" s="13">
        <f>161.89/2</f>
        <v>80.944999999999993</v>
      </c>
      <c r="C52" s="13">
        <v>36.25</v>
      </c>
      <c r="D52" s="13">
        <f>B52</f>
        <v>80.944999999999993</v>
      </c>
      <c r="E52" s="13">
        <v>48.5</v>
      </c>
      <c r="F52" s="78">
        <f>(E52*D52)/(C52*B52)</f>
        <v>1.3379310344827584</v>
      </c>
      <c r="G52" s="78" t="s">
        <v>267</v>
      </c>
      <c r="H52" s="169">
        <v>3.53</v>
      </c>
      <c r="I52" s="169">
        <v>16.61</v>
      </c>
      <c r="J52" s="169">
        <f>H52</f>
        <v>3.53</v>
      </c>
      <c r="K52" s="169">
        <v>17.79</v>
      </c>
      <c r="L52" s="78">
        <f>(K52*J52)/(I52*H52)</f>
        <v>1.0710415412402168</v>
      </c>
      <c r="M52" s="13">
        <f>164.14/2-8.12/2</f>
        <v>78.009999999999991</v>
      </c>
      <c r="N52" s="13">
        <v>61.79</v>
      </c>
      <c r="O52" s="13">
        <f>M52</f>
        <v>78.009999999999991</v>
      </c>
      <c r="P52" s="13">
        <v>71.33</v>
      </c>
      <c r="Q52" s="78">
        <f>(P52*O52)/(N52*M52)</f>
        <v>1.1543939148729567</v>
      </c>
      <c r="R52" s="159"/>
    </row>
    <row r="53" spans="1:18" s="29" customFormat="1" ht="28.5" customHeight="1">
      <c r="A53" s="25" t="s">
        <v>66</v>
      </c>
      <c r="B53" s="18">
        <f>SUM(B54:B54)</f>
        <v>59.05</v>
      </c>
      <c r="C53" s="18">
        <f>SUMPRODUCT(B54:B54,C54:C54)/B53</f>
        <v>64.599999999999994</v>
      </c>
      <c r="D53" s="18">
        <f>SUM(D54:D54)</f>
        <v>59.05</v>
      </c>
      <c r="E53" s="18">
        <f>SUMPRODUCT(D54:D54,E54:E54)/D53</f>
        <v>97.08</v>
      </c>
      <c r="F53" s="77">
        <f>E53/C53</f>
        <v>1.5027863777089785</v>
      </c>
      <c r="G53" s="77"/>
      <c r="H53" s="18">
        <f>SUM(H54:H54)</f>
        <v>41</v>
      </c>
      <c r="I53" s="18">
        <f>SUMPRODUCT(H54:H54,I54:I54)/H53</f>
        <v>45.15</v>
      </c>
      <c r="J53" s="18">
        <f>SUM(J54:J54)</f>
        <v>41</v>
      </c>
      <c r="K53" s="18">
        <f>SUMPRODUCT(J54:J54,K54:K54)/J53</f>
        <v>48.36</v>
      </c>
      <c r="L53" s="77">
        <f>K53/I53</f>
        <v>1.0710963455149503</v>
      </c>
      <c r="M53" s="18"/>
      <c r="N53" s="18"/>
      <c r="O53" s="18"/>
      <c r="P53" s="18"/>
      <c r="Q53" s="77"/>
    </row>
    <row r="54" spans="1:18" ht="35.25" hidden="1" customHeight="1">
      <c r="A54" s="8" t="s">
        <v>58</v>
      </c>
      <c r="B54" s="13">
        <f>118.1/2</f>
        <v>59.05</v>
      </c>
      <c r="C54" s="13">
        <v>64.599999999999994</v>
      </c>
      <c r="D54" s="13">
        <f>B54</f>
        <v>59.05</v>
      </c>
      <c r="E54" s="13">
        <v>97.08</v>
      </c>
      <c r="F54" s="78">
        <f>(E54*D54)/(C54*B54)</f>
        <v>1.5027863777089783</v>
      </c>
      <c r="G54" s="157" t="s">
        <v>272</v>
      </c>
      <c r="H54" s="22">
        <f>82/2</f>
        <v>41</v>
      </c>
      <c r="I54" s="22">
        <v>45.15</v>
      </c>
      <c r="J54" s="22">
        <f>H54</f>
        <v>41</v>
      </c>
      <c r="K54" s="22">
        <v>48.36</v>
      </c>
      <c r="L54" s="78">
        <f t="shared" ref="L54" si="25">(K54*J54)/(I54*H54)</f>
        <v>1.0710963455149503</v>
      </c>
      <c r="M54" s="13"/>
      <c r="N54" s="13"/>
      <c r="O54" s="13"/>
      <c r="P54" s="13"/>
      <c r="Q54" s="78"/>
    </row>
    <row r="55" spans="1:18" ht="18" customHeight="1">
      <c r="A55" s="25" t="s">
        <v>67</v>
      </c>
      <c r="B55" s="18">
        <f>SUM(B56:B57)</f>
        <v>46.875</v>
      </c>
      <c r="C55" s="18">
        <f>SUMPRODUCT(B56:B57,C56:C57)/B55</f>
        <v>68.041276799999977</v>
      </c>
      <c r="D55" s="18">
        <f>SUM(D56:D57)</f>
        <v>46.875</v>
      </c>
      <c r="E55" s="18">
        <f>SUMPRODUCT(D56:D57,E56:E57)/D55</f>
        <v>119.19380266666664</v>
      </c>
      <c r="F55" s="77">
        <f>E55/C55</f>
        <v>1.7517866840891891</v>
      </c>
      <c r="G55" s="77"/>
      <c r="H55" s="18">
        <f>SUM(H56:H57)</f>
        <v>29.425000000000001</v>
      </c>
      <c r="I55" s="18">
        <f>SUMPRODUCT(H56:H57,I56:I57)/H55</f>
        <v>48.22</v>
      </c>
      <c r="J55" s="18">
        <f>SUM(J56:J57)</f>
        <v>29.425000000000001</v>
      </c>
      <c r="K55" s="18">
        <f>SUMPRODUCT(J56:J57,K56:K57)/J55</f>
        <v>51.640000000000008</v>
      </c>
      <c r="L55" s="77">
        <f>K55/I55</f>
        <v>1.0709249274160102</v>
      </c>
      <c r="M55" s="18"/>
      <c r="N55" s="18"/>
      <c r="O55" s="18"/>
      <c r="P55" s="18"/>
      <c r="Q55" s="77"/>
    </row>
    <row r="56" spans="1:18" ht="18" hidden="1" customHeight="1">
      <c r="A56" s="3" t="s">
        <v>58</v>
      </c>
      <c r="B56" s="11">
        <f>92.57/2</f>
        <v>46.284999999999997</v>
      </c>
      <c r="C56" s="11">
        <v>64.569999999999993</v>
      </c>
      <c r="D56" s="11">
        <f>B56</f>
        <v>46.284999999999997</v>
      </c>
      <c r="E56" s="11">
        <v>116.1</v>
      </c>
      <c r="F56" s="82">
        <f>(E56*D56)/(C56*B56)</f>
        <v>1.7980486293944558</v>
      </c>
      <c r="G56" s="82" t="s">
        <v>273</v>
      </c>
      <c r="H56" s="21">
        <f>58.56/2</f>
        <v>29.28</v>
      </c>
      <c r="I56" s="21">
        <v>48.22</v>
      </c>
      <c r="J56" s="21">
        <f>H56</f>
        <v>29.28</v>
      </c>
      <c r="K56" s="21">
        <v>51.64</v>
      </c>
      <c r="L56" s="82">
        <f t="shared" ref="L56:L57" si="26">(K56*J56)/(I56*H56)</f>
        <v>1.0709249274160102</v>
      </c>
      <c r="M56" s="13"/>
      <c r="N56" s="13"/>
      <c r="O56" s="13"/>
      <c r="P56" s="13"/>
      <c r="Q56" s="78"/>
    </row>
    <row r="57" spans="1:18" ht="18" hidden="1" customHeight="1">
      <c r="A57" s="3" t="s">
        <v>59</v>
      </c>
      <c r="B57" s="11">
        <f>1.18/2</f>
        <v>0.59</v>
      </c>
      <c r="C57" s="11">
        <v>340.36</v>
      </c>
      <c r="D57" s="11">
        <f>B57</f>
        <v>0.59</v>
      </c>
      <c r="E57" s="11">
        <v>361.9</v>
      </c>
      <c r="F57" s="82">
        <f>(E57*D57)/(C57*B57)</f>
        <v>1.0632859325420143</v>
      </c>
      <c r="G57" s="82" t="s">
        <v>274</v>
      </c>
      <c r="H57" s="21">
        <f>0.29/2</f>
        <v>0.14499999999999999</v>
      </c>
      <c r="I57" s="21">
        <v>48.22</v>
      </c>
      <c r="J57" s="21">
        <f>H57</f>
        <v>0.14499999999999999</v>
      </c>
      <c r="K57" s="21">
        <v>51.64</v>
      </c>
      <c r="L57" s="82">
        <f t="shared" si="26"/>
        <v>1.07092492741601</v>
      </c>
      <c r="M57" s="13"/>
      <c r="N57" s="13"/>
      <c r="O57" s="13"/>
      <c r="P57" s="13"/>
      <c r="Q57" s="78"/>
    </row>
    <row r="58" spans="1:18" ht="18" customHeight="1">
      <c r="A58" s="10" t="s">
        <v>68</v>
      </c>
      <c r="B58" s="18">
        <f>SUM(B59:B65)</f>
        <v>224.21950000000001</v>
      </c>
      <c r="C58" s="18">
        <f>SUMPRODUCT(B59:B65,C59:C65)/B58</f>
        <v>56.780515209426476</v>
      </c>
      <c r="D58" s="18">
        <f>SUM(D59:D65)</f>
        <v>224.21950000000001</v>
      </c>
      <c r="E58" s="18">
        <f>SUMPRODUCT(D59:D65,E59:E65)/D58</f>
        <v>60.769983453713877</v>
      </c>
      <c r="F58" s="77">
        <f>E58/C58</f>
        <v>1.0702612195323138</v>
      </c>
      <c r="G58" s="77"/>
      <c r="H58" s="18">
        <f>SUM(H59:H65)</f>
        <v>0</v>
      </c>
      <c r="I58" s="18" t="e">
        <f>SUMPRODUCT(H59:H65,I59:I65)/H58</f>
        <v>#DIV/0!</v>
      </c>
      <c r="J58" s="18">
        <f>SUM(J59:J65)</f>
        <v>0</v>
      </c>
      <c r="K58" s="18" t="e">
        <f>SUMPRODUCT(J59:J65,K59:K65)/J58</f>
        <v>#DIV/0!</v>
      </c>
      <c r="L58" s="77" t="e">
        <f>K58/I58</f>
        <v>#DIV/0!</v>
      </c>
      <c r="M58" s="18">
        <f>SUM(M59:M65)</f>
        <v>101.47499999999999</v>
      </c>
      <c r="N58" s="18">
        <f>SUMPRODUCT(M59:M65,N59:N65)/M58</f>
        <v>71.491924020694753</v>
      </c>
      <c r="O58" s="18">
        <f>SUM(O59:O65)</f>
        <v>101.47499999999999</v>
      </c>
      <c r="P58" s="18">
        <f>SUMPRODUCT(O59:O65,P59:P65)/O58</f>
        <v>76.236510667652141</v>
      </c>
      <c r="Q58" s="77">
        <f>P58/N58</f>
        <v>1.0663653512190268</v>
      </c>
    </row>
    <row r="59" spans="1:18" ht="34.5" hidden="1" customHeight="1">
      <c r="A59" s="2"/>
      <c r="B59" s="13">
        <f>8.41/2</f>
        <v>4.2050000000000001</v>
      </c>
      <c r="C59" s="13">
        <v>172.04</v>
      </c>
      <c r="D59" s="13">
        <f>B59</f>
        <v>4.2050000000000001</v>
      </c>
      <c r="E59" s="13">
        <v>185.25</v>
      </c>
      <c r="F59" s="78">
        <f>(E59*D59)/(C59*B59)</f>
        <v>1.0767844687282029</v>
      </c>
      <c r="G59" s="157"/>
      <c r="H59" s="13"/>
      <c r="I59" s="13"/>
      <c r="J59" s="13"/>
      <c r="K59" s="13"/>
      <c r="L59" s="78"/>
      <c r="M59" s="13"/>
      <c r="N59" s="13"/>
      <c r="O59" s="13"/>
      <c r="P59" s="13"/>
      <c r="Q59" s="78"/>
    </row>
    <row r="60" spans="1:18" ht="18" hidden="1" customHeight="1">
      <c r="A60" s="2"/>
      <c r="B60" s="13">
        <f>122.838/2</f>
        <v>61.418999999999997</v>
      </c>
      <c r="C60" s="13">
        <v>50.68</v>
      </c>
      <c r="D60" s="13">
        <f>B60</f>
        <v>61.418999999999997</v>
      </c>
      <c r="E60" s="13">
        <v>54.29</v>
      </c>
      <c r="F60" s="78">
        <f t="shared" ref="F60:F65" si="27">(E60*D60)/(C60*B60)</f>
        <v>1.0712312549329124</v>
      </c>
      <c r="G60" s="78"/>
      <c r="H60" s="13"/>
      <c r="I60" s="13"/>
      <c r="J60" s="13"/>
      <c r="K60" s="13"/>
      <c r="L60" s="78"/>
      <c r="M60" s="13">
        <f>22.89/2</f>
        <v>11.445</v>
      </c>
      <c r="N60" s="13">
        <v>100.72</v>
      </c>
      <c r="O60" s="13">
        <f>M60</f>
        <v>11.445</v>
      </c>
      <c r="P60" s="13">
        <v>107.98</v>
      </c>
      <c r="Q60" s="78">
        <f t="shared" ref="Q60:Q63" si="28">(P60*O60)/(N60*M60)</f>
        <v>1.0720810166799049</v>
      </c>
    </row>
    <row r="61" spans="1:18" ht="18" hidden="1" customHeight="1">
      <c r="A61" s="2"/>
      <c r="B61" s="13">
        <f>103.382/2</f>
        <v>51.691000000000003</v>
      </c>
      <c r="C61" s="13">
        <v>43.56</v>
      </c>
      <c r="D61" s="13">
        <f>103.382/2</f>
        <v>51.691000000000003</v>
      </c>
      <c r="E61" s="13">
        <v>46.65</v>
      </c>
      <c r="F61" s="78">
        <f t="shared" si="27"/>
        <v>1.0709366391184572</v>
      </c>
      <c r="G61" s="78"/>
      <c r="H61" s="13"/>
      <c r="I61" s="13"/>
      <c r="J61" s="13"/>
      <c r="K61" s="13"/>
      <c r="L61" s="78"/>
      <c r="M61" s="13">
        <f>74.838/2</f>
        <v>37.418999999999997</v>
      </c>
      <c r="N61" s="13">
        <v>60.3</v>
      </c>
      <c r="O61" s="13">
        <f>74.838/2</f>
        <v>37.418999999999997</v>
      </c>
      <c r="P61" s="13">
        <v>64.58</v>
      </c>
      <c r="Q61" s="78">
        <f t="shared" si="28"/>
        <v>1.0709784411276948</v>
      </c>
    </row>
    <row r="62" spans="1:18" ht="18" hidden="1" customHeight="1">
      <c r="A62" s="2"/>
      <c r="B62" s="13">
        <f>44.819/2</f>
        <v>22.409500000000001</v>
      </c>
      <c r="C62" s="13">
        <v>57.5</v>
      </c>
      <c r="D62" s="13">
        <f>44.819/2</f>
        <v>22.409500000000001</v>
      </c>
      <c r="E62" s="13">
        <v>60.11</v>
      </c>
      <c r="F62" s="78">
        <f t="shared" si="27"/>
        <v>1.045391304347826</v>
      </c>
      <c r="G62" s="78"/>
      <c r="H62" s="13"/>
      <c r="I62" s="13"/>
      <c r="J62" s="13"/>
      <c r="K62" s="13"/>
      <c r="L62" s="78"/>
      <c r="M62" s="13">
        <f>35.152/2</f>
        <v>17.576000000000001</v>
      </c>
      <c r="N62" s="13">
        <v>103.44</v>
      </c>
      <c r="O62" s="13">
        <f>35.152/2</f>
        <v>17.576000000000001</v>
      </c>
      <c r="P62" s="13">
        <v>109</v>
      </c>
      <c r="Q62" s="78">
        <f t="shared" si="28"/>
        <v>1.0537509667440064</v>
      </c>
    </row>
    <row r="63" spans="1:18" ht="18" hidden="1" customHeight="1">
      <c r="A63" s="2"/>
      <c r="B63" s="13">
        <f>117.29/2</f>
        <v>58.645000000000003</v>
      </c>
      <c r="C63" s="13">
        <v>52.32</v>
      </c>
      <c r="D63" s="13">
        <f>117.29/2</f>
        <v>58.645000000000003</v>
      </c>
      <c r="E63" s="13">
        <v>53.03</v>
      </c>
      <c r="F63" s="78">
        <f t="shared" si="27"/>
        <v>1.0135703363914372</v>
      </c>
      <c r="G63" s="78"/>
      <c r="H63" s="13"/>
      <c r="I63" s="13"/>
      <c r="J63" s="13"/>
      <c r="K63" s="13"/>
      <c r="L63" s="78"/>
      <c r="M63" s="13">
        <f>70.07/2</f>
        <v>35.034999999999997</v>
      </c>
      <c r="N63" s="13">
        <v>57.87</v>
      </c>
      <c r="O63" s="13">
        <f>70.07/2</f>
        <v>35.034999999999997</v>
      </c>
      <c r="P63" s="13">
        <v>61.88</v>
      </c>
      <c r="Q63" s="78">
        <f t="shared" si="28"/>
        <v>1.0692932434767584</v>
      </c>
    </row>
    <row r="64" spans="1:18" ht="18" hidden="1" customHeight="1">
      <c r="A64" s="4"/>
      <c r="B64" s="13">
        <f>1.8/2</f>
        <v>0.9</v>
      </c>
      <c r="C64" s="13">
        <v>224.8</v>
      </c>
      <c r="D64" s="13">
        <f>1.8/2</f>
        <v>0.9</v>
      </c>
      <c r="E64" s="13">
        <v>237.12</v>
      </c>
      <c r="F64" s="78">
        <f t="shared" si="27"/>
        <v>1.0548042704626335</v>
      </c>
      <c r="G64" s="78"/>
      <c r="H64" s="13"/>
      <c r="I64" s="13"/>
      <c r="J64" s="13"/>
      <c r="K64" s="13"/>
      <c r="L64" s="78"/>
      <c r="M64" s="13"/>
      <c r="N64" s="13"/>
      <c r="O64" s="13"/>
      <c r="P64" s="13"/>
      <c r="Q64" s="78"/>
    </row>
    <row r="65" spans="1:18" ht="18" hidden="1" customHeight="1">
      <c r="A65" s="2"/>
      <c r="B65" s="13">
        <f>49.9/2</f>
        <v>24.95</v>
      </c>
      <c r="C65" s="13">
        <v>83.54</v>
      </c>
      <c r="D65" s="13">
        <f>B65</f>
        <v>24.95</v>
      </c>
      <c r="E65" s="13">
        <v>97.42</v>
      </c>
      <c r="F65" s="78">
        <f t="shared" si="27"/>
        <v>1.1661479530763703</v>
      </c>
      <c r="G65" s="78"/>
      <c r="H65" s="22"/>
      <c r="I65" s="22"/>
      <c r="J65" s="13"/>
      <c r="K65" s="22"/>
      <c r="L65" s="78"/>
      <c r="M65" s="13"/>
      <c r="N65" s="13"/>
      <c r="O65" s="13"/>
      <c r="P65" s="13"/>
      <c r="Q65" s="78"/>
    </row>
    <row r="66" spans="1:18">
      <c r="A66" s="31" t="s">
        <v>42</v>
      </c>
      <c r="B66" s="18" t="e">
        <f>SUM(#REF!)</f>
        <v>#REF!</v>
      </c>
      <c r="C66" s="18" t="e">
        <f>SUMPRODUCT(#REF!,#REF!)/B66</f>
        <v>#REF!</v>
      </c>
      <c r="D66" s="18" t="e">
        <f>SUM(#REF!)</f>
        <v>#REF!</v>
      </c>
      <c r="E66" s="18" t="e">
        <f>SUMPRODUCT(#REF!,#REF!)/D66</f>
        <v>#REF!</v>
      </c>
      <c r="F66" s="77" t="e">
        <f>E66/C66</f>
        <v>#REF!</v>
      </c>
      <c r="G66" s="77"/>
      <c r="H66" s="18"/>
      <c r="I66" s="18"/>
      <c r="J66" s="18"/>
      <c r="K66" s="18"/>
      <c r="L66" s="77"/>
      <c r="M66" s="161" t="e">
        <f>SUM(#REF!)</f>
        <v>#REF!</v>
      </c>
      <c r="N66" s="161" t="e">
        <f>SUMPRODUCT(#REF!,#REF!)/M66</f>
        <v>#REF!</v>
      </c>
      <c r="O66" s="161" t="e">
        <f>SUM(#REF!)</f>
        <v>#REF!</v>
      </c>
      <c r="P66" s="161" t="e">
        <f>SUMPRODUCT(#REF!,#REF!)/O66</f>
        <v>#REF!</v>
      </c>
      <c r="Q66" s="160" t="e">
        <f>P66/N66</f>
        <v>#REF!</v>
      </c>
      <c r="R66" s="159"/>
    </row>
    <row r="67" spans="1:18">
      <c r="A67" s="10" t="s">
        <v>69</v>
      </c>
      <c r="B67" s="18">
        <f>SUM(B68:B69)</f>
        <v>546.65699999999993</v>
      </c>
      <c r="C67" s="18">
        <f>SUMPRODUCT(B68:B69,C68:C69)/B67</f>
        <v>27.846427613659024</v>
      </c>
      <c r="D67" s="18">
        <f>SUM(D68:D69)</f>
        <v>546.65699999999993</v>
      </c>
      <c r="E67" s="18">
        <f>SUMPRODUCT(D68:D69,E68:E69)/D67</f>
        <v>29.087963567648455</v>
      </c>
      <c r="F67" s="77">
        <f>E67/C67</f>
        <v>1.0445851069736658</v>
      </c>
      <c r="G67" s="77"/>
      <c r="H67" s="18">
        <f>SUM(H68:H69)</f>
        <v>11.095000000000001</v>
      </c>
      <c r="I67" s="18">
        <f>SUMPRODUCT(H68:H69,I68:I69)/H67</f>
        <v>27.514015322217215</v>
      </c>
      <c r="J67" s="18">
        <f>SUM(J68:J69)</f>
        <v>11.095000000000001</v>
      </c>
      <c r="K67" s="18">
        <f>SUMPRODUCT(J68:J69,K68:K69)/J67</f>
        <v>29.462924740874264</v>
      </c>
      <c r="L67" s="77">
        <f>K67/I67</f>
        <v>1.0708333333333333</v>
      </c>
      <c r="M67" s="18">
        <f>SUM(M68:M69)</f>
        <v>498.58</v>
      </c>
      <c r="N67" s="18">
        <f>SUMPRODUCT(M68:M69,N68:N69)/M67</f>
        <v>28.28</v>
      </c>
      <c r="O67" s="18">
        <f>SUM(O68:O69)</f>
        <v>498.58</v>
      </c>
      <c r="P67" s="18">
        <f>SUMPRODUCT(O68:O69,P68:P69)/O67</f>
        <v>30.39</v>
      </c>
      <c r="Q67" s="77">
        <f>P67/N67</f>
        <v>1.0746110325318246</v>
      </c>
    </row>
    <row r="68" spans="1:18" ht="18" customHeight="1">
      <c r="A68" s="8" t="s">
        <v>290</v>
      </c>
      <c r="B68" s="13">
        <f>1079.32/2</f>
        <v>539.66</v>
      </c>
      <c r="C68" s="13">
        <v>27.7</v>
      </c>
      <c r="D68" s="13">
        <f>B68</f>
        <v>539.66</v>
      </c>
      <c r="E68" s="13">
        <v>28.94</v>
      </c>
      <c r="F68" s="78">
        <f>(E68*D68)/(C68*B68)</f>
        <v>1.0447653429602888</v>
      </c>
      <c r="G68" s="158" t="s">
        <v>291</v>
      </c>
      <c r="H68" s="13">
        <f>[1]Лист1!$D$23</f>
        <v>9.0250000000000004</v>
      </c>
      <c r="I68" s="13">
        <f>[1]Лист1!$D$41</f>
        <v>28.32</v>
      </c>
      <c r="J68" s="13">
        <f>H68</f>
        <v>9.0250000000000004</v>
      </c>
      <c r="K68" s="13">
        <f>[1]Лист1!$D$44</f>
        <v>30.325999999999997</v>
      </c>
      <c r="L68" s="78">
        <f>(K68*J68)/(I68*H68)</f>
        <v>1.0708333333333331</v>
      </c>
      <c r="M68" s="13">
        <f>997.16/2</f>
        <v>498.58</v>
      </c>
      <c r="N68" s="13">
        <v>28.28</v>
      </c>
      <c r="O68" s="13">
        <f>M68</f>
        <v>498.58</v>
      </c>
      <c r="P68" s="13">
        <v>30.39</v>
      </c>
      <c r="Q68" s="78">
        <f>(P68*O68)/(N68*M68)</f>
        <v>1.0746110325318246</v>
      </c>
    </row>
    <row r="69" spans="1:18" ht="18" customHeight="1">
      <c r="A69" s="8" t="s">
        <v>292</v>
      </c>
      <c r="B69" s="13">
        <f>13.994/2</f>
        <v>6.9969999999999999</v>
      </c>
      <c r="C69" s="13">
        <v>39.14</v>
      </c>
      <c r="D69" s="13">
        <f>B69</f>
        <v>6.9969999999999999</v>
      </c>
      <c r="E69" s="13">
        <v>40.5</v>
      </c>
      <c r="F69" s="78">
        <f t="shared" ref="F69" si="29">(E69*D69)/(C69*B69)</f>
        <v>1.0347470618293306</v>
      </c>
      <c r="G69" s="158" t="s">
        <v>291</v>
      </c>
      <c r="H69" s="13">
        <f>[2]Лист1!$D$23</f>
        <v>2.0699999999999998</v>
      </c>
      <c r="I69" s="13">
        <f>[2]Лист1!$D$41</f>
        <v>24</v>
      </c>
      <c r="J69" s="13">
        <f>H69</f>
        <v>2.0699999999999998</v>
      </c>
      <c r="K69" s="13">
        <f>[2]Лист1!$D$44</f>
        <v>25.7</v>
      </c>
      <c r="L69" s="78">
        <f t="shared" ref="L69" si="30">(K69*J69)/(I69*H69)</f>
        <v>1.0708333333333333</v>
      </c>
      <c r="M69" s="13"/>
      <c r="N69" s="13"/>
      <c r="O69" s="13"/>
      <c r="P69" s="13"/>
      <c r="Q69" s="78"/>
    </row>
    <row r="70" spans="1:18">
      <c r="A70" s="9" t="s">
        <v>80</v>
      </c>
      <c r="B70" s="18">
        <f>SUM(B71:B73)</f>
        <v>173.11584500000004</v>
      </c>
      <c r="C70" s="18">
        <f>SUMPRODUCT(B71:B73,C71:C73)/B70</f>
        <v>44.718935336335036</v>
      </c>
      <c r="D70" s="18">
        <f>SUM(D71:D73)</f>
        <v>173.11584500000004</v>
      </c>
      <c r="E70" s="18">
        <f>SUMPRODUCT(D71:D73,E71:E73)/D70</f>
        <v>44.734433836197944</v>
      </c>
      <c r="F70" s="77">
        <f>E70/C70</f>
        <v>1.0003465757792833</v>
      </c>
      <c r="G70" s="77"/>
      <c r="H70" s="18">
        <f>SUM(H71:H73)</f>
        <v>10.907</v>
      </c>
      <c r="I70" s="18">
        <f>SUMPRODUCT(H71:H73,I71:I73)/H70</f>
        <v>46.742571192811958</v>
      </c>
      <c r="J70" s="18">
        <f>SUM(J71:J73)</f>
        <v>10.907</v>
      </c>
      <c r="K70" s="18">
        <f>SUMPRODUCT(J71:J73,K71:K73)/J70</f>
        <v>46.742571192811958</v>
      </c>
      <c r="L70" s="77">
        <f>K70/I70</f>
        <v>1</v>
      </c>
      <c r="M70" s="18">
        <f>SUM(M71:M73)</f>
        <v>97.366</v>
      </c>
      <c r="N70" s="18">
        <f>SUMPRODUCT(M71:M73,N71:N73)/M70</f>
        <v>73.709999999999994</v>
      </c>
      <c r="O70" s="18">
        <f>SUM(O71:O73)</f>
        <v>97.366</v>
      </c>
      <c r="P70" s="18">
        <f>SUMPRODUCT(O71:O73,P71:P73)/O70</f>
        <v>75.459999999999994</v>
      </c>
      <c r="Q70" s="77">
        <f>P70/N70</f>
        <v>1.0237416904083572</v>
      </c>
    </row>
    <row r="71" spans="1:18">
      <c r="A71" s="2" t="s">
        <v>81</v>
      </c>
      <c r="B71" s="13">
        <f>0.98369/2</f>
        <v>0.49184499999999998</v>
      </c>
      <c r="C71" s="13">
        <v>34.85</v>
      </c>
      <c r="D71" s="13">
        <f>B71</f>
        <v>0.49184499999999998</v>
      </c>
      <c r="E71" s="13">
        <v>37.07</v>
      </c>
      <c r="F71" s="78">
        <f>(E71*D71)/(C71*B71)</f>
        <v>1.0637015781922525</v>
      </c>
      <c r="G71" s="78"/>
      <c r="H71" s="13"/>
      <c r="I71" s="13"/>
      <c r="J71" s="13"/>
      <c r="K71" s="13"/>
      <c r="L71" s="78"/>
      <c r="M71" s="13"/>
      <c r="N71" s="13"/>
      <c r="O71" s="13"/>
      <c r="P71" s="13"/>
      <c r="Q71" s="78"/>
    </row>
    <row r="72" spans="1:18">
      <c r="A72" s="2" t="s">
        <v>288</v>
      </c>
      <c r="B72" s="13">
        <f>340.636/2</f>
        <v>170.31800000000001</v>
      </c>
      <c r="C72" s="13">
        <v>44.4</v>
      </c>
      <c r="D72" s="13">
        <f t="shared" ref="D72:D73" si="31">B72</f>
        <v>170.31800000000001</v>
      </c>
      <c r="E72" s="13">
        <v>44.4</v>
      </c>
      <c r="F72" s="78">
        <f t="shared" ref="F72:F73" si="32">(E72*D72)/(C72*B72)</f>
        <v>1</v>
      </c>
      <c r="G72" s="158" t="s">
        <v>275</v>
      </c>
      <c r="H72" s="13">
        <f>[3]Лист1!$D$23</f>
        <v>7.71</v>
      </c>
      <c r="I72" s="13">
        <f>[3]Лист1!$D$20</f>
        <v>44.4</v>
      </c>
      <c r="J72" s="13">
        <f t="shared" ref="J72:J73" si="33">H72</f>
        <v>7.71</v>
      </c>
      <c r="K72" s="13">
        <f>I72</f>
        <v>44.4</v>
      </c>
      <c r="L72" s="78">
        <f t="shared" ref="L72:L73" si="34">(K72*J72)/(I72*H72)</f>
        <v>1</v>
      </c>
      <c r="M72" s="13">
        <f>194.732/2</f>
        <v>97.366</v>
      </c>
      <c r="N72" s="13">
        <v>73.709999999999994</v>
      </c>
      <c r="O72" s="13">
        <f t="shared" ref="O72" si="35">M72</f>
        <v>97.366</v>
      </c>
      <c r="P72" s="13">
        <v>75.459999999999994</v>
      </c>
      <c r="Q72" s="78">
        <f t="shared" ref="Q72" si="36">(P72*O72)/(N72*M72)</f>
        <v>1.0237416904083572</v>
      </c>
    </row>
    <row r="73" spans="1:18">
      <c r="A73" s="2" t="s">
        <v>289</v>
      </c>
      <c r="B73" s="13">
        <f>4.612/2</f>
        <v>2.306</v>
      </c>
      <c r="C73" s="13">
        <v>70.38</v>
      </c>
      <c r="D73" s="13">
        <f t="shared" si="31"/>
        <v>2.306</v>
      </c>
      <c r="E73" s="13">
        <v>71.069999999999993</v>
      </c>
      <c r="F73" s="78">
        <f t="shared" si="32"/>
        <v>1.0098039215686274</v>
      </c>
      <c r="G73" s="158" t="s">
        <v>275</v>
      </c>
      <c r="H73" s="13">
        <f>'[4]ЭЗ-13-14-15-6'!$U$16/2</f>
        <v>3.1970000000000001</v>
      </c>
      <c r="I73" s="13">
        <f>'[4]ЭЗ-13-14-15-6'!$U$75</f>
        <v>52.391999999999996</v>
      </c>
      <c r="J73" s="13">
        <f t="shared" si="33"/>
        <v>3.1970000000000001</v>
      </c>
      <c r="K73" s="13">
        <f>I73</f>
        <v>52.391999999999996</v>
      </c>
      <c r="L73" s="78">
        <f t="shared" si="34"/>
        <v>1</v>
      </c>
      <c r="M73" s="13"/>
      <c r="N73" s="13"/>
      <c r="O73" s="13"/>
      <c r="P73" s="13"/>
      <c r="Q73" s="78"/>
    </row>
    <row r="74" spans="1:18">
      <c r="A74" s="9" t="s">
        <v>93</v>
      </c>
      <c r="B74" s="18">
        <f>SUM(B75:B75)</f>
        <v>6.0374999999999996</v>
      </c>
      <c r="C74" s="18">
        <f>SUMPRODUCT(B75:B75,C75:C75)/B74</f>
        <v>19.920000000000002</v>
      </c>
      <c r="D74" s="18">
        <f>SUM(D75:D75)</f>
        <v>6.0374999999999996</v>
      </c>
      <c r="E74" s="18">
        <f>SUMPRODUCT(D75:D75,E75:E75)/D74</f>
        <v>21.319999999999997</v>
      </c>
      <c r="F74" s="77">
        <f>E74/C74</f>
        <v>1.0702811244979917</v>
      </c>
      <c r="G74" s="77"/>
      <c r="H74" s="18">
        <f>SUM(H75:H75)</f>
        <v>7.1369999999999996</v>
      </c>
      <c r="I74" s="18">
        <f>SUMPRODUCT(H75:H75,I75:I75)/H74</f>
        <v>32.71</v>
      </c>
      <c r="J74" s="18">
        <f>SUM(J75:J75)</f>
        <v>7.1369999999999996</v>
      </c>
      <c r="K74" s="18">
        <f>SUMPRODUCT(J75:J75,K75:K75)/J74</f>
        <v>34.159999999999997</v>
      </c>
      <c r="L74" s="77">
        <f>K74/I74</f>
        <v>1.0443289513910119</v>
      </c>
      <c r="M74" s="18">
        <f>SUM(M75:M75)</f>
        <v>0</v>
      </c>
      <c r="N74" s="18" t="e">
        <f>SUMPRODUCT(M75:M75,N75:N75)/M74</f>
        <v>#VALUE!</v>
      </c>
      <c r="O74" s="18">
        <f>SUM(O75:O75)</f>
        <v>0</v>
      </c>
      <c r="P74" s="18" t="e">
        <f>SUMPRODUCT(O75:O75,P75:P75)/O74</f>
        <v>#VALUE!</v>
      </c>
      <c r="Q74" s="77" t="e">
        <f>P74/N74</f>
        <v>#VALUE!</v>
      </c>
    </row>
    <row r="75" spans="1:18">
      <c r="A75" s="2" t="s">
        <v>286</v>
      </c>
      <c r="B75" s="13">
        <f>12.075/2</f>
        <v>6.0374999999999996</v>
      </c>
      <c r="C75" s="13">
        <v>19.920000000000002</v>
      </c>
      <c r="D75" s="13">
        <f>B75</f>
        <v>6.0374999999999996</v>
      </c>
      <c r="E75" s="13">
        <v>21.32</v>
      </c>
      <c r="F75" s="78">
        <f>(E75*D75)/(C75*B75)</f>
        <v>1.0702811244979917</v>
      </c>
      <c r="G75" s="158" t="s">
        <v>287</v>
      </c>
      <c r="H75" s="13">
        <f>'[5]ЭЗ-15'!$I$18</f>
        <v>7.1369999999999996</v>
      </c>
      <c r="I75" s="13">
        <f>'[5]ЭЗ-15'!$I$20</f>
        <v>32.71</v>
      </c>
      <c r="J75" s="13">
        <f>H75</f>
        <v>7.1369999999999996</v>
      </c>
      <c r="K75" s="13">
        <f>'[5]ЭЗ-15'!$I$21</f>
        <v>34.159999999999997</v>
      </c>
      <c r="L75" s="86">
        <f>K75/I75</f>
        <v>1.0443289513910119</v>
      </c>
      <c r="M75" s="13"/>
      <c r="N75" s="13"/>
      <c r="O75" s="13"/>
      <c r="P75" s="13"/>
      <c r="Q75" s="78"/>
    </row>
    <row r="76" spans="1:18">
      <c r="A76" s="10" t="s">
        <v>104</v>
      </c>
      <c r="B76" s="18" t="e">
        <f>SUM(#REF!)</f>
        <v>#REF!</v>
      </c>
      <c r="C76" s="18" t="e">
        <f>SUMPRODUCT(#REF!,#REF!)/B76</f>
        <v>#REF!</v>
      </c>
      <c r="D76" s="18" t="e">
        <f>SUM(#REF!)</f>
        <v>#REF!</v>
      </c>
      <c r="E76" s="18" t="e">
        <f>SUMPRODUCT(#REF!,#REF!)/D76</f>
        <v>#REF!</v>
      </c>
      <c r="F76" s="77" t="e">
        <f>E76/C76</f>
        <v>#REF!</v>
      </c>
      <c r="G76" s="77"/>
      <c r="H76" s="18">
        <v>0</v>
      </c>
      <c r="I76" s="18"/>
      <c r="J76" s="18">
        <v>0</v>
      </c>
      <c r="K76" s="18"/>
      <c r="L76" s="77"/>
      <c r="M76" s="18" t="e">
        <f>SUM(#REF!)</f>
        <v>#REF!</v>
      </c>
      <c r="N76" s="18" t="e">
        <f>SUMPRODUCT(#REF!,#REF!)/M76</f>
        <v>#REF!</v>
      </c>
      <c r="O76" s="18" t="e">
        <f>SUM(#REF!)</f>
        <v>#REF!</v>
      </c>
      <c r="P76" s="18" t="e">
        <f>SUMPRODUCT(#REF!,#REF!)/O76</f>
        <v>#REF!</v>
      </c>
      <c r="Q76" s="77" t="e">
        <f>P76/N76</f>
        <v>#REF!</v>
      </c>
    </row>
    <row r="77" spans="1:18">
      <c r="A77" s="4"/>
      <c r="B77" s="170"/>
      <c r="C77" s="170"/>
      <c r="D77" s="170"/>
      <c r="E77" s="170"/>
      <c r="F77" s="88"/>
      <c r="G77" s="78" t="s">
        <v>268</v>
      </c>
      <c r="H77" s="170"/>
      <c r="I77" s="170"/>
      <c r="J77" s="170"/>
      <c r="K77" s="170"/>
      <c r="L77" s="88"/>
      <c r="M77" s="18"/>
      <c r="N77" s="18"/>
      <c r="O77" s="18"/>
      <c r="P77" s="18"/>
      <c r="Q77" s="77"/>
    </row>
    <row r="78" spans="1:18">
      <c r="A78" s="9" t="s">
        <v>105</v>
      </c>
      <c r="B78" s="18" t="e">
        <f>SUM(#REF!)</f>
        <v>#REF!</v>
      </c>
      <c r="C78" s="18" t="e">
        <f>SUMPRODUCT(#REF!,#REF!)/B78</f>
        <v>#REF!</v>
      </c>
      <c r="D78" s="18" t="e">
        <f>SUM(#REF!)</f>
        <v>#REF!</v>
      </c>
      <c r="E78" s="18" t="e">
        <f>SUMPRODUCT(#REF!,#REF!)/D78</f>
        <v>#REF!</v>
      </c>
      <c r="F78" s="77" t="e">
        <f>E78/C78</f>
        <v>#REF!</v>
      </c>
      <c r="G78" s="77"/>
      <c r="H78" s="18">
        <v>0</v>
      </c>
      <c r="I78" s="18"/>
      <c r="J78" s="18">
        <v>0</v>
      </c>
      <c r="K78" s="18"/>
      <c r="L78" s="77"/>
      <c r="M78" s="18" t="e">
        <f>SUM(#REF!)</f>
        <v>#REF!</v>
      </c>
      <c r="N78" s="18" t="e">
        <f>SUMPRODUCT(#REF!,#REF!)/M78</f>
        <v>#REF!</v>
      </c>
      <c r="O78" s="18" t="e">
        <f>SUM(#REF!)</f>
        <v>#REF!</v>
      </c>
      <c r="P78" s="18" t="e">
        <f>SUMPRODUCT(#REF!,#REF!)/O78</f>
        <v>#REF!</v>
      </c>
      <c r="Q78" s="77" t="e">
        <f>P78/N78</f>
        <v>#REF!</v>
      </c>
    </row>
    <row r="79" spans="1:18" ht="15.75">
      <c r="A79" s="43" t="s">
        <v>117</v>
      </c>
      <c r="B79" s="42">
        <f>SUM(B80:B85)</f>
        <v>48.677</v>
      </c>
      <c r="C79" s="42">
        <f>SUMPRODUCT(B80:B85,C80:C85)/B79</f>
        <v>30.525178421020193</v>
      </c>
      <c r="D79" s="42">
        <f>SUM(D80:D85)</f>
        <v>48.677</v>
      </c>
      <c r="E79" s="42">
        <f>SUMPRODUCT(D80:D85,E80:E85)/D79</f>
        <v>32.423021036629208</v>
      </c>
      <c r="F79" s="84">
        <f>E79/C79</f>
        <v>1.0621730228545405</v>
      </c>
      <c r="G79" s="84"/>
      <c r="H79" s="42">
        <f>SUM(H80:H85)</f>
        <v>2.5984999999999996</v>
      </c>
      <c r="I79" s="42">
        <f>SUMPRODUCT(H80:H85,I80:I85)/H79</f>
        <v>23.315466615355017</v>
      </c>
      <c r="J79" s="42">
        <f>SUM(J80:J85)</f>
        <v>2.5984999999999996</v>
      </c>
      <c r="K79" s="42">
        <f>SUMPRODUCT(J80:J85,K80:K85)/J79</f>
        <v>25.297487011737541</v>
      </c>
      <c r="L79" s="84">
        <f>K79/I79</f>
        <v>1.0850088239313731</v>
      </c>
      <c r="M79" s="42">
        <f>SUM(M80:M85)</f>
        <v>76.995999999999995</v>
      </c>
      <c r="N79" s="42">
        <f>SUMPRODUCT(M80:M85,N80:N85)/M79</f>
        <v>35.435673931113307</v>
      </c>
      <c r="O79" s="42">
        <f>SUM(O80:O85)</f>
        <v>76.995999999999995</v>
      </c>
      <c r="P79" s="42">
        <f>SUMPRODUCT(O80:O85,P80:P85)/O79</f>
        <v>37.4462659099174</v>
      </c>
      <c r="Q79" s="84">
        <f>P79/N79</f>
        <v>1.0567392053192686</v>
      </c>
    </row>
    <row r="80" spans="1:18">
      <c r="A80" s="3"/>
      <c r="B80" s="11"/>
      <c r="C80" s="11"/>
      <c r="D80" s="11"/>
      <c r="E80" s="11"/>
      <c r="F80" s="82"/>
      <c r="G80" s="82"/>
      <c r="H80" s="21"/>
      <c r="I80" s="21"/>
      <c r="J80" s="21"/>
      <c r="K80" s="21"/>
      <c r="L80" s="82"/>
      <c r="M80" s="11">
        <f>28.19/2</f>
        <v>14.095000000000001</v>
      </c>
      <c r="N80" s="11">
        <v>43.07</v>
      </c>
      <c r="O80" s="11">
        <f>M80</f>
        <v>14.095000000000001</v>
      </c>
      <c r="P80" s="11">
        <v>46.2</v>
      </c>
      <c r="Q80" s="82">
        <f>(P80*O80)/(N80*M80)</f>
        <v>1.0726723937775715</v>
      </c>
    </row>
    <row r="81" spans="1:17">
      <c r="A81" s="2" t="s">
        <v>111</v>
      </c>
      <c r="B81" s="11">
        <f>9.587/2</f>
        <v>4.7934999999999999</v>
      </c>
      <c r="C81" s="11">
        <v>59.48</v>
      </c>
      <c r="D81" s="11">
        <f t="shared" ref="D81:D82" si="37">B81</f>
        <v>4.7934999999999999</v>
      </c>
      <c r="E81" s="11">
        <v>63.77</v>
      </c>
      <c r="F81" s="82">
        <f t="shared" ref="F81:F82" si="38">(E81*D81)/(C81*B81)</f>
        <v>1.0721250840618697</v>
      </c>
      <c r="G81" s="82" t="s">
        <v>266</v>
      </c>
      <c r="H81" s="163">
        <f>4.225/2</f>
        <v>2.1124999999999998</v>
      </c>
      <c r="I81" s="163">
        <v>24</v>
      </c>
      <c r="J81" s="163">
        <f t="shared" ref="J81:J82" si="39">H81</f>
        <v>2.1124999999999998</v>
      </c>
      <c r="K81" s="163">
        <v>26.04</v>
      </c>
      <c r="L81" s="82">
        <f t="shared" ref="L81:L82" si="40">(K81*J81)/(I81*H81)</f>
        <v>1.085</v>
      </c>
      <c r="M81" s="11">
        <f>14.824/2</f>
        <v>7.4119999999999999</v>
      </c>
      <c r="N81" s="11">
        <v>44.67</v>
      </c>
      <c r="O81" s="11">
        <f t="shared" ref="O81:O82" si="41">M81</f>
        <v>7.4119999999999999</v>
      </c>
      <c r="P81" s="11">
        <v>48.32</v>
      </c>
      <c r="Q81" s="82">
        <f t="shared" ref="Q81:Q82" si="42">(P81*O81)/(N81*M81)</f>
        <v>1.0817103201253637</v>
      </c>
    </row>
    <row r="82" spans="1:17">
      <c r="A82" s="2" t="s">
        <v>112</v>
      </c>
      <c r="B82" s="11">
        <f>86.547/2</f>
        <v>43.273499999999999</v>
      </c>
      <c r="C82" s="11">
        <v>27.18</v>
      </c>
      <c r="D82" s="11">
        <f t="shared" si="37"/>
        <v>43.273499999999999</v>
      </c>
      <c r="E82" s="11">
        <v>28.8</v>
      </c>
      <c r="F82" s="82">
        <f t="shared" si="38"/>
        <v>1.0596026490066226</v>
      </c>
      <c r="G82" s="82" t="s">
        <v>266</v>
      </c>
      <c r="H82" s="163">
        <f>0.972/2</f>
        <v>0.48599999999999999</v>
      </c>
      <c r="I82" s="163">
        <v>20.34</v>
      </c>
      <c r="J82" s="163">
        <f t="shared" si="39"/>
        <v>0.48599999999999999</v>
      </c>
      <c r="K82" s="163">
        <v>22.07</v>
      </c>
      <c r="L82" s="82">
        <f t="shared" si="40"/>
        <v>1.0850540806293019</v>
      </c>
      <c r="M82" s="11">
        <f>84.508/2</f>
        <v>42.253999999999998</v>
      </c>
      <c r="N82" s="11">
        <v>21.94</v>
      </c>
      <c r="O82" s="11">
        <f t="shared" si="41"/>
        <v>42.253999999999998</v>
      </c>
      <c r="P82" s="11">
        <v>22.3</v>
      </c>
      <c r="Q82" s="82">
        <f t="shared" si="42"/>
        <v>1.0164083865086599</v>
      </c>
    </row>
    <row r="83" spans="1:17">
      <c r="A83" s="2" t="s">
        <v>118</v>
      </c>
      <c r="B83" s="11">
        <f>1.22/2</f>
        <v>0.61</v>
      </c>
      <c r="C83" s="11">
        <v>40.299999999999997</v>
      </c>
      <c r="D83" s="11">
        <f>B83</f>
        <v>0.61</v>
      </c>
      <c r="E83" s="11">
        <v>43.11</v>
      </c>
      <c r="F83" s="82">
        <f>(E83*D83)/(C83*B83)</f>
        <v>1.069727047146402</v>
      </c>
      <c r="G83" s="82"/>
      <c r="H83" s="11"/>
      <c r="I83" s="11"/>
      <c r="J83" s="11"/>
      <c r="K83" s="11"/>
      <c r="L83" s="82"/>
      <c r="M83" s="11"/>
      <c r="N83" s="11"/>
      <c r="O83" s="11"/>
      <c r="P83" s="11"/>
      <c r="Q83" s="82"/>
    </row>
    <row r="84" spans="1:17">
      <c r="A84" s="2"/>
      <c r="B84" s="11"/>
      <c r="C84" s="11"/>
      <c r="D84" s="11"/>
      <c r="E84" s="11"/>
      <c r="F84" s="82"/>
      <c r="G84" s="82"/>
      <c r="H84" s="11"/>
      <c r="I84" s="11"/>
      <c r="J84" s="11"/>
      <c r="K84" s="11"/>
      <c r="L84" s="82"/>
      <c r="M84" s="11"/>
      <c r="N84" s="11"/>
      <c r="O84" s="11"/>
      <c r="P84" s="11"/>
      <c r="Q84" s="82"/>
    </row>
    <row r="85" spans="1:17">
      <c r="A85" s="2"/>
      <c r="B85" s="11"/>
      <c r="C85" s="11"/>
      <c r="D85" s="11"/>
      <c r="E85" s="11"/>
      <c r="F85" s="82"/>
      <c r="G85" s="82"/>
      <c r="H85" s="11"/>
      <c r="I85" s="11"/>
      <c r="J85" s="11"/>
      <c r="K85" s="11"/>
      <c r="L85" s="82"/>
      <c r="M85" s="11">
        <f>26.47/2</f>
        <v>13.234999999999999</v>
      </c>
      <c r="N85" s="11">
        <v>65.22</v>
      </c>
      <c r="O85" s="11">
        <f t="shared" ref="O85" si="43">M85</f>
        <v>13.234999999999999</v>
      </c>
      <c r="P85" s="11">
        <v>70.39</v>
      </c>
      <c r="Q85" s="82">
        <f t="shared" ref="Q85" si="44">(P85*O85)/(N85*M85)</f>
        <v>1.0792701625268322</v>
      </c>
    </row>
    <row r="86" spans="1:17">
      <c r="A86" s="31" t="s">
        <v>121</v>
      </c>
      <c r="B86" s="18">
        <f>SUM(B87:B90)</f>
        <v>36.3705</v>
      </c>
      <c r="C86" s="18">
        <f>SUMPRODUCT(B87:B90,C87:C90)/B86</f>
        <v>37.440717339602145</v>
      </c>
      <c r="D86" s="18">
        <f>SUM(D87:D90)</f>
        <v>36.3705</v>
      </c>
      <c r="E86" s="18">
        <f>SUMPRODUCT(D87:D90,E87:E90)/D86</f>
        <v>39.593072545057119</v>
      </c>
      <c r="F86" s="77">
        <f>E86/C86</f>
        <v>1.0574870183691263</v>
      </c>
      <c r="G86" s="77"/>
      <c r="H86" s="18">
        <f>SUM(H87:H90)</f>
        <v>0</v>
      </c>
      <c r="I86" s="18" t="e">
        <f>SUMPRODUCT(H87:H90,I87:I90)/H86</f>
        <v>#DIV/0!</v>
      </c>
      <c r="J86" s="18">
        <f>SUM(J87:J90)</f>
        <v>0</v>
      </c>
      <c r="K86" s="18" t="e">
        <f>SUMPRODUCT(J87:J90,K87:K90)/J86</f>
        <v>#DIV/0!</v>
      </c>
      <c r="L86" s="77" t="e">
        <f>K86/I86</f>
        <v>#DIV/0!</v>
      </c>
      <c r="M86" s="18">
        <f>SUM(M87:M90)</f>
        <v>10.040000000000001</v>
      </c>
      <c r="N86" s="18">
        <f>SUMPRODUCT(M87:M90,N87:N90)/M86</f>
        <v>63.349203187251</v>
      </c>
      <c r="O86" s="18">
        <f>SUM(O87:O90)</f>
        <v>10.040000000000001</v>
      </c>
      <c r="P86" s="18">
        <f>SUMPRODUCT(O87:O90,P87:P90)/O86</f>
        <v>66.314780876494027</v>
      </c>
      <c r="Q86" s="77">
        <f>P86/N86</f>
        <v>1.0468131805932461</v>
      </c>
    </row>
    <row r="87" spans="1:17">
      <c r="A87" s="23"/>
      <c r="B87" s="13"/>
      <c r="C87" s="13"/>
      <c r="D87" s="13"/>
      <c r="E87" s="13"/>
      <c r="F87" s="78"/>
      <c r="G87" s="78"/>
      <c r="H87" s="28"/>
      <c r="I87" s="28"/>
      <c r="J87" s="28"/>
      <c r="K87" s="28"/>
      <c r="L87" s="78"/>
      <c r="M87" s="13">
        <f>7.28/2</f>
        <v>3.64</v>
      </c>
      <c r="N87" s="13">
        <v>69.150000000000006</v>
      </c>
      <c r="O87" s="13">
        <f>M87</f>
        <v>3.64</v>
      </c>
      <c r="P87" s="13">
        <v>73.11</v>
      </c>
      <c r="Q87" s="78">
        <f>(P87*O87)/(N87*M87)</f>
        <v>1.0572668112798265</v>
      </c>
    </row>
    <row r="88" spans="1:17">
      <c r="A88" s="23"/>
      <c r="B88" s="13">
        <f>39.5/2</f>
        <v>19.75</v>
      </c>
      <c r="C88" s="13">
        <v>38.21</v>
      </c>
      <c r="D88" s="13">
        <f>B88</f>
        <v>19.75</v>
      </c>
      <c r="E88" s="13">
        <v>40.229999999999997</v>
      </c>
      <c r="F88" s="78">
        <f t="shared" ref="F88:F90" si="45">(E88*D88)/(C88*B88)</f>
        <v>1.0528657419523684</v>
      </c>
      <c r="G88" s="78"/>
      <c r="H88" s="13"/>
      <c r="I88" s="13"/>
      <c r="J88" s="13"/>
      <c r="K88" s="22"/>
      <c r="L88" s="78" t="e">
        <f t="shared" ref="L88:L90" si="46">(K88*J88)/(I88*H88)</f>
        <v>#DIV/0!</v>
      </c>
      <c r="M88" s="13">
        <f>12.8/2</f>
        <v>6.4</v>
      </c>
      <c r="N88" s="13">
        <v>60.05</v>
      </c>
      <c r="O88" s="13">
        <f>M88</f>
        <v>6.4</v>
      </c>
      <c r="P88" s="13">
        <v>62.45</v>
      </c>
      <c r="Q88" s="78">
        <f>(P88*O88)/(N88*M88)</f>
        <v>1.0399666944213157</v>
      </c>
    </row>
    <row r="89" spans="1:17">
      <c r="A89" s="3"/>
      <c r="B89" s="13">
        <f>14/2</f>
        <v>7</v>
      </c>
      <c r="C89" s="13">
        <v>32.549999999999997</v>
      </c>
      <c r="D89" s="13">
        <f>B89</f>
        <v>7</v>
      </c>
      <c r="E89" s="13">
        <v>32.99</v>
      </c>
      <c r="F89" s="78">
        <f t="shared" si="45"/>
        <v>1.0135176651305686</v>
      </c>
      <c r="G89" s="78"/>
      <c r="H89" s="13"/>
      <c r="I89" s="13"/>
      <c r="J89" s="13"/>
      <c r="K89" s="22"/>
      <c r="L89" s="78" t="e">
        <f t="shared" si="46"/>
        <v>#DIV/0!</v>
      </c>
      <c r="M89" s="13"/>
      <c r="N89" s="13"/>
      <c r="O89" s="13"/>
      <c r="P89" s="13"/>
      <c r="Q89" s="78"/>
    </row>
    <row r="90" spans="1:17">
      <c r="A90" s="3"/>
      <c r="B90" s="37">
        <f>19.241/2</f>
        <v>9.6204999999999998</v>
      </c>
      <c r="C90" s="37">
        <v>39.42</v>
      </c>
      <c r="D90" s="37">
        <f>19.241/2</f>
        <v>9.6204999999999998</v>
      </c>
      <c r="E90" s="28">
        <v>43.09</v>
      </c>
      <c r="F90" s="78">
        <f t="shared" si="45"/>
        <v>1.0930999492643327</v>
      </c>
      <c r="G90" s="78"/>
      <c r="H90" s="37"/>
      <c r="I90" s="37"/>
      <c r="J90" s="13"/>
      <c r="K90" s="37"/>
      <c r="L90" s="78" t="e">
        <f t="shared" si="46"/>
        <v>#DIV/0!</v>
      </c>
      <c r="M90" s="28"/>
      <c r="N90" s="28"/>
      <c r="O90" s="28"/>
      <c r="P90" s="28"/>
      <c r="Q90" s="78"/>
    </row>
    <row r="91" spans="1:17">
      <c r="A91" s="25" t="s">
        <v>126</v>
      </c>
      <c r="B91" s="18">
        <f>SUM(B92:B96)</f>
        <v>104.1095</v>
      </c>
      <c r="C91" s="18">
        <f>SUMPRODUCT(B92:B96,C92:C96)/B91</f>
        <v>40.088333965680363</v>
      </c>
      <c r="D91" s="18">
        <f>SUM(D92:D96)</f>
        <v>104.1095</v>
      </c>
      <c r="E91" s="18">
        <f>SUMPRODUCT(D92:D96,E92:E96)/D91</f>
        <v>41.994961506874979</v>
      </c>
      <c r="F91" s="77">
        <f>E91/C91</f>
        <v>1.0475606579915964</v>
      </c>
      <c r="G91" s="77"/>
      <c r="H91" s="18">
        <f>SUM(H92:H96)</f>
        <v>0</v>
      </c>
      <c r="I91" s="18" t="e">
        <f>SUMPRODUCT(H92:H96,I92:I96)/H91</f>
        <v>#DIV/0!</v>
      </c>
      <c r="J91" s="18">
        <f>SUM(J92:J96)</f>
        <v>0</v>
      </c>
      <c r="K91" s="18" t="e">
        <f>SUMPRODUCT(J92:J96,K92:K96)/J91</f>
        <v>#DIV/0!</v>
      </c>
      <c r="L91" s="77" t="e">
        <f>K91/I91</f>
        <v>#DIV/0!</v>
      </c>
      <c r="M91" s="18">
        <f>SUM(M92:M96)</f>
        <v>73.930499999999995</v>
      </c>
      <c r="N91" s="18">
        <f>SUMPRODUCT(M92:M96,N92:N96)/M91</f>
        <v>33.067474519988373</v>
      </c>
      <c r="O91" s="18">
        <f>SUM(O92:O96)</f>
        <v>73.930499999999995</v>
      </c>
      <c r="P91" s="18">
        <f>SUMPRODUCT(O92:O96,P92:P96)/O91</f>
        <v>35.153448576703795</v>
      </c>
      <c r="Q91" s="77">
        <f>P91/N91</f>
        <v>1.0630823516762524</v>
      </c>
    </row>
    <row r="92" spans="1:17">
      <c r="A92" s="7"/>
      <c r="B92" s="13">
        <f>11.18/2</f>
        <v>5.59</v>
      </c>
      <c r="C92" s="13">
        <v>33.020000000000003</v>
      </c>
      <c r="D92" s="13">
        <f>B92</f>
        <v>5.59</v>
      </c>
      <c r="E92" s="13">
        <v>34.04</v>
      </c>
      <c r="F92" s="78">
        <f>(E92*D92)/(C92*B92)</f>
        <v>1.0308903694730465</v>
      </c>
      <c r="G92" s="78"/>
      <c r="H92" s="13"/>
      <c r="I92" s="13"/>
      <c r="J92" s="13"/>
      <c r="K92" s="22"/>
      <c r="L92" s="78" t="e">
        <f>(K92*J92)/(I92*H92)</f>
        <v>#DIV/0!</v>
      </c>
      <c r="M92" s="13">
        <f>6.54/2</f>
        <v>3.27</v>
      </c>
      <c r="N92" s="13">
        <v>78.03</v>
      </c>
      <c r="O92" s="13">
        <f>M92</f>
        <v>3.27</v>
      </c>
      <c r="P92" s="13">
        <v>81.98</v>
      </c>
      <c r="Q92" s="78">
        <f>(P92*O92)/(N92*M92)</f>
        <v>1.0506215558118672</v>
      </c>
    </row>
    <row r="93" spans="1:17">
      <c r="A93" s="7"/>
      <c r="B93" s="13">
        <f>35.646/2</f>
        <v>17.823</v>
      </c>
      <c r="C93" s="13">
        <v>30.78</v>
      </c>
      <c r="D93" s="13">
        <f>B93</f>
        <v>17.823</v>
      </c>
      <c r="E93" s="13">
        <v>32.83</v>
      </c>
      <c r="F93" s="78">
        <f>(E93*D93)/(C93*B93)</f>
        <v>1.0666016894087069</v>
      </c>
      <c r="G93" s="78"/>
      <c r="H93" s="13"/>
      <c r="I93" s="13"/>
      <c r="J93" s="13"/>
      <c r="K93" s="22"/>
      <c r="L93" s="78" t="e">
        <f>(K93*J93)/(I93*H93)</f>
        <v>#DIV/0!</v>
      </c>
      <c r="M93" s="13">
        <f>10.78/2</f>
        <v>5.39</v>
      </c>
      <c r="N93" s="13">
        <v>52.31</v>
      </c>
      <c r="O93" s="13">
        <f>M93</f>
        <v>5.39</v>
      </c>
      <c r="P93" s="13">
        <v>55.77</v>
      </c>
      <c r="Q93" s="78">
        <f>(P93*O93)/(N93*M93)</f>
        <v>1.066144140699675</v>
      </c>
    </row>
    <row r="94" spans="1:17">
      <c r="A94" s="7"/>
      <c r="B94" s="13">
        <f>(59.46)/2</f>
        <v>29.73</v>
      </c>
      <c r="C94" s="13">
        <v>42.48</v>
      </c>
      <c r="D94" s="13">
        <f>B94</f>
        <v>29.73</v>
      </c>
      <c r="E94" s="13">
        <v>44.87</v>
      </c>
      <c r="F94" s="78">
        <f>(E94*D94)/(C94*B94)</f>
        <v>1.0562617702448209</v>
      </c>
      <c r="G94" s="78"/>
      <c r="H94" s="13"/>
      <c r="I94" s="13"/>
      <c r="J94" s="13"/>
      <c r="K94" s="22"/>
      <c r="L94" s="78" t="e">
        <f>(K94*J94)/(I94*H94)</f>
        <v>#DIV/0!</v>
      </c>
      <c r="M94" s="13">
        <f>122.041/2</f>
        <v>61.020499999999998</v>
      </c>
      <c r="N94" s="13">
        <v>27.85</v>
      </c>
      <c r="O94" s="13">
        <f>M94</f>
        <v>61.020499999999998</v>
      </c>
      <c r="P94" s="13">
        <v>29.86</v>
      </c>
      <c r="Q94" s="78">
        <f>(P94*O94)/(N94*M94)</f>
        <v>1.0721723518850987</v>
      </c>
    </row>
    <row r="95" spans="1:17">
      <c r="A95" s="7"/>
      <c r="B95" s="13">
        <f>91.933/2</f>
        <v>45.966500000000003</v>
      </c>
      <c r="C95" s="13">
        <v>44.41</v>
      </c>
      <c r="D95" s="13">
        <f>B95</f>
        <v>45.966500000000003</v>
      </c>
      <c r="E95" s="13">
        <v>46.07</v>
      </c>
      <c r="F95" s="78">
        <f>(E95*D95)/(C95*B95)</f>
        <v>1.0373789687007431</v>
      </c>
      <c r="G95" s="78"/>
      <c r="H95" s="13"/>
      <c r="I95" s="13"/>
      <c r="J95" s="13"/>
      <c r="K95" s="22"/>
      <c r="L95" s="78" t="e">
        <f>(K95*J95)/(I95*H95)</f>
        <v>#DIV/0!</v>
      </c>
      <c r="M95" s="13"/>
      <c r="N95" s="13"/>
      <c r="O95" s="13"/>
      <c r="P95" s="13"/>
      <c r="Q95" s="78"/>
    </row>
    <row r="96" spans="1:17">
      <c r="A96" s="8"/>
      <c r="B96" s="13">
        <f>10/2</f>
        <v>5</v>
      </c>
      <c r="C96" s="13">
        <v>27.22</v>
      </c>
      <c r="D96" s="13">
        <f>B96</f>
        <v>5</v>
      </c>
      <c r="E96" s="13">
        <v>29</v>
      </c>
      <c r="F96" s="78">
        <f>(E96*D96)/(C96*B96)</f>
        <v>1.0653930933137399</v>
      </c>
      <c r="G96" s="78"/>
      <c r="H96" s="22"/>
      <c r="I96" s="22"/>
      <c r="J96" s="22"/>
      <c r="K96" s="22"/>
      <c r="L96" s="78" t="e">
        <f>(K96*J96)/(I96*H96)</f>
        <v>#DIV/0!</v>
      </c>
      <c r="M96" s="13">
        <f>8.5/2</f>
        <v>4.25</v>
      </c>
      <c r="N96" s="13">
        <v>48.98</v>
      </c>
      <c r="O96" s="13">
        <f>M96</f>
        <v>4.25</v>
      </c>
      <c r="P96" s="13">
        <v>48.98</v>
      </c>
      <c r="Q96" s="78">
        <f>(P96*O96)/(N96*M96)</f>
        <v>1</v>
      </c>
    </row>
    <row r="97" spans="1:17">
      <c r="A97" s="9" t="s">
        <v>132</v>
      </c>
      <c r="B97" s="18">
        <f>SUM(B98:B107)</f>
        <v>70.03</v>
      </c>
      <c r="C97" s="18">
        <f>SUMPRODUCT(B98:B107,C98:C107)/B97</f>
        <v>39.581816364415253</v>
      </c>
      <c r="D97" s="18">
        <f>SUM(D98:D107)</f>
        <v>70.03</v>
      </c>
      <c r="E97" s="18">
        <f>SUMPRODUCT(D98:D107,E98:E107)/D97</f>
        <v>42.279256033128661</v>
      </c>
      <c r="F97" s="77">
        <f>E97/C97</f>
        <v>1.068148455944494</v>
      </c>
      <c r="G97" s="77"/>
      <c r="H97" s="18">
        <f>SUM(H98:H107)</f>
        <v>33.380000000000003</v>
      </c>
      <c r="I97" s="18">
        <f>SUMPRODUCT(H98:H107,I98:I107)/H97</f>
        <v>19.420000000000002</v>
      </c>
      <c r="J97" s="18">
        <f>SUM(J98:J107)</f>
        <v>33.380000000000003</v>
      </c>
      <c r="K97" s="18">
        <f>SUMPRODUCT(J98:J107,K98:K107)/J97</f>
        <v>20.8</v>
      </c>
      <c r="L97" s="77">
        <f>K97/I97</f>
        <v>1.0710607621009269</v>
      </c>
      <c r="M97" s="18">
        <f>SUM(M98:M107)</f>
        <v>239.70950000000002</v>
      </c>
      <c r="N97" s="18">
        <f>SUMPRODUCT(M98:M107,N98:N107)/M97</f>
        <v>59.084798850275014</v>
      </c>
      <c r="O97" s="18">
        <f>SUM(O98:O107)</f>
        <v>239.70950000000002</v>
      </c>
      <c r="P97" s="18">
        <f>SUMPRODUCT(O98:O107,P98:P107)/O97</f>
        <v>63.11635383662307</v>
      </c>
      <c r="Q97" s="77">
        <f>P97/N97</f>
        <v>1.068233370761984</v>
      </c>
    </row>
    <row r="98" spans="1:17">
      <c r="A98" s="7"/>
      <c r="B98" s="13"/>
      <c r="C98" s="13"/>
      <c r="D98" s="13"/>
      <c r="E98" s="13"/>
      <c r="F98" s="78"/>
      <c r="G98" s="78"/>
      <c r="H98" s="13"/>
      <c r="I98" s="13"/>
      <c r="J98" s="13"/>
      <c r="K98" s="22"/>
      <c r="L98" s="78"/>
      <c r="M98" s="13">
        <f>122.645/2</f>
        <v>61.322499999999998</v>
      </c>
      <c r="N98" s="13">
        <v>68.87</v>
      </c>
      <c r="O98" s="13">
        <f>M98</f>
        <v>61.322499999999998</v>
      </c>
      <c r="P98" s="13">
        <v>71.14</v>
      </c>
      <c r="Q98" s="78">
        <f>(P98*O98)/(N98*M98)</f>
        <v>1.0329606505009439</v>
      </c>
    </row>
    <row r="99" spans="1:17">
      <c r="A99" s="7"/>
      <c r="B99" s="13"/>
      <c r="C99" s="13"/>
      <c r="D99" s="13"/>
      <c r="E99" s="13"/>
      <c r="F99" s="78"/>
      <c r="G99" s="78"/>
      <c r="H99" s="22"/>
      <c r="I99" s="22"/>
      <c r="J99" s="22"/>
      <c r="K99" s="22"/>
      <c r="L99" s="78"/>
      <c r="M99" s="13">
        <f>10.165/2</f>
        <v>5.0824999999999996</v>
      </c>
      <c r="N99" s="13">
        <v>51.78</v>
      </c>
      <c r="O99" s="13">
        <f>M99</f>
        <v>5.0824999999999996</v>
      </c>
      <c r="P99" s="13">
        <v>51.78</v>
      </c>
      <c r="Q99" s="78">
        <f>(P99*O99)/(N99*M99)</f>
        <v>1</v>
      </c>
    </row>
    <row r="100" spans="1:17">
      <c r="A100" s="7"/>
      <c r="B100" s="13"/>
      <c r="C100" s="13"/>
      <c r="D100" s="13"/>
      <c r="E100" s="13"/>
      <c r="F100" s="78"/>
      <c r="G100" s="78"/>
      <c r="H100" s="13"/>
      <c r="I100" s="13"/>
      <c r="J100" s="13"/>
      <c r="K100" s="22"/>
      <c r="L100" s="78"/>
      <c r="M100" s="13">
        <f>20.976/2</f>
        <v>10.488</v>
      </c>
      <c r="N100" s="13">
        <v>101</v>
      </c>
      <c r="O100" s="13">
        <f>M100</f>
        <v>10.488</v>
      </c>
      <c r="P100" s="13">
        <v>103.89</v>
      </c>
      <c r="Q100" s="78">
        <f>(P100*O100)/(N100*M100)</f>
        <v>1.0286138613861386</v>
      </c>
    </row>
    <row r="101" spans="1:17">
      <c r="A101" s="2"/>
      <c r="B101" s="13">
        <f>3.13/2</f>
        <v>1.5649999999999999</v>
      </c>
      <c r="C101" s="13">
        <v>291.20999999999998</v>
      </c>
      <c r="D101" s="13">
        <f>B101</f>
        <v>1.5649999999999999</v>
      </c>
      <c r="E101" s="13">
        <v>301.67</v>
      </c>
      <c r="F101" s="78">
        <f>(E101*D101)/(C101*B101)</f>
        <v>1.0359190961848839</v>
      </c>
      <c r="G101" s="78"/>
      <c r="H101" s="13"/>
      <c r="I101" s="13"/>
      <c r="J101" s="13"/>
      <c r="K101" s="13"/>
      <c r="L101" s="78"/>
      <c r="M101" s="13"/>
      <c r="N101" s="13"/>
      <c r="O101" s="13"/>
      <c r="P101" s="13"/>
      <c r="Q101" s="78"/>
    </row>
    <row r="102" spans="1:17">
      <c r="A102" s="2" t="s">
        <v>142</v>
      </c>
      <c r="B102" s="13">
        <f>136.93/2</f>
        <v>68.465000000000003</v>
      </c>
      <c r="C102" s="13">
        <v>33.83</v>
      </c>
      <c r="D102" s="13">
        <f>B102</f>
        <v>68.465000000000003</v>
      </c>
      <c r="E102" s="13">
        <v>36.35</v>
      </c>
      <c r="F102" s="78">
        <f t="shared" ref="F102" si="47">(E102*D102)/(C102*B102)</f>
        <v>1.0744900975465563</v>
      </c>
      <c r="G102" s="78" t="s">
        <v>276</v>
      </c>
      <c r="H102" s="13">
        <f>66.76/2</f>
        <v>33.380000000000003</v>
      </c>
      <c r="I102" s="13">
        <v>19.420000000000002</v>
      </c>
      <c r="J102" s="13">
        <f>H102</f>
        <v>33.380000000000003</v>
      </c>
      <c r="K102" s="13">
        <v>20.8</v>
      </c>
      <c r="L102" s="78">
        <f t="shared" ref="L102" si="48">(K102*J102)/(I102*H102)</f>
        <v>1.0710607621009269</v>
      </c>
      <c r="M102" s="13">
        <f>109.73/2</f>
        <v>54.865000000000002</v>
      </c>
      <c r="N102" s="13">
        <v>30.5</v>
      </c>
      <c r="O102" s="13">
        <f>M102</f>
        <v>54.865000000000002</v>
      </c>
      <c r="P102" s="13">
        <v>32.479999999999997</v>
      </c>
      <c r="Q102" s="78">
        <f t="shared" ref="Q102" si="49">(P102*O102)/(N102*M102)</f>
        <v>1.064918032786885</v>
      </c>
    </row>
    <row r="103" spans="1:17">
      <c r="A103" s="8"/>
      <c r="B103" s="13"/>
      <c r="C103" s="13"/>
      <c r="D103" s="13"/>
      <c r="E103" s="13"/>
      <c r="F103" s="78"/>
      <c r="G103" s="78"/>
      <c r="H103" s="22"/>
      <c r="I103" s="13"/>
      <c r="J103" s="22"/>
      <c r="K103" s="13"/>
      <c r="L103" s="78"/>
      <c r="M103" s="13">
        <v>0</v>
      </c>
      <c r="N103" s="13">
        <v>0</v>
      </c>
      <c r="O103" s="13">
        <v>0</v>
      </c>
      <c r="P103" s="13">
        <v>0</v>
      </c>
      <c r="Q103" s="78"/>
    </row>
    <row r="104" spans="1:17">
      <c r="A104" s="8"/>
      <c r="B104" s="13"/>
      <c r="C104" s="13"/>
      <c r="D104" s="13"/>
      <c r="E104" s="13"/>
      <c r="F104" s="78"/>
      <c r="G104" s="78"/>
      <c r="H104" s="13"/>
      <c r="I104" s="13"/>
      <c r="J104" s="13"/>
      <c r="K104" s="22"/>
      <c r="L104" s="78"/>
      <c r="M104" s="13">
        <f>52.429/2</f>
        <v>26.214500000000001</v>
      </c>
      <c r="N104" s="13">
        <v>88.27</v>
      </c>
      <c r="O104" s="13">
        <f>M104</f>
        <v>26.214500000000001</v>
      </c>
      <c r="P104" s="13">
        <v>89.16</v>
      </c>
      <c r="Q104" s="78">
        <f t="shared" ref="Q104" si="50">(P104*O104)/(N104*M104)</f>
        <v>1.0100827008043503</v>
      </c>
    </row>
    <row r="105" spans="1:17">
      <c r="A105" s="8"/>
      <c r="B105" s="13"/>
      <c r="C105" s="13"/>
      <c r="D105" s="13"/>
      <c r="E105" s="13"/>
      <c r="F105" s="78"/>
      <c r="G105" s="78"/>
      <c r="H105" s="22"/>
      <c r="I105" s="22"/>
      <c r="J105" s="22"/>
      <c r="K105" s="22"/>
      <c r="L105" s="78"/>
      <c r="M105" s="13"/>
      <c r="N105" s="13"/>
      <c r="O105" s="13"/>
      <c r="P105" s="13"/>
      <c r="Q105" s="78"/>
    </row>
    <row r="106" spans="1:17">
      <c r="A106" s="7"/>
      <c r="B106" s="13"/>
      <c r="C106" s="13"/>
      <c r="D106" s="13"/>
      <c r="E106" s="13"/>
      <c r="F106" s="78"/>
      <c r="G106" s="78"/>
      <c r="H106" s="13"/>
      <c r="I106" s="13"/>
      <c r="J106" s="13"/>
      <c r="K106" s="22"/>
      <c r="L106" s="78"/>
      <c r="M106" s="13">
        <f>144.314/2</f>
        <v>72.156999999999996</v>
      </c>
      <c r="N106" s="13">
        <v>41.35</v>
      </c>
      <c r="O106" s="13">
        <f>M106</f>
        <v>72.156999999999996</v>
      </c>
      <c r="P106" s="13">
        <v>46.74</v>
      </c>
      <c r="Q106" s="78">
        <f>(P106*O106)/(N106*M106)</f>
        <v>1.1303506650544135</v>
      </c>
    </row>
    <row r="107" spans="1:17">
      <c r="A107" s="7"/>
      <c r="B107" s="13"/>
      <c r="C107" s="13"/>
      <c r="D107" s="13"/>
      <c r="E107" s="13"/>
      <c r="F107" s="78"/>
      <c r="G107" s="78"/>
      <c r="H107" s="13"/>
      <c r="I107" s="13"/>
      <c r="J107" s="13"/>
      <c r="K107" s="22"/>
      <c r="L107" s="78"/>
      <c r="M107" s="13">
        <f>19.16/2</f>
        <v>9.58</v>
      </c>
      <c r="N107" s="13">
        <v>171.86</v>
      </c>
      <c r="O107" s="13">
        <f>M107</f>
        <v>9.58</v>
      </c>
      <c r="P107" s="13">
        <v>200.67</v>
      </c>
      <c r="Q107" s="78">
        <f>(P107*O107)/(N107*M107)</f>
        <v>1.1676364482718491</v>
      </c>
    </row>
    <row r="108" spans="1:17">
      <c r="A108" s="9" t="s">
        <v>143</v>
      </c>
      <c r="B108" s="18">
        <f>SUM(B109:B114)</f>
        <v>433.26949999999999</v>
      </c>
      <c r="C108" s="18">
        <f>SUMPRODUCT(B109:B114,C109:C114)/B108</f>
        <v>47.107297663463505</v>
      </c>
      <c r="D108" s="18">
        <f>SUM(D109:D114)</f>
        <v>433.26949999999999</v>
      </c>
      <c r="E108" s="18">
        <f>SUMPRODUCT(D109:D114,E109:E114)/D108</f>
        <v>67.673509213087939</v>
      </c>
      <c r="F108" s="77">
        <f>E108/C108</f>
        <v>1.4365822827823898</v>
      </c>
      <c r="G108" s="77"/>
      <c r="H108" s="18">
        <f>SUM(H109:H114)</f>
        <v>287.15900000000005</v>
      </c>
      <c r="I108" s="18">
        <f>SUMPRODUCT(H109:H114,I109:I114)/H108</f>
        <v>29.377964820883196</v>
      </c>
      <c r="J108" s="18">
        <f>SUM(J109:J114)</f>
        <v>381.65700000000004</v>
      </c>
      <c r="K108" s="18">
        <f>SUMPRODUCT(J109:J114,K109:K114)/J108</f>
        <v>34.702182470123695</v>
      </c>
      <c r="L108" s="77">
        <f>K108/I108</f>
        <v>1.1812316708016413</v>
      </c>
      <c r="M108" s="18">
        <f>SUM(M109:M114)</f>
        <v>392.23749999999995</v>
      </c>
      <c r="N108" s="18">
        <f>SUMPRODUCT(M109:M114,N109:N114)/M108</f>
        <v>35.808039937537842</v>
      </c>
      <c r="O108" s="18">
        <f>SUM(O109:O114)</f>
        <v>392.23749999999995</v>
      </c>
      <c r="P108" s="18">
        <f>SUMPRODUCT(O109:O114,P109:P114)/O108</f>
        <v>41.148639051595012</v>
      </c>
      <c r="Q108" s="77">
        <f>P108/N108</f>
        <v>1.1491452512724267</v>
      </c>
    </row>
    <row r="109" spans="1:17">
      <c r="A109" s="8" t="s">
        <v>144</v>
      </c>
      <c r="B109" s="13">
        <f>430.581/2</f>
        <v>215.29050000000001</v>
      </c>
      <c r="C109" s="13">
        <v>55.17</v>
      </c>
      <c r="D109" s="13">
        <f>B109</f>
        <v>215.29050000000001</v>
      </c>
      <c r="E109" s="13">
        <v>95.72</v>
      </c>
      <c r="F109" s="78">
        <f>(E109*D109)/(C109*B109)</f>
        <v>1.7350009062896503</v>
      </c>
      <c r="G109" s="78" t="s">
        <v>277</v>
      </c>
      <c r="H109" s="13">
        <v>164.86</v>
      </c>
      <c r="I109" s="13">
        <v>27.42</v>
      </c>
      <c r="J109" s="13">
        <f>H109</f>
        <v>164.86</v>
      </c>
      <c r="K109" s="13">
        <v>35.03</v>
      </c>
      <c r="L109" s="78">
        <f>(K109*J109)/(I109*H109)</f>
        <v>1.2775346462436177</v>
      </c>
      <c r="M109" s="13">
        <f>765.458/2</f>
        <v>382.72899999999998</v>
      </c>
      <c r="N109" s="13">
        <v>33.86</v>
      </c>
      <c r="O109" s="13">
        <f>M109</f>
        <v>382.72899999999998</v>
      </c>
      <c r="P109" s="13">
        <v>39.33</v>
      </c>
      <c r="Q109" s="78">
        <f>(P109*O109)/(N109*M109)</f>
        <v>1.1615475487300648</v>
      </c>
    </row>
    <row r="110" spans="1:17">
      <c r="A110" s="8" t="s">
        <v>145</v>
      </c>
      <c r="B110" s="13">
        <f>11.3/2</f>
        <v>5.65</v>
      </c>
      <c r="C110" s="13">
        <v>62.62</v>
      </c>
      <c r="D110" s="13">
        <f>B110</f>
        <v>5.65</v>
      </c>
      <c r="E110" s="13">
        <v>62.62</v>
      </c>
      <c r="F110" s="78">
        <f>(E110*D110)/(C110*B110)</f>
        <v>1</v>
      </c>
      <c r="G110" s="78" t="s">
        <v>278</v>
      </c>
      <c r="H110" s="13">
        <v>4.71</v>
      </c>
      <c r="I110" s="13">
        <v>32.36</v>
      </c>
      <c r="J110" s="13">
        <f>H110</f>
        <v>4.71</v>
      </c>
      <c r="K110" s="13">
        <v>34.659999999999997</v>
      </c>
      <c r="L110" s="78">
        <f t="shared" ref="L110:L114" si="51">(K110*J110)/(I110*H110)</f>
        <v>1.0710754017305315</v>
      </c>
      <c r="M110" s="13">
        <f>5.8/2</f>
        <v>2.9</v>
      </c>
      <c r="N110" s="13">
        <v>54.9</v>
      </c>
      <c r="O110" s="13">
        <f t="shared" ref="O110:O111" si="52">M110</f>
        <v>2.9</v>
      </c>
      <c r="P110" s="13">
        <v>54.9</v>
      </c>
      <c r="Q110" s="78">
        <f t="shared" ref="Q110:Q111" si="53">(P110*O110)/(N110*M110)</f>
        <v>1</v>
      </c>
    </row>
    <row r="111" spans="1:17">
      <c r="A111" s="8" t="s">
        <v>146</v>
      </c>
      <c r="B111" s="13">
        <f>410.776/2</f>
        <v>205.38800000000001</v>
      </c>
      <c r="C111" s="13">
        <v>34.270000000000003</v>
      </c>
      <c r="D111" s="13">
        <f>410.776/2</f>
        <v>205.38800000000001</v>
      </c>
      <c r="E111" s="13">
        <v>34.78</v>
      </c>
      <c r="F111" s="78">
        <f>(E111*D111)/(C111*B111)</f>
        <v>1.0148818208345491</v>
      </c>
      <c r="G111" s="78" t="s">
        <v>277</v>
      </c>
      <c r="H111" s="13">
        <v>110.89</v>
      </c>
      <c r="I111" s="13">
        <v>32.36</v>
      </c>
      <c r="J111" s="13">
        <f>410.776/2</f>
        <v>205.38800000000001</v>
      </c>
      <c r="K111" s="13">
        <v>34.659999999999997</v>
      </c>
      <c r="L111" s="78">
        <f t="shared" si="51"/>
        <v>1.9838221175095174</v>
      </c>
      <c r="M111" s="13">
        <f>13.217/2</f>
        <v>6.6085000000000003</v>
      </c>
      <c r="N111" s="13">
        <v>140.25</v>
      </c>
      <c r="O111" s="13">
        <f t="shared" si="52"/>
        <v>6.6085000000000003</v>
      </c>
      <c r="P111" s="13">
        <v>140.44</v>
      </c>
      <c r="Q111" s="78">
        <f t="shared" si="53"/>
        <v>1.001354723707665</v>
      </c>
    </row>
    <row r="112" spans="1:17">
      <c r="A112" s="8" t="s">
        <v>147</v>
      </c>
      <c r="B112" s="13">
        <f>13.882/2</f>
        <v>6.9409999999999998</v>
      </c>
      <c r="C112" s="13">
        <v>164.26</v>
      </c>
      <c r="D112" s="13">
        <f>B112</f>
        <v>6.9409999999999998</v>
      </c>
      <c r="E112" s="13">
        <v>175.2</v>
      </c>
      <c r="F112" s="78">
        <f>(E112*D112)/(C112*B112)</f>
        <v>1.066601728966273</v>
      </c>
      <c r="G112" s="78" t="s">
        <v>279</v>
      </c>
      <c r="H112" s="13">
        <f>1.553/2</f>
        <v>0.77649999999999997</v>
      </c>
      <c r="I112" s="13">
        <v>68.25</v>
      </c>
      <c r="J112" s="13">
        <f>H112</f>
        <v>0.77649999999999997</v>
      </c>
      <c r="K112" s="22">
        <v>73.099999999999994</v>
      </c>
      <c r="L112" s="78">
        <f t="shared" si="51"/>
        <v>1.0710622710622708</v>
      </c>
      <c r="M112" s="13"/>
      <c r="N112" s="13"/>
      <c r="O112" s="13"/>
      <c r="P112" s="13"/>
      <c r="Q112" s="78"/>
    </row>
    <row r="113" spans="1:18">
      <c r="A113" s="8" t="s">
        <v>148</v>
      </c>
      <c r="B113" s="13"/>
      <c r="C113" s="13"/>
      <c r="D113" s="13"/>
      <c r="E113" s="13"/>
      <c r="F113" s="78"/>
      <c r="G113" s="78" t="s">
        <v>279</v>
      </c>
      <c r="H113" s="13">
        <f>1.005/2</f>
        <v>0.50249999999999995</v>
      </c>
      <c r="I113" s="13">
        <v>57.23</v>
      </c>
      <c r="J113" s="13">
        <f>H113</f>
        <v>0.50249999999999995</v>
      </c>
      <c r="K113" s="22">
        <v>61.29</v>
      </c>
      <c r="L113" s="78">
        <f t="shared" si="51"/>
        <v>1.0709418137340556</v>
      </c>
      <c r="M113" s="13"/>
      <c r="N113" s="13"/>
      <c r="O113" s="13"/>
      <c r="P113" s="13"/>
      <c r="Q113" s="78"/>
    </row>
    <row r="114" spans="1:18">
      <c r="A114" s="8" t="s">
        <v>149</v>
      </c>
      <c r="B114" s="13"/>
      <c r="C114" s="13"/>
      <c r="D114" s="13"/>
      <c r="E114" s="13"/>
      <c r="F114" s="78"/>
      <c r="G114" s="78" t="s">
        <v>279</v>
      </c>
      <c r="H114" s="13">
        <v>5.42</v>
      </c>
      <c r="I114" s="13">
        <v>17.18</v>
      </c>
      <c r="J114" s="13">
        <f>H114</f>
        <v>5.42</v>
      </c>
      <c r="K114" s="22">
        <v>18.399999999999999</v>
      </c>
      <c r="L114" s="78">
        <f t="shared" si="51"/>
        <v>1.0710128055878929</v>
      </c>
      <c r="M114" s="13"/>
      <c r="N114" s="13"/>
      <c r="O114" s="13"/>
      <c r="P114" s="13"/>
      <c r="Q114" s="78"/>
    </row>
    <row r="115" spans="1:18" ht="17.25" customHeight="1">
      <c r="A115" s="10" t="s">
        <v>150</v>
      </c>
      <c r="B115" s="18" t="e">
        <f>SUM(#REF!)</f>
        <v>#REF!</v>
      </c>
      <c r="C115" s="18" t="e">
        <f>SUMPRODUCT(#REF!,#REF!)/B115</f>
        <v>#REF!</v>
      </c>
      <c r="D115" s="18" t="e">
        <f>SUM(#REF!)</f>
        <v>#REF!</v>
      </c>
      <c r="E115" s="18" t="e">
        <f>SUMPRODUCT(#REF!,#REF!)/D115</f>
        <v>#REF!</v>
      </c>
      <c r="F115" s="77" t="e">
        <f>E115/C115</f>
        <v>#REF!</v>
      </c>
      <c r="G115" s="77"/>
      <c r="H115" s="18"/>
      <c r="I115" s="18"/>
      <c r="J115" s="18"/>
      <c r="K115" s="18"/>
      <c r="L115" s="77"/>
      <c r="M115" s="18" t="e">
        <f>SUM(#REF!)</f>
        <v>#REF!</v>
      </c>
      <c r="N115" s="18" t="e">
        <f>SUMPRODUCT(#REF!,#REF!)/M115</f>
        <v>#REF!</v>
      </c>
      <c r="O115" s="18" t="e">
        <f>SUM(#REF!)</f>
        <v>#REF!</v>
      </c>
      <c r="P115" s="18" t="e">
        <f>SUMPRODUCT(#REF!,#REF!)/O115</f>
        <v>#REF!</v>
      </c>
      <c r="Q115" s="77" t="e">
        <f>P115/N115</f>
        <v>#REF!</v>
      </c>
    </row>
    <row r="116" spans="1:18">
      <c r="A116" s="10" t="s">
        <v>163</v>
      </c>
      <c r="B116" s="18">
        <f>SUM(B117:B118)</f>
        <v>197.82300000000001</v>
      </c>
      <c r="C116" s="18">
        <f>SUMPRODUCT(B117:B118,C117:C118)/B116</f>
        <v>38.015236600395305</v>
      </c>
      <c r="D116" s="18">
        <f>SUM(D117:D118)</f>
        <v>197.82300000000001</v>
      </c>
      <c r="E116" s="18">
        <f>SUMPRODUCT(D117:D118,E117:E118)/D116</f>
        <v>40.500855057298693</v>
      </c>
      <c r="F116" s="77">
        <f>E116/C116</f>
        <v>1.06538479512916</v>
      </c>
      <c r="G116" s="77"/>
      <c r="H116" s="18">
        <f>H117</f>
        <v>49.4</v>
      </c>
      <c r="I116" s="18">
        <f>I117</f>
        <v>17</v>
      </c>
      <c r="J116" s="18">
        <f t="shared" ref="J116:K116" si="54">J117</f>
        <v>49.4</v>
      </c>
      <c r="K116" s="18">
        <f t="shared" si="54"/>
        <v>18.21</v>
      </c>
      <c r="L116" s="77">
        <f>K116/I116</f>
        <v>1.0711764705882354</v>
      </c>
      <c r="M116" s="18">
        <f>SUM(M117:M118)</f>
        <v>194.44499999999999</v>
      </c>
      <c r="N116" s="18">
        <f>SUMPRODUCT(M117:M118,N117:N118)/M116</f>
        <v>41.759642058165547</v>
      </c>
      <c r="O116" s="18">
        <f>SUM(O117:O118)</f>
        <v>194.44499999999999</v>
      </c>
      <c r="P116" s="18">
        <f>SUMPRODUCT(O117:O118,P117:P118)/O116</f>
        <v>44.175365398956004</v>
      </c>
      <c r="Q116" s="77">
        <f>P116/N116</f>
        <v>1.0578482769901543</v>
      </c>
    </row>
    <row r="117" spans="1:18">
      <c r="A117" s="6" t="s">
        <v>170</v>
      </c>
      <c r="B117" s="48">
        <f>347.5/2</f>
        <v>173.75</v>
      </c>
      <c r="C117" s="48">
        <v>36.14</v>
      </c>
      <c r="D117" s="48">
        <f t="shared" ref="D117:D118" si="55">B117</f>
        <v>173.75</v>
      </c>
      <c r="E117" s="48">
        <v>38.97</v>
      </c>
      <c r="F117" s="78">
        <f t="shared" ref="F117:F118" si="56">(E117*D117)/(C117*B117)</f>
        <v>1.07830658550083</v>
      </c>
      <c r="G117" s="78" t="s">
        <v>269</v>
      </c>
      <c r="H117" s="44">
        <v>49.4</v>
      </c>
      <c r="I117" s="44">
        <v>17</v>
      </c>
      <c r="J117" s="44">
        <f t="shared" ref="J117" si="57">H117</f>
        <v>49.4</v>
      </c>
      <c r="K117" s="44">
        <v>18.21</v>
      </c>
      <c r="L117" s="78">
        <f t="shared" ref="L117:L118" si="58">K117/I117</f>
        <v>1.0711764705882354</v>
      </c>
      <c r="M117" s="13">
        <f>365.545/2</f>
        <v>182.77250000000001</v>
      </c>
      <c r="N117" s="13">
        <v>40.869999999999997</v>
      </c>
      <c r="O117" s="13">
        <f t="shared" ref="O117:O118" si="59">M117</f>
        <v>182.77250000000001</v>
      </c>
      <c r="P117" s="13">
        <v>43.44</v>
      </c>
      <c r="Q117" s="78">
        <f t="shared" ref="Q117:Q118" si="60">(P117*O117)/(N117*M117)</f>
        <v>1.0628823097626621</v>
      </c>
      <c r="R117" t="s">
        <v>293</v>
      </c>
    </row>
    <row r="118" spans="1:18">
      <c r="A118" s="6" t="s">
        <v>174</v>
      </c>
      <c r="B118" s="13">
        <f>48.146/2</f>
        <v>24.073</v>
      </c>
      <c r="C118" s="13">
        <v>51.55</v>
      </c>
      <c r="D118" s="13">
        <f t="shared" si="55"/>
        <v>24.073</v>
      </c>
      <c r="E118" s="13">
        <v>51.55</v>
      </c>
      <c r="F118" s="78">
        <f t="shared" si="56"/>
        <v>1</v>
      </c>
      <c r="G118" s="78" t="s">
        <v>270</v>
      </c>
      <c r="H118" s="22">
        <f>33.925/2</f>
        <v>16.962499999999999</v>
      </c>
      <c r="I118" s="22">
        <v>29</v>
      </c>
      <c r="J118" s="22">
        <f t="shared" ref="J118" si="61">H118</f>
        <v>16.962499999999999</v>
      </c>
      <c r="K118" s="22">
        <v>31.06</v>
      </c>
      <c r="L118" s="78">
        <f t="shared" si="58"/>
        <v>1.0710344827586207</v>
      </c>
      <c r="M118" s="13">
        <f>23.345/2</f>
        <v>11.672499999999999</v>
      </c>
      <c r="N118" s="13">
        <v>55.69</v>
      </c>
      <c r="O118" s="13">
        <f t="shared" si="59"/>
        <v>11.672499999999999</v>
      </c>
      <c r="P118" s="13">
        <v>55.69</v>
      </c>
      <c r="Q118" s="78">
        <f t="shared" si="60"/>
        <v>1</v>
      </c>
    </row>
    <row r="119" spans="1:18">
      <c r="A119" s="25" t="s">
        <v>175</v>
      </c>
      <c r="B119" s="18">
        <f>SUM(B120:B123)</f>
        <v>55.34</v>
      </c>
      <c r="C119" s="18">
        <f>SUMPRODUCT(B120:B123,C120:C123)/B119</f>
        <v>45.424795807734007</v>
      </c>
      <c r="D119" s="18">
        <f>SUM(D120:D123)</f>
        <v>55.34</v>
      </c>
      <c r="E119" s="18">
        <f>SUMPRODUCT(D120:D123,E120:E123)/D119</f>
        <v>48.176331767256954</v>
      </c>
      <c r="F119" s="80">
        <f>E119/C119</f>
        <v>1.0605734359526713</v>
      </c>
      <c r="G119" s="80"/>
      <c r="H119" s="18">
        <f>SUM(H120:H123)</f>
        <v>0</v>
      </c>
      <c r="I119" s="18" t="e">
        <f>SUMPRODUCT(H120:H123,I120:I123)/H119</f>
        <v>#DIV/0!</v>
      </c>
      <c r="J119" s="18">
        <f>SUM(J120:J123)</f>
        <v>0</v>
      </c>
      <c r="K119" s="18" t="e">
        <f>SUMPRODUCT(J120:J123,K120:K123)/J119</f>
        <v>#DIV/0!</v>
      </c>
      <c r="L119" s="80" t="e">
        <f>K119/I119</f>
        <v>#DIV/0!</v>
      </c>
      <c r="M119" s="18">
        <f>SUM(M120:M123)</f>
        <v>31.89</v>
      </c>
      <c r="N119" s="18">
        <f>SUMPRODUCT(M120:M123,N120:N123)/M119</f>
        <v>63.360714957666971</v>
      </c>
      <c r="O119" s="18">
        <f>SUM(O120:O123)</f>
        <v>31.89</v>
      </c>
      <c r="P119" s="18">
        <f>SUMPRODUCT(O120:O123,P120:P123)/O119</f>
        <v>65.939818124804006</v>
      </c>
      <c r="Q119" s="80">
        <f>P119/N119</f>
        <v>1.0407050830922631</v>
      </c>
    </row>
    <row r="120" spans="1:18">
      <c r="A120" s="23"/>
      <c r="B120" s="13">
        <f>19.48/2</f>
        <v>9.74</v>
      </c>
      <c r="C120" s="13">
        <v>62.83</v>
      </c>
      <c r="D120" s="13">
        <f>B120</f>
        <v>9.74</v>
      </c>
      <c r="E120" s="13">
        <v>67.180000000000007</v>
      </c>
      <c r="F120" s="78">
        <f>(E120*D120)/(C120*B120)</f>
        <v>1.069234442145472</v>
      </c>
      <c r="G120" s="78"/>
      <c r="H120" s="13"/>
      <c r="I120" s="13"/>
      <c r="J120" s="13"/>
      <c r="K120" s="13"/>
      <c r="L120" s="87"/>
      <c r="M120" s="13">
        <f>7/2</f>
        <v>3.5</v>
      </c>
      <c r="N120" s="13">
        <v>109.19</v>
      </c>
      <c r="O120" s="13">
        <f>M120</f>
        <v>3.5</v>
      </c>
      <c r="P120" s="13">
        <v>117.04</v>
      </c>
      <c r="Q120" s="78">
        <f>(P120*O120)/(N120*M120)</f>
        <v>1.0718930304972984</v>
      </c>
    </row>
    <row r="121" spans="1:18">
      <c r="A121" s="23"/>
      <c r="B121" s="13">
        <v>0</v>
      </c>
      <c r="C121" s="13"/>
      <c r="D121" s="13">
        <f>B121</f>
        <v>0</v>
      </c>
      <c r="E121" s="13"/>
      <c r="F121" s="78"/>
      <c r="G121" s="78"/>
      <c r="H121" s="13"/>
      <c r="I121" s="13"/>
      <c r="J121" s="13"/>
      <c r="K121" s="13"/>
      <c r="L121" s="78"/>
      <c r="M121" s="13">
        <f>3.18/2</f>
        <v>1.59</v>
      </c>
      <c r="N121" s="13">
        <v>62.78</v>
      </c>
      <c r="O121" s="13">
        <f>M121</f>
        <v>1.59</v>
      </c>
      <c r="P121" s="13">
        <v>66.72</v>
      </c>
      <c r="Q121" s="78">
        <f>(P121*O121)/(N121*M121)</f>
        <v>1.0627588403950303</v>
      </c>
    </row>
    <row r="122" spans="1:18">
      <c r="A122" s="23"/>
      <c r="B122" s="13">
        <f>13.4/2</f>
        <v>6.7</v>
      </c>
      <c r="C122" s="13">
        <v>53.07</v>
      </c>
      <c r="D122" s="13">
        <f>B122</f>
        <v>6.7</v>
      </c>
      <c r="E122" s="13">
        <v>56.7</v>
      </c>
      <c r="F122" s="78">
        <f>(E122*D122)/(C122*B122)</f>
        <v>1.06840022611645</v>
      </c>
      <c r="G122" s="78"/>
      <c r="H122" s="13"/>
      <c r="I122" s="13"/>
      <c r="J122" s="13"/>
      <c r="K122" s="13"/>
      <c r="L122" s="78"/>
      <c r="M122" s="13"/>
      <c r="N122" s="13"/>
      <c r="O122" s="13"/>
      <c r="P122" s="13"/>
      <c r="Q122" s="87"/>
    </row>
    <row r="123" spans="1:18">
      <c r="A123" s="23"/>
      <c r="B123" s="13">
        <f>77.8/2</f>
        <v>38.9</v>
      </c>
      <c r="C123" s="13">
        <v>39.75</v>
      </c>
      <c r="D123" s="13">
        <f>B123</f>
        <v>38.9</v>
      </c>
      <c r="E123" s="13">
        <v>41.95</v>
      </c>
      <c r="F123" s="78">
        <f>(E123*D123)/(C123*B123)</f>
        <v>1.0553459119496857</v>
      </c>
      <c r="G123" s="78"/>
      <c r="H123" s="13"/>
      <c r="I123" s="13"/>
      <c r="J123" s="13"/>
      <c r="K123" s="13"/>
      <c r="L123" s="78"/>
      <c r="M123" s="13">
        <f>53.6/2</f>
        <v>26.8</v>
      </c>
      <c r="N123" s="13">
        <v>57.41</v>
      </c>
      <c r="O123" s="13">
        <f>M123</f>
        <v>26.8</v>
      </c>
      <c r="P123" s="13">
        <v>59.22</v>
      </c>
      <c r="Q123" s="78">
        <f>(P123*O123)/(N123*M123)</f>
        <v>1.0315276084305871</v>
      </c>
    </row>
  </sheetData>
  <mergeCells count="16">
    <mergeCell ref="A5:A8"/>
    <mergeCell ref="G5:G8"/>
    <mergeCell ref="H5:L5"/>
    <mergeCell ref="M5:Q5"/>
    <mergeCell ref="B6:F6"/>
    <mergeCell ref="H6:L6"/>
    <mergeCell ref="M6:Q6"/>
    <mergeCell ref="B7:C7"/>
    <mergeCell ref="D7:E7"/>
    <mergeCell ref="Q7:Q8"/>
    <mergeCell ref="F7:F8"/>
    <mergeCell ref="H7:I7"/>
    <mergeCell ref="J7:K7"/>
    <mergeCell ref="L7:L8"/>
    <mergeCell ref="M7:N7"/>
    <mergeCell ref="O7:P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abSelected="1" view="pageLayout" topLeftCell="A4" zoomScaleNormal="100" workbookViewId="0">
      <selection activeCell="G5" sqref="G5"/>
    </sheetView>
  </sheetViews>
  <sheetFormatPr defaultRowHeight="15"/>
  <cols>
    <col min="1" max="1" width="22.28515625" style="179" customWidth="1"/>
    <col min="2" max="2" width="11" style="172" customWidth="1"/>
    <col min="3" max="3" width="16.140625" style="172" customWidth="1"/>
    <col min="4" max="4" width="16" style="172" customWidth="1"/>
    <col min="5" max="5" width="14.28515625" style="173" customWidth="1"/>
    <col min="6" max="6" width="14.5703125" style="173" customWidth="1"/>
    <col min="7" max="7" width="14.7109375" style="173" customWidth="1"/>
    <col min="8" max="9" width="14.85546875" style="173" customWidth="1"/>
    <col min="10" max="10" width="14.28515625" style="173" customWidth="1"/>
    <col min="11" max="11" width="14.7109375" style="173" customWidth="1"/>
    <col min="12" max="12" width="14.5703125" style="172" customWidth="1"/>
    <col min="13" max="228" width="9.140625" style="172"/>
    <col min="229" max="229" width="23.28515625" style="172" customWidth="1"/>
    <col min="230" max="230" width="17.5703125" style="172" customWidth="1"/>
    <col min="231" max="234" width="16.85546875" style="172" customWidth="1"/>
    <col min="235" max="236" width="0" style="172" hidden="1" customWidth="1"/>
    <col min="237" max="237" width="16.85546875" style="172" customWidth="1"/>
    <col min="238" max="239" width="0" style="172" hidden="1" customWidth="1"/>
    <col min="240" max="266" width="16.85546875" style="172" customWidth="1"/>
    <col min="267" max="268" width="17.5703125" style="172" bestFit="1" customWidth="1"/>
    <col min="269" max="484" width="9.140625" style="172"/>
    <col min="485" max="485" width="23.28515625" style="172" customWidth="1"/>
    <col min="486" max="486" width="17.5703125" style="172" customWidth="1"/>
    <col min="487" max="490" width="16.85546875" style="172" customWidth="1"/>
    <col min="491" max="492" width="0" style="172" hidden="1" customWidth="1"/>
    <col min="493" max="493" width="16.85546875" style="172" customWidth="1"/>
    <col min="494" max="495" width="0" style="172" hidden="1" customWidth="1"/>
    <col min="496" max="522" width="16.85546875" style="172" customWidth="1"/>
    <col min="523" max="524" width="17.5703125" style="172" bestFit="1" customWidth="1"/>
    <col min="525" max="740" width="9.140625" style="172"/>
    <col min="741" max="741" width="23.28515625" style="172" customWidth="1"/>
    <col min="742" max="742" width="17.5703125" style="172" customWidth="1"/>
    <col min="743" max="746" width="16.85546875" style="172" customWidth="1"/>
    <col min="747" max="748" width="0" style="172" hidden="1" customWidth="1"/>
    <col min="749" max="749" width="16.85546875" style="172" customWidth="1"/>
    <col min="750" max="751" width="0" style="172" hidden="1" customWidth="1"/>
    <col min="752" max="778" width="16.85546875" style="172" customWidth="1"/>
    <col min="779" max="780" width="17.5703125" style="172" bestFit="1" customWidth="1"/>
    <col min="781" max="996" width="9.140625" style="172"/>
    <col min="997" max="997" width="23.28515625" style="172" customWidth="1"/>
    <col min="998" max="998" width="17.5703125" style="172" customWidth="1"/>
    <col min="999" max="1002" width="16.85546875" style="172" customWidth="1"/>
    <col min="1003" max="1004" width="0" style="172" hidden="1" customWidth="1"/>
    <col min="1005" max="1005" width="16.85546875" style="172" customWidth="1"/>
    <col min="1006" max="1007" width="0" style="172" hidden="1" customWidth="1"/>
    <col min="1008" max="1034" width="16.85546875" style="172" customWidth="1"/>
    <col min="1035" max="1036" width="17.5703125" style="172" bestFit="1" customWidth="1"/>
    <col min="1037" max="1252" width="9.140625" style="172"/>
    <col min="1253" max="1253" width="23.28515625" style="172" customWidth="1"/>
    <col min="1254" max="1254" width="17.5703125" style="172" customWidth="1"/>
    <col min="1255" max="1258" width="16.85546875" style="172" customWidth="1"/>
    <col min="1259" max="1260" width="0" style="172" hidden="1" customWidth="1"/>
    <col min="1261" max="1261" width="16.85546875" style="172" customWidth="1"/>
    <col min="1262" max="1263" width="0" style="172" hidden="1" customWidth="1"/>
    <col min="1264" max="1290" width="16.85546875" style="172" customWidth="1"/>
    <col min="1291" max="1292" width="17.5703125" style="172" bestFit="1" customWidth="1"/>
    <col min="1293" max="1508" width="9.140625" style="172"/>
    <col min="1509" max="1509" width="23.28515625" style="172" customWidth="1"/>
    <col min="1510" max="1510" width="17.5703125" style="172" customWidth="1"/>
    <col min="1511" max="1514" width="16.85546875" style="172" customWidth="1"/>
    <col min="1515" max="1516" width="0" style="172" hidden="1" customWidth="1"/>
    <col min="1517" max="1517" width="16.85546875" style="172" customWidth="1"/>
    <col min="1518" max="1519" width="0" style="172" hidden="1" customWidth="1"/>
    <col min="1520" max="1546" width="16.85546875" style="172" customWidth="1"/>
    <col min="1547" max="1548" width="17.5703125" style="172" bestFit="1" customWidth="1"/>
    <col min="1549" max="1764" width="9.140625" style="172"/>
    <col min="1765" max="1765" width="23.28515625" style="172" customWidth="1"/>
    <col min="1766" max="1766" width="17.5703125" style="172" customWidth="1"/>
    <col min="1767" max="1770" width="16.85546875" style="172" customWidth="1"/>
    <col min="1771" max="1772" width="0" style="172" hidden="1" customWidth="1"/>
    <col min="1773" max="1773" width="16.85546875" style="172" customWidth="1"/>
    <col min="1774" max="1775" width="0" style="172" hidden="1" customWidth="1"/>
    <col min="1776" max="1802" width="16.85546875" style="172" customWidth="1"/>
    <col min="1803" max="1804" width="17.5703125" style="172" bestFit="1" customWidth="1"/>
    <col min="1805" max="2020" width="9.140625" style="172"/>
    <col min="2021" max="2021" width="23.28515625" style="172" customWidth="1"/>
    <col min="2022" max="2022" width="17.5703125" style="172" customWidth="1"/>
    <col min="2023" max="2026" width="16.85546875" style="172" customWidth="1"/>
    <col min="2027" max="2028" width="0" style="172" hidden="1" customWidth="1"/>
    <col min="2029" max="2029" width="16.85546875" style="172" customWidth="1"/>
    <col min="2030" max="2031" width="0" style="172" hidden="1" customWidth="1"/>
    <col min="2032" max="2058" width="16.85546875" style="172" customWidth="1"/>
    <col min="2059" max="2060" width="17.5703125" style="172" bestFit="1" customWidth="1"/>
    <col min="2061" max="2276" width="9.140625" style="172"/>
    <col min="2277" max="2277" width="23.28515625" style="172" customWidth="1"/>
    <col min="2278" max="2278" width="17.5703125" style="172" customWidth="1"/>
    <col min="2279" max="2282" width="16.85546875" style="172" customWidth="1"/>
    <col min="2283" max="2284" width="0" style="172" hidden="1" customWidth="1"/>
    <col min="2285" max="2285" width="16.85546875" style="172" customWidth="1"/>
    <col min="2286" max="2287" width="0" style="172" hidden="1" customWidth="1"/>
    <col min="2288" max="2314" width="16.85546875" style="172" customWidth="1"/>
    <col min="2315" max="2316" width="17.5703125" style="172" bestFit="1" customWidth="1"/>
    <col min="2317" max="2532" width="9.140625" style="172"/>
    <col min="2533" max="2533" width="23.28515625" style="172" customWidth="1"/>
    <col min="2534" max="2534" width="17.5703125" style="172" customWidth="1"/>
    <col min="2535" max="2538" width="16.85546875" style="172" customWidth="1"/>
    <col min="2539" max="2540" width="0" style="172" hidden="1" customWidth="1"/>
    <col min="2541" max="2541" width="16.85546875" style="172" customWidth="1"/>
    <col min="2542" max="2543" width="0" style="172" hidden="1" customWidth="1"/>
    <col min="2544" max="2570" width="16.85546875" style="172" customWidth="1"/>
    <col min="2571" max="2572" width="17.5703125" style="172" bestFit="1" customWidth="1"/>
    <col min="2573" max="2788" width="9.140625" style="172"/>
    <col min="2789" max="2789" width="23.28515625" style="172" customWidth="1"/>
    <col min="2790" max="2790" width="17.5703125" style="172" customWidth="1"/>
    <col min="2791" max="2794" width="16.85546875" style="172" customWidth="1"/>
    <col min="2795" max="2796" width="0" style="172" hidden="1" customWidth="1"/>
    <col min="2797" max="2797" width="16.85546875" style="172" customWidth="1"/>
    <col min="2798" max="2799" width="0" style="172" hidden="1" customWidth="1"/>
    <col min="2800" max="2826" width="16.85546875" style="172" customWidth="1"/>
    <col min="2827" max="2828" width="17.5703125" style="172" bestFit="1" customWidth="1"/>
    <col min="2829" max="3044" width="9.140625" style="172"/>
    <col min="3045" max="3045" width="23.28515625" style="172" customWidth="1"/>
    <col min="3046" max="3046" width="17.5703125" style="172" customWidth="1"/>
    <col min="3047" max="3050" width="16.85546875" style="172" customWidth="1"/>
    <col min="3051" max="3052" width="0" style="172" hidden="1" customWidth="1"/>
    <col min="3053" max="3053" width="16.85546875" style="172" customWidth="1"/>
    <col min="3054" max="3055" width="0" style="172" hidden="1" customWidth="1"/>
    <col min="3056" max="3082" width="16.85546875" style="172" customWidth="1"/>
    <col min="3083" max="3084" width="17.5703125" style="172" bestFit="1" customWidth="1"/>
    <col min="3085" max="3300" width="9.140625" style="172"/>
    <col min="3301" max="3301" width="23.28515625" style="172" customWidth="1"/>
    <col min="3302" max="3302" width="17.5703125" style="172" customWidth="1"/>
    <col min="3303" max="3306" width="16.85546875" style="172" customWidth="1"/>
    <col min="3307" max="3308" width="0" style="172" hidden="1" customWidth="1"/>
    <col min="3309" max="3309" width="16.85546875" style="172" customWidth="1"/>
    <col min="3310" max="3311" width="0" style="172" hidden="1" customWidth="1"/>
    <col min="3312" max="3338" width="16.85546875" style="172" customWidth="1"/>
    <col min="3339" max="3340" width="17.5703125" style="172" bestFit="1" customWidth="1"/>
    <col min="3341" max="3556" width="9.140625" style="172"/>
    <col min="3557" max="3557" width="23.28515625" style="172" customWidth="1"/>
    <col min="3558" max="3558" width="17.5703125" style="172" customWidth="1"/>
    <col min="3559" max="3562" width="16.85546875" style="172" customWidth="1"/>
    <col min="3563" max="3564" width="0" style="172" hidden="1" customWidth="1"/>
    <col min="3565" max="3565" width="16.85546875" style="172" customWidth="1"/>
    <col min="3566" max="3567" width="0" style="172" hidden="1" customWidth="1"/>
    <col min="3568" max="3594" width="16.85546875" style="172" customWidth="1"/>
    <col min="3595" max="3596" width="17.5703125" style="172" bestFit="1" customWidth="1"/>
    <col min="3597" max="3812" width="9.140625" style="172"/>
    <col min="3813" max="3813" width="23.28515625" style="172" customWidth="1"/>
    <col min="3814" max="3814" width="17.5703125" style="172" customWidth="1"/>
    <col min="3815" max="3818" width="16.85546875" style="172" customWidth="1"/>
    <col min="3819" max="3820" width="0" style="172" hidden="1" customWidth="1"/>
    <col min="3821" max="3821" width="16.85546875" style="172" customWidth="1"/>
    <col min="3822" max="3823" width="0" style="172" hidden="1" customWidth="1"/>
    <col min="3824" max="3850" width="16.85546875" style="172" customWidth="1"/>
    <col min="3851" max="3852" width="17.5703125" style="172" bestFit="1" customWidth="1"/>
    <col min="3853" max="4068" width="9.140625" style="172"/>
    <col min="4069" max="4069" width="23.28515625" style="172" customWidth="1"/>
    <col min="4070" max="4070" width="17.5703125" style="172" customWidth="1"/>
    <col min="4071" max="4074" width="16.85546875" style="172" customWidth="1"/>
    <col min="4075" max="4076" width="0" style="172" hidden="1" customWidth="1"/>
    <col min="4077" max="4077" width="16.85546875" style="172" customWidth="1"/>
    <col min="4078" max="4079" width="0" style="172" hidden="1" customWidth="1"/>
    <col min="4080" max="4106" width="16.85546875" style="172" customWidth="1"/>
    <col min="4107" max="4108" width="17.5703125" style="172" bestFit="1" customWidth="1"/>
    <col min="4109" max="4324" width="9.140625" style="172"/>
    <col min="4325" max="4325" width="23.28515625" style="172" customWidth="1"/>
    <col min="4326" max="4326" width="17.5703125" style="172" customWidth="1"/>
    <col min="4327" max="4330" width="16.85546875" style="172" customWidth="1"/>
    <col min="4331" max="4332" width="0" style="172" hidden="1" customWidth="1"/>
    <col min="4333" max="4333" width="16.85546875" style="172" customWidth="1"/>
    <col min="4334" max="4335" width="0" style="172" hidden="1" customWidth="1"/>
    <col min="4336" max="4362" width="16.85546875" style="172" customWidth="1"/>
    <col min="4363" max="4364" width="17.5703125" style="172" bestFit="1" customWidth="1"/>
    <col min="4365" max="4580" width="9.140625" style="172"/>
    <col min="4581" max="4581" width="23.28515625" style="172" customWidth="1"/>
    <col min="4582" max="4582" width="17.5703125" style="172" customWidth="1"/>
    <col min="4583" max="4586" width="16.85546875" style="172" customWidth="1"/>
    <col min="4587" max="4588" width="0" style="172" hidden="1" customWidth="1"/>
    <col min="4589" max="4589" width="16.85546875" style="172" customWidth="1"/>
    <col min="4590" max="4591" width="0" style="172" hidden="1" customWidth="1"/>
    <col min="4592" max="4618" width="16.85546875" style="172" customWidth="1"/>
    <col min="4619" max="4620" width="17.5703125" style="172" bestFit="1" customWidth="1"/>
    <col min="4621" max="4836" width="9.140625" style="172"/>
    <col min="4837" max="4837" width="23.28515625" style="172" customWidth="1"/>
    <col min="4838" max="4838" width="17.5703125" style="172" customWidth="1"/>
    <col min="4839" max="4842" width="16.85546875" style="172" customWidth="1"/>
    <col min="4843" max="4844" width="0" style="172" hidden="1" customWidth="1"/>
    <col min="4845" max="4845" width="16.85546875" style="172" customWidth="1"/>
    <col min="4846" max="4847" width="0" style="172" hidden="1" customWidth="1"/>
    <col min="4848" max="4874" width="16.85546875" style="172" customWidth="1"/>
    <col min="4875" max="4876" width="17.5703125" style="172" bestFit="1" customWidth="1"/>
    <col min="4877" max="5092" width="9.140625" style="172"/>
    <col min="5093" max="5093" width="23.28515625" style="172" customWidth="1"/>
    <col min="5094" max="5094" width="17.5703125" style="172" customWidth="1"/>
    <col min="5095" max="5098" width="16.85546875" style="172" customWidth="1"/>
    <col min="5099" max="5100" width="0" style="172" hidden="1" customWidth="1"/>
    <col min="5101" max="5101" width="16.85546875" style="172" customWidth="1"/>
    <col min="5102" max="5103" width="0" style="172" hidden="1" customWidth="1"/>
    <col min="5104" max="5130" width="16.85546875" style="172" customWidth="1"/>
    <col min="5131" max="5132" width="17.5703125" style="172" bestFit="1" customWidth="1"/>
    <col min="5133" max="5348" width="9.140625" style="172"/>
    <col min="5349" max="5349" width="23.28515625" style="172" customWidth="1"/>
    <col min="5350" max="5350" width="17.5703125" style="172" customWidth="1"/>
    <col min="5351" max="5354" width="16.85546875" style="172" customWidth="1"/>
    <col min="5355" max="5356" width="0" style="172" hidden="1" customWidth="1"/>
    <col min="5357" max="5357" width="16.85546875" style="172" customWidth="1"/>
    <col min="5358" max="5359" width="0" style="172" hidden="1" customWidth="1"/>
    <col min="5360" max="5386" width="16.85546875" style="172" customWidth="1"/>
    <col min="5387" max="5388" width="17.5703125" style="172" bestFit="1" customWidth="1"/>
    <col min="5389" max="5604" width="9.140625" style="172"/>
    <col min="5605" max="5605" width="23.28515625" style="172" customWidth="1"/>
    <col min="5606" max="5606" width="17.5703125" style="172" customWidth="1"/>
    <col min="5607" max="5610" width="16.85546875" style="172" customWidth="1"/>
    <col min="5611" max="5612" width="0" style="172" hidden="1" customWidth="1"/>
    <col min="5613" max="5613" width="16.85546875" style="172" customWidth="1"/>
    <col min="5614" max="5615" width="0" style="172" hidden="1" customWidth="1"/>
    <col min="5616" max="5642" width="16.85546875" style="172" customWidth="1"/>
    <col min="5643" max="5644" width="17.5703125" style="172" bestFit="1" customWidth="1"/>
    <col min="5645" max="5860" width="9.140625" style="172"/>
    <col min="5861" max="5861" width="23.28515625" style="172" customWidth="1"/>
    <col min="5862" max="5862" width="17.5703125" style="172" customWidth="1"/>
    <col min="5863" max="5866" width="16.85546875" style="172" customWidth="1"/>
    <col min="5867" max="5868" width="0" style="172" hidden="1" customWidth="1"/>
    <col min="5869" max="5869" width="16.85546875" style="172" customWidth="1"/>
    <col min="5870" max="5871" width="0" style="172" hidden="1" customWidth="1"/>
    <col min="5872" max="5898" width="16.85546875" style="172" customWidth="1"/>
    <col min="5899" max="5900" width="17.5703125" style="172" bestFit="1" customWidth="1"/>
    <col min="5901" max="6116" width="9.140625" style="172"/>
    <col min="6117" max="6117" width="23.28515625" style="172" customWidth="1"/>
    <col min="6118" max="6118" width="17.5703125" style="172" customWidth="1"/>
    <col min="6119" max="6122" width="16.85546875" style="172" customWidth="1"/>
    <col min="6123" max="6124" width="0" style="172" hidden="1" customWidth="1"/>
    <col min="6125" max="6125" width="16.85546875" style="172" customWidth="1"/>
    <col min="6126" max="6127" width="0" style="172" hidden="1" customWidth="1"/>
    <col min="6128" max="6154" width="16.85546875" style="172" customWidth="1"/>
    <col min="6155" max="6156" width="17.5703125" style="172" bestFit="1" customWidth="1"/>
    <col min="6157" max="6372" width="9.140625" style="172"/>
    <col min="6373" max="6373" width="23.28515625" style="172" customWidth="1"/>
    <col min="6374" max="6374" width="17.5703125" style="172" customWidth="1"/>
    <col min="6375" max="6378" width="16.85546875" style="172" customWidth="1"/>
    <col min="6379" max="6380" width="0" style="172" hidden="1" customWidth="1"/>
    <col min="6381" max="6381" width="16.85546875" style="172" customWidth="1"/>
    <col min="6382" max="6383" width="0" style="172" hidden="1" customWidth="1"/>
    <col min="6384" max="6410" width="16.85546875" style="172" customWidth="1"/>
    <col min="6411" max="6412" width="17.5703125" style="172" bestFit="1" customWidth="1"/>
    <col min="6413" max="6628" width="9.140625" style="172"/>
    <col min="6629" max="6629" width="23.28515625" style="172" customWidth="1"/>
    <col min="6630" max="6630" width="17.5703125" style="172" customWidth="1"/>
    <col min="6631" max="6634" width="16.85546875" style="172" customWidth="1"/>
    <col min="6635" max="6636" width="0" style="172" hidden="1" customWidth="1"/>
    <col min="6637" max="6637" width="16.85546875" style="172" customWidth="1"/>
    <col min="6638" max="6639" width="0" style="172" hidden="1" customWidth="1"/>
    <col min="6640" max="6666" width="16.85546875" style="172" customWidth="1"/>
    <col min="6667" max="6668" width="17.5703125" style="172" bestFit="1" customWidth="1"/>
    <col min="6669" max="6884" width="9.140625" style="172"/>
    <col min="6885" max="6885" width="23.28515625" style="172" customWidth="1"/>
    <col min="6886" max="6886" width="17.5703125" style="172" customWidth="1"/>
    <col min="6887" max="6890" width="16.85546875" style="172" customWidth="1"/>
    <col min="6891" max="6892" width="0" style="172" hidden="1" customWidth="1"/>
    <col min="6893" max="6893" width="16.85546875" style="172" customWidth="1"/>
    <col min="6894" max="6895" width="0" style="172" hidden="1" customWidth="1"/>
    <col min="6896" max="6922" width="16.85546875" style="172" customWidth="1"/>
    <col min="6923" max="6924" width="17.5703125" style="172" bestFit="1" customWidth="1"/>
    <col min="6925" max="7140" width="9.140625" style="172"/>
    <col min="7141" max="7141" width="23.28515625" style="172" customWidth="1"/>
    <col min="7142" max="7142" width="17.5703125" style="172" customWidth="1"/>
    <col min="7143" max="7146" width="16.85546875" style="172" customWidth="1"/>
    <col min="7147" max="7148" width="0" style="172" hidden="1" customWidth="1"/>
    <col min="7149" max="7149" width="16.85546875" style="172" customWidth="1"/>
    <col min="7150" max="7151" width="0" style="172" hidden="1" customWidth="1"/>
    <col min="7152" max="7178" width="16.85546875" style="172" customWidth="1"/>
    <col min="7179" max="7180" width="17.5703125" style="172" bestFit="1" customWidth="1"/>
    <col min="7181" max="7396" width="9.140625" style="172"/>
    <col min="7397" max="7397" width="23.28515625" style="172" customWidth="1"/>
    <col min="7398" max="7398" width="17.5703125" style="172" customWidth="1"/>
    <col min="7399" max="7402" width="16.85546875" style="172" customWidth="1"/>
    <col min="7403" max="7404" width="0" style="172" hidden="1" customWidth="1"/>
    <col min="7405" max="7405" width="16.85546875" style="172" customWidth="1"/>
    <col min="7406" max="7407" width="0" style="172" hidden="1" customWidth="1"/>
    <col min="7408" max="7434" width="16.85546875" style="172" customWidth="1"/>
    <col min="7435" max="7436" width="17.5703125" style="172" bestFit="1" customWidth="1"/>
    <col min="7437" max="7652" width="9.140625" style="172"/>
    <col min="7653" max="7653" width="23.28515625" style="172" customWidth="1"/>
    <col min="7654" max="7654" width="17.5703125" style="172" customWidth="1"/>
    <col min="7655" max="7658" width="16.85546875" style="172" customWidth="1"/>
    <col min="7659" max="7660" width="0" style="172" hidden="1" customWidth="1"/>
    <col min="7661" max="7661" width="16.85546875" style="172" customWidth="1"/>
    <col min="7662" max="7663" width="0" style="172" hidden="1" customWidth="1"/>
    <col min="7664" max="7690" width="16.85546875" style="172" customWidth="1"/>
    <col min="7691" max="7692" width="17.5703125" style="172" bestFit="1" customWidth="1"/>
    <col min="7693" max="7908" width="9.140625" style="172"/>
    <col min="7909" max="7909" width="23.28515625" style="172" customWidth="1"/>
    <col min="7910" max="7910" width="17.5703125" style="172" customWidth="1"/>
    <col min="7911" max="7914" width="16.85546875" style="172" customWidth="1"/>
    <col min="7915" max="7916" width="0" style="172" hidden="1" customWidth="1"/>
    <col min="7917" max="7917" width="16.85546875" style="172" customWidth="1"/>
    <col min="7918" max="7919" width="0" style="172" hidden="1" customWidth="1"/>
    <col min="7920" max="7946" width="16.85546875" style="172" customWidth="1"/>
    <col min="7947" max="7948" width="17.5703125" style="172" bestFit="1" customWidth="1"/>
    <col min="7949" max="8164" width="9.140625" style="172"/>
    <col min="8165" max="8165" width="23.28515625" style="172" customWidth="1"/>
    <col min="8166" max="8166" width="17.5703125" style="172" customWidth="1"/>
    <col min="8167" max="8170" width="16.85546875" style="172" customWidth="1"/>
    <col min="8171" max="8172" width="0" style="172" hidden="1" customWidth="1"/>
    <col min="8173" max="8173" width="16.85546875" style="172" customWidth="1"/>
    <col min="8174" max="8175" width="0" style="172" hidden="1" customWidth="1"/>
    <col min="8176" max="8202" width="16.85546875" style="172" customWidth="1"/>
    <col min="8203" max="8204" width="17.5703125" style="172" bestFit="1" customWidth="1"/>
    <col min="8205" max="8420" width="9.140625" style="172"/>
    <col min="8421" max="8421" width="23.28515625" style="172" customWidth="1"/>
    <col min="8422" max="8422" width="17.5703125" style="172" customWidth="1"/>
    <col min="8423" max="8426" width="16.85546875" style="172" customWidth="1"/>
    <col min="8427" max="8428" width="0" style="172" hidden="1" customWidth="1"/>
    <col min="8429" max="8429" width="16.85546875" style="172" customWidth="1"/>
    <col min="8430" max="8431" width="0" style="172" hidden="1" customWidth="1"/>
    <col min="8432" max="8458" width="16.85546875" style="172" customWidth="1"/>
    <col min="8459" max="8460" width="17.5703125" style="172" bestFit="1" customWidth="1"/>
    <col min="8461" max="8676" width="9.140625" style="172"/>
    <col min="8677" max="8677" width="23.28515625" style="172" customWidth="1"/>
    <col min="8678" max="8678" width="17.5703125" style="172" customWidth="1"/>
    <col min="8679" max="8682" width="16.85546875" style="172" customWidth="1"/>
    <col min="8683" max="8684" width="0" style="172" hidden="1" customWidth="1"/>
    <col min="8685" max="8685" width="16.85546875" style="172" customWidth="1"/>
    <col min="8686" max="8687" width="0" style="172" hidden="1" customWidth="1"/>
    <col min="8688" max="8714" width="16.85546875" style="172" customWidth="1"/>
    <col min="8715" max="8716" width="17.5703125" style="172" bestFit="1" customWidth="1"/>
    <col min="8717" max="8932" width="9.140625" style="172"/>
    <col min="8933" max="8933" width="23.28515625" style="172" customWidth="1"/>
    <col min="8934" max="8934" width="17.5703125" style="172" customWidth="1"/>
    <col min="8935" max="8938" width="16.85546875" style="172" customWidth="1"/>
    <col min="8939" max="8940" width="0" style="172" hidden="1" customWidth="1"/>
    <col min="8941" max="8941" width="16.85546875" style="172" customWidth="1"/>
    <col min="8942" max="8943" width="0" style="172" hidden="1" customWidth="1"/>
    <col min="8944" max="8970" width="16.85546875" style="172" customWidth="1"/>
    <col min="8971" max="8972" width="17.5703125" style="172" bestFit="1" customWidth="1"/>
    <col min="8973" max="9188" width="9.140625" style="172"/>
    <col min="9189" max="9189" width="23.28515625" style="172" customWidth="1"/>
    <col min="9190" max="9190" width="17.5703125" style="172" customWidth="1"/>
    <col min="9191" max="9194" width="16.85546875" style="172" customWidth="1"/>
    <col min="9195" max="9196" width="0" style="172" hidden="1" customWidth="1"/>
    <col min="9197" max="9197" width="16.85546875" style="172" customWidth="1"/>
    <col min="9198" max="9199" width="0" style="172" hidden="1" customWidth="1"/>
    <col min="9200" max="9226" width="16.85546875" style="172" customWidth="1"/>
    <col min="9227" max="9228" width="17.5703125" style="172" bestFit="1" customWidth="1"/>
    <col min="9229" max="9444" width="9.140625" style="172"/>
    <col min="9445" max="9445" width="23.28515625" style="172" customWidth="1"/>
    <col min="9446" max="9446" width="17.5703125" style="172" customWidth="1"/>
    <col min="9447" max="9450" width="16.85546875" style="172" customWidth="1"/>
    <col min="9451" max="9452" width="0" style="172" hidden="1" customWidth="1"/>
    <col min="9453" max="9453" width="16.85546875" style="172" customWidth="1"/>
    <col min="9454" max="9455" width="0" style="172" hidden="1" customWidth="1"/>
    <col min="9456" max="9482" width="16.85546875" style="172" customWidth="1"/>
    <col min="9483" max="9484" width="17.5703125" style="172" bestFit="1" customWidth="1"/>
    <col min="9485" max="9700" width="9.140625" style="172"/>
    <col min="9701" max="9701" width="23.28515625" style="172" customWidth="1"/>
    <col min="9702" max="9702" width="17.5703125" style="172" customWidth="1"/>
    <col min="9703" max="9706" width="16.85546875" style="172" customWidth="1"/>
    <col min="9707" max="9708" width="0" style="172" hidden="1" customWidth="1"/>
    <col min="9709" max="9709" width="16.85546875" style="172" customWidth="1"/>
    <col min="9710" max="9711" width="0" style="172" hidden="1" customWidth="1"/>
    <col min="9712" max="9738" width="16.85546875" style="172" customWidth="1"/>
    <col min="9739" max="9740" width="17.5703125" style="172" bestFit="1" customWidth="1"/>
    <col min="9741" max="9956" width="9.140625" style="172"/>
    <col min="9957" max="9957" width="23.28515625" style="172" customWidth="1"/>
    <col min="9958" max="9958" width="17.5703125" style="172" customWidth="1"/>
    <col min="9959" max="9962" width="16.85546875" style="172" customWidth="1"/>
    <col min="9963" max="9964" width="0" style="172" hidden="1" customWidth="1"/>
    <col min="9965" max="9965" width="16.85546875" style="172" customWidth="1"/>
    <col min="9966" max="9967" width="0" style="172" hidden="1" customWidth="1"/>
    <col min="9968" max="9994" width="16.85546875" style="172" customWidth="1"/>
    <col min="9995" max="9996" width="17.5703125" style="172" bestFit="1" customWidth="1"/>
    <col min="9997" max="10212" width="9.140625" style="172"/>
    <col min="10213" max="10213" width="23.28515625" style="172" customWidth="1"/>
    <col min="10214" max="10214" width="17.5703125" style="172" customWidth="1"/>
    <col min="10215" max="10218" width="16.85546875" style="172" customWidth="1"/>
    <col min="10219" max="10220" width="0" style="172" hidden="1" customWidth="1"/>
    <col min="10221" max="10221" width="16.85546875" style="172" customWidth="1"/>
    <col min="10222" max="10223" width="0" style="172" hidden="1" customWidth="1"/>
    <col min="10224" max="10250" width="16.85546875" style="172" customWidth="1"/>
    <col min="10251" max="10252" width="17.5703125" style="172" bestFit="1" customWidth="1"/>
    <col min="10253" max="10468" width="9.140625" style="172"/>
    <col min="10469" max="10469" width="23.28515625" style="172" customWidth="1"/>
    <col min="10470" max="10470" width="17.5703125" style="172" customWidth="1"/>
    <col min="10471" max="10474" width="16.85546875" style="172" customWidth="1"/>
    <col min="10475" max="10476" width="0" style="172" hidden="1" customWidth="1"/>
    <col min="10477" max="10477" width="16.85546875" style="172" customWidth="1"/>
    <col min="10478" max="10479" width="0" style="172" hidden="1" customWidth="1"/>
    <col min="10480" max="10506" width="16.85546875" style="172" customWidth="1"/>
    <col min="10507" max="10508" width="17.5703125" style="172" bestFit="1" customWidth="1"/>
    <col min="10509" max="10724" width="9.140625" style="172"/>
    <col min="10725" max="10725" width="23.28515625" style="172" customWidth="1"/>
    <col min="10726" max="10726" width="17.5703125" style="172" customWidth="1"/>
    <col min="10727" max="10730" width="16.85546875" style="172" customWidth="1"/>
    <col min="10731" max="10732" width="0" style="172" hidden="1" customWidth="1"/>
    <col min="10733" max="10733" width="16.85546875" style="172" customWidth="1"/>
    <col min="10734" max="10735" width="0" style="172" hidden="1" customWidth="1"/>
    <col min="10736" max="10762" width="16.85546875" style="172" customWidth="1"/>
    <col min="10763" max="10764" width="17.5703125" style="172" bestFit="1" customWidth="1"/>
    <col min="10765" max="10980" width="9.140625" style="172"/>
    <col min="10981" max="10981" width="23.28515625" style="172" customWidth="1"/>
    <col min="10982" max="10982" width="17.5703125" style="172" customWidth="1"/>
    <col min="10983" max="10986" width="16.85546875" style="172" customWidth="1"/>
    <col min="10987" max="10988" width="0" style="172" hidden="1" customWidth="1"/>
    <col min="10989" max="10989" width="16.85546875" style="172" customWidth="1"/>
    <col min="10990" max="10991" width="0" style="172" hidden="1" customWidth="1"/>
    <col min="10992" max="11018" width="16.85546875" style="172" customWidth="1"/>
    <col min="11019" max="11020" width="17.5703125" style="172" bestFit="1" customWidth="1"/>
    <col min="11021" max="11236" width="9.140625" style="172"/>
    <col min="11237" max="11237" width="23.28515625" style="172" customWidth="1"/>
    <col min="11238" max="11238" width="17.5703125" style="172" customWidth="1"/>
    <col min="11239" max="11242" width="16.85546875" style="172" customWidth="1"/>
    <col min="11243" max="11244" width="0" style="172" hidden="1" customWidth="1"/>
    <col min="11245" max="11245" width="16.85546875" style="172" customWidth="1"/>
    <col min="11246" max="11247" width="0" style="172" hidden="1" customWidth="1"/>
    <col min="11248" max="11274" width="16.85546875" style="172" customWidth="1"/>
    <col min="11275" max="11276" width="17.5703125" style="172" bestFit="1" customWidth="1"/>
    <col min="11277" max="11492" width="9.140625" style="172"/>
    <col min="11493" max="11493" width="23.28515625" style="172" customWidth="1"/>
    <col min="11494" max="11494" width="17.5703125" style="172" customWidth="1"/>
    <col min="11495" max="11498" width="16.85546875" style="172" customWidth="1"/>
    <col min="11499" max="11500" width="0" style="172" hidden="1" customWidth="1"/>
    <col min="11501" max="11501" width="16.85546875" style="172" customWidth="1"/>
    <col min="11502" max="11503" width="0" style="172" hidden="1" customWidth="1"/>
    <col min="11504" max="11530" width="16.85546875" style="172" customWidth="1"/>
    <col min="11531" max="11532" width="17.5703125" style="172" bestFit="1" customWidth="1"/>
    <col min="11533" max="11748" width="9.140625" style="172"/>
    <col min="11749" max="11749" width="23.28515625" style="172" customWidth="1"/>
    <col min="11750" max="11750" width="17.5703125" style="172" customWidth="1"/>
    <col min="11751" max="11754" width="16.85546875" style="172" customWidth="1"/>
    <col min="11755" max="11756" width="0" style="172" hidden="1" customWidth="1"/>
    <col min="11757" max="11757" width="16.85546875" style="172" customWidth="1"/>
    <col min="11758" max="11759" width="0" style="172" hidden="1" customWidth="1"/>
    <col min="11760" max="11786" width="16.85546875" style="172" customWidth="1"/>
    <col min="11787" max="11788" width="17.5703125" style="172" bestFit="1" customWidth="1"/>
    <col min="11789" max="12004" width="9.140625" style="172"/>
    <col min="12005" max="12005" width="23.28515625" style="172" customWidth="1"/>
    <col min="12006" max="12006" width="17.5703125" style="172" customWidth="1"/>
    <col min="12007" max="12010" width="16.85546875" style="172" customWidth="1"/>
    <col min="12011" max="12012" width="0" style="172" hidden="1" customWidth="1"/>
    <col min="12013" max="12013" width="16.85546875" style="172" customWidth="1"/>
    <col min="12014" max="12015" width="0" style="172" hidden="1" customWidth="1"/>
    <col min="12016" max="12042" width="16.85546875" style="172" customWidth="1"/>
    <col min="12043" max="12044" width="17.5703125" style="172" bestFit="1" customWidth="1"/>
    <col min="12045" max="12260" width="9.140625" style="172"/>
    <col min="12261" max="12261" width="23.28515625" style="172" customWidth="1"/>
    <col min="12262" max="12262" width="17.5703125" style="172" customWidth="1"/>
    <col min="12263" max="12266" width="16.85546875" style="172" customWidth="1"/>
    <col min="12267" max="12268" width="0" style="172" hidden="1" customWidth="1"/>
    <col min="12269" max="12269" width="16.85546875" style="172" customWidth="1"/>
    <col min="12270" max="12271" width="0" style="172" hidden="1" customWidth="1"/>
    <col min="12272" max="12298" width="16.85546875" style="172" customWidth="1"/>
    <col min="12299" max="12300" width="17.5703125" style="172" bestFit="1" customWidth="1"/>
    <col min="12301" max="12516" width="9.140625" style="172"/>
    <col min="12517" max="12517" width="23.28515625" style="172" customWidth="1"/>
    <col min="12518" max="12518" width="17.5703125" style="172" customWidth="1"/>
    <col min="12519" max="12522" width="16.85546875" style="172" customWidth="1"/>
    <col min="12523" max="12524" width="0" style="172" hidden="1" customWidth="1"/>
    <col min="12525" max="12525" width="16.85546875" style="172" customWidth="1"/>
    <col min="12526" max="12527" width="0" style="172" hidden="1" customWidth="1"/>
    <col min="12528" max="12554" width="16.85546875" style="172" customWidth="1"/>
    <col min="12555" max="12556" width="17.5703125" style="172" bestFit="1" customWidth="1"/>
    <col min="12557" max="12772" width="9.140625" style="172"/>
    <col min="12773" max="12773" width="23.28515625" style="172" customWidth="1"/>
    <col min="12774" max="12774" width="17.5703125" style="172" customWidth="1"/>
    <col min="12775" max="12778" width="16.85546875" style="172" customWidth="1"/>
    <col min="12779" max="12780" width="0" style="172" hidden="1" customWidth="1"/>
    <col min="12781" max="12781" width="16.85546875" style="172" customWidth="1"/>
    <col min="12782" max="12783" width="0" style="172" hidden="1" customWidth="1"/>
    <col min="12784" max="12810" width="16.85546875" style="172" customWidth="1"/>
    <col min="12811" max="12812" width="17.5703125" style="172" bestFit="1" customWidth="1"/>
    <col min="12813" max="13028" width="9.140625" style="172"/>
    <col min="13029" max="13029" width="23.28515625" style="172" customWidth="1"/>
    <col min="13030" max="13030" width="17.5703125" style="172" customWidth="1"/>
    <col min="13031" max="13034" width="16.85546875" style="172" customWidth="1"/>
    <col min="13035" max="13036" width="0" style="172" hidden="1" customWidth="1"/>
    <col min="13037" max="13037" width="16.85546875" style="172" customWidth="1"/>
    <col min="13038" max="13039" width="0" style="172" hidden="1" customWidth="1"/>
    <col min="13040" max="13066" width="16.85546875" style="172" customWidth="1"/>
    <col min="13067" max="13068" width="17.5703125" style="172" bestFit="1" customWidth="1"/>
    <col min="13069" max="13284" width="9.140625" style="172"/>
    <col min="13285" max="13285" width="23.28515625" style="172" customWidth="1"/>
    <col min="13286" max="13286" width="17.5703125" style="172" customWidth="1"/>
    <col min="13287" max="13290" width="16.85546875" style="172" customWidth="1"/>
    <col min="13291" max="13292" width="0" style="172" hidden="1" customWidth="1"/>
    <col min="13293" max="13293" width="16.85546875" style="172" customWidth="1"/>
    <col min="13294" max="13295" width="0" style="172" hidden="1" customWidth="1"/>
    <col min="13296" max="13322" width="16.85546875" style="172" customWidth="1"/>
    <col min="13323" max="13324" width="17.5703125" style="172" bestFit="1" customWidth="1"/>
    <col min="13325" max="13540" width="9.140625" style="172"/>
    <col min="13541" max="13541" width="23.28515625" style="172" customWidth="1"/>
    <col min="13542" max="13542" width="17.5703125" style="172" customWidth="1"/>
    <col min="13543" max="13546" width="16.85546875" style="172" customWidth="1"/>
    <col min="13547" max="13548" width="0" style="172" hidden="1" customWidth="1"/>
    <col min="13549" max="13549" width="16.85546875" style="172" customWidth="1"/>
    <col min="13550" max="13551" width="0" style="172" hidden="1" customWidth="1"/>
    <col min="13552" max="13578" width="16.85546875" style="172" customWidth="1"/>
    <col min="13579" max="13580" width="17.5703125" style="172" bestFit="1" customWidth="1"/>
    <col min="13581" max="13796" width="9.140625" style="172"/>
    <col min="13797" max="13797" width="23.28515625" style="172" customWidth="1"/>
    <col min="13798" max="13798" width="17.5703125" style="172" customWidth="1"/>
    <col min="13799" max="13802" width="16.85546875" style="172" customWidth="1"/>
    <col min="13803" max="13804" width="0" style="172" hidden="1" customWidth="1"/>
    <col min="13805" max="13805" width="16.85546875" style="172" customWidth="1"/>
    <col min="13806" max="13807" width="0" style="172" hidden="1" customWidth="1"/>
    <col min="13808" max="13834" width="16.85546875" style="172" customWidth="1"/>
    <col min="13835" max="13836" width="17.5703125" style="172" bestFit="1" customWidth="1"/>
    <col min="13837" max="14052" width="9.140625" style="172"/>
    <col min="14053" max="14053" width="23.28515625" style="172" customWidth="1"/>
    <col min="14054" max="14054" width="17.5703125" style="172" customWidth="1"/>
    <col min="14055" max="14058" width="16.85546875" style="172" customWidth="1"/>
    <col min="14059" max="14060" width="0" style="172" hidden="1" customWidth="1"/>
    <col min="14061" max="14061" width="16.85546875" style="172" customWidth="1"/>
    <col min="14062" max="14063" width="0" style="172" hidden="1" customWidth="1"/>
    <col min="14064" max="14090" width="16.85546875" style="172" customWidth="1"/>
    <col min="14091" max="14092" width="17.5703125" style="172" bestFit="1" customWidth="1"/>
    <col min="14093" max="14308" width="9.140625" style="172"/>
    <col min="14309" max="14309" width="23.28515625" style="172" customWidth="1"/>
    <col min="14310" max="14310" width="17.5703125" style="172" customWidth="1"/>
    <col min="14311" max="14314" width="16.85546875" style="172" customWidth="1"/>
    <col min="14315" max="14316" width="0" style="172" hidden="1" customWidth="1"/>
    <col min="14317" max="14317" width="16.85546875" style="172" customWidth="1"/>
    <col min="14318" max="14319" width="0" style="172" hidden="1" customWidth="1"/>
    <col min="14320" max="14346" width="16.85546875" style="172" customWidth="1"/>
    <col min="14347" max="14348" width="17.5703125" style="172" bestFit="1" customWidth="1"/>
    <col min="14349" max="14564" width="9.140625" style="172"/>
    <col min="14565" max="14565" width="23.28515625" style="172" customWidth="1"/>
    <col min="14566" max="14566" width="17.5703125" style="172" customWidth="1"/>
    <col min="14567" max="14570" width="16.85546875" style="172" customWidth="1"/>
    <col min="14571" max="14572" width="0" style="172" hidden="1" customWidth="1"/>
    <col min="14573" max="14573" width="16.85546875" style="172" customWidth="1"/>
    <col min="14574" max="14575" width="0" style="172" hidden="1" customWidth="1"/>
    <col min="14576" max="14602" width="16.85546875" style="172" customWidth="1"/>
    <col min="14603" max="14604" width="17.5703125" style="172" bestFit="1" customWidth="1"/>
    <col min="14605" max="14820" width="9.140625" style="172"/>
    <col min="14821" max="14821" width="23.28515625" style="172" customWidth="1"/>
    <col min="14822" max="14822" width="17.5703125" style="172" customWidth="1"/>
    <col min="14823" max="14826" width="16.85546875" style="172" customWidth="1"/>
    <col min="14827" max="14828" width="0" style="172" hidden="1" customWidth="1"/>
    <col min="14829" max="14829" width="16.85546875" style="172" customWidth="1"/>
    <col min="14830" max="14831" width="0" style="172" hidden="1" customWidth="1"/>
    <col min="14832" max="14858" width="16.85546875" style="172" customWidth="1"/>
    <col min="14859" max="14860" width="17.5703125" style="172" bestFit="1" customWidth="1"/>
    <col min="14861" max="15076" width="9.140625" style="172"/>
    <col min="15077" max="15077" width="23.28515625" style="172" customWidth="1"/>
    <col min="15078" max="15078" width="17.5703125" style="172" customWidth="1"/>
    <col min="15079" max="15082" width="16.85546875" style="172" customWidth="1"/>
    <col min="15083" max="15084" width="0" style="172" hidden="1" customWidth="1"/>
    <col min="15085" max="15085" width="16.85546875" style="172" customWidth="1"/>
    <col min="15086" max="15087" width="0" style="172" hidden="1" customWidth="1"/>
    <col min="15088" max="15114" width="16.85546875" style="172" customWidth="1"/>
    <col min="15115" max="15116" width="17.5703125" style="172" bestFit="1" customWidth="1"/>
    <col min="15117" max="15332" width="9.140625" style="172"/>
    <col min="15333" max="15333" width="23.28515625" style="172" customWidth="1"/>
    <col min="15334" max="15334" width="17.5703125" style="172" customWidth="1"/>
    <col min="15335" max="15338" width="16.85546875" style="172" customWidth="1"/>
    <col min="15339" max="15340" width="0" style="172" hidden="1" customWidth="1"/>
    <col min="15341" max="15341" width="16.85546875" style="172" customWidth="1"/>
    <col min="15342" max="15343" width="0" style="172" hidden="1" customWidth="1"/>
    <col min="15344" max="15370" width="16.85546875" style="172" customWidth="1"/>
    <col min="15371" max="15372" width="17.5703125" style="172" bestFit="1" customWidth="1"/>
    <col min="15373" max="15588" width="9.140625" style="172"/>
    <col min="15589" max="15589" width="23.28515625" style="172" customWidth="1"/>
    <col min="15590" max="15590" width="17.5703125" style="172" customWidth="1"/>
    <col min="15591" max="15594" width="16.85546875" style="172" customWidth="1"/>
    <col min="15595" max="15596" width="0" style="172" hidden="1" customWidth="1"/>
    <col min="15597" max="15597" width="16.85546875" style="172" customWidth="1"/>
    <col min="15598" max="15599" width="0" style="172" hidden="1" customWidth="1"/>
    <col min="15600" max="15626" width="16.85546875" style="172" customWidth="1"/>
    <col min="15627" max="15628" width="17.5703125" style="172" bestFit="1" customWidth="1"/>
    <col min="15629" max="15844" width="9.140625" style="172"/>
    <col min="15845" max="15845" width="23.28515625" style="172" customWidth="1"/>
    <col min="15846" max="15846" width="17.5703125" style="172" customWidth="1"/>
    <col min="15847" max="15850" width="16.85546875" style="172" customWidth="1"/>
    <col min="15851" max="15852" width="0" style="172" hidden="1" customWidth="1"/>
    <col min="15853" max="15853" width="16.85546875" style="172" customWidth="1"/>
    <col min="15854" max="15855" width="0" style="172" hidden="1" customWidth="1"/>
    <col min="15856" max="15882" width="16.85546875" style="172" customWidth="1"/>
    <col min="15883" max="15884" width="17.5703125" style="172" bestFit="1" customWidth="1"/>
    <col min="15885" max="16100" width="9.140625" style="172"/>
    <col min="16101" max="16101" width="23.28515625" style="172" customWidth="1"/>
    <col min="16102" max="16102" width="17.5703125" style="172" customWidth="1"/>
    <col min="16103" max="16106" width="16.85546875" style="172" customWidth="1"/>
    <col min="16107" max="16108" width="0" style="172" hidden="1" customWidth="1"/>
    <col min="16109" max="16109" width="16.85546875" style="172" customWidth="1"/>
    <col min="16110" max="16111" width="0" style="172" hidden="1" customWidth="1"/>
    <col min="16112" max="16138" width="16.85546875" style="172" customWidth="1"/>
    <col min="16139" max="16140" width="17.5703125" style="172" bestFit="1" customWidth="1"/>
    <col min="16141" max="16384" width="9.140625" style="172"/>
  </cols>
  <sheetData>
    <row r="1" spans="1:12" s="174" customFormat="1" ht="19.5" customHeight="1">
      <c r="A1" s="249" t="s">
        <v>338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s="174" customFormat="1" ht="19.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s="175" customFormat="1" ht="21.75" customHeight="1">
      <c r="A3" s="250" t="s">
        <v>299</v>
      </c>
      <c r="B3" s="251" t="s">
        <v>298</v>
      </c>
      <c r="C3" s="251" t="s">
        <v>300</v>
      </c>
      <c r="D3" s="251" t="s">
        <v>337</v>
      </c>
      <c r="E3" s="251" t="s">
        <v>334</v>
      </c>
      <c r="F3" s="251"/>
      <c r="G3" s="251"/>
      <c r="H3" s="251"/>
      <c r="I3" s="251" t="s">
        <v>333</v>
      </c>
      <c r="J3" s="251"/>
      <c r="K3" s="251"/>
      <c r="L3" s="251"/>
    </row>
    <row r="4" spans="1:12" s="175" customFormat="1" ht="17.25" customHeight="1">
      <c r="A4" s="250"/>
      <c r="B4" s="251"/>
      <c r="C4" s="251"/>
      <c r="D4" s="251"/>
      <c r="E4" s="251" t="s">
        <v>296</v>
      </c>
      <c r="F4" s="251"/>
      <c r="G4" s="251" t="s">
        <v>297</v>
      </c>
      <c r="H4" s="251"/>
      <c r="I4" s="251" t="s">
        <v>296</v>
      </c>
      <c r="J4" s="251"/>
      <c r="K4" s="251" t="s">
        <v>297</v>
      </c>
      <c r="L4" s="251"/>
    </row>
    <row r="5" spans="1:12" s="175" customFormat="1" ht="66.75" customHeight="1">
      <c r="A5" s="250"/>
      <c r="B5" s="251"/>
      <c r="C5" s="251"/>
      <c r="D5" s="251"/>
      <c r="E5" s="180" t="s">
        <v>307</v>
      </c>
      <c r="F5" s="180" t="s">
        <v>339</v>
      </c>
      <c r="G5" s="180" t="s">
        <v>307</v>
      </c>
      <c r="H5" s="180" t="s">
        <v>339</v>
      </c>
      <c r="I5" s="180" t="s">
        <v>307</v>
      </c>
      <c r="J5" s="180" t="s">
        <v>339</v>
      </c>
      <c r="K5" s="180" t="s">
        <v>307</v>
      </c>
      <c r="L5" s="180" t="s">
        <v>339</v>
      </c>
    </row>
    <row r="6" spans="1:12" s="175" customFormat="1" hidden="1">
      <c r="A6" s="127">
        <v>1</v>
      </c>
      <c r="B6" s="181">
        <v>2</v>
      </c>
      <c r="C6" s="181">
        <v>3</v>
      </c>
      <c r="D6" s="181">
        <v>4</v>
      </c>
      <c r="E6" s="181">
        <f>D6+1</f>
        <v>5</v>
      </c>
      <c r="F6" s="181">
        <v>6</v>
      </c>
      <c r="G6" s="181">
        <v>7</v>
      </c>
      <c r="H6" s="181">
        <v>8</v>
      </c>
      <c r="I6" s="181">
        <v>9</v>
      </c>
      <c r="J6" s="181">
        <v>10</v>
      </c>
      <c r="K6" s="181">
        <v>11</v>
      </c>
      <c r="L6" s="182">
        <v>12</v>
      </c>
    </row>
    <row r="7" spans="1:12" s="174" customFormat="1" ht="20.100000000000001" customHeight="1">
      <c r="A7" s="183" t="s">
        <v>301</v>
      </c>
      <c r="B7" s="184" t="s">
        <v>295</v>
      </c>
      <c r="C7" s="184" t="s">
        <v>228</v>
      </c>
      <c r="D7" s="185"/>
      <c r="E7" s="195">
        <v>1044.7</v>
      </c>
      <c r="F7" s="196">
        <v>27.53</v>
      </c>
      <c r="G7" s="197">
        <v>1076.08</v>
      </c>
      <c r="H7" s="198">
        <v>31.58</v>
      </c>
      <c r="I7" s="207">
        <v>1044.7</v>
      </c>
      <c r="J7" s="208">
        <v>27.53</v>
      </c>
      <c r="K7" s="209">
        <v>1076.08</v>
      </c>
      <c r="L7" s="210">
        <v>31.58</v>
      </c>
    </row>
    <row r="8" spans="1:12" s="174" customFormat="1" ht="20.100000000000001" customHeight="1">
      <c r="A8" s="186" t="s">
        <v>302</v>
      </c>
      <c r="B8" s="187" t="s">
        <v>295</v>
      </c>
      <c r="C8" s="188" t="s">
        <v>206</v>
      </c>
      <c r="D8" s="189" t="s">
        <v>265</v>
      </c>
      <c r="E8" s="199">
        <v>2103.73</v>
      </c>
      <c r="F8" s="200">
        <v>15.17</v>
      </c>
      <c r="G8" s="201">
        <v>2103.73</v>
      </c>
      <c r="H8" s="202">
        <v>15.78</v>
      </c>
      <c r="I8" s="211">
        <v>1502.08</v>
      </c>
      <c r="J8" s="212">
        <v>15.17</v>
      </c>
      <c r="K8" s="213">
        <v>1562.16</v>
      </c>
      <c r="L8" s="214">
        <v>15.78</v>
      </c>
    </row>
    <row r="9" spans="1:12" s="174" customFormat="1" ht="30">
      <c r="A9" s="186" t="s">
        <v>303</v>
      </c>
      <c r="B9" s="187" t="s">
        <v>295</v>
      </c>
      <c r="C9" s="188" t="s">
        <v>306</v>
      </c>
      <c r="D9" s="189"/>
      <c r="E9" s="199">
        <v>1236.29</v>
      </c>
      <c r="F9" s="200">
        <v>15.17</v>
      </c>
      <c r="G9" s="201">
        <v>1285.8599999999999</v>
      </c>
      <c r="H9" s="202">
        <v>15.78</v>
      </c>
      <c r="I9" s="211">
        <v>1236.29</v>
      </c>
      <c r="J9" s="212">
        <v>15.17</v>
      </c>
      <c r="K9" s="213">
        <v>1285.8599999999999</v>
      </c>
      <c r="L9" s="214">
        <v>15.78</v>
      </c>
    </row>
    <row r="10" spans="1:12" s="174" customFormat="1" ht="90">
      <c r="A10" s="186" t="s">
        <v>304</v>
      </c>
      <c r="B10" s="187" t="s">
        <v>295</v>
      </c>
      <c r="C10" s="188" t="s">
        <v>305</v>
      </c>
      <c r="D10" s="189" t="s">
        <v>277</v>
      </c>
      <c r="E10" s="199">
        <v>1300.1099999999999</v>
      </c>
      <c r="F10" s="200">
        <v>41.34</v>
      </c>
      <c r="G10" s="201">
        <v>1352.11</v>
      </c>
      <c r="H10" s="202">
        <v>43.82</v>
      </c>
      <c r="I10" s="211">
        <v>1300.1099999999999</v>
      </c>
      <c r="J10" s="212">
        <v>41.34</v>
      </c>
      <c r="K10" s="213">
        <v>1352.11</v>
      </c>
      <c r="L10" s="214">
        <v>43.82</v>
      </c>
    </row>
    <row r="11" spans="1:12" s="174" customFormat="1" ht="20.100000000000001" customHeight="1">
      <c r="A11" s="190" t="s">
        <v>308</v>
      </c>
      <c r="B11" s="187" t="s">
        <v>295</v>
      </c>
      <c r="C11" s="188" t="s">
        <v>309</v>
      </c>
      <c r="D11" s="189"/>
      <c r="E11" s="199">
        <v>769.33</v>
      </c>
      <c r="F11" s="200">
        <v>5.45</v>
      </c>
      <c r="G11" s="201">
        <v>801.61</v>
      </c>
      <c r="H11" s="202">
        <v>6.2</v>
      </c>
      <c r="I11" s="211">
        <v>769.33</v>
      </c>
      <c r="J11" s="212">
        <v>5.45</v>
      </c>
      <c r="K11" s="213">
        <v>801.61</v>
      </c>
      <c r="L11" s="215">
        <v>6.2</v>
      </c>
    </row>
    <row r="12" spans="1:12" s="174" customFormat="1" ht="45">
      <c r="A12" s="186" t="s">
        <v>310</v>
      </c>
      <c r="B12" s="187" t="s">
        <v>295</v>
      </c>
      <c r="C12" s="188" t="s">
        <v>226</v>
      </c>
      <c r="D12" s="189"/>
      <c r="E12" s="199">
        <v>1784.34</v>
      </c>
      <c r="F12" s="200">
        <v>21.92</v>
      </c>
      <c r="G12" s="201">
        <v>1933.68</v>
      </c>
      <c r="H12" s="202">
        <v>23.03</v>
      </c>
      <c r="I12" s="211">
        <v>1330.51</v>
      </c>
      <c r="J12" s="212">
        <v>21.92</v>
      </c>
      <c r="K12" s="213">
        <v>1383.73</v>
      </c>
      <c r="L12" s="216">
        <v>23.03</v>
      </c>
    </row>
    <row r="13" spans="1:12" s="174" customFormat="1" ht="53.25">
      <c r="A13" s="186" t="s">
        <v>311</v>
      </c>
      <c r="B13" s="188" t="s">
        <v>335</v>
      </c>
      <c r="C13" s="188" t="s">
        <v>312</v>
      </c>
      <c r="D13" s="189" t="s">
        <v>313</v>
      </c>
      <c r="E13" s="199">
        <v>3692.7</v>
      </c>
      <c r="F13" s="200">
        <v>44.95</v>
      </c>
      <c r="G13" s="201">
        <v>3692.7</v>
      </c>
      <c r="H13" s="202">
        <v>51.54</v>
      </c>
      <c r="I13" s="211">
        <v>1176.26</v>
      </c>
      <c r="J13" s="212">
        <v>39.53</v>
      </c>
      <c r="K13" s="213">
        <v>1223.31</v>
      </c>
      <c r="L13" s="216">
        <v>41.9</v>
      </c>
    </row>
    <row r="14" spans="1:12" s="174" customFormat="1" ht="30">
      <c r="A14" s="186" t="s">
        <v>314</v>
      </c>
      <c r="B14" s="188" t="s">
        <v>295</v>
      </c>
      <c r="C14" s="188" t="s">
        <v>312</v>
      </c>
      <c r="D14" s="189" t="s">
        <v>317</v>
      </c>
      <c r="E14" s="199">
        <v>3493</v>
      </c>
      <c r="F14" s="200">
        <f>J14</f>
        <v>53.03</v>
      </c>
      <c r="G14" s="201">
        <v>3916.82</v>
      </c>
      <c r="H14" s="202">
        <f>L14</f>
        <v>59.54</v>
      </c>
      <c r="I14" s="211">
        <v>1176.26</v>
      </c>
      <c r="J14" s="212">
        <v>53.03</v>
      </c>
      <c r="K14" s="213">
        <v>1246.8499999999999</v>
      </c>
      <c r="L14" s="217">
        <v>59.54</v>
      </c>
    </row>
    <row r="15" spans="1:12" s="174" customFormat="1" ht="31.5" customHeight="1">
      <c r="A15" s="190" t="s">
        <v>315</v>
      </c>
      <c r="B15" s="188" t="s">
        <v>295</v>
      </c>
      <c r="C15" s="187" t="s">
        <v>320</v>
      </c>
      <c r="D15" s="189" t="s">
        <v>318</v>
      </c>
      <c r="E15" s="199">
        <v>2321.09</v>
      </c>
      <c r="F15" s="200">
        <v>60.11</v>
      </c>
      <c r="G15" s="201">
        <v>2321.09</v>
      </c>
      <c r="H15" s="202">
        <v>65.209999999999994</v>
      </c>
      <c r="I15" s="211">
        <v>1674.11</v>
      </c>
      <c r="J15" s="212">
        <v>39.340000000000003</v>
      </c>
      <c r="K15" s="213">
        <v>1774.56</v>
      </c>
      <c r="L15" s="217">
        <v>40.909999999999997</v>
      </c>
    </row>
    <row r="16" spans="1:12" s="174" customFormat="1" ht="40.5" customHeight="1">
      <c r="A16" s="186" t="s">
        <v>315</v>
      </c>
      <c r="B16" s="188" t="s">
        <v>295</v>
      </c>
      <c r="C16" s="187" t="s">
        <v>320</v>
      </c>
      <c r="D16" s="189" t="s">
        <v>319</v>
      </c>
      <c r="E16" s="199">
        <v>2653.29</v>
      </c>
      <c r="F16" s="200">
        <f>J16</f>
        <v>21.16</v>
      </c>
      <c r="G16" s="201">
        <v>2653.76</v>
      </c>
      <c r="H16" s="202">
        <f>L16</f>
        <v>21.44</v>
      </c>
      <c r="I16" s="211">
        <v>1674.11</v>
      </c>
      <c r="J16" s="212">
        <v>21.16</v>
      </c>
      <c r="K16" s="213">
        <v>1774.56</v>
      </c>
      <c r="L16" s="217">
        <v>21.44</v>
      </c>
    </row>
    <row r="17" spans="1:12" s="174" customFormat="1" ht="24" customHeight="1">
      <c r="A17" s="190" t="s">
        <v>316</v>
      </c>
      <c r="B17" s="188" t="s">
        <v>295</v>
      </c>
      <c r="C17" s="187" t="s">
        <v>320</v>
      </c>
      <c r="D17" s="189" t="s">
        <v>319</v>
      </c>
      <c r="E17" s="199">
        <v>3728.66</v>
      </c>
      <c r="F17" s="200">
        <f>J17</f>
        <v>20.149999999999999</v>
      </c>
      <c r="G17" s="201">
        <f>E17</f>
        <v>3728.66</v>
      </c>
      <c r="H17" s="202">
        <f>L17</f>
        <v>20.94</v>
      </c>
      <c r="I17" s="211">
        <v>1674.11</v>
      </c>
      <c r="J17" s="212">
        <v>20.149999999999999</v>
      </c>
      <c r="K17" s="213">
        <v>1774.56</v>
      </c>
      <c r="L17" s="217">
        <v>20.94</v>
      </c>
    </row>
    <row r="18" spans="1:12" s="174" customFormat="1" ht="30">
      <c r="A18" s="186" t="s">
        <v>321</v>
      </c>
      <c r="B18" s="188" t="s">
        <v>295</v>
      </c>
      <c r="C18" s="188" t="s">
        <v>322</v>
      </c>
      <c r="D18" s="189" t="s">
        <v>275</v>
      </c>
      <c r="E18" s="199">
        <v>2971.35</v>
      </c>
      <c r="F18" s="200">
        <v>44.4</v>
      </c>
      <c r="G18" s="201">
        <v>3418.22</v>
      </c>
      <c r="H18" s="202">
        <v>48.54</v>
      </c>
      <c r="I18" s="211">
        <v>1302.54</v>
      </c>
      <c r="J18" s="212">
        <v>38.21</v>
      </c>
      <c r="K18" s="213">
        <v>1365.07</v>
      </c>
      <c r="L18" s="217">
        <v>40.5</v>
      </c>
    </row>
    <row r="19" spans="1:12" s="174" customFormat="1" ht="30">
      <c r="A19" s="224" t="s">
        <v>323</v>
      </c>
      <c r="B19" s="193" t="s">
        <v>324</v>
      </c>
      <c r="C19" s="193" t="s">
        <v>322</v>
      </c>
      <c r="D19" s="225" t="s">
        <v>275</v>
      </c>
      <c r="E19" s="203">
        <v>2632.72</v>
      </c>
      <c r="F19" s="204">
        <v>52.39</v>
      </c>
      <c r="G19" s="205">
        <v>2632.72</v>
      </c>
      <c r="H19" s="206">
        <v>57.28</v>
      </c>
      <c r="I19" s="218">
        <v>1855.01</v>
      </c>
      <c r="J19" s="219">
        <v>45.09</v>
      </c>
      <c r="K19" s="220">
        <v>1966.31</v>
      </c>
      <c r="L19" s="221">
        <v>47.79</v>
      </c>
    </row>
    <row r="20" spans="1:12" s="174" customFormat="1" ht="90">
      <c r="A20" s="183" t="s">
        <v>325</v>
      </c>
      <c r="B20" s="222" t="s">
        <v>295</v>
      </c>
      <c r="C20" s="184" t="s">
        <v>228</v>
      </c>
      <c r="D20" s="223"/>
      <c r="E20" s="195">
        <v>7160.43</v>
      </c>
      <c r="F20" s="196">
        <v>5.77</v>
      </c>
      <c r="G20" s="197">
        <v>7160.43</v>
      </c>
      <c r="H20" s="198">
        <v>7.48</v>
      </c>
      <c r="I20" s="207" t="s">
        <v>326</v>
      </c>
      <c r="J20" s="208" t="s">
        <v>326</v>
      </c>
      <c r="K20" s="209" t="s">
        <v>326</v>
      </c>
      <c r="L20" s="210" t="s">
        <v>326</v>
      </c>
    </row>
    <row r="21" spans="1:12" s="174" customFormat="1" ht="96" customHeight="1">
      <c r="A21" s="190" t="s">
        <v>327</v>
      </c>
      <c r="B21" s="188" t="s">
        <v>295</v>
      </c>
      <c r="C21" s="187" t="s">
        <v>228</v>
      </c>
      <c r="D21" s="191"/>
      <c r="E21" s="199">
        <v>2604.4299999999998</v>
      </c>
      <c r="F21" s="200">
        <v>27.53</v>
      </c>
      <c r="G21" s="201">
        <v>2835.51</v>
      </c>
      <c r="H21" s="202">
        <v>27.53</v>
      </c>
      <c r="I21" s="211" t="s">
        <v>326</v>
      </c>
      <c r="J21" s="212" t="s">
        <v>326</v>
      </c>
      <c r="K21" s="213" t="s">
        <v>326</v>
      </c>
      <c r="L21" s="214" t="s">
        <v>326</v>
      </c>
    </row>
    <row r="22" spans="1:12" s="174" customFormat="1" ht="90">
      <c r="A22" s="190" t="s">
        <v>329</v>
      </c>
      <c r="B22" s="188" t="s">
        <v>295</v>
      </c>
      <c r="C22" s="187" t="s">
        <v>328</v>
      </c>
      <c r="D22" s="189" t="s">
        <v>336</v>
      </c>
      <c r="E22" s="199">
        <v>2797</v>
      </c>
      <c r="F22" s="200">
        <v>51.18</v>
      </c>
      <c r="G22" s="201">
        <v>2797</v>
      </c>
      <c r="H22" s="202">
        <v>52.89</v>
      </c>
      <c r="I22" s="211">
        <v>1049.08</v>
      </c>
      <c r="J22" s="212">
        <v>51.18</v>
      </c>
      <c r="K22" s="213">
        <v>1091.05</v>
      </c>
      <c r="L22" s="214">
        <v>52.89</v>
      </c>
    </row>
    <row r="23" spans="1:12" s="176" customFormat="1" ht="20.100000000000001" customHeight="1">
      <c r="A23" s="190" t="s">
        <v>53</v>
      </c>
      <c r="B23" s="188" t="s">
        <v>295</v>
      </c>
      <c r="C23" s="188" t="s">
        <v>320</v>
      </c>
      <c r="D23" s="189" t="s">
        <v>330</v>
      </c>
      <c r="E23" s="199">
        <v>5077.24</v>
      </c>
      <c r="F23" s="200">
        <v>468.31</v>
      </c>
      <c r="G23" s="201">
        <f>E23</f>
        <v>5077.24</v>
      </c>
      <c r="H23" s="202">
        <v>489.03</v>
      </c>
      <c r="I23" s="211" t="s">
        <v>326</v>
      </c>
      <c r="J23" s="212" t="s">
        <v>326</v>
      </c>
      <c r="K23" s="213" t="s">
        <v>326</v>
      </c>
      <c r="L23" s="216" t="s">
        <v>326</v>
      </c>
    </row>
    <row r="24" spans="1:12" s="176" customFormat="1" ht="90">
      <c r="A24" s="190" t="s">
        <v>331</v>
      </c>
      <c r="B24" s="188" t="s">
        <v>295</v>
      </c>
      <c r="C24" s="188" t="s">
        <v>226</v>
      </c>
      <c r="D24" s="191"/>
      <c r="E24" s="199">
        <v>1400.75</v>
      </c>
      <c r="F24" s="200">
        <v>43.11</v>
      </c>
      <c r="G24" s="201">
        <v>1475</v>
      </c>
      <c r="H24" s="202">
        <v>43.79</v>
      </c>
      <c r="I24" s="211">
        <v>1330.51</v>
      </c>
      <c r="J24" s="212">
        <v>22.42</v>
      </c>
      <c r="K24" s="213">
        <v>1383.73</v>
      </c>
      <c r="L24" s="216">
        <v>23.31</v>
      </c>
    </row>
    <row r="25" spans="1:12" s="176" customFormat="1" ht="105">
      <c r="A25" s="192" t="s">
        <v>332</v>
      </c>
      <c r="B25" s="193" t="s">
        <v>295</v>
      </c>
      <c r="C25" s="193" t="s">
        <v>226</v>
      </c>
      <c r="D25" s="194"/>
      <c r="E25" s="203">
        <v>2607.15</v>
      </c>
      <c r="F25" s="204">
        <v>55.71</v>
      </c>
      <c r="G25" s="205">
        <v>2607.15</v>
      </c>
      <c r="H25" s="206">
        <v>59.42</v>
      </c>
      <c r="I25" s="218" t="s">
        <v>326</v>
      </c>
      <c r="J25" s="219" t="s">
        <v>326</v>
      </c>
      <c r="K25" s="220" t="s">
        <v>326</v>
      </c>
      <c r="L25" s="221" t="s">
        <v>326</v>
      </c>
    </row>
    <row r="34" spans="1:3">
      <c r="A34" s="178"/>
      <c r="B34" s="174"/>
      <c r="C34" s="174"/>
    </row>
    <row r="36" spans="1:3">
      <c r="A36" s="178"/>
      <c r="B36" s="174"/>
      <c r="C36" s="174"/>
    </row>
  </sheetData>
  <mergeCells count="11">
    <mergeCell ref="A1:L1"/>
    <mergeCell ref="A3:A5"/>
    <mergeCell ref="B3:B5"/>
    <mergeCell ref="D3:D5"/>
    <mergeCell ref="C3:C5"/>
    <mergeCell ref="E3:H3"/>
    <mergeCell ref="I3:L3"/>
    <mergeCell ref="E4:F4"/>
    <mergeCell ref="G4:H4"/>
    <mergeCell ref="I4:J4"/>
    <mergeCell ref="K4:L4"/>
  </mergeCells>
  <printOptions horizontalCentered="1"/>
  <pageMargins left="0.19685039370078741" right="0.19685039370078741" top="0.98425196850393704" bottom="0.74803149606299213" header="0.31496062992125984" footer="0.31496062992125984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Лист2</vt:lpstr>
      <vt:lpstr>количество</vt:lpstr>
      <vt:lpstr>по МО</vt:lpstr>
      <vt:lpstr>архангельск</vt:lpstr>
      <vt:lpstr>Северодвинск</vt:lpstr>
      <vt:lpstr>ГВС</vt:lpstr>
      <vt:lpstr>Горячая вода</vt:lpstr>
      <vt:lpstr>'Горячая вода'!Область_печати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Цуркан</cp:lastModifiedBy>
  <cp:lastPrinted>2017-01-16T11:14:09Z</cp:lastPrinted>
  <dcterms:created xsi:type="dcterms:W3CDTF">2015-12-23T13:37:08Z</dcterms:created>
  <dcterms:modified xsi:type="dcterms:W3CDTF">2017-01-24T06:45:12Z</dcterms:modified>
</cp:coreProperties>
</file>