
<file path=[Content_Types].xml><?xml version="1.0" encoding="utf-8"?>
<Types xmlns="http://schemas.openxmlformats.org/package/2006/content-types">
  <Default Extension="bin" ContentType="application/vnd.openxmlformats-officedocument.spreadsheetml.printerSettings"/>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externalLinks/externalLink6.xml" ContentType="application/vnd.openxmlformats-officedocument.spreadsheetml.externalLink+xml"/>
  <Override PartName="/xl/externalLinks/externalLink7.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1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externalLinks/externalLink10.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360" yWindow="390" windowWidth="23250" windowHeight="11475"/>
  </bookViews>
  <sheets>
    <sheet name="Бюджет" sheetId="1" r:id="rId1"/>
    <sheet name="ЖД транспорт расчет" sheetId="3"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xlnm.Print_Area" localSheetId="0">Бюджет!$A$1:$AV$46</definedName>
  </definedNames>
  <calcPr calcId="125725"/>
</workbook>
</file>

<file path=xl/calcChain.xml><?xml version="1.0" encoding="utf-8"?>
<calcChain xmlns="http://schemas.openxmlformats.org/spreadsheetml/2006/main">
  <c r="AL37" i="1"/>
  <c r="AL36"/>
  <c r="AL35"/>
  <c r="AL34"/>
  <c r="AL33"/>
  <c r="AL32"/>
  <c r="AL31"/>
  <c r="AL29"/>
  <c r="AL26"/>
  <c r="AL25"/>
  <c r="AL24"/>
  <c r="AL23"/>
  <c r="AB30"/>
  <c r="AR29"/>
  <c r="AN39"/>
  <c r="AN38"/>
  <c r="AS36"/>
  <c r="AR36"/>
  <c r="AN36"/>
  <c r="AR37"/>
  <c r="AN37"/>
  <c r="AM37"/>
  <c r="AI37"/>
  <c r="AH37"/>
  <c r="AM36"/>
  <c r="AP36" s="1"/>
  <c r="AI36"/>
  <c r="AR35"/>
  <c r="AM35"/>
  <c r="AP35" s="1"/>
  <c r="AH34"/>
  <c r="AI34"/>
  <c r="AN34" s="1"/>
  <c r="AS34" s="1"/>
  <c r="AH35"/>
  <c r="AM34"/>
  <c r="AR34" s="1"/>
  <c r="AR33"/>
  <c r="AM33"/>
  <c r="AP33" s="1"/>
  <c r="AH33"/>
  <c r="AH32"/>
  <c r="AM32" s="1"/>
  <c r="AR31"/>
  <c r="AM31"/>
  <c r="AP31" s="1"/>
  <c r="AH31"/>
  <c r="AT29"/>
  <c r="AP37"/>
  <c r="AP29"/>
  <c r="AQ29" s="1"/>
  <c r="AO30"/>
  <c r="AO31"/>
  <c r="AO32"/>
  <c r="AO33"/>
  <c r="AO35"/>
  <c r="AO36"/>
  <c r="AO37"/>
  <c r="AO29"/>
  <c r="AM29"/>
  <c r="AH29"/>
  <c r="AV26"/>
  <c r="AQ26"/>
  <c r="AP26"/>
  <c r="AO26"/>
  <c r="AN26"/>
  <c r="AM26"/>
  <c r="AV25"/>
  <c r="AT25"/>
  <c r="AR25"/>
  <c r="AP25"/>
  <c r="AQ25" s="1"/>
  <c r="AM25"/>
  <c r="AO25"/>
  <c r="AH25"/>
  <c r="AP24"/>
  <c r="AR24"/>
  <c r="AM24"/>
  <c r="AH24"/>
  <c r="AT24"/>
  <c r="AO24"/>
  <c r="AN24"/>
  <c r="AI24"/>
  <c r="AV23"/>
  <c r="AT23"/>
  <c r="AR23"/>
  <c r="AQ23"/>
  <c r="AP23"/>
  <c r="AO23"/>
  <c r="AM23"/>
  <c r="AH23"/>
  <c r="AT17"/>
  <c r="AS17"/>
  <c r="AN17"/>
  <c r="AT16"/>
  <c r="AO16"/>
  <c r="AT12"/>
  <c r="AO12"/>
  <c r="AI12"/>
  <c r="AB12"/>
  <c r="AP34" l="1"/>
  <c r="AO34"/>
  <c r="AP32"/>
  <c r="AR32"/>
  <c r="AK32"/>
  <c r="AS20"/>
  <c r="AR20"/>
  <c r="AN20"/>
  <c r="AN9" s="1"/>
  <c r="AM20"/>
  <c r="AI20"/>
  <c r="AH20"/>
  <c r="AG39"/>
  <c r="AG26"/>
  <c r="AG38"/>
  <c r="AG34"/>
  <c r="AG25"/>
  <c r="AG17"/>
  <c r="AG9" s="1"/>
  <c r="AG16"/>
  <c r="AP20" l="1"/>
  <c r="AK20"/>
  <c r="AU20"/>
  <c r="AT20"/>
  <c r="AO20"/>
  <c r="E11" i="3"/>
  <c r="F10"/>
  <c r="G10" s="1"/>
  <c r="F8"/>
  <c r="E13" l="1"/>
  <c r="E12"/>
  <c r="G8"/>
  <c r="F11"/>
  <c r="AA39" i="1"/>
  <c r="AA38"/>
  <c r="AA26"/>
  <c r="AA34"/>
  <c r="AA17"/>
  <c r="AA9" s="1"/>
  <c r="F13" i="3" l="1"/>
  <c r="F12"/>
  <c r="E14"/>
  <c r="G11"/>
  <c r="O38" i="1"/>
  <c r="K38"/>
  <c r="I38"/>
  <c r="J38" s="1"/>
  <c r="G38"/>
  <c r="F38"/>
  <c r="E38"/>
  <c r="E39" s="1"/>
  <c r="C38"/>
  <c r="AC37"/>
  <c r="V37"/>
  <c r="X37" s="1"/>
  <c r="S37"/>
  <c r="R37"/>
  <c r="Q37"/>
  <c r="M37"/>
  <c r="P37" s="1"/>
  <c r="AE36"/>
  <c r="AC35"/>
  <c r="V35"/>
  <c r="S35"/>
  <c r="R35"/>
  <c r="Q35"/>
  <c r="M35"/>
  <c r="L35"/>
  <c r="J35"/>
  <c r="H35"/>
  <c r="AC34"/>
  <c r="AB34"/>
  <c r="Z34"/>
  <c r="Z38" s="1"/>
  <c r="X34"/>
  <c r="S34"/>
  <c r="R34"/>
  <c r="Q34"/>
  <c r="P34"/>
  <c r="N34"/>
  <c r="L34"/>
  <c r="J34"/>
  <c r="H34"/>
  <c r="AC33"/>
  <c r="V33"/>
  <c r="X33" s="1"/>
  <c r="R33"/>
  <c r="Q33"/>
  <c r="M33"/>
  <c r="P33" s="1"/>
  <c r="L33"/>
  <c r="J33"/>
  <c r="H33"/>
  <c r="AC32"/>
  <c r="AT32" s="1"/>
  <c r="V32"/>
  <c r="AB32" s="1"/>
  <c r="S32"/>
  <c r="R32"/>
  <c r="Q32"/>
  <c r="P32"/>
  <c r="N32"/>
  <c r="L32"/>
  <c r="J32"/>
  <c r="H32"/>
  <c r="AC31"/>
  <c r="AJ31" s="1"/>
  <c r="V31"/>
  <c r="AB31" s="1"/>
  <c r="R31"/>
  <c r="Q31"/>
  <c r="M31"/>
  <c r="L31"/>
  <c r="J31"/>
  <c r="H31"/>
  <c r="AC30"/>
  <c r="AE30" s="1"/>
  <c r="W30"/>
  <c r="W38" s="1"/>
  <c r="V30"/>
  <c r="R30"/>
  <c r="Q30"/>
  <c r="M30"/>
  <c r="L30"/>
  <c r="J30"/>
  <c r="H30"/>
  <c r="B30"/>
  <c r="AC29"/>
  <c r="V29"/>
  <c r="S29"/>
  <c r="R29"/>
  <c r="Q29"/>
  <c r="P29"/>
  <c r="N29"/>
  <c r="L29"/>
  <c r="J29"/>
  <c r="H29"/>
  <c r="D29"/>
  <c r="D38" s="1"/>
  <c r="B29"/>
  <c r="W26"/>
  <c r="O26"/>
  <c r="M26"/>
  <c r="P26" s="1"/>
  <c r="K26"/>
  <c r="K39" s="1"/>
  <c r="I26"/>
  <c r="G26"/>
  <c r="G39" s="1"/>
  <c r="F26"/>
  <c r="F39" s="1"/>
  <c r="D26"/>
  <c r="C26"/>
  <c r="C39" s="1"/>
  <c r="B26"/>
  <c r="AC25"/>
  <c r="AB25"/>
  <c r="Z25"/>
  <c r="Z26" s="1"/>
  <c r="X25"/>
  <c r="S25"/>
  <c r="R25"/>
  <c r="Q25"/>
  <c r="P25"/>
  <c r="N25"/>
  <c r="L25"/>
  <c r="J25"/>
  <c r="H25"/>
  <c r="AC24"/>
  <c r="V24"/>
  <c r="AB24" s="1"/>
  <c r="S24"/>
  <c r="R24"/>
  <c r="Q24"/>
  <c r="P24"/>
  <c r="N24"/>
  <c r="L24"/>
  <c r="J24"/>
  <c r="H24"/>
  <c r="AC23"/>
  <c r="V23"/>
  <c r="S23"/>
  <c r="R23"/>
  <c r="AD23" s="1"/>
  <c r="Q23"/>
  <c r="P23"/>
  <c r="N23"/>
  <c r="L23"/>
  <c r="J23"/>
  <c r="H23"/>
  <c r="AJ20"/>
  <c r="AB20"/>
  <c r="V20"/>
  <c r="R20"/>
  <c r="Q20"/>
  <c r="P20"/>
  <c r="N20"/>
  <c r="L20"/>
  <c r="J20"/>
  <c r="H20"/>
  <c r="X17"/>
  <c r="W17"/>
  <c r="V17"/>
  <c r="M17"/>
  <c r="K17"/>
  <c r="I17"/>
  <c r="J17" s="1"/>
  <c r="G17"/>
  <c r="G9" s="1"/>
  <c r="F17"/>
  <c r="F9" s="1"/>
  <c r="E17"/>
  <c r="D17"/>
  <c r="C17"/>
  <c r="B17"/>
  <c r="S16"/>
  <c r="R16"/>
  <c r="Q16"/>
  <c r="P16"/>
  <c r="AC15"/>
  <c r="AD15" s="1"/>
  <c r="AB15"/>
  <c r="T15"/>
  <c r="S15"/>
  <c r="AC14"/>
  <c r="AD14" s="1"/>
  <c r="AB14"/>
  <c r="AH12" s="1"/>
  <c r="AM12" s="1"/>
  <c r="T14"/>
  <c r="U14" s="1"/>
  <c r="S14"/>
  <c r="P14"/>
  <c r="N14"/>
  <c r="H14"/>
  <c r="AC13"/>
  <c r="AD13" s="1"/>
  <c r="AB13"/>
  <c r="T13"/>
  <c r="U13" s="1"/>
  <c r="P13"/>
  <c r="L13"/>
  <c r="J13"/>
  <c r="H13"/>
  <c r="AC12"/>
  <c r="Z12"/>
  <c r="T12"/>
  <c r="O12"/>
  <c r="O17" s="1"/>
  <c r="N12"/>
  <c r="L12"/>
  <c r="J12"/>
  <c r="H12"/>
  <c r="Z9"/>
  <c r="AP12" l="1"/>
  <c r="AR12"/>
  <c r="AL20"/>
  <c r="AQ20"/>
  <c r="AU36"/>
  <c r="AV36" s="1"/>
  <c r="AT36"/>
  <c r="F14" i="3"/>
  <c r="G13"/>
  <c r="G12"/>
  <c r="T34" i="1"/>
  <c r="U34" s="1"/>
  <c r="X32"/>
  <c r="N17"/>
  <c r="V26"/>
  <c r="AK36"/>
  <c r="AE20"/>
  <c r="AF20" s="1"/>
  <c r="AB23"/>
  <c r="X23"/>
  <c r="X24"/>
  <c r="AD25"/>
  <c r="AE25"/>
  <c r="AF25" s="1"/>
  <c r="H26"/>
  <c r="T37"/>
  <c r="U37" s="1"/>
  <c r="H38"/>
  <c r="K9"/>
  <c r="L9" s="1"/>
  <c r="W39"/>
  <c r="W9" s="1"/>
  <c r="E9"/>
  <c r="H9" s="1"/>
  <c r="P12"/>
  <c r="T35"/>
  <c r="U35" s="1"/>
  <c r="T32"/>
  <c r="U32" s="1"/>
  <c r="AD34"/>
  <c r="T33"/>
  <c r="U33" s="1"/>
  <c r="AD35"/>
  <c r="P17"/>
  <c r="AK23"/>
  <c r="AJ29"/>
  <c r="AJ23"/>
  <c r="H39"/>
  <c r="H17"/>
  <c r="T20"/>
  <c r="U20" s="1"/>
  <c r="AE23"/>
  <c r="AF23" s="1"/>
  <c r="AK25"/>
  <c r="AJ32"/>
  <c r="AB33"/>
  <c r="AJ36"/>
  <c r="R26"/>
  <c r="AE14"/>
  <c r="B38"/>
  <c r="R38"/>
  <c r="S38" s="1"/>
  <c r="T30"/>
  <c r="U30" s="1"/>
  <c r="T31"/>
  <c r="U31" s="1"/>
  <c r="N33"/>
  <c r="AB37"/>
  <c r="L38"/>
  <c r="J9"/>
  <c r="L17"/>
  <c r="T23"/>
  <c r="U23" s="1"/>
  <c r="C9"/>
  <c r="N26"/>
  <c r="AD30"/>
  <c r="AD31"/>
  <c r="O39"/>
  <c r="O9" s="1"/>
  <c r="U12"/>
  <c r="AE12"/>
  <c r="AE13"/>
  <c r="AE15"/>
  <c r="R17"/>
  <c r="AC16"/>
  <c r="AC17" s="1"/>
  <c r="AK31"/>
  <c r="AQ31" s="1"/>
  <c r="AD37"/>
  <c r="AD12"/>
  <c r="AI26"/>
  <c r="AD24"/>
  <c r="D39"/>
  <c r="D9" s="1"/>
  <c r="L26"/>
  <c r="I39"/>
  <c r="J39" s="1"/>
  <c r="J26"/>
  <c r="P31"/>
  <c r="N31"/>
  <c r="X31"/>
  <c r="AT31"/>
  <c r="AE33"/>
  <c r="AF33" s="1"/>
  <c r="AE34"/>
  <c r="AF34" s="1"/>
  <c r="AB35"/>
  <c r="X35"/>
  <c r="Q26"/>
  <c r="T24"/>
  <c r="U24" s="1"/>
  <c r="AD29"/>
  <c r="AE32"/>
  <c r="AF32" s="1"/>
  <c r="AD33"/>
  <c r="AK12"/>
  <c r="AL12" s="1"/>
  <c r="Q17"/>
  <c r="T16"/>
  <c r="U16" s="1"/>
  <c r="AB16"/>
  <c r="AH16" s="1"/>
  <c r="AM16" s="1"/>
  <c r="T25"/>
  <c r="U25" s="1"/>
  <c r="P30"/>
  <c r="M38"/>
  <c r="P38" s="1"/>
  <c r="N30"/>
  <c r="AT30"/>
  <c r="AJ30"/>
  <c r="AE31"/>
  <c r="AF31" s="1"/>
  <c r="AK37"/>
  <c r="AQ37" s="1"/>
  <c r="AJ25"/>
  <c r="V38"/>
  <c r="V39" s="1"/>
  <c r="V9" s="1"/>
  <c r="AB29"/>
  <c r="AK34"/>
  <c r="AQ34" s="1"/>
  <c r="AC38"/>
  <c r="AC26"/>
  <c r="AE24"/>
  <c r="AF24" s="1"/>
  <c r="B39"/>
  <c r="B9" s="1"/>
  <c r="Q38"/>
  <c r="X29"/>
  <c r="X30"/>
  <c r="P35"/>
  <c r="N35"/>
  <c r="AE37"/>
  <c r="AF37" s="1"/>
  <c r="T29"/>
  <c r="AD32"/>
  <c r="AQ12" l="1"/>
  <c r="AP16"/>
  <c r="AR16"/>
  <c r="AR17" s="1"/>
  <c r="AM17"/>
  <c r="AQ36"/>
  <c r="G14" i="3"/>
  <c r="X38" i="1"/>
  <c r="X26"/>
  <c r="AB26"/>
  <c r="R39"/>
  <c r="R9" s="1"/>
  <c r="AV20"/>
  <c r="AK24"/>
  <c r="S26"/>
  <c r="L39"/>
  <c r="AH26"/>
  <c r="AU25"/>
  <c r="AD26"/>
  <c r="AC39"/>
  <c r="AC9" s="1"/>
  <c r="AH17"/>
  <c r="AE16"/>
  <c r="AF16" s="1"/>
  <c r="S17"/>
  <c r="AT33"/>
  <c r="AJ33"/>
  <c r="U29"/>
  <c r="T38"/>
  <c r="U38" s="1"/>
  <c r="T26"/>
  <c r="AI38"/>
  <c r="N38"/>
  <c r="M39"/>
  <c r="AJ12"/>
  <c r="AU31"/>
  <c r="AV31" s="1"/>
  <c r="T17"/>
  <c r="AT35"/>
  <c r="AJ35"/>
  <c r="AB17"/>
  <c r="AU23"/>
  <c r="AT34"/>
  <c r="AJ34"/>
  <c r="AT37"/>
  <c r="AJ37"/>
  <c r="AD38"/>
  <c r="AE29"/>
  <c r="AJ26"/>
  <c r="AE26"/>
  <c r="AU32"/>
  <c r="AV32" s="1"/>
  <c r="Q39"/>
  <c r="Q9" s="1"/>
  <c r="AE35"/>
  <c r="AF35" s="1"/>
  <c r="AU33"/>
  <c r="AV33" s="1"/>
  <c r="AK33"/>
  <c r="AJ24"/>
  <c r="AD17"/>
  <c r="AD16"/>
  <c r="AF12"/>
  <c r="AK26"/>
  <c r="AP17" l="1"/>
  <c r="AQ33"/>
  <c r="AQ32"/>
  <c r="AJ38"/>
  <c r="AO38"/>
  <c r="AQ24"/>
  <c r="AE17"/>
  <c r="AF17" s="1"/>
  <c r="X39"/>
  <c r="X9" s="1"/>
  <c r="AR26"/>
  <c r="S39"/>
  <c r="S9" s="1"/>
  <c r="AI39"/>
  <c r="AU37"/>
  <c r="AV37" s="1"/>
  <c r="AJ16"/>
  <c r="AK35"/>
  <c r="AU35"/>
  <c r="AV35" s="1"/>
  <c r="AF26"/>
  <c r="AI17"/>
  <c r="AO17" s="1"/>
  <c r="N39"/>
  <c r="M9"/>
  <c r="P39"/>
  <c r="AU24"/>
  <c r="AV24" s="1"/>
  <c r="AS26"/>
  <c r="AF29"/>
  <c r="AU34"/>
  <c r="AV34" s="1"/>
  <c r="AD39"/>
  <c r="AD9" s="1"/>
  <c r="AU12"/>
  <c r="AV12" s="1"/>
  <c r="T39"/>
  <c r="U39" s="1"/>
  <c r="U26"/>
  <c r="AK29"/>
  <c r="U17"/>
  <c r="T9"/>
  <c r="U9" s="1"/>
  <c r="AS38"/>
  <c r="AT38" s="1"/>
  <c r="AK16"/>
  <c r="AL16" s="1"/>
  <c r="AQ16" l="1"/>
  <c r="AQ35"/>
  <c r="AJ39"/>
  <c r="AO39"/>
  <c r="AU29"/>
  <c r="AV29" s="1"/>
  <c r="AJ17"/>
  <c r="AI9"/>
  <c r="AU16"/>
  <c r="AK17"/>
  <c r="AL17" s="1"/>
  <c r="AU26"/>
  <c r="AT26"/>
  <c r="AS39"/>
  <c r="AT39" s="1"/>
  <c r="N9"/>
  <c r="P9"/>
  <c r="AQ17" l="1"/>
  <c r="AV16"/>
  <c r="AU17"/>
  <c r="AV17" s="1"/>
  <c r="AJ9"/>
  <c r="AO9"/>
  <c r="AS9"/>
  <c r="AT9" s="1"/>
  <c r="AB38" l="1"/>
  <c r="AB39" s="1"/>
  <c r="AB9" s="1"/>
  <c r="AH30"/>
  <c r="AH38" s="1"/>
  <c r="AH39" s="1"/>
  <c r="AH9" s="1"/>
  <c r="AE38" l="1"/>
  <c r="AF38" s="1"/>
  <c r="AF30"/>
  <c r="AM30"/>
  <c r="AK30"/>
  <c r="AL30" s="1"/>
  <c r="AE39" l="1"/>
  <c r="AE9" s="1"/>
  <c r="AF9" s="1"/>
  <c r="AM38"/>
  <c r="AP30"/>
  <c r="AQ30" s="1"/>
  <c r="AR30"/>
  <c r="AK38"/>
  <c r="AL38" s="1"/>
  <c r="AF39" l="1"/>
  <c r="AU30"/>
  <c r="AR38"/>
  <c r="AR39" s="1"/>
  <c r="AR9" s="1"/>
  <c r="AK39"/>
  <c r="AL39" s="1"/>
  <c r="AP38"/>
  <c r="AQ38" s="1"/>
  <c r="AM39"/>
  <c r="AK9" l="1"/>
  <c r="AL9" s="1"/>
  <c r="AM9"/>
  <c r="AP9" s="1"/>
  <c r="AP39"/>
  <c r="AQ39" s="1"/>
  <c r="AU38"/>
  <c r="AV30"/>
  <c r="AQ9" l="1"/>
  <c r="AU39"/>
  <c r="AV38"/>
  <c r="AU9" l="1"/>
  <c r="AV9" s="1"/>
  <c r="AV39"/>
</calcChain>
</file>

<file path=xl/comments1.xml><?xml version="1.0" encoding="utf-8"?>
<comments xmlns="http://schemas.openxmlformats.org/spreadsheetml/2006/main">
  <authors>
    <author>Автор</author>
  </authors>
  <commentList>
    <comment ref="AF12" authorId="0">
      <text>
        <r>
          <rPr>
            <b/>
            <sz val="9"/>
            <color indexed="81"/>
            <rFont val="Tahoma"/>
            <family val="2"/>
            <charset val="204"/>
          </rPr>
          <t>Автор:</t>
        </r>
        <r>
          <rPr>
            <sz val="9"/>
            <color indexed="81"/>
            <rFont val="Tahoma"/>
            <family val="2"/>
            <charset val="204"/>
          </rPr>
          <t xml:space="preserve">
С учетом полетов в 1 квартале 2018 г.+капитальный ремонт</t>
        </r>
      </text>
    </comment>
    <comment ref="I17" authorId="0">
      <text>
        <r>
          <rPr>
            <b/>
            <sz val="9"/>
            <color indexed="81"/>
            <rFont val="Tahoma"/>
            <family val="2"/>
            <charset val="204"/>
          </rPr>
          <t>Автор:</t>
        </r>
        <r>
          <rPr>
            <sz val="9"/>
            <color indexed="81"/>
            <rFont val="Tahoma"/>
            <family val="2"/>
            <charset val="204"/>
          </rPr>
          <t xml:space="preserve">
Учтена линия Архангельск-Котлас, 15346,3</t>
        </r>
      </text>
    </comment>
    <comment ref="Z20" authorId="0">
      <text>
        <r>
          <rPr>
            <b/>
            <sz val="8"/>
            <color indexed="81"/>
            <rFont val="Tahoma"/>
            <family val="2"/>
            <charset val="204"/>
          </rPr>
          <t>Автор:</t>
        </r>
        <r>
          <rPr>
            <sz val="8"/>
            <color indexed="81"/>
            <rFont val="Tahoma"/>
            <family val="2"/>
            <charset val="204"/>
          </rPr>
          <t xml:space="preserve">
 сумма на 9 месяцев
</t>
        </r>
      </text>
    </comment>
  </commentList>
</comments>
</file>

<file path=xl/sharedStrings.xml><?xml version="1.0" encoding="utf-8"?>
<sst xmlns="http://schemas.openxmlformats.org/spreadsheetml/2006/main" count="150" uniqueCount="109">
  <si>
    <t>тыс. руб.</t>
  </si>
  <si>
    <t>2009 год</t>
  </si>
  <si>
    <t>2010 год</t>
  </si>
  <si>
    <t>2011 год</t>
  </si>
  <si>
    <t>2012 год</t>
  </si>
  <si>
    <t>2013 год</t>
  </si>
  <si>
    <t>2014 год</t>
  </si>
  <si>
    <t>2015 год</t>
  </si>
  <si>
    <t>2016 год</t>
  </si>
  <si>
    <t>2017 год - прогноз</t>
  </si>
  <si>
    <t>Факт 2016 год (по данным Министерства транспорта АО)</t>
  </si>
  <si>
    <t>2017 год</t>
  </si>
  <si>
    <t>2019 год - прогноз</t>
  </si>
  <si>
    <t>2020 год - прогноз</t>
  </si>
  <si>
    <t>Областной закон от 03.12.2008 г.    № 637-32-ОЗ</t>
  </si>
  <si>
    <t>Областной закон от 15.12.2009 г.                       № 118-9-ОЗ</t>
  </si>
  <si>
    <t>Заявка перевозчиков</t>
  </si>
  <si>
    <t>Областной закон от 21.12.2010 г.                       № 243-18-ОЗ</t>
  </si>
  <si>
    <t>Областной закон от 16.12.2011 г.    № 243-18-ОЗ</t>
  </si>
  <si>
    <t>Рост к 2011 г., %</t>
  </si>
  <si>
    <t xml:space="preserve">Областной закон от 17.12.2012 г.            № 603-36-ОЗ </t>
  </si>
  <si>
    <t>Рост к 2013 г., %</t>
  </si>
  <si>
    <t>Областной закон от 19.12.2013 г.                   № 59-4-ОЗ</t>
  </si>
  <si>
    <t>Областной закон от 16.12.2014 г.                   № 220-13-ОЗ</t>
  </si>
  <si>
    <t>Рост к 2014 г., %</t>
  </si>
  <si>
    <t>Областной закон от 18.12.2015 г.                   № 375-22-ОЗ</t>
  </si>
  <si>
    <t>Рост к 2015 г., %</t>
  </si>
  <si>
    <t>Расходы</t>
  </si>
  <si>
    <t>Доходы</t>
  </si>
  <si>
    <t>Рост тарифов, %</t>
  </si>
  <si>
    <t>Субсидии</t>
  </si>
  <si>
    <t>Рост к 2016 г., %</t>
  </si>
  <si>
    <t>Рост тарифов к 2016 г., %</t>
  </si>
  <si>
    <t>Рост к 2018 г., %</t>
  </si>
  <si>
    <t>Рост к 2019 г., %</t>
  </si>
  <si>
    <t>ПЕРЕВОЗКИ ПАССАЖИРОВ ВСЕМИ ВИДАМИ ТРАНСПОРТА</t>
  </si>
  <si>
    <t>Авиаперевозки:</t>
  </si>
  <si>
    <t>АО "2-ой Архангельский ОАО" на территории Архангельской области</t>
  </si>
  <si>
    <t xml:space="preserve">ОАО "2-ой Архангельский ОАО" межсубъектные перевозки </t>
  </si>
  <si>
    <t xml:space="preserve"> - </t>
  </si>
  <si>
    <t>АО "2-ой Архангельский ОАО" (Архангельск - Лешуконское)</t>
  </si>
  <si>
    <t>АО "2-ой Архангельский ОАО" (Архангельск - Мезень)</t>
  </si>
  <si>
    <t>ОАО "Комиавиатранс" (Архангельск - Котлас)</t>
  </si>
  <si>
    <t xml:space="preserve">ИТОГО авиаперевозки </t>
  </si>
  <si>
    <t>Железнодорожные перевозки:</t>
  </si>
  <si>
    <t xml:space="preserve">АО "Северная пригородная пассажирская компания" </t>
  </si>
  <si>
    <t>Морские перевозки:</t>
  </si>
  <si>
    <t>ООО "Судоходная компания "Арктикрейд"</t>
  </si>
  <si>
    <t xml:space="preserve">ИП Сидоров А.Б. (Архангельск - Патракеевка)
(до 2017 год ИП Неманов В.К.) </t>
  </si>
  <si>
    <t>ИП Цурко Е.Ю. (г. Онега - с. Лямца)</t>
  </si>
  <si>
    <t>ИТОГО морские перевозки</t>
  </si>
  <si>
    <t>Речные перевозки:</t>
  </si>
  <si>
    <t xml:space="preserve">ОАО "Архангельский речной порт" </t>
  </si>
  <si>
    <t>МУП "НЕСК" (Новодвинск - Ягодник - Дедов Полой)</t>
  </si>
  <si>
    <t>ИП Емельянов В.В. (Котлас - Песчаница)</t>
  </si>
  <si>
    <t xml:space="preserve">ИП Муковозов Н.П. (п. Порог - с. Усть Кожа ) </t>
  </si>
  <si>
    <t>ИП Цурко Е.Ю. (г. Онега - пос. Легашевская запань)</t>
  </si>
  <si>
    <t>ООО "Устьпинежский ЛПХ" (дер. Хорьково - дер. Кузьмино, дер.Черный Яр - дер. Дедов Полой)</t>
  </si>
  <si>
    <t>МУП "Коммунальное" (с. Черевково-Ракулка)</t>
  </si>
  <si>
    <t>-</t>
  </si>
  <si>
    <t>ООО "Сиверко" (пос. Каменка - г. Мезень)</t>
  </si>
  <si>
    <t>ИТОГО речные перевозки</t>
  </si>
  <si>
    <t>ВСЕГО перевозки водными видами транспорта</t>
  </si>
  <si>
    <t>Фактически выплаченная субсидия за 2017 год</t>
  </si>
  <si>
    <t>ПАО "Северное речное пароходство" (ИП Сидоров А.Б. до 2018 года) (В. Тойма - Н. Тойма)</t>
  </si>
  <si>
    <t>Рост к 2017 г., %</t>
  </si>
  <si>
    <t>2018 год - прогнозная оценка АТиЦ</t>
  </si>
  <si>
    <t xml:space="preserve">Потребность в субсидиях на возмещение недополученных доходов, возникающих в результате государственного регулирования </t>
  </si>
  <si>
    <t>Наименование показателя</t>
  </si>
  <si>
    <t>Экономически обоснованный уровень тарифа (ЭОУТ)</t>
  </si>
  <si>
    <t>руб. за 1 зону</t>
  </si>
  <si>
    <t>Средневзвешенный тариф</t>
  </si>
  <si>
    <t>км</t>
  </si>
  <si>
    <t>Количество перевезенных пассажиров</t>
  </si>
  <si>
    <t>2019 год</t>
  </si>
  <si>
    <t>2020 год</t>
  </si>
  <si>
    <t>2021 год</t>
  </si>
  <si>
    <t>Примечание:</t>
  </si>
  <si>
    <t>1. При формировании ЭОУТ в адрес агенства по тарифам и ценам Архангельской области предложений по пересмотру</t>
  </si>
  <si>
    <t>тарифов на 2018 год, с применением индексов потребительских цен производителей промышленной продукции на 2019 - 2021 годы</t>
  </si>
  <si>
    <t>в соответствии с прогнозом социально-экономического развития РФ на 2018 год и на плановый период 2019 и 2020 годов.</t>
  </si>
  <si>
    <t>3. Пассажирооборот принят исходя из прогноза агентства по тарифам и ценам на соответствующий период.</t>
  </si>
  <si>
    <t>Пассажирооборот</t>
  </si>
  <si>
    <t>тыс. пасс. км</t>
  </si>
  <si>
    <t>№ п/п</t>
  </si>
  <si>
    <t>тыс. пасс.</t>
  </si>
  <si>
    <t>Средняя дальность поездки пассажира в зонах *</t>
  </si>
  <si>
    <t>Ед. изм.</t>
  </si>
  <si>
    <t>2018 год</t>
  </si>
  <si>
    <t>Средняя дальность поездки в км *</t>
  </si>
  <si>
    <t>2021 год - прогноз</t>
  </si>
  <si>
    <t>Расходы (стр. 1 * стр. 3 * стр. 7)</t>
  </si>
  <si>
    <t>Доходы (стр. 2 * стр. * стр. 5 * стр. 7)</t>
  </si>
  <si>
    <t>Потребность в субсидии на возмещение недополученных доходов                   (стр. 8 - стр. 9)</t>
  </si>
  <si>
    <t>Областной закон от 23.12.2016                   № 503-31-ОЗ</t>
  </si>
  <si>
    <t>Областной закон от 15.12.2017                   № 581-40-ОЗ</t>
  </si>
  <si>
    <t>3. В расходы АО "2-ой Архангельский ОАО" включены суммы на уплату лизинговых платежей в соответствии с финансовым планом инвестиций на приобретение двух новых воздушных судов Л-410 УВП-Е20 по договору финансовой аренды (лизинга) в размере 63616,61 (без учета НДС).</t>
  </si>
  <si>
    <t>Рост к 2020 г., %</t>
  </si>
  <si>
    <t>4. В общие расходы на обслуживание маршрута водного транспорта Архангельск - Патракеевка на 2019-2021 годы включены расходы на амортизационные отчисления транспортного оператора на приобретенное судно в размере 1043,48 тыс. руб.</t>
  </si>
  <si>
    <t>2. К расходам транспортных операторов применен индекс потребительских цен на 2019 - 2021 годы в соответствии с прогнозом социально-экономического развития Российской Федерации на 2018 год и на плановый период 2019 и 2020 годов.</t>
  </si>
  <si>
    <t>Примечания:</t>
  </si>
  <si>
    <t xml:space="preserve">1. Размер субсидии по пригородному железнодорожному комлексу сформирован исходя из данных тарифного регулирования на 2018 год. Отмечаем, что при определении прогнозного уровня экономически обоснованного уровня тарифа на 2019 год агентством по тарифам и ценам Архангельской области учтена корректировка размера ставок арендных платежей по решению верховного суда Российской Федерации от 25.04.2018 года № 1-АПГ18-6. Кроме того, в размер субсидии на 2019 - 2021 годы включены суммы на реализацию соглашения Об урегилировании размера субсидии за 2014 -2016 годы согласно графику платежей ( 28952,04 тыс. рублей ежегодно). </t>
  </si>
  <si>
    <t>тарифов на перевозку пассажиров в пригородном железнодорожном сообщении</t>
  </si>
  <si>
    <t>тарифов на перевозку пассажиров на 2019 год не поступала. Предварительная оценка прогнозного уровня ЭОУТ на 2019 год</t>
  </si>
  <si>
    <t xml:space="preserve">и плановый период 2019 - 2021 произведена агентством исходя из объемных показателей и расходов, учтенных при регулировании </t>
  </si>
  <si>
    <t>2. Средняя дальность поездки пассажира (в км и зонах) приняты исходя из тарифного регулирования на 2018 год (экспертное заключение)</t>
  </si>
  <si>
    <t xml:space="preserve">Расчет прогнозируемого размера субсидий на возмещение недополученных доходов, возникающих в результате государственного регулирования тарифов на перевозку пассажиров и багажа всеми видами транспорта                                                                                                                        на 2019 год и плановый период 2020 - 2021 годов                                                                                                                                                                              </t>
  </si>
  <si>
    <t>Приложение № 17</t>
  </si>
  <si>
    <t>к пояснительной записке</t>
  </si>
</sst>
</file>

<file path=xl/styles.xml><?xml version="1.0" encoding="utf-8"?>
<styleSheet xmlns="http://schemas.openxmlformats.org/spreadsheetml/2006/main">
  <numFmts count="3">
    <numFmt numFmtId="164" formatCode="0.0"/>
    <numFmt numFmtId="165" formatCode="#,##0.0"/>
    <numFmt numFmtId="166" formatCode="0.0%"/>
  </numFmts>
  <fonts count="43">
    <font>
      <sz val="11"/>
      <color theme="1"/>
      <name val="Calibri"/>
      <family val="2"/>
      <charset val="204"/>
      <scheme val="minor"/>
    </font>
    <font>
      <sz val="11"/>
      <color theme="1"/>
      <name val="Calibri"/>
      <family val="2"/>
      <charset val="204"/>
      <scheme val="minor"/>
    </font>
    <font>
      <sz val="11"/>
      <color indexed="8"/>
      <name val="Calibri"/>
      <family val="2"/>
      <charset val="204"/>
    </font>
    <font>
      <b/>
      <sz val="9"/>
      <color indexed="81"/>
      <name val="Tahoma"/>
      <family val="2"/>
      <charset val="204"/>
    </font>
    <font>
      <sz val="9"/>
      <color indexed="81"/>
      <name val="Tahoma"/>
      <family val="2"/>
      <charset val="204"/>
    </font>
    <font>
      <b/>
      <sz val="8"/>
      <color indexed="81"/>
      <name val="Tahoma"/>
      <family val="2"/>
      <charset val="204"/>
    </font>
    <font>
      <sz val="8"/>
      <color indexed="81"/>
      <name val="Tahoma"/>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0"/>
      <name val="Tahoma"/>
      <family val="2"/>
      <charset val="204"/>
    </font>
    <font>
      <sz val="10"/>
      <name val="Arial Cyr"/>
      <charset val="204"/>
    </font>
    <font>
      <sz val="10"/>
      <name val="Arial"/>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2"/>
      <color theme="1"/>
      <name val="Calibri"/>
      <family val="2"/>
      <charset val="204"/>
      <scheme val="minor"/>
    </font>
    <font>
      <sz val="11"/>
      <color theme="1"/>
      <name val="Times New Roman"/>
      <family val="1"/>
      <charset val="204"/>
    </font>
    <font>
      <sz val="14"/>
      <color theme="1"/>
      <name val="Times New Roman"/>
      <family val="1"/>
      <charset val="204"/>
    </font>
    <font>
      <sz val="13"/>
      <color theme="1"/>
      <name val="Times New Roman"/>
      <family val="1"/>
      <charset val="204"/>
    </font>
    <font>
      <b/>
      <sz val="14"/>
      <color theme="1"/>
      <name val="Times New Roman"/>
      <family val="1"/>
      <charset val="204"/>
    </font>
    <font>
      <sz val="16"/>
      <color theme="1"/>
      <name val="Times New Roman"/>
      <family val="1"/>
      <charset val="204"/>
    </font>
    <font>
      <sz val="16"/>
      <color indexed="10"/>
      <name val="Times New Roman"/>
      <family val="1"/>
      <charset val="204"/>
    </font>
    <font>
      <sz val="16"/>
      <name val="Times New Roman"/>
      <family val="1"/>
      <charset val="204"/>
    </font>
    <font>
      <b/>
      <sz val="16"/>
      <name val="Times New Roman"/>
      <family val="1"/>
      <charset val="204"/>
    </font>
    <font>
      <b/>
      <sz val="16"/>
      <color indexed="10"/>
      <name val="Times New Roman"/>
      <family val="1"/>
      <charset val="204"/>
    </font>
    <font>
      <i/>
      <sz val="16"/>
      <name val="Times New Roman"/>
      <family val="1"/>
      <charset val="204"/>
    </font>
    <font>
      <i/>
      <sz val="16"/>
      <color indexed="8"/>
      <name val="Times New Roman"/>
      <family val="1"/>
      <charset val="204"/>
    </font>
    <font>
      <b/>
      <sz val="16"/>
      <color indexed="8"/>
      <name val="Times New Roman"/>
      <family val="1"/>
      <charset val="204"/>
    </font>
    <font>
      <sz val="16"/>
      <color indexed="8"/>
      <name val="Times New Roman"/>
      <family val="1"/>
      <charset val="204"/>
    </font>
    <font>
      <i/>
      <sz val="16"/>
      <color indexed="10"/>
      <name val="Times New Roman"/>
      <family val="1"/>
      <charset val="204"/>
    </font>
    <font>
      <b/>
      <i/>
      <sz val="16"/>
      <name val="Times New Roman"/>
      <family val="1"/>
      <charset val="204"/>
    </font>
    <font>
      <b/>
      <sz val="22"/>
      <name val="Times New Roman"/>
      <family val="1"/>
      <charset val="204"/>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78">
    <border>
      <left/>
      <right/>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top style="medium">
        <color indexed="64"/>
      </top>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diagonal/>
    </border>
    <border>
      <left style="medium">
        <color indexed="64"/>
      </left>
      <right/>
      <top style="thin">
        <color indexed="64"/>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951">
    <xf numFmtId="0" fontId="0" fillId="0" borderId="0"/>
    <xf numFmtId="9" fontId="2" fillId="0" borderId="0" applyFont="0" applyFill="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8" fillId="7" borderId="55" applyNumberFormat="0" applyAlignment="0" applyProtection="0"/>
    <xf numFmtId="0" fontId="8" fillId="7" borderId="55" applyNumberFormat="0" applyAlignment="0" applyProtection="0"/>
    <xf numFmtId="0" fontId="8" fillId="7" borderId="55" applyNumberFormat="0" applyAlignment="0" applyProtection="0"/>
    <xf numFmtId="0" fontId="8" fillId="7" borderId="55" applyNumberFormat="0" applyAlignment="0" applyProtection="0"/>
    <xf numFmtId="0" fontId="8" fillId="7" borderId="55" applyNumberFormat="0" applyAlignment="0" applyProtection="0"/>
    <xf numFmtId="0" fontId="8" fillId="7" borderId="55" applyNumberFormat="0" applyAlignment="0" applyProtection="0"/>
    <xf numFmtId="0" fontId="8" fillId="7" borderId="55" applyNumberFormat="0" applyAlignment="0" applyProtection="0"/>
    <xf numFmtId="0" fontId="8" fillId="7" borderId="55" applyNumberFormat="0" applyAlignment="0" applyProtection="0"/>
    <xf numFmtId="0" fontId="8" fillId="7" borderId="55" applyNumberFormat="0" applyAlignment="0" applyProtection="0"/>
    <xf numFmtId="0" fontId="8" fillId="7" borderId="55" applyNumberFormat="0" applyAlignment="0" applyProtection="0"/>
    <xf numFmtId="0" fontId="8" fillId="7" borderId="55" applyNumberFormat="0" applyAlignment="0" applyProtection="0"/>
    <xf numFmtId="0" fontId="8" fillId="7" borderId="55" applyNumberFormat="0" applyAlignment="0" applyProtection="0"/>
    <xf numFmtId="0" fontId="8" fillId="7" borderId="55" applyNumberFormat="0" applyAlignment="0" applyProtection="0"/>
    <xf numFmtId="0" fontId="8" fillId="7" borderId="55" applyNumberFormat="0" applyAlignment="0" applyProtection="0"/>
    <xf numFmtId="0" fontId="8" fillId="7" borderId="55" applyNumberFormat="0" applyAlignment="0" applyProtection="0"/>
    <xf numFmtId="0" fontId="8" fillId="7" borderId="55" applyNumberFormat="0" applyAlignment="0" applyProtection="0"/>
    <xf numFmtId="0" fontId="8" fillId="7" borderId="55" applyNumberFormat="0" applyAlignment="0" applyProtection="0"/>
    <xf numFmtId="0" fontId="8" fillId="7" borderId="55" applyNumberFormat="0" applyAlignment="0" applyProtection="0"/>
    <xf numFmtId="0" fontId="8" fillId="7" borderId="55" applyNumberFormat="0" applyAlignment="0" applyProtection="0"/>
    <xf numFmtId="0" fontId="8" fillId="7" borderId="55" applyNumberFormat="0" applyAlignment="0" applyProtection="0"/>
    <xf numFmtId="0" fontId="9" fillId="20" borderId="56" applyNumberFormat="0" applyAlignment="0" applyProtection="0"/>
    <xf numFmtId="0" fontId="9" fillId="20" borderId="56" applyNumberFormat="0" applyAlignment="0" applyProtection="0"/>
    <xf numFmtId="0" fontId="9" fillId="20" borderId="56" applyNumberFormat="0" applyAlignment="0" applyProtection="0"/>
    <xf numFmtId="0" fontId="9" fillId="20" borderId="56" applyNumberFormat="0" applyAlignment="0" applyProtection="0"/>
    <xf numFmtId="0" fontId="9" fillId="20" borderId="56" applyNumberFormat="0" applyAlignment="0" applyProtection="0"/>
    <xf numFmtId="0" fontId="9" fillId="20" borderId="56" applyNumberFormat="0" applyAlignment="0" applyProtection="0"/>
    <xf numFmtId="0" fontId="9" fillId="20" borderId="56" applyNumberFormat="0" applyAlignment="0" applyProtection="0"/>
    <xf numFmtId="0" fontId="9" fillId="20" borderId="56" applyNumberFormat="0" applyAlignment="0" applyProtection="0"/>
    <xf numFmtId="0" fontId="9" fillId="20" borderId="56" applyNumberFormat="0" applyAlignment="0" applyProtection="0"/>
    <xf numFmtId="0" fontId="9" fillId="20" borderId="56" applyNumberFormat="0" applyAlignment="0" applyProtection="0"/>
    <xf numFmtId="0" fontId="9" fillId="20" borderId="56" applyNumberFormat="0" applyAlignment="0" applyProtection="0"/>
    <xf numFmtId="0" fontId="9" fillId="20" borderId="56" applyNumberFormat="0" applyAlignment="0" applyProtection="0"/>
    <xf numFmtId="0" fontId="9" fillId="20" borderId="56" applyNumberFormat="0" applyAlignment="0" applyProtection="0"/>
    <xf numFmtId="0" fontId="9" fillId="20" borderId="56" applyNumberFormat="0" applyAlignment="0" applyProtection="0"/>
    <xf numFmtId="0" fontId="9" fillId="20" borderId="56" applyNumberFormat="0" applyAlignment="0" applyProtection="0"/>
    <xf numFmtId="0" fontId="9" fillId="20" borderId="56" applyNumberFormat="0" applyAlignment="0" applyProtection="0"/>
    <xf numFmtId="0" fontId="9" fillId="20" borderId="56" applyNumberFormat="0" applyAlignment="0" applyProtection="0"/>
    <xf numFmtId="0" fontId="9" fillId="20" borderId="56" applyNumberFormat="0" applyAlignment="0" applyProtection="0"/>
    <xf numFmtId="0" fontId="9" fillId="20" borderId="56" applyNumberFormat="0" applyAlignment="0" applyProtection="0"/>
    <xf numFmtId="0" fontId="9" fillId="20" borderId="56" applyNumberFormat="0" applyAlignment="0" applyProtection="0"/>
    <xf numFmtId="0" fontId="10" fillId="20" borderId="55" applyNumberFormat="0" applyAlignment="0" applyProtection="0"/>
    <xf numFmtId="0" fontId="10" fillId="20" borderId="55" applyNumberFormat="0" applyAlignment="0" applyProtection="0"/>
    <xf numFmtId="0" fontId="10" fillId="20" borderId="55" applyNumberFormat="0" applyAlignment="0" applyProtection="0"/>
    <xf numFmtId="0" fontId="10" fillId="20" borderId="55" applyNumberFormat="0" applyAlignment="0" applyProtection="0"/>
    <xf numFmtId="0" fontId="10" fillId="20" borderId="55" applyNumberFormat="0" applyAlignment="0" applyProtection="0"/>
    <xf numFmtId="0" fontId="10" fillId="20" borderId="55" applyNumberFormat="0" applyAlignment="0" applyProtection="0"/>
    <xf numFmtId="0" fontId="10" fillId="20" borderId="55" applyNumberFormat="0" applyAlignment="0" applyProtection="0"/>
    <xf numFmtId="0" fontId="10" fillId="20" borderId="55" applyNumberFormat="0" applyAlignment="0" applyProtection="0"/>
    <xf numFmtId="0" fontId="10" fillId="20" borderId="55" applyNumberFormat="0" applyAlignment="0" applyProtection="0"/>
    <xf numFmtId="0" fontId="10" fillId="20" borderId="55" applyNumberFormat="0" applyAlignment="0" applyProtection="0"/>
    <xf numFmtId="0" fontId="10" fillId="20" borderId="55" applyNumberFormat="0" applyAlignment="0" applyProtection="0"/>
    <xf numFmtId="0" fontId="10" fillId="20" borderId="55" applyNumberFormat="0" applyAlignment="0" applyProtection="0"/>
    <xf numFmtId="0" fontId="10" fillId="20" borderId="55" applyNumberFormat="0" applyAlignment="0" applyProtection="0"/>
    <xf numFmtId="0" fontId="10" fillId="20" borderId="55" applyNumberFormat="0" applyAlignment="0" applyProtection="0"/>
    <xf numFmtId="0" fontId="10" fillId="20" borderId="55" applyNumberFormat="0" applyAlignment="0" applyProtection="0"/>
    <xf numFmtId="0" fontId="10" fillId="20" borderId="55" applyNumberFormat="0" applyAlignment="0" applyProtection="0"/>
    <xf numFmtId="0" fontId="10" fillId="20" borderId="55" applyNumberFormat="0" applyAlignment="0" applyProtection="0"/>
    <xf numFmtId="0" fontId="10" fillId="20" borderId="55" applyNumberFormat="0" applyAlignment="0" applyProtection="0"/>
    <xf numFmtId="0" fontId="10" fillId="20" borderId="55" applyNumberFormat="0" applyAlignment="0" applyProtection="0"/>
    <xf numFmtId="0" fontId="10" fillId="20" borderId="55" applyNumberFormat="0" applyAlignment="0" applyProtection="0"/>
    <xf numFmtId="0" fontId="11" fillId="0" borderId="57" applyNumberFormat="0" applyFill="0" applyAlignment="0" applyProtection="0"/>
    <xf numFmtId="0" fontId="11" fillId="0" borderId="57" applyNumberFormat="0" applyFill="0" applyAlignment="0" applyProtection="0"/>
    <xf numFmtId="0" fontId="11" fillId="0" borderId="57" applyNumberFormat="0" applyFill="0" applyAlignment="0" applyProtection="0"/>
    <xf numFmtId="0" fontId="11" fillId="0" borderId="57" applyNumberFormat="0" applyFill="0" applyAlignment="0" applyProtection="0"/>
    <xf numFmtId="0" fontId="11" fillId="0" borderId="57" applyNumberFormat="0" applyFill="0" applyAlignment="0" applyProtection="0"/>
    <xf numFmtId="0" fontId="11" fillId="0" borderId="57" applyNumberFormat="0" applyFill="0" applyAlignment="0" applyProtection="0"/>
    <xf numFmtId="0" fontId="11" fillId="0" borderId="57" applyNumberFormat="0" applyFill="0" applyAlignment="0" applyProtection="0"/>
    <xf numFmtId="0" fontId="11" fillId="0" borderId="57" applyNumberFormat="0" applyFill="0" applyAlignment="0" applyProtection="0"/>
    <xf numFmtId="0" fontId="11" fillId="0" borderId="57" applyNumberFormat="0" applyFill="0" applyAlignment="0" applyProtection="0"/>
    <xf numFmtId="0" fontId="11" fillId="0" borderId="57" applyNumberFormat="0" applyFill="0" applyAlignment="0" applyProtection="0"/>
    <xf numFmtId="0" fontId="11" fillId="0" borderId="57" applyNumberFormat="0" applyFill="0" applyAlignment="0" applyProtection="0"/>
    <xf numFmtId="0" fontId="11" fillId="0" borderId="57" applyNumberFormat="0" applyFill="0" applyAlignment="0" applyProtection="0"/>
    <xf numFmtId="0" fontId="11" fillId="0" borderId="57" applyNumberFormat="0" applyFill="0" applyAlignment="0" applyProtection="0"/>
    <xf numFmtId="0" fontId="11" fillId="0" borderId="57" applyNumberFormat="0" applyFill="0" applyAlignment="0" applyProtection="0"/>
    <xf numFmtId="0" fontId="11" fillId="0" borderId="57" applyNumberFormat="0" applyFill="0" applyAlignment="0" applyProtection="0"/>
    <xf numFmtId="0" fontId="11" fillId="0" borderId="57" applyNumberFormat="0" applyFill="0" applyAlignment="0" applyProtection="0"/>
    <xf numFmtId="0" fontId="11" fillId="0" borderId="57" applyNumberFormat="0" applyFill="0" applyAlignment="0" applyProtection="0"/>
    <xf numFmtId="0" fontId="11" fillId="0" borderId="57" applyNumberFormat="0" applyFill="0" applyAlignment="0" applyProtection="0"/>
    <xf numFmtId="0" fontId="11" fillId="0" borderId="57" applyNumberFormat="0" applyFill="0" applyAlignment="0" applyProtection="0"/>
    <xf numFmtId="0" fontId="11" fillId="0" borderId="57" applyNumberFormat="0" applyFill="0" applyAlignment="0" applyProtection="0"/>
    <xf numFmtId="0" fontId="12" fillId="0" borderId="58" applyNumberFormat="0" applyFill="0" applyAlignment="0" applyProtection="0"/>
    <xf numFmtId="0" fontId="12" fillId="0" borderId="58" applyNumberFormat="0" applyFill="0" applyAlignment="0" applyProtection="0"/>
    <xf numFmtId="0" fontId="12" fillId="0" borderId="58" applyNumberFormat="0" applyFill="0" applyAlignment="0" applyProtection="0"/>
    <xf numFmtId="0" fontId="12" fillId="0" borderId="58" applyNumberFormat="0" applyFill="0" applyAlignment="0" applyProtection="0"/>
    <xf numFmtId="0" fontId="12" fillId="0" borderId="58" applyNumberFormat="0" applyFill="0" applyAlignment="0" applyProtection="0"/>
    <xf numFmtId="0" fontId="12" fillId="0" borderId="58" applyNumberFormat="0" applyFill="0" applyAlignment="0" applyProtection="0"/>
    <xf numFmtId="0" fontId="12" fillId="0" borderId="58" applyNumberFormat="0" applyFill="0" applyAlignment="0" applyProtection="0"/>
    <xf numFmtId="0" fontId="12" fillId="0" borderId="58" applyNumberFormat="0" applyFill="0" applyAlignment="0" applyProtection="0"/>
    <xf numFmtId="0" fontId="12" fillId="0" borderId="58" applyNumberFormat="0" applyFill="0" applyAlignment="0" applyProtection="0"/>
    <xf numFmtId="0" fontId="12" fillId="0" borderId="58" applyNumberFormat="0" applyFill="0" applyAlignment="0" applyProtection="0"/>
    <xf numFmtId="0" fontId="12" fillId="0" borderId="58" applyNumberFormat="0" applyFill="0" applyAlignment="0" applyProtection="0"/>
    <xf numFmtId="0" fontId="12" fillId="0" borderId="58" applyNumberFormat="0" applyFill="0" applyAlignment="0" applyProtection="0"/>
    <xf numFmtId="0" fontId="12" fillId="0" borderId="58" applyNumberFormat="0" applyFill="0" applyAlignment="0" applyProtection="0"/>
    <xf numFmtId="0" fontId="12" fillId="0" borderId="58" applyNumberFormat="0" applyFill="0" applyAlignment="0" applyProtection="0"/>
    <xf numFmtId="0" fontId="12" fillId="0" borderId="58" applyNumberFormat="0" applyFill="0" applyAlignment="0" applyProtection="0"/>
    <xf numFmtId="0" fontId="12" fillId="0" borderId="58" applyNumberFormat="0" applyFill="0" applyAlignment="0" applyProtection="0"/>
    <xf numFmtId="0" fontId="12" fillId="0" borderId="58" applyNumberFormat="0" applyFill="0" applyAlignment="0" applyProtection="0"/>
    <xf numFmtId="0" fontId="12" fillId="0" borderId="58" applyNumberFormat="0" applyFill="0" applyAlignment="0" applyProtection="0"/>
    <xf numFmtId="0" fontId="12" fillId="0" borderId="58" applyNumberFormat="0" applyFill="0" applyAlignment="0" applyProtection="0"/>
    <xf numFmtId="0" fontId="12" fillId="0" borderId="58" applyNumberFormat="0" applyFill="0" applyAlignment="0" applyProtection="0"/>
    <xf numFmtId="0" fontId="13" fillId="0" borderId="59" applyNumberFormat="0" applyFill="0" applyAlignment="0" applyProtection="0"/>
    <xf numFmtId="0" fontId="13" fillId="0" borderId="59" applyNumberFormat="0" applyFill="0" applyAlignment="0" applyProtection="0"/>
    <xf numFmtId="0" fontId="13" fillId="0" borderId="59" applyNumberFormat="0" applyFill="0" applyAlignment="0" applyProtection="0"/>
    <xf numFmtId="0" fontId="13" fillId="0" borderId="59" applyNumberFormat="0" applyFill="0" applyAlignment="0" applyProtection="0"/>
    <xf numFmtId="0" fontId="13" fillId="0" borderId="59" applyNumberFormat="0" applyFill="0" applyAlignment="0" applyProtection="0"/>
    <xf numFmtId="0" fontId="13" fillId="0" borderId="59" applyNumberFormat="0" applyFill="0" applyAlignment="0" applyProtection="0"/>
    <xf numFmtId="0" fontId="13" fillId="0" borderId="59" applyNumberFormat="0" applyFill="0" applyAlignment="0" applyProtection="0"/>
    <xf numFmtId="0" fontId="13" fillId="0" borderId="59" applyNumberFormat="0" applyFill="0" applyAlignment="0" applyProtection="0"/>
    <xf numFmtId="0" fontId="13" fillId="0" borderId="59" applyNumberFormat="0" applyFill="0" applyAlignment="0" applyProtection="0"/>
    <xf numFmtId="0" fontId="13" fillId="0" borderId="59" applyNumberFormat="0" applyFill="0" applyAlignment="0" applyProtection="0"/>
    <xf numFmtId="0" fontId="13" fillId="0" borderId="59" applyNumberFormat="0" applyFill="0" applyAlignment="0" applyProtection="0"/>
    <xf numFmtId="0" fontId="13" fillId="0" borderId="59" applyNumberFormat="0" applyFill="0" applyAlignment="0" applyProtection="0"/>
    <xf numFmtId="0" fontId="13" fillId="0" borderId="59" applyNumberFormat="0" applyFill="0" applyAlignment="0" applyProtection="0"/>
    <xf numFmtId="0" fontId="13" fillId="0" borderId="59" applyNumberFormat="0" applyFill="0" applyAlignment="0" applyProtection="0"/>
    <xf numFmtId="0" fontId="13" fillId="0" borderId="59" applyNumberFormat="0" applyFill="0" applyAlignment="0" applyProtection="0"/>
    <xf numFmtId="0" fontId="13" fillId="0" borderId="59" applyNumberFormat="0" applyFill="0" applyAlignment="0" applyProtection="0"/>
    <xf numFmtId="0" fontId="13" fillId="0" borderId="59" applyNumberFormat="0" applyFill="0" applyAlignment="0" applyProtection="0"/>
    <xf numFmtId="0" fontId="13" fillId="0" borderId="59" applyNumberFormat="0" applyFill="0" applyAlignment="0" applyProtection="0"/>
    <xf numFmtId="0" fontId="13" fillId="0" borderId="59" applyNumberFormat="0" applyFill="0" applyAlignment="0" applyProtection="0"/>
    <xf numFmtId="0" fontId="13" fillId="0" borderId="59" applyNumberFormat="0" applyFill="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4" fillId="0" borderId="60" applyNumberFormat="0" applyFill="0" applyAlignment="0" applyProtection="0"/>
    <xf numFmtId="0" fontId="14" fillId="0" borderId="60" applyNumberFormat="0" applyFill="0" applyAlignment="0" applyProtection="0"/>
    <xf numFmtId="0" fontId="14" fillId="0" borderId="60" applyNumberFormat="0" applyFill="0" applyAlignment="0" applyProtection="0"/>
    <xf numFmtId="0" fontId="14" fillId="0" borderId="60" applyNumberFormat="0" applyFill="0" applyAlignment="0" applyProtection="0"/>
    <xf numFmtId="0" fontId="14" fillId="0" borderId="60" applyNumberFormat="0" applyFill="0" applyAlignment="0" applyProtection="0"/>
    <xf numFmtId="0" fontId="14" fillId="0" borderId="60" applyNumberFormat="0" applyFill="0" applyAlignment="0" applyProtection="0"/>
    <xf numFmtId="0" fontId="14" fillId="0" borderId="60" applyNumberFormat="0" applyFill="0" applyAlignment="0" applyProtection="0"/>
    <xf numFmtId="0" fontId="14" fillId="0" borderId="60" applyNumberFormat="0" applyFill="0" applyAlignment="0" applyProtection="0"/>
    <xf numFmtId="0" fontId="14" fillId="0" borderId="60" applyNumberFormat="0" applyFill="0" applyAlignment="0" applyProtection="0"/>
    <xf numFmtId="0" fontId="14" fillId="0" borderId="60" applyNumberFormat="0" applyFill="0" applyAlignment="0" applyProtection="0"/>
    <xf numFmtId="0" fontId="14" fillId="0" borderId="60" applyNumberFormat="0" applyFill="0" applyAlignment="0" applyProtection="0"/>
    <xf numFmtId="0" fontId="14" fillId="0" borderId="60" applyNumberFormat="0" applyFill="0" applyAlignment="0" applyProtection="0"/>
    <xf numFmtId="0" fontId="14" fillId="0" borderId="60" applyNumberFormat="0" applyFill="0" applyAlignment="0" applyProtection="0"/>
    <xf numFmtId="0" fontId="14" fillId="0" borderId="60" applyNumberFormat="0" applyFill="0" applyAlignment="0" applyProtection="0"/>
    <xf numFmtId="0" fontId="14" fillId="0" borderId="60" applyNumberFormat="0" applyFill="0" applyAlignment="0" applyProtection="0"/>
    <xf numFmtId="0" fontId="14" fillId="0" borderId="60" applyNumberFormat="0" applyFill="0" applyAlignment="0" applyProtection="0"/>
    <xf numFmtId="0" fontId="14" fillId="0" borderId="60" applyNumberFormat="0" applyFill="0" applyAlignment="0" applyProtection="0"/>
    <xf numFmtId="0" fontId="14" fillId="0" borderId="60" applyNumberFormat="0" applyFill="0" applyAlignment="0" applyProtection="0"/>
    <xf numFmtId="0" fontId="14" fillId="0" borderId="60" applyNumberFormat="0" applyFill="0" applyAlignment="0" applyProtection="0"/>
    <xf numFmtId="0" fontId="14" fillId="0" borderId="60" applyNumberFormat="0" applyFill="0" applyAlignment="0" applyProtection="0"/>
    <xf numFmtId="0" fontId="15" fillId="21" borderId="61" applyNumberFormat="0" applyAlignment="0" applyProtection="0"/>
    <xf numFmtId="0" fontId="15" fillId="21" borderId="61" applyNumberFormat="0" applyAlignment="0" applyProtection="0"/>
    <xf numFmtId="0" fontId="15" fillId="21" borderId="61" applyNumberFormat="0" applyAlignment="0" applyProtection="0"/>
    <xf numFmtId="0" fontId="15" fillId="21" borderId="61" applyNumberFormat="0" applyAlignment="0" applyProtection="0"/>
    <xf numFmtId="0" fontId="15" fillId="21" borderId="61" applyNumberFormat="0" applyAlignment="0" applyProtection="0"/>
    <xf numFmtId="0" fontId="15" fillId="21" borderId="61" applyNumberFormat="0" applyAlignment="0" applyProtection="0"/>
    <xf numFmtId="0" fontId="15" fillId="21" borderId="61" applyNumberFormat="0" applyAlignment="0" applyProtection="0"/>
    <xf numFmtId="0" fontId="15" fillId="21" borderId="61" applyNumberFormat="0" applyAlignment="0" applyProtection="0"/>
    <xf numFmtId="0" fontId="15" fillId="21" borderId="61" applyNumberFormat="0" applyAlignment="0" applyProtection="0"/>
    <xf numFmtId="0" fontId="15" fillId="21" borderId="61" applyNumberFormat="0" applyAlignment="0" applyProtection="0"/>
    <xf numFmtId="0" fontId="15" fillId="21" borderId="61" applyNumberFormat="0" applyAlignment="0" applyProtection="0"/>
    <xf numFmtId="0" fontId="15" fillId="21" borderId="61" applyNumberFormat="0" applyAlignment="0" applyProtection="0"/>
    <xf numFmtId="0" fontId="15" fillId="21" borderId="61" applyNumberFormat="0" applyAlignment="0" applyProtection="0"/>
    <xf numFmtId="0" fontId="15" fillId="21" borderId="61" applyNumberFormat="0" applyAlignment="0" applyProtection="0"/>
    <xf numFmtId="0" fontId="15" fillId="21" borderId="61" applyNumberFormat="0" applyAlignment="0" applyProtection="0"/>
    <xf numFmtId="0" fontId="15" fillId="21" borderId="61" applyNumberFormat="0" applyAlignment="0" applyProtection="0"/>
    <xf numFmtId="0" fontId="15" fillId="21" borderId="61" applyNumberFormat="0" applyAlignment="0" applyProtection="0"/>
    <xf numFmtId="0" fontId="15" fillId="21" borderId="61" applyNumberFormat="0" applyAlignment="0" applyProtection="0"/>
    <xf numFmtId="0" fontId="15" fillId="21" borderId="61" applyNumberFormat="0" applyAlignment="0" applyProtection="0"/>
    <xf numFmtId="0" fontId="15" fillId="21" borderId="61" applyNumberFormat="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8" fillId="0" borderId="0"/>
    <xf numFmtId="0" fontId="18" fillId="0" borderId="0"/>
    <xf numFmtId="0" fontId="2" fillId="0" borderId="0"/>
    <xf numFmtId="0" fontId="2"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0"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19" fillId="0" borderId="0"/>
    <xf numFmtId="0" fontId="19" fillId="0" borderId="0"/>
    <xf numFmtId="0" fontId="19" fillId="0" borderId="0"/>
    <xf numFmtId="0" fontId="19"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9"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18" fillId="23" borderId="62" applyNumberFormat="0" applyFont="0" applyAlignment="0" applyProtection="0"/>
    <xf numFmtId="0" fontId="18" fillId="23" borderId="62" applyNumberFormat="0" applyFont="0" applyAlignment="0" applyProtection="0"/>
    <xf numFmtId="0" fontId="18" fillId="23" borderId="62" applyNumberFormat="0" applyFont="0" applyAlignment="0" applyProtection="0"/>
    <xf numFmtId="0" fontId="18" fillId="23" borderId="62" applyNumberFormat="0" applyFont="0" applyAlignment="0" applyProtection="0"/>
    <xf numFmtId="0" fontId="18" fillId="23" borderId="62" applyNumberFormat="0" applyFont="0" applyAlignment="0" applyProtection="0"/>
    <xf numFmtId="0" fontId="18" fillId="23" borderId="62" applyNumberFormat="0" applyFont="0" applyAlignment="0" applyProtection="0"/>
    <xf numFmtId="0" fontId="18" fillId="23" borderId="62" applyNumberFormat="0" applyFont="0" applyAlignment="0" applyProtection="0"/>
    <xf numFmtId="0" fontId="18" fillId="23" borderId="62" applyNumberFormat="0" applyFont="0" applyAlignment="0" applyProtection="0"/>
    <xf numFmtId="0" fontId="18" fillId="23" borderId="62" applyNumberFormat="0" applyFont="0" applyAlignment="0" applyProtection="0"/>
    <xf numFmtId="0" fontId="18" fillId="23" borderId="62" applyNumberFormat="0" applyFont="0" applyAlignment="0" applyProtection="0"/>
    <xf numFmtId="0" fontId="18" fillId="23" borderId="62" applyNumberFormat="0" applyFont="0" applyAlignment="0" applyProtection="0"/>
    <xf numFmtId="0" fontId="18" fillId="23" borderId="62" applyNumberFormat="0" applyFont="0" applyAlignment="0" applyProtection="0"/>
    <xf numFmtId="0" fontId="18" fillId="23" borderId="62" applyNumberFormat="0" applyFont="0" applyAlignment="0" applyProtection="0"/>
    <xf numFmtId="0" fontId="18" fillId="23" borderId="62" applyNumberFormat="0" applyFont="0" applyAlignment="0" applyProtection="0"/>
    <xf numFmtId="0" fontId="18" fillId="23" borderId="62" applyNumberFormat="0" applyFont="0" applyAlignment="0" applyProtection="0"/>
    <xf numFmtId="0" fontId="18" fillId="23" borderId="62" applyNumberFormat="0" applyFont="0" applyAlignment="0" applyProtection="0"/>
    <xf numFmtId="0" fontId="18" fillId="23" borderId="62" applyNumberFormat="0" applyFont="0" applyAlignment="0" applyProtection="0"/>
    <xf numFmtId="0" fontId="18" fillId="23" borderId="62" applyNumberFormat="0" applyFont="0" applyAlignment="0" applyProtection="0"/>
    <xf numFmtId="0" fontId="18" fillId="23" borderId="62" applyNumberFormat="0" applyFont="0" applyAlignment="0" applyProtection="0"/>
    <xf numFmtId="0" fontId="18" fillId="23" borderId="62"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18" fillId="0" borderId="0" applyFont="0" applyFill="0" applyBorder="0" applyAlignment="0" applyProtection="0"/>
    <xf numFmtId="9" fontId="2" fillId="0" borderId="0" applyFont="0" applyFill="0" applyBorder="0" applyAlignment="0" applyProtection="0"/>
    <xf numFmtId="0" fontId="23" fillId="0" borderId="63" applyNumberFormat="0" applyFill="0" applyAlignment="0" applyProtection="0"/>
    <xf numFmtId="0" fontId="23" fillId="0" borderId="63" applyNumberFormat="0" applyFill="0" applyAlignment="0" applyProtection="0"/>
    <xf numFmtId="0" fontId="23" fillId="0" borderId="63" applyNumberFormat="0" applyFill="0" applyAlignment="0" applyProtection="0"/>
    <xf numFmtId="0" fontId="23" fillId="0" borderId="63" applyNumberFormat="0" applyFill="0" applyAlignment="0" applyProtection="0"/>
    <xf numFmtId="0" fontId="23" fillId="0" borderId="63" applyNumberFormat="0" applyFill="0" applyAlignment="0" applyProtection="0"/>
    <xf numFmtId="0" fontId="23" fillId="0" borderId="63" applyNumberFormat="0" applyFill="0" applyAlignment="0" applyProtection="0"/>
    <xf numFmtId="0" fontId="23" fillId="0" borderId="63" applyNumberFormat="0" applyFill="0" applyAlignment="0" applyProtection="0"/>
    <xf numFmtId="0" fontId="23" fillId="0" borderId="63" applyNumberFormat="0" applyFill="0" applyAlignment="0" applyProtection="0"/>
    <xf numFmtId="0" fontId="23" fillId="0" borderId="63" applyNumberFormat="0" applyFill="0" applyAlignment="0" applyProtection="0"/>
    <xf numFmtId="0" fontId="23" fillId="0" borderId="63" applyNumberFormat="0" applyFill="0" applyAlignment="0" applyProtection="0"/>
    <xf numFmtId="0" fontId="23" fillId="0" borderId="63" applyNumberFormat="0" applyFill="0" applyAlignment="0" applyProtection="0"/>
    <xf numFmtId="0" fontId="23" fillId="0" borderId="63" applyNumberFormat="0" applyFill="0" applyAlignment="0" applyProtection="0"/>
    <xf numFmtId="0" fontId="23" fillId="0" borderId="63" applyNumberFormat="0" applyFill="0" applyAlignment="0" applyProtection="0"/>
    <xf numFmtId="0" fontId="23" fillId="0" borderId="63" applyNumberFormat="0" applyFill="0" applyAlignment="0" applyProtection="0"/>
    <xf numFmtId="0" fontId="23" fillId="0" borderId="63" applyNumberFormat="0" applyFill="0" applyAlignment="0" applyProtection="0"/>
    <xf numFmtId="0" fontId="23" fillId="0" borderId="63" applyNumberFormat="0" applyFill="0" applyAlignment="0" applyProtection="0"/>
    <xf numFmtId="0" fontId="23" fillId="0" borderId="63" applyNumberFormat="0" applyFill="0" applyAlignment="0" applyProtection="0"/>
    <xf numFmtId="0" fontId="23" fillId="0" borderId="63" applyNumberFormat="0" applyFill="0" applyAlignment="0" applyProtection="0"/>
    <xf numFmtId="0" fontId="23" fillId="0" borderId="63" applyNumberFormat="0" applyFill="0" applyAlignment="0" applyProtection="0"/>
    <xf numFmtId="0" fontId="23" fillId="0" borderId="63"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cellStyleXfs>
  <cellXfs count="501">
    <xf numFmtId="0" fontId="0" fillId="0" borderId="0" xfId="0"/>
    <xf numFmtId="0" fontId="0" fillId="0" borderId="0" xfId="0" applyAlignment="1">
      <alignment horizontal="center"/>
    </xf>
    <xf numFmtId="0" fontId="26" fillId="0" borderId="0" xfId="0" applyFont="1" applyAlignment="1"/>
    <xf numFmtId="0" fontId="27" fillId="0" borderId="0" xfId="0" applyFont="1"/>
    <xf numFmtId="0" fontId="29" fillId="0" borderId="0" xfId="0" applyFont="1" applyAlignment="1">
      <alignment horizontal="center"/>
    </xf>
    <xf numFmtId="0" fontId="29" fillId="0" borderId="0" xfId="0" applyFont="1"/>
    <xf numFmtId="0" fontId="28" fillId="0" borderId="0" xfId="0" applyFont="1" applyAlignment="1">
      <alignment horizontal="center"/>
    </xf>
    <xf numFmtId="0" fontId="28" fillId="0" borderId="0" xfId="0" applyFont="1"/>
    <xf numFmtId="2" fontId="28" fillId="0" borderId="0" xfId="0" applyNumberFormat="1" applyFont="1" applyAlignment="1">
      <alignment horizontal="center"/>
    </xf>
    <xf numFmtId="0" fontId="29" fillId="0" borderId="39" xfId="0" applyFont="1" applyBorder="1" applyAlignment="1">
      <alignment horizontal="center"/>
    </xf>
    <xf numFmtId="0" fontId="28" fillId="0" borderId="39" xfId="0" applyFont="1" applyBorder="1" applyAlignment="1">
      <alignment horizontal="center"/>
    </xf>
    <xf numFmtId="0" fontId="28" fillId="0" borderId="39" xfId="0" applyFont="1" applyBorder="1"/>
    <xf numFmtId="4" fontId="28" fillId="0" borderId="39" xfId="0" applyNumberFormat="1" applyFont="1" applyBorder="1" applyAlignment="1">
      <alignment horizontal="center"/>
    </xf>
    <xf numFmtId="0" fontId="28" fillId="0" borderId="39" xfId="0" applyFont="1" applyBorder="1" applyAlignment="1">
      <alignment wrapText="1"/>
    </xf>
    <xf numFmtId="0" fontId="28" fillId="0" borderId="39" xfId="0" applyFont="1" applyBorder="1" applyAlignment="1">
      <alignment horizontal="center" vertical="center"/>
    </xf>
    <xf numFmtId="4" fontId="28" fillId="0" borderId="39" xfId="0" applyNumberFormat="1" applyFont="1" applyBorder="1" applyAlignment="1">
      <alignment horizontal="center" vertical="center"/>
    </xf>
    <xf numFmtId="0" fontId="28" fillId="0" borderId="0" xfId="0" applyFont="1" applyAlignment="1"/>
    <xf numFmtId="0" fontId="29" fillId="0" borderId="39" xfId="0" applyFont="1" applyBorder="1" applyAlignment="1">
      <alignment horizontal="center" vertical="center"/>
    </xf>
    <xf numFmtId="0" fontId="31" fillId="0" borderId="0" xfId="0" applyFont="1"/>
    <xf numFmtId="0" fontId="34" fillId="0" borderId="3" xfId="0" applyFont="1" applyFill="1" applyBorder="1" applyAlignment="1">
      <alignment horizontal="left" vertical="center" wrapText="1"/>
    </xf>
    <xf numFmtId="164" fontId="34" fillId="0" borderId="16" xfId="0" applyNumberFormat="1" applyFont="1" applyFill="1" applyBorder="1" applyAlignment="1">
      <alignment horizontal="center" vertical="center" wrapText="1"/>
    </xf>
    <xf numFmtId="164" fontId="34" fillId="0" borderId="27" xfId="0" applyNumberFormat="1" applyFont="1" applyFill="1" applyBorder="1" applyAlignment="1">
      <alignment horizontal="center" vertical="center" wrapText="1"/>
    </xf>
    <xf numFmtId="164" fontId="34" fillId="0" borderId="28" xfId="0" applyNumberFormat="1" applyFont="1" applyFill="1" applyBorder="1" applyAlignment="1">
      <alignment horizontal="center" vertical="center" wrapText="1"/>
    </xf>
    <xf numFmtId="164" fontId="34" fillId="0" borderId="29" xfId="0" applyNumberFormat="1" applyFont="1" applyFill="1" applyBorder="1" applyAlignment="1">
      <alignment horizontal="center" vertical="center" wrapText="1"/>
    </xf>
    <xf numFmtId="164" fontId="36" fillId="0" borderId="28" xfId="0" applyNumberFormat="1" applyFont="1" applyFill="1" applyBorder="1" applyAlignment="1">
      <alignment horizontal="center" vertical="center" wrapText="1"/>
    </xf>
    <xf numFmtId="164" fontId="34" fillId="0" borderId="30" xfId="0" applyNumberFormat="1" applyFont="1" applyFill="1" applyBorder="1" applyAlignment="1">
      <alignment horizontal="center" vertical="center" wrapText="1"/>
    </xf>
    <xf numFmtId="164" fontId="36" fillId="0" borderId="31" xfId="0" applyNumberFormat="1" applyFont="1" applyFill="1" applyBorder="1" applyAlignment="1">
      <alignment horizontal="center" vertical="center" wrapText="1"/>
    </xf>
    <xf numFmtId="165" fontId="34" fillId="0" borderId="29" xfId="0" applyNumberFormat="1" applyFont="1" applyFill="1" applyBorder="1" applyAlignment="1">
      <alignment horizontal="center" vertical="center" wrapText="1"/>
    </xf>
    <xf numFmtId="166" fontId="36" fillId="0" borderId="17" xfId="0" applyNumberFormat="1" applyFont="1" applyFill="1" applyBorder="1" applyAlignment="1">
      <alignment horizontal="center" vertical="center" wrapText="1"/>
    </xf>
    <xf numFmtId="165" fontId="34" fillId="0" borderId="16" xfId="0" applyNumberFormat="1" applyFont="1" applyFill="1" applyBorder="1" applyAlignment="1">
      <alignment horizontal="center" vertical="center" wrapText="1"/>
    </xf>
    <xf numFmtId="165" fontId="34" fillId="0" borderId="27" xfId="0" applyNumberFormat="1" applyFont="1" applyFill="1" applyBorder="1" applyAlignment="1">
      <alignment horizontal="center" vertical="center" wrapText="1"/>
    </xf>
    <xf numFmtId="165" fontId="37" fillId="0" borderId="27" xfId="0" applyNumberFormat="1" applyFont="1" applyFill="1" applyBorder="1" applyAlignment="1">
      <alignment horizontal="center" vertical="center"/>
    </xf>
    <xf numFmtId="165" fontId="36" fillId="0" borderId="28" xfId="0" applyNumberFormat="1" applyFont="1" applyFill="1" applyBorder="1" applyAlignment="1">
      <alignment horizontal="center" vertical="center" wrapText="1"/>
    </xf>
    <xf numFmtId="165" fontId="34" fillId="0" borderId="17" xfId="0" applyNumberFormat="1" applyFont="1" applyFill="1" applyBorder="1" applyAlignment="1">
      <alignment horizontal="center" vertical="center" wrapText="1"/>
    </xf>
    <xf numFmtId="165" fontId="36" fillId="0" borderId="32" xfId="0" applyNumberFormat="1" applyFont="1" applyFill="1" applyBorder="1" applyAlignment="1">
      <alignment horizontal="center" vertical="center" wrapText="1"/>
    </xf>
    <xf numFmtId="165" fontId="34" fillId="0" borderId="65" xfId="0" applyNumberFormat="1" applyFont="1" applyFill="1" applyBorder="1" applyAlignment="1">
      <alignment horizontal="center" vertical="center" wrapText="1"/>
    </xf>
    <xf numFmtId="165" fontId="34" fillId="0" borderId="23" xfId="0" applyNumberFormat="1" applyFont="1" applyFill="1" applyBorder="1" applyAlignment="1">
      <alignment horizontal="center" vertical="center" wrapText="1"/>
    </xf>
    <xf numFmtId="4" fontId="34" fillId="0" borderId="16" xfId="0" applyNumberFormat="1" applyFont="1" applyFill="1" applyBorder="1" applyAlignment="1">
      <alignment horizontal="center" vertical="center" wrapText="1"/>
    </xf>
    <xf numFmtId="4" fontId="34" fillId="0" borderId="27" xfId="0" applyNumberFormat="1" applyFont="1" applyFill="1" applyBorder="1" applyAlignment="1">
      <alignment horizontal="center" vertical="center" wrapText="1"/>
    </xf>
    <xf numFmtId="4" fontId="36" fillId="0" borderId="27" xfId="0" applyNumberFormat="1" applyFont="1" applyFill="1" applyBorder="1" applyAlignment="1">
      <alignment horizontal="center" vertical="center"/>
    </xf>
    <xf numFmtId="166" fontId="36" fillId="0" borderId="17" xfId="1" applyNumberFormat="1" applyFont="1" applyFill="1" applyBorder="1" applyAlignment="1">
      <alignment horizontal="center" vertical="center" wrapText="1"/>
    </xf>
    <xf numFmtId="4" fontId="34" fillId="0" borderId="4" xfId="1" applyNumberFormat="1" applyFont="1" applyFill="1" applyBorder="1" applyAlignment="1">
      <alignment horizontal="center" vertical="center" wrapText="1"/>
    </xf>
    <xf numFmtId="4" fontId="34" fillId="0" borderId="13" xfId="0" applyNumberFormat="1" applyFont="1" applyFill="1" applyBorder="1" applyAlignment="1">
      <alignment horizontal="center" vertical="center" wrapText="1"/>
    </xf>
    <xf numFmtId="4" fontId="34" fillId="0" borderId="33" xfId="0" applyNumberFormat="1" applyFont="1" applyFill="1" applyBorder="1" applyAlignment="1">
      <alignment horizontal="center" vertical="center" wrapText="1"/>
    </xf>
    <xf numFmtId="10" fontId="36" fillId="0" borderId="33" xfId="1" applyNumberFormat="1" applyFont="1" applyFill="1" applyBorder="1" applyAlignment="1">
      <alignment horizontal="center" vertical="center"/>
    </xf>
    <xf numFmtId="166" fontId="36" fillId="0" borderId="14" xfId="1" applyNumberFormat="1" applyFont="1" applyFill="1" applyBorder="1" applyAlignment="1">
      <alignment horizontal="center" vertical="center" wrapText="1"/>
    </xf>
    <xf numFmtId="4" fontId="34" fillId="0" borderId="13" xfId="1" applyNumberFormat="1" applyFont="1" applyFill="1" applyBorder="1" applyAlignment="1">
      <alignment horizontal="center" vertical="center" wrapText="1"/>
    </xf>
    <xf numFmtId="4" fontId="34" fillId="0" borderId="33" xfId="1" applyNumberFormat="1" applyFont="1" applyFill="1" applyBorder="1" applyAlignment="1">
      <alignment horizontal="center" vertical="center" wrapText="1"/>
    </xf>
    <xf numFmtId="10" fontId="36" fillId="0" borderId="33" xfId="1" applyNumberFormat="1" applyFont="1" applyFill="1" applyBorder="1" applyAlignment="1">
      <alignment horizontal="center" vertical="center" wrapText="1"/>
    </xf>
    <xf numFmtId="10" fontId="36" fillId="0" borderId="15" xfId="1" applyNumberFormat="1" applyFont="1" applyFill="1" applyBorder="1" applyAlignment="1">
      <alignment horizontal="center" vertical="center" wrapText="1"/>
    </xf>
    <xf numFmtId="166" fontId="36" fillId="0" borderId="27" xfId="1" applyNumberFormat="1" applyFont="1" applyFill="1" applyBorder="1" applyAlignment="1">
      <alignment horizontal="center" vertical="center"/>
    </xf>
    <xf numFmtId="164" fontId="34" fillId="0" borderId="38" xfId="0" applyNumberFormat="1" applyFont="1" applyFill="1" applyBorder="1" applyAlignment="1">
      <alignment horizontal="center" vertical="center" wrapText="1"/>
    </xf>
    <xf numFmtId="164" fontId="34" fillId="0" borderId="39" xfId="0" applyNumberFormat="1" applyFont="1" applyFill="1" applyBorder="1" applyAlignment="1">
      <alignment horizontal="center" vertical="center" wrapText="1"/>
    </xf>
    <xf numFmtId="164" fontId="34" fillId="0" borderId="40" xfId="0" applyNumberFormat="1" applyFont="1" applyFill="1" applyBorder="1" applyAlignment="1">
      <alignment horizontal="center" vertical="center" wrapText="1"/>
    </xf>
    <xf numFmtId="164" fontId="37" fillId="0" borderId="40" xfId="0" applyNumberFormat="1" applyFont="1" applyFill="1" applyBorder="1" applyAlignment="1">
      <alignment horizontal="center" vertical="center"/>
    </xf>
    <xf numFmtId="164" fontId="37" fillId="0" borderId="7" xfId="0" applyNumberFormat="1" applyFont="1" applyFill="1" applyBorder="1" applyAlignment="1">
      <alignment horizontal="center" vertical="center"/>
    </xf>
    <xf numFmtId="165" fontId="37" fillId="0" borderId="39" xfId="0" applyNumberFormat="1" applyFont="1" applyFill="1" applyBorder="1" applyAlignment="1">
      <alignment horizontal="center" vertical="center"/>
    </xf>
    <xf numFmtId="165" fontId="39" fillId="0" borderId="40" xfId="0" applyNumberFormat="1" applyFont="1" applyFill="1" applyBorder="1" applyAlignment="1">
      <alignment horizontal="center" vertical="center"/>
    </xf>
    <xf numFmtId="4" fontId="36" fillId="0" borderId="39" xfId="0" applyNumberFormat="1" applyFont="1" applyFill="1" applyBorder="1" applyAlignment="1">
      <alignment horizontal="center" vertical="center"/>
    </xf>
    <xf numFmtId="164" fontId="34" fillId="0" borderId="44" xfId="0" applyNumberFormat="1" applyFont="1" applyFill="1" applyBorder="1" applyAlignment="1">
      <alignment horizontal="center" vertical="center" wrapText="1"/>
    </xf>
    <xf numFmtId="164" fontId="34" fillId="0" borderId="45" xfId="0" applyNumberFormat="1" applyFont="1" applyFill="1" applyBorder="1" applyAlignment="1">
      <alignment horizontal="center" vertical="center" wrapText="1"/>
    </xf>
    <xf numFmtId="164" fontId="34" fillId="0" borderId="46" xfId="0" applyNumberFormat="1" applyFont="1" applyFill="1" applyBorder="1" applyAlignment="1">
      <alignment horizontal="center" vertical="center" wrapText="1"/>
    </xf>
    <xf numFmtId="164" fontId="38" fillId="0" borderId="41" xfId="0" applyNumberFormat="1" applyFont="1" applyFill="1" applyBorder="1" applyAlignment="1">
      <alignment horizontal="center" vertical="center"/>
    </xf>
    <xf numFmtId="164" fontId="37" fillId="0" borderId="42" xfId="0" applyNumberFormat="1" applyFont="1" applyFill="1" applyBorder="1" applyAlignment="1">
      <alignment horizontal="center" vertical="center"/>
    </xf>
    <xf numFmtId="164" fontId="37" fillId="0" borderId="46" xfId="0" applyNumberFormat="1" applyFont="1" applyFill="1" applyBorder="1" applyAlignment="1">
      <alignment horizontal="center" vertical="center"/>
    </xf>
    <xf numFmtId="164" fontId="38" fillId="0" borderId="47" xfId="0" applyNumberFormat="1" applyFont="1" applyFill="1" applyBorder="1" applyAlignment="1">
      <alignment horizontal="center" vertical="center"/>
    </xf>
    <xf numFmtId="164" fontId="37" fillId="0" borderId="48" xfId="0" applyNumberFormat="1" applyFont="1" applyFill="1" applyBorder="1" applyAlignment="1">
      <alignment horizontal="center" vertical="center"/>
    </xf>
    <xf numFmtId="165" fontId="34" fillId="0" borderId="41" xfId="0" applyNumberFormat="1" applyFont="1" applyFill="1" applyBorder="1" applyAlignment="1">
      <alignment horizontal="center" vertical="center" wrapText="1"/>
    </xf>
    <xf numFmtId="166" fontId="36" fillId="0" borderId="42" xfId="0" applyNumberFormat="1" applyFont="1" applyFill="1" applyBorder="1" applyAlignment="1">
      <alignment horizontal="center" vertical="center" wrapText="1"/>
    </xf>
    <xf numFmtId="165" fontId="38" fillId="0" borderId="38" xfId="0" applyNumberFormat="1" applyFont="1" applyFill="1" applyBorder="1" applyAlignment="1">
      <alignment horizontal="center" vertical="center"/>
    </xf>
    <xf numFmtId="165" fontId="38" fillId="0" borderId="39" xfId="0" applyNumberFormat="1" applyFont="1" applyFill="1" applyBorder="1" applyAlignment="1">
      <alignment horizontal="center" vertical="center"/>
    </xf>
    <xf numFmtId="165" fontId="39" fillId="0" borderId="39" xfId="0" applyNumberFormat="1" applyFont="1" applyFill="1" applyBorder="1" applyAlignment="1">
      <alignment horizontal="center" vertical="center"/>
    </xf>
    <xf numFmtId="165" fontId="39" fillId="0" borderId="52" xfId="0" applyNumberFormat="1" applyFont="1" applyFill="1" applyBorder="1" applyAlignment="1">
      <alignment horizontal="center" vertical="center"/>
    </xf>
    <xf numFmtId="165" fontId="39" fillId="0" borderId="37" xfId="0" applyNumberFormat="1" applyFont="1" applyFill="1" applyBorder="1" applyAlignment="1">
      <alignment horizontal="center" vertical="center"/>
    </xf>
    <xf numFmtId="4" fontId="33" fillId="0" borderId="39" xfId="0" applyNumberFormat="1" applyFont="1" applyFill="1" applyBorder="1" applyAlignment="1">
      <alignment horizontal="center" vertical="center"/>
    </xf>
    <xf numFmtId="166" fontId="36" fillId="0" borderId="40" xfId="0" applyNumberFormat="1" applyFont="1" applyFill="1" applyBorder="1" applyAlignment="1">
      <alignment horizontal="center" vertical="center"/>
    </xf>
    <xf numFmtId="4" fontId="34" fillId="0" borderId="52" xfId="0" applyNumberFormat="1" applyFont="1" applyFill="1" applyBorder="1" applyAlignment="1">
      <alignment horizontal="center" vertical="center"/>
    </xf>
    <xf numFmtId="4" fontId="34" fillId="0" borderId="41" xfId="0" applyNumberFormat="1" applyFont="1" applyFill="1" applyBorder="1" applyAlignment="1">
      <alignment horizontal="center" vertical="center"/>
    </xf>
    <xf numFmtId="4" fontId="34" fillId="0" borderId="39" xfId="0" applyNumberFormat="1" applyFont="1" applyFill="1" applyBorder="1" applyAlignment="1">
      <alignment horizontal="center" vertical="center"/>
    </xf>
    <xf numFmtId="10" fontId="36" fillId="0" borderId="39" xfId="1" applyNumberFormat="1" applyFont="1" applyFill="1" applyBorder="1" applyAlignment="1">
      <alignment horizontal="center" vertical="center"/>
    </xf>
    <xf numFmtId="166" fontId="36" fillId="0" borderId="40" xfId="1" applyNumberFormat="1" applyFont="1" applyFill="1" applyBorder="1" applyAlignment="1">
      <alignment horizontal="center" vertical="center"/>
    </xf>
    <xf numFmtId="4" fontId="34" fillId="0" borderId="41" xfId="1" applyNumberFormat="1" applyFont="1" applyFill="1" applyBorder="1" applyAlignment="1">
      <alignment horizontal="center" vertical="center"/>
    </xf>
    <xf numFmtId="4" fontId="34" fillId="0" borderId="39" xfId="1" applyNumberFormat="1" applyFont="1" applyFill="1" applyBorder="1" applyAlignment="1">
      <alignment horizontal="center" vertical="center"/>
    </xf>
    <xf numFmtId="10" fontId="36" fillId="0" borderId="42" xfId="1" applyNumberFormat="1" applyFont="1" applyFill="1" applyBorder="1" applyAlignment="1">
      <alignment horizontal="center" vertical="center"/>
    </xf>
    <xf numFmtId="4" fontId="34" fillId="0" borderId="38" xfId="0" applyNumberFormat="1" applyFont="1" applyFill="1" applyBorder="1" applyAlignment="1">
      <alignment horizontal="center" vertical="center"/>
    </xf>
    <xf numFmtId="166" fontId="36" fillId="0" borderId="39" xfId="1" applyNumberFormat="1" applyFont="1" applyFill="1" applyBorder="1" applyAlignment="1">
      <alignment horizontal="center" vertical="center"/>
    </xf>
    <xf numFmtId="166" fontId="36" fillId="0" borderId="42" xfId="1" applyNumberFormat="1" applyFont="1" applyFill="1" applyBorder="1" applyAlignment="1">
      <alignment horizontal="center" vertical="center"/>
    </xf>
    <xf numFmtId="0" fontId="38" fillId="0" borderId="11" xfId="0" applyFont="1" applyFill="1" applyBorder="1" applyAlignment="1">
      <alignment horizontal="left" vertical="center"/>
    </xf>
    <xf numFmtId="164" fontId="34" fillId="0" borderId="20" xfId="0" applyNumberFormat="1" applyFont="1" applyFill="1" applyBorder="1" applyAlignment="1">
      <alignment horizontal="center" vertical="center" wrapText="1"/>
    </xf>
    <xf numFmtId="164" fontId="34" fillId="0" borderId="21" xfId="0" applyNumberFormat="1" applyFont="1" applyFill="1" applyBorder="1" applyAlignment="1">
      <alignment horizontal="center" vertical="center" wrapText="1"/>
    </xf>
    <xf numFmtId="164" fontId="34" fillId="0" borderId="22" xfId="0" applyNumberFormat="1" applyFont="1" applyFill="1" applyBorder="1" applyAlignment="1">
      <alignment horizontal="center" vertical="center" wrapText="1"/>
    </xf>
    <xf numFmtId="164" fontId="37" fillId="0" borderId="22" xfId="0" applyNumberFormat="1" applyFont="1" applyFill="1" applyBorder="1" applyAlignment="1">
      <alignment horizontal="center" vertical="center"/>
    </xf>
    <xf numFmtId="164" fontId="38" fillId="0" borderId="18" xfId="0" applyNumberFormat="1" applyFont="1" applyFill="1" applyBorder="1" applyAlignment="1">
      <alignment horizontal="center" vertical="center"/>
    </xf>
    <xf numFmtId="164" fontId="37" fillId="0" borderId="19" xfId="0" applyNumberFormat="1" applyFont="1" applyFill="1" applyBorder="1" applyAlignment="1">
      <alignment horizontal="center" vertical="center"/>
    </xf>
    <xf numFmtId="165" fontId="37" fillId="0" borderId="21" xfId="0" applyNumberFormat="1" applyFont="1" applyFill="1" applyBorder="1" applyAlignment="1">
      <alignment horizontal="center" vertical="center"/>
    </xf>
    <xf numFmtId="165" fontId="38" fillId="0" borderId="21" xfId="0" applyNumberFormat="1" applyFont="1" applyFill="1" applyBorder="1" applyAlignment="1">
      <alignment horizontal="center" vertical="center"/>
    </xf>
    <xf numFmtId="165" fontId="39" fillId="0" borderId="22" xfId="0" applyNumberFormat="1" applyFont="1" applyFill="1" applyBorder="1" applyAlignment="1">
      <alignment horizontal="center" vertical="center"/>
    </xf>
    <xf numFmtId="4" fontId="36" fillId="0" borderId="21" xfId="0" applyNumberFormat="1" applyFont="1" applyFill="1" applyBorder="1" applyAlignment="1">
      <alignment horizontal="center" vertical="center"/>
    </xf>
    <xf numFmtId="166" fontId="36" fillId="0" borderId="22" xfId="1" applyNumberFormat="1" applyFont="1" applyFill="1" applyBorder="1" applyAlignment="1">
      <alignment horizontal="center" vertical="center"/>
    </xf>
    <xf numFmtId="4" fontId="34" fillId="0" borderId="66" xfId="1" applyNumberFormat="1" applyFont="1" applyFill="1" applyBorder="1" applyAlignment="1">
      <alignment horizontal="center" vertical="center"/>
    </xf>
    <xf numFmtId="4" fontId="34" fillId="0" borderId="18" xfId="0" applyNumberFormat="1" applyFont="1" applyFill="1" applyBorder="1" applyAlignment="1">
      <alignment horizontal="center" vertical="center"/>
    </xf>
    <xf numFmtId="4" fontId="34" fillId="0" borderId="21" xfId="0" applyNumberFormat="1" applyFont="1" applyFill="1" applyBorder="1" applyAlignment="1">
      <alignment horizontal="center" vertical="center"/>
    </xf>
    <xf numFmtId="10" fontId="36" fillId="0" borderId="21" xfId="1" applyNumberFormat="1" applyFont="1" applyFill="1" applyBorder="1" applyAlignment="1">
      <alignment horizontal="center" vertical="center"/>
    </xf>
    <xf numFmtId="4" fontId="34" fillId="0" borderId="18" xfId="1" applyNumberFormat="1" applyFont="1" applyFill="1" applyBorder="1" applyAlignment="1">
      <alignment horizontal="center" vertical="center"/>
    </xf>
    <xf numFmtId="4" fontId="34" fillId="0" borderId="21" xfId="1" applyNumberFormat="1" applyFont="1" applyFill="1" applyBorder="1" applyAlignment="1">
      <alignment horizontal="center" vertical="center"/>
    </xf>
    <xf numFmtId="10" fontId="36" fillId="0" borderId="19" xfId="1" applyNumberFormat="1" applyFont="1" applyFill="1" applyBorder="1" applyAlignment="1">
      <alignment horizontal="center" vertical="center"/>
    </xf>
    <xf numFmtId="4" fontId="34" fillId="0" borderId="20" xfId="0" applyNumberFormat="1" applyFont="1" applyFill="1" applyBorder="1" applyAlignment="1">
      <alignment horizontal="center" vertical="center"/>
    </xf>
    <xf numFmtId="0" fontId="39" fillId="0" borderId="23" xfId="0" applyFont="1" applyFill="1" applyBorder="1" applyAlignment="1">
      <alignment vertical="center"/>
    </xf>
    <xf numFmtId="0" fontId="31" fillId="0" borderId="5" xfId="0" applyFont="1" applyFill="1" applyBorder="1" applyAlignment="1">
      <alignment vertical="center"/>
    </xf>
    <xf numFmtId="0" fontId="38" fillId="0" borderId="13" xfId="0" applyFont="1" applyFill="1" applyBorder="1" applyAlignment="1">
      <alignment horizontal="center" vertical="center"/>
    </xf>
    <xf numFmtId="0" fontId="37" fillId="0" borderId="15" xfId="0" applyFont="1" applyFill="1" applyBorder="1" applyAlignment="1">
      <alignment horizontal="center" vertical="center"/>
    </xf>
    <xf numFmtId="4" fontId="33" fillId="0" borderId="33" xfId="0" applyNumberFormat="1" applyFont="1" applyFill="1" applyBorder="1" applyAlignment="1">
      <alignment vertical="center"/>
    </xf>
    <xf numFmtId="166" fontId="33" fillId="0" borderId="33" xfId="0" applyNumberFormat="1" applyFont="1" applyFill="1" applyBorder="1" applyAlignment="1">
      <alignment vertical="center"/>
    </xf>
    <xf numFmtId="4" fontId="33" fillId="0" borderId="14" xfId="0" applyNumberFormat="1" applyFont="1" applyFill="1" applyBorder="1" applyAlignment="1">
      <alignment vertical="center"/>
    </xf>
    <xf numFmtId="4" fontId="33" fillId="0" borderId="13" xfId="0" applyNumberFormat="1" applyFont="1" applyFill="1" applyBorder="1" applyAlignment="1">
      <alignment vertical="center"/>
    </xf>
    <xf numFmtId="4" fontId="32" fillId="0" borderId="33" xfId="0" applyNumberFormat="1" applyFont="1" applyFill="1" applyBorder="1" applyAlignment="1">
      <alignment vertical="center"/>
    </xf>
    <xf numFmtId="10" fontId="32" fillId="0" borderId="33" xfId="1" applyNumberFormat="1" applyFont="1" applyFill="1" applyBorder="1" applyAlignment="1">
      <alignment vertical="center"/>
    </xf>
    <xf numFmtId="166" fontId="32" fillId="0" borderId="15" xfId="1" applyNumberFormat="1" applyFont="1" applyFill="1" applyBorder="1" applyAlignment="1">
      <alignment vertical="center"/>
    </xf>
    <xf numFmtId="4" fontId="35" fillId="0" borderId="67" xfId="1" applyNumberFormat="1" applyFont="1" applyFill="1" applyBorder="1" applyAlignment="1">
      <alignment vertical="center"/>
    </xf>
    <xf numFmtId="4" fontId="35" fillId="0" borderId="74" xfId="1" applyNumberFormat="1" applyFont="1" applyFill="1" applyBorder="1" applyAlignment="1">
      <alignment vertical="center"/>
    </xf>
    <xf numFmtId="10" fontId="40" fillId="0" borderId="74" xfId="1" applyNumberFormat="1" applyFont="1" applyFill="1" applyBorder="1" applyAlignment="1">
      <alignment vertical="center"/>
    </xf>
    <xf numFmtId="10" fontId="40" fillId="0" borderId="74" xfId="1" applyNumberFormat="1" applyFont="1" applyFill="1" applyBorder="1" applyAlignment="1">
      <alignment horizontal="center" vertical="center"/>
    </xf>
    <xf numFmtId="166" fontId="32" fillId="0" borderId="33" xfId="1" applyNumberFormat="1" applyFont="1" applyFill="1" applyBorder="1" applyAlignment="1">
      <alignment vertical="center"/>
    </xf>
    <xf numFmtId="0" fontId="34" fillId="0" borderId="1" xfId="0" applyFont="1" applyFill="1" applyBorder="1" applyAlignment="1">
      <alignment vertical="center"/>
    </xf>
    <xf numFmtId="0" fontId="34" fillId="0" borderId="35" xfId="0" applyFont="1" applyFill="1" applyBorder="1" applyAlignment="1">
      <alignment vertical="center"/>
    </xf>
    <xf numFmtId="0" fontId="34" fillId="0" borderId="49" xfId="0" applyFont="1" applyFill="1" applyBorder="1" applyAlignment="1">
      <alignment horizontal="center" vertical="center"/>
    </xf>
    <xf numFmtId="0" fontId="41" fillId="0" borderId="50" xfId="0" applyFont="1" applyFill="1" applyBorder="1" applyAlignment="1">
      <alignment horizontal="center" vertical="center"/>
    </xf>
    <xf numFmtId="0" fontId="34" fillId="0" borderId="8" xfId="0" applyFont="1" applyFill="1" applyBorder="1" applyAlignment="1">
      <alignment vertical="center"/>
    </xf>
    <xf numFmtId="4" fontId="34" fillId="0" borderId="9" xfId="0" applyNumberFormat="1" applyFont="1" applyFill="1" applyBorder="1" applyAlignment="1">
      <alignment vertical="center"/>
    </xf>
    <xf numFmtId="4" fontId="34" fillId="0" borderId="10" xfId="0" applyNumberFormat="1" applyFont="1" applyFill="1" applyBorder="1" applyAlignment="1">
      <alignment vertical="center"/>
    </xf>
    <xf numFmtId="4" fontId="34" fillId="0" borderId="6" xfId="0" applyNumberFormat="1" applyFont="1" applyFill="1" applyBorder="1" applyAlignment="1">
      <alignment vertical="center"/>
    </xf>
    <xf numFmtId="4" fontId="34" fillId="0" borderId="7" xfId="0" applyNumberFormat="1" applyFont="1" applyFill="1" applyBorder="1" applyAlignment="1">
      <alignment vertical="center"/>
    </xf>
    <xf numFmtId="4" fontId="34" fillId="0" borderId="8" xfId="0" applyNumberFormat="1" applyFont="1" applyFill="1" applyBorder="1" applyAlignment="1">
      <alignment vertical="center"/>
    </xf>
    <xf numFmtId="4" fontId="34" fillId="0" borderId="35" xfId="0" applyNumberFormat="1" applyFont="1" applyFill="1" applyBorder="1" applyAlignment="1">
      <alignment vertical="center"/>
    </xf>
    <xf numFmtId="166" fontId="34" fillId="0" borderId="7" xfId="0" applyNumberFormat="1" applyFont="1" applyFill="1" applyBorder="1" applyAlignment="1">
      <alignment vertical="center"/>
    </xf>
    <xf numFmtId="4" fontId="34" fillId="0" borderId="13" xfId="0" applyNumberFormat="1" applyFont="1" applyFill="1" applyBorder="1" applyAlignment="1">
      <alignment vertical="center"/>
    </xf>
    <xf numFmtId="4" fontId="35" fillId="0" borderId="33" xfId="0" applyNumberFormat="1" applyFont="1" applyFill="1" applyBorder="1" applyAlignment="1">
      <alignment vertical="center"/>
    </xf>
    <xf numFmtId="10" fontId="35" fillId="0" borderId="33" xfId="1" applyNumberFormat="1" applyFont="1" applyFill="1" applyBorder="1" applyAlignment="1">
      <alignment vertical="center"/>
    </xf>
    <xf numFmtId="166" fontId="35" fillId="0" borderId="15" xfId="1" applyNumberFormat="1" applyFont="1" applyFill="1" applyBorder="1" applyAlignment="1">
      <alignment vertical="center"/>
    </xf>
    <xf numFmtId="4" fontId="35" fillId="0" borderId="35" xfId="1" applyNumberFormat="1" applyFont="1" applyFill="1" applyBorder="1" applyAlignment="1">
      <alignment vertical="center"/>
    </xf>
    <xf numFmtId="10" fontId="40" fillId="0" borderId="35" xfId="1" applyNumberFormat="1" applyFont="1" applyFill="1" applyBorder="1" applyAlignment="1">
      <alignment vertical="center"/>
    </xf>
    <xf numFmtId="10" fontId="40" fillId="0" borderId="35" xfId="1" applyNumberFormat="1" applyFont="1" applyFill="1" applyBorder="1" applyAlignment="1">
      <alignment horizontal="center" vertical="center"/>
    </xf>
    <xf numFmtId="4" fontId="35" fillId="0" borderId="9" xfId="0" applyNumberFormat="1" applyFont="1" applyFill="1" applyBorder="1" applyAlignment="1">
      <alignment vertical="center"/>
    </xf>
    <xf numFmtId="166" fontId="35" fillId="0" borderId="9" xfId="1" applyNumberFormat="1" applyFont="1" applyFill="1" applyBorder="1" applyAlignment="1">
      <alignment vertical="center"/>
    </xf>
    <xf numFmtId="166" fontId="35" fillId="0" borderId="7" xfId="1" applyNumberFormat="1" applyFont="1" applyFill="1" applyBorder="1" applyAlignment="1">
      <alignment vertical="center"/>
    </xf>
    <xf numFmtId="0" fontId="33" fillId="0" borderId="11" xfId="0" applyFont="1" applyFill="1" applyBorder="1" applyAlignment="1">
      <alignment horizontal="left" vertical="center"/>
    </xf>
    <xf numFmtId="4" fontId="38" fillId="0" borderId="21" xfId="0" applyNumberFormat="1" applyFont="1" applyFill="1" applyBorder="1" applyAlignment="1">
      <alignment horizontal="center" vertical="center"/>
    </xf>
    <xf numFmtId="4" fontId="37" fillId="0" borderId="21" xfId="0" applyNumberFormat="1" applyFont="1" applyFill="1" applyBorder="1" applyAlignment="1">
      <alignment horizontal="center" vertical="center"/>
    </xf>
    <xf numFmtId="4" fontId="37" fillId="0" borderId="22" xfId="0" applyNumberFormat="1" applyFont="1" applyFill="1" applyBorder="1" applyAlignment="1">
      <alignment horizontal="center" vertical="center"/>
    </xf>
    <xf numFmtId="4" fontId="39" fillId="0" borderId="18" xfId="0" applyNumberFormat="1" applyFont="1" applyFill="1" applyBorder="1" applyAlignment="1">
      <alignment horizontal="center" vertical="center"/>
    </xf>
    <xf numFmtId="4" fontId="39" fillId="0" borderId="21" xfId="0" applyNumberFormat="1" applyFont="1" applyFill="1" applyBorder="1" applyAlignment="1">
      <alignment horizontal="center" vertical="center"/>
    </xf>
    <xf numFmtId="4" fontId="39" fillId="0" borderId="19" xfId="0" applyNumberFormat="1" applyFont="1" applyFill="1" applyBorder="1" applyAlignment="1">
      <alignment horizontal="center" vertical="center"/>
    </xf>
    <xf numFmtId="4" fontId="37" fillId="0" borderId="20" xfId="0" applyNumberFormat="1" applyFont="1" applyFill="1" applyBorder="1" applyAlignment="1">
      <alignment horizontal="center" vertical="center"/>
    </xf>
    <xf numFmtId="166" fontId="36" fillId="0" borderId="19" xfId="0" applyNumberFormat="1" applyFont="1" applyFill="1" applyBorder="1" applyAlignment="1">
      <alignment horizontal="center" vertical="center"/>
    </xf>
    <xf numFmtId="4" fontId="33" fillId="0" borderId="64" xfId="0" applyNumberFormat="1" applyFont="1" applyFill="1" applyBorder="1" applyAlignment="1">
      <alignment horizontal="center" vertical="center"/>
    </xf>
    <xf numFmtId="4" fontId="34" fillId="0" borderId="13" xfId="0" applyNumberFormat="1" applyFont="1" applyFill="1" applyBorder="1" applyAlignment="1">
      <alignment horizontal="center" vertical="center"/>
    </xf>
    <xf numFmtId="4" fontId="34" fillId="0" borderId="33" xfId="0" applyNumberFormat="1" applyFont="1" applyFill="1" applyBorder="1" applyAlignment="1">
      <alignment horizontal="center" vertical="center"/>
    </xf>
    <xf numFmtId="166" fontId="36" fillId="0" borderId="15" xfId="1" applyNumberFormat="1" applyFont="1" applyFill="1" applyBorder="1" applyAlignment="1">
      <alignment horizontal="center" vertical="center"/>
    </xf>
    <xf numFmtId="4" fontId="34" fillId="0" borderId="64" xfId="1" applyNumberFormat="1" applyFont="1" applyFill="1" applyBorder="1" applyAlignment="1">
      <alignment horizontal="center" vertical="center"/>
    </xf>
    <xf numFmtId="10" fontId="36" fillId="0" borderId="64" xfId="1" applyNumberFormat="1" applyFont="1" applyFill="1" applyBorder="1" applyAlignment="1">
      <alignment horizontal="center" vertical="center"/>
    </xf>
    <xf numFmtId="166" fontId="36" fillId="0" borderId="21" xfId="1" applyNumberFormat="1" applyFont="1" applyFill="1" applyBorder="1" applyAlignment="1">
      <alignment horizontal="center" vertical="center"/>
    </xf>
    <xf numFmtId="166" fontId="36" fillId="0" borderId="19" xfId="1" applyNumberFormat="1" applyFont="1" applyFill="1" applyBorder="1" applyAlignment="1">
      <alignment horizontal="center" vertical="center"/>
    </xf>
    <xf numFmtId="0" fontId="33" fillId="0" borderId="23" xfId="0" applyFont="1" applyFill="1" applyBorder="1" applyAlignment="1">
      <alignment vertical="center"/>
    </xf>
    <xf numFmtId="0" fontId="33" fillId="0" borderId="5" xfId="0" applyFont="1" applyFill="1" applyBorder="1" applyAlignment="1">
      <alignment vertical="center"/>
    </xf>
    <xf numFmtId="0" fontId="34" fillId="0" borderId="13" xfId="0" applyFont="1" applyFill="1" applyBorder="1" applyAlignment="1">
      <alignment horizontal="center" vertical="center"/>
    </xf>
    <xf numFmtId="0" fontId="36" fillId="0" borderId="15" xfId="0" applyFont="1" applyFill="1" applyBorder="1" applyAlignment="1">
      <alignment horizontal="center" vertical="center"/>
    </xf>
    <xf numFmtId="166" fontId="33" fillId="0" borderId="14" xfId="0" applyNumberFormat="1" applyFont="1" applyFill="1" applyBorder="1" applyAlignment="1">
      <alignment vertical="center"/>
    </xf>
    <xf numFmtId="4" fontId="33" fillId="0" borderId="4" xfId="0" applyNumberFormat="1" applyFont="1" applyFill="1" applyBorder="1" applyAlignment="1">
      <alignment vertical="center"/>
    </xf>
    <xf numFmtId="4" fontId="35" fillId="0" borderId="16" xfId="1" applyNumberFormat="1" applyFont="1" applyFill="1" applyBorder="1" applyAlignment="1">
      <alignment vertical="center"/>
    </xf>
    <xf numFmtId="4" fontId="35" fillId="0" borderId="27" xfId="1" applyNumberFormat="1" applyFont="1" applyFill="1" applyBorder="1" applyAlignment="1">
      <alignment vertical="center"/>
    </xf>
    <xf numFmtId="10" fontId="40" fillId="0" borderId="27" xfId="1" applyNumberFormat="1" applyFont="1" applyFill="1" applyBorder="1" applyAlignment="1">
      <alignment vertical="center"/>
    </xf>
    <xf numFmtId="10" fontId="40" fillId="0" borderId="27" xfId="1" applyNumberFormat="1" applyFont="1" applyFill="1" applyBorder="1" applyAlignment="1">
      <alignment horizontal="center" vertical="center"/>
    </xf>
    <xf numFmtId="4" fontId="34" fillId="0" borderId="1" xfId="0" applyNumberFormat="1" applyFont="1" applyFill="1" applyBorder="1" applyAlignment="1">
      <alignment vertical="center"/>
    </xf>
    <xf numFmtId="166" fontId="34" fillId="0" borderId="10" xfId="0" applyNumberFormat="1" applyFont="1" applyFill="1" applyBorder="1" applyAlignment="1">
      <alignment vertical="center"/>
    </xf>
    <xf numFmtId="4" fontId="34" fillId="0" borderId="36" xfId="0" applyNumberFormat="1" applyFont="1" applyFill="1" applyBorder="1" applyAlignment="1">
      <alignment vertical="center"/>
    </xf>
    <xf numFmtId="10" fontId="35" fillId="0" borderId="9" xfId="1" applyNumberFormat="1" applyFont="1" applyFill="1" applyBorder="1" applyAlignment="1">
      <alignment vertical="center"/>
    </xf>
    <xf numFmtId="166" fontId="35" fillId="0" borderId="10" xfId="1" applyNumberFormat="1" applyFont="1" applyFill="1" applyBorder="1" applyAlignment="1">
      <alignment vertical="center"/>
    </xf>
    <xf numFmtId="4" fontId="35" fillId="0" borderId="6" xfId="1" applyNumberFormat="1" applyFont="1" applyFill="1" applyBorder="1" applyAlignment="1">
      <alignment vertical="center"/>
    </xf>
    <xf numFmtId="4" fontId="35" fillId="0" borderId="9" xfId="1" applyNumberFormat="1" applyFont="1" applyFill="1" applyBorder="1" applyAlignment="1">
      <alignment vertical="center"/>
    </xf>
    <xf numFmtId="10" fontId="40" fillId="0" borderId="9" xfId="1" applyNumberFormat="1" applyFont="1" applyFill="1" applyBorder="1" applyAlignment="1">
      <alignment vertical="center"/>
    </xf>
    <xf numFmtId="10" fontId="40" fillId="0" borderId="7" xfId="1" applyNumberFormat="1" applyFont="1" applyFill="1" applyBorder="1" applyAlignment="1">
      <alignment horizontal="center" vertical="center"/>
    </xf>
    <xf numFmtId="0" fontId="33" fillId="0" borderId="37" xfId="0" applyFont="1" applyFill="1" applyBorder="1" applyAlignment="1">
      <alignment horizontal="left" vertical="center"/>
    </xf>
    <xf numFmtId="164" fontId="34" fillId="0" borderId="51" xfId="0" applyNumberFormat="1" applyFont="1" applyFill="1" applyBorder="1" applyAlignment="1">
      <alignment horizontal="center" vertical="center" wrapText="1"/>
    </xf>
    <xf numFmtId="4" fontId="37" fillId="0" borderId="39" xfId="0" applyNumberFormat="1" applyFont="1" applyFill="1" applyBorder="1" applyAlignment="1">
      <alignment horizontal="center" vertical="center"/>
    </xf>
    <xf numFmtId="4" fontId="34" fillId="0" borderId="52" xfId="1" applyNumberFormat="1" applyFont="1" applyFill="1" applyBorder="1" applyAlignment="1">
      <alignment horizontal="center" vertical="center"/>
    </xf>
    <xf numFmtId="0" fontId="33" fillId="0" borderId="37" xfId="0" applyFont="1" applyFill="1" applyBorder="1" applyAlignment="1">
      <alignment horizontal="left" vertical="center" wrapText="1"/>
    </xf>
    <xf numFmtId="164" fontId="36" fillId="0" borderId="40" xfId="0" applyNumberFormat="1" applyFont="1" applyFill="1" applyBorder="1" applyAlignment="1">
      <alignment horizontal="center" vertical="center"/>
    </xf>
    <xf numFmtId="164" fontId="34" fillId="0" borderId="41" xfId="0" applyNumberFormat="1" applyFont="1" applyFill="1" applyBorder="1" applyAlignment="1">
      <alignment horizontal="center" vertical="center"/>
    </xf>
    <xf numFmtId="164" fontId="36" fillId="0" borderId="42" xfId="0" applyNumberFormat="1" applyFont="1" applyFill="1" applyBorder="1" applyAlignment="1">
      <alignment horizontal="center" vertical="center"/>
    </xf>
    <xf numFmtId="0" fontId="34" fillId="0" borderId="11" xfId="0" applyFont="1" applyFill="1" applyBorder="1" applyAlignment="1">
      <alignment horizontal="left" vertical="center"/>
    </xf>
    <xf numFmtId="10" fontId="36" fillId="0" borderId="21" xfId="1" applyNumberFormat="1" applyFont="1" applyFill="1" applyBorder="1" applyAlignment="1">
      <alignment horizontal="center"/>
    </xf>
    <xf numFmtId="4" fontId="34" fillId="0" borderId="21" xfId="0" applyNumberFormat="1" applyFont="1" applyFill="1" applyBorder="1" applyAlignment="1">
      <alignment horizontal="center" vertical="center" wrapText="1"/>
    </xf>
    <xf numFmtId="166" fontId="36" fillId="0" borderId="21" xfId="1" applyNumberFormat="1" applyFont="1" applyFill="1" applyBorder="1" applyAlignment="1">
      <alignment horizontal="center"/>
    </xf>
    <xf numFmtId="0" fontId="34" fillId="0" borderId="23" xfId="0" applyFont="1" applyFill="1" applyBorder="1" applyAlignment="1">
      <alignment vertical="center"/>
    </xf>
    <xf numFmtId="0" fontId="34" fillId="0" borderId="5" xfId="0" applyFont="1" applyFill="1" applyBorder="1" applyAlignment="1">
      <alignment vertical="center"/>
    </xf>
    <xf numFmtId="0" fontId="34" fillId="0" borderId="15" xfId="0" applyFont="1" applyFill="1" applyBorder="1" applyAlignment="1">
      <alignment horizontal="center" vertical="center"/>
    </xf>
    <xf numFmtId="4" fontId="34" fillId="0" borderId="33" xfId="0" applyNumberFormat="1" applyFont="1" applyFill="1" applyBorder="1" applyAlignment="1">
      <alignment vertical="center"/>
    </xf>
    <xf numFmtId="166" fontId="34" fillId="0" borderId="14" xfId="0" applyNumberFormat="1" applyFont="1" applyFill="1" applyBorder="1" applyAlignment="1">
      <alignment vertical="center"/>
    </xf>
    <xf numFmtId="4" fontId="34" fillId="0" borderId="4" xfId="0" applyNumberFormat="1" applyFont="1" applyFill="1" applyBorder="1" applyAlignment="1">
      <alignment vertical="center"/>
    </xf>
    <xf numFmtId="4" fontId="35" fillId="0" borderId="68" xfId="1" applyNumberFormat="1" applyFont="1" applyFill="1" applyBorder="1" applyAlignment="1">
      <alignment vertical="center"/>
    </xf>
    <xf numFmtId="4" fontId="35" fillId="0" borderId="26" xfId="1" applyNumberFormat="1" applyFont="1" applyFill="1" applyBorder="1" applyAlignment="1">
      <alignment vertical="center"/>
    </xf>
    <xf numFmtId="10" fontId="40" fillId="0" borderId="26" xfId="1" applyNumberFormat="1" applyFont="1" applyFill="1" applyBorder="1" applyAlignment="1">
      <alignment vertical="center"/>
    </xf>
    <xf numFmtId="10" fontId="40" fillId="0" borderId="26" xfId="1" applyNumberFormat="1" applyFont="1" applyFill="1" applyBorder="1" applyAlignment="1">
      <alignment horizontal="center" vertical="center"/>
    </xf>
    <xf numFmtId="166" fontId="35" fillId="0" borderId="33" xfId="1" applyNumberFormat="1" applyFont="1" applyFill="1" applyBorder="1" applyAlignment="1">
      <alignment vertical="center"/>
    </xf>
    <xf numFmtId="0" fontId="34" fillId="0" borderId="50" xfId="0" applyFont="1" applyFill="1" applyBorder="1" applyAlignment="1">
      <alignment horizontal="center" vertical="center"/>
    </xf>
    <xf numFmtId="0" fontId="38" fillId="0" borderId="52" xfId="0" applyFont="1" applyFill="1" applyBorder="1" applyAlignment="1">
      <alignment horizontal="center" vertical="center"/>
    </xf>
    <xf numFmtId="164" fontId="38" fillId="0" borderId="38" xfId="0" applyNumberFormat="1" applyFont="1" applyFill="1" applyBorder="1" applyAlignment="1">
      <alignment horizontal="center" vertical="center"/>
    </xf>
    <xf numFmtId="164" fontId="36" fillId="0" borderId="40" xfId="0" applyNumberFormat="1" applyFont="1" applyFill="1" applyBorder="1" applyAlignment="1">
      <alignment horizontal="center" vertical="center" wrapText="1"/>
    </xf>
    <xf numFmtId="164" fontId="34" fillId="0" borderId="41" xfId="0" applyNumberFormat="1" applyFont="1" applyFill="1" applyBorder="1" applyAlignment="1">
      <alignment horizontal="center" vertical="center" wrapText="1"/>
    </xf>
    <xf numFmtId="4" fontId="34" fillId="0" borderId="41" xfId="0" applyNumberFormat="1" applyFont="1" applyFill="1" applyBorder="1" applyAlignment="1">
      <alignment horizontal="center" vertical="center" wrapText="1"/>
    </xf>
    <xf numFmtId="166" fontId="36" fillId="0" borderId="39" xfId="0" applyNumberFormat="1" applyFont="1" applyFill="1" applyBorder="1" applyAlignment="1">
      <alignment horizontal="center" vertical="center" wrapText="1"/>
    </xf>
    <xf numFmtId="4" fontId="38" fillId="0" borderId="39" xfId="0" applyNumberFormat="1" applyFont="1" applyFill="1" applyBorder="1" applyAlignment="1">
      <alignment horizontal="center" vertical="center"/>
    </xf>
    <xf numFmtId="4" fontId="37" fillId="0" borderId="40" xfId="0" applyNumberFormat="1" applyFont="1" applyFill="1" applyBorder="1" applyAlignment="1">
      <alignment horizontal="center" vertical="center"/>
    </xf>
    <xf numFmtId="4" fontId="39" fillId="0" borderId="41" xfId="0" applyNumberFormat="1" applyFont="1" applyFill="1" applyBorder="1" applyAlignment="1">
      <alignment horizontal="center" vertical="center"/>
    </xf>
    <xf numFmtId="4" fontId="39" fillId="0" borderId="39" xfId="0" applyNumberFormat="1" applyFont="1" applyFill="1" applyBorder="1" applyAlignment="1">
      <alignment horizontal="center" vertical="center"/>
    </xf>
    <xf numFmtId="4" fontId="39" fillId="0" borderId="40" xfId="0" applyNumberFormat="1" applyFont="1" applyFill="1" applyBorder="1" applyAlignment="1">
      <alignment horizontal="center" vertical="center"/>
    </xf>
    <xf numFmtId="4" fontId="39" fillId="0" borderId="37" xfId="0" applyNumberFormat="1" applyFont="1" applyFill="1" applyBorder="1" applyAlignment="1">
      <alignment horizontal="center" vertical="center"/>
    </xf>
    <xf numFmtId="0" fontId="33" fillId="0" borderId="37" xfId="0" applyFont="1" applyFill="1" applyBorder="1" applyAlignment="1">
      <alignment horizontal="left" wrapText="1"/>
    </xf>
    <xf numFmtId="0" fontId="33" fillId="0" borderId="43" xfId="0" applyFont="1" applyFill="1" applyBorder="1" applyAlignment="1">
      <alignment horizontal="left" wrapText="1"/>
    </xf>
    <xf numFmtId="164" fontId="34" fillId="0" borderId="53" xfId="0" applyNumberFormat="1" applyFont="1" applyFill="1" applyBorder="1" applyAlignment="1">
      <alignment horizontal="center" vertical="center" wrapText="1"/>
    </xf>
    <xf numFmtId="4" fontId="37" fillId="0" borderId="45" xfId="0" applyNumberFormat="1" applyFont="1" applyFill="1" applyBorder="1" applyAlignment="1">
      <alignment horizontal="center" vertical="center"/>
    </xf>
    <xf numFmtId="4" fontId="36" fillId="0" borderId="45" xfId="0" applyNumberFormat="1" applyFont="1" applyFill="1" applyBorder="1" applyAlignment="1">
      <alignment horizontal="center" vertical="center"/>
    </xf>
    <xf numFmtId="166" fontId="36" fillId="0" borderId="46" xfId="1" applyNumberFormat="1" applyFont="1" applyFill="1" applyBorder="1" applyAlignment="1">
      <alignment horizontal="center" vertical="center"/>
    </xf>
    <xf numFmtId="4" fontId="34" fillId="0" borderId="54" xfId="1" applyNumberFormat="1" applyFont="1" applyFill="1" applyBorder="1" applyAlignment="1">
      <alignment horizontal="center" vertical="center"/>
    </xf>
    <xf numFmtId="4" fontId="34" fillId="0" borderId="45" xfId="0" applyNumberFormat="1" applyFont="1" applyFill="1" applyBorder="1" applyAlignment="1">
      <alignment horizontal="center" vertical="center"/>
    </xf>
    <xf numFmtId="4" fontId="34" fillId="0" borderId="47" xfId="1" applyNumberFormat="1" applyFont="1" applyFill="1" applyBorder="1" applyAlignment="1">
      <alignment horizontal="center" vertical="center"/>
    </xf>
    <xf numFmtId="4" fontId="34" fillId="0" borderId="45" xfId="1" applyNumberFormat="1" applyFont="1" applyFill="1" applyBorder="1" applyAlignment="1">
      <alignment horizontal="center" vertical="center"/>
    </xf>
    <xf numFmtId="10" fontId="36" fillId="0" borderId="45" xfId="1" applyNumberFormat="1" applyFont="1" applyFill="1" applyBorder="1" applyAlignment="1">
      <alignment horizontal="center" vertical="center"/>
    </xf>
    <xf numFmtId="10" fontId="36" fillId="0" borderId="48" xfId="1" applyNumberFormat="1" applyFont="1" applyFill="1" applyBorder="1" applyAlignment="1">
      <alignment horizontal="center" vertical="center"/>
    </xf>
    <xf numFmtId="4" fontId="34" fillId="0" borderId="44" xfId="0" applyNumberFormat="1" applyFont="1" applyFill="1" applyBorder="1" applyAlignment="1">
      <alignment horizontal="center" vertical="center"/>
    </xf>
    <xf numFmtId="166" fontId="36" fillId="0" borderId="45" xfId="1" applyNumberFormat="1" applyFont="1" applyFill="1" applyBorder="1" applyAlignment="1">
      <alignment horizontal="center" vertical="center"/>
    </xf>
    <xf numFmtId="166" fontId="36" fillId="0" borderId="48" xfId="1" applyNumberFormat="1" applyFont="1" applyFill="1" applyBorder="1" applyAlignment="1">
      <alignment horizontal="center" vertical="center"/>
    </xf>
    <xf numFmtId="0" fontId="34" fillId="0" borderId="23" xfId="0" applyFont="1" applyFill="1" applyBorder="1" applyAlignment="1">
      <alignment horizontal="left" vertical="center"/>
    </xf>
    <xf numFmtId="164" fontId="34" fillId="0" borderId="34" xfId="0" applyNumberFormat="1" applyFont="1" applyFill="1" applyBorder="1" applyAlignment="1">
      <alignment horizontal="center" vertical="center"/>
    </xf>
    <xf numFmtId="164" fontId="34" fillId="0" borderId="33" xfId="0" applyNumberFormat="1" applyFont="1" applyFill="1" applyBorder="1" applyAlignment="1">
      <alignment horizontal="center" vertical="center"/>
    </xf>
    <xf numFmtId="164" fontId="34" fillId="0" borderId="14" xfId="0" applyNumberFormat="1" applyFont="1" applyFill="1" applyBorder="1" applyAlignment="1">
      <alignment horizontal="center" vertical="center"/>
    </xf>
    <xf numFmtId="164" fontId="37" fillId="0" borderId="14" xfId="0" applyNumberFormat="1" applyFont="1" applyFill="1" applyBorder="1" applyAlignment="1">
      <alignment horizontal="center" vertical="center"/>
    </xf>
    <xf numFmtId="164" fontId="38" fillId="0" borderId="13" xfId="0" applyNumberFormat="1" applyFont="1" applyFill="1" applyBorder="1" applyAlignment="1">
      <alignment horizontal="center" vertical="center"/>
    </xf>
    <xf numFmtId="164" fontId="37" fillId="0" borderId="15" xfId="0" applyNumberFormat="1" applyFont="1" applyFill="1" applyBorder="1" applyAlignment="1">
      <alignment horizontal="center" vertical="center"/>
    </xf>
    <xf numFmtId="166" fontId="36" fillId="0" borderId="14" xfId="1" applyNumberFormat="1" applyFont="1" applyFill="1" applyBorder="1" applyAlignment="1">
      <alignment horizontal="center" vertical="center"/>
    </xf>
    <xf numFmtId="4" fontId="34" fillId="0" borderId="4" xfId="1" applyNumberFormat="1" applyFont="1" applyFill="1" applyBorder="1" applyAlignment="1">
      <alignment horizontal="center" vertical="center"/>
    </xf>
    <xf numFmtId="4" fontId="34" fillId="0" borderId="29" xfId="1" applyNumberFormat="1" applyFont="1" applyFill="1" applyBorder="1" applyAlignment="1">
      <alignment horizontal="center" vertical="center"/>
    </xf>
    <xf numFmtId="4" fontId="34" fillId="0" borderId="27" xfId="1" applyNumberFormat="1" applyFont="1" applyFill="1" applyBorder="1" applyAlignment="1">
      <alignment horizontal="center" vertical="center"/>
    </xf>
    <xf numFmtId="10" fontId="36" fillId="0" borderId="27" xfId="1" applyNumberFormat="1" applyFont="1" applyFill="1" applyBorder="1" applyAlignment="1">
      <alignment horizontal="center" vertical="center"/>
    </xf>
    <xf numFmtId="10" fontId="36" fillId="0" borderId="17" xfId="1" applyNumberFormat="1" applyFont="1" applyFill="1" applyBorder="1" applyAlignment="1">
      <alignment horizontal="center" vertical="center"/>
    </xf>
    <xf numFmtId="166" fontId="36" fillId="0" borderId="33" xfId="1" applyNumberFormat="1" applyFont="1" applyFill="1" applyBorder="1" applyAlignment="1">
      <alignment horizontal="center" vertical="center"/>
    </xf>
    <xf numFmtId="4" fontId="34" fillId="0" borderId="33" xfId="1" applyNumberFormat="1" applyFont="1" applyFill="1" applyBorder="1" applyAlignment="1">
      <alignment horizontal="center" vertical="center"/>
    </xf>
    <xf numFmtId="10" fontId="36" fillId="0" borderId="15" xfId="1" applyNumberFormat="1" applyFont="1" applyFill="1" applyBorder="1" applyAlignment="1">
      <alignment horizontal="center" vertical="center"/>
    </xf>
    <xf numFmtId="164" fontId="34" fillId="0" borderId="0" xfId="0" applyNumberFormat="1" applyFont="1" applyFill="1" applyBorder="1" applyAlignment="1">
      <alignment horizontal="center" vertical="center"/>
    </xf>
    <xf numFmtId="166" fontId="36" fillId="0" borderId="0" xfId="1" applyNumberFormat="1" applyFont="1" applyFill="1" applyBorder="1" applyAlignment="1">
      <alignment horizontal="center" vertical="center"/>
    </xf>
    <xf numFmtId="4" fontId="34" fillId="0" borderId="0" xfId="1" applyNumberFormat="1" applyFont="1" applyFill="1" applyBorder="1" applyAlignment="1">
      <alignment horizontal="center" vertical="center"/>
    </xf>
    <xf numFmtId="10" fontId="36" fillId="0" borderId="0" xfId="1" applyNumberFormat="1" applyFont="1" applyFill="1" applyBorder="1" applyAlignment="1">
      <alignment horizontal="center" vertical="center"/>
    </xf>
    <xf numFmtId="0" fontId="39" fillId="0" borderId="37" xfId="0" applyFont="1" applyFill="1" applyBorder="1" applyAlignment="1">
      <alignment horizontal="left" vertical="center" wrapText="1"/>
    </xf>
    <xf numFmtId="0" fontId="39" fillId="0" borderId="43" xfId="0" applyFont="1" applyFill="1" applyBorder="1" applyAlignment="1">
      <alignment horizontal="left" vertical="center" wrapText="1"/>
    </xf>
    <xf numFmtId="4" fontId="34" fillId="0" borderId="45" xfId="0" applyNumberFormat="1" applyFont="1" applyFill="1" applyBorder="1" applyAlignment="1">
      <alignment horizontal="center" vertical="center"/>
    </xf>
    <xf numFmtId="4" fontId="34" fillId="0" borderId="26" xfId="0" applyNumberFormat="1" applyFont="1" applyFill="1" applyBorder="1" applyAlignment="1">
      <alignment horizontal="center" vertical="center"/>
    </xf>
    <xf numFmtId="4" fontId="34" fillId="0" borderId="73" xfId="0" applyNumberFormat="1" applyFont="1" applyFill="1" applyBorder="1" applyAlignment="1">
      <alignment horizontal="center" vertical="center"/>
    </xf>
    <xf numFmtId="165" fontId="39" fillId="0" borderId="39" xfId="0" applyNumberFormat="1" applyFont="1" applyFill="1" applyBorder="1" applyAlignment="1">
      <alignment horizontal="center" vertical="center"/>
    </xf>
    <xf numFmtId="0" fontId="33" fillId="0" borderId="0" xfId="0" applyFont="1" applyFill="1" applyBorder="1" applyAlignment="1">
      <alignment horizontal="left" wrapText="1"/>
    </xf>
    <xf numFmtId="165" fontId="39" fillId="0" borderId="52" xfId="0" applyNumberFormat="1" applyFont="1" applyFill="1" applyBorder="1" applyAlignment="1">
      <alignment horizontal="center" vertical="center"/>
    </xf>
    <xf numFmtId="166" fontId="36" fillId="0" borderId="40" xfId="1" applyNumberFormat="1" applyFont="1" applyFill="1" applyBorder="1" applyAlignment="1">
      <alignment horizontal="center" vertical="center"/>
    </xf>
    <xf numFmtId="165" fontId="39" fillId="0" borderId="43" xfId="0" applyNumberFormat="1" applyFont="1" applyFill="1" applyBorder="1" applyAlignment="1">
      <alignment horizontal="center" vertical="center"/>
    </xf>
    <xf numFmtId="165" fontId="39" fillId="0" borderId="70" xfId="0" applyNumberFormat="1" applyFont="1" applyFill="1" applyBorder="1" applyAlignment="1">
      <alignment horizontal="center" vertical="center"/>
    </xf>
    <xf numFmtId="165" fontId="39" fillId="0" borderId="71" xfId="0" applyNumberFormat="1" applyFont="1" applyFill="1" applyBorder="1" applyAlignment="1">
      <alignment horizontal="center" vertical="center"/>
    </xf>
    <xf numFmtId="4" fontId="34" fillId="0" borderId="54" xfId="1" applyNumberFormat="1" applyFont="1" applyFill="1" applyBorder="1" applyAlignment="1">
      <alignment horizontal="center" vertical="center"/>
    </xf>
    <xf numFmtId="4" fontId="34" fillId="0" borderId="25" xfId="1" applyNumberFormat="1" applyFont="1" applyFill="1" applyBorder="1" applyAlignment="1">
      <alignment horizontal="center" vertical="center"/>
    </xf>
    <xf numFmtId="4" fontId="34" fillId="0" borderId="72" xfId="1" applyNumberFormat="1" applyFont="1" applyFill="1" applyBorder="1" applyAlignment="1">
      <alignment horizontal="center" vertical="center"/>
    </xf>
    <xf numFmtId="10" fontId="36" fillId="0" borderId="7" xfId="1" applyNumberFormat="1" applyFont="1" applyFill="1" applyBorder="1" applyAlignment="1">
      <alignment horizontal="center" vertical="center"/>
    </xf>
    <xf numFmtId="10" fontId="36" fillId="0" borderId="42" xfId="1" applyNumberFormat="1" applyFont="1" applyFill="1" applyBorder="1" applyAlignment="1">
      <alignment horizontal="center" vertical="center"/>
    </xf>
    <xf numFmtId="4" fontId="34" fillId="0" borderId="44" xfId="0" applyNumberFormat="1" applyFont="1" applyFill="1" applyBorder="1" applyAlignment="1">
      <alignment horizontal="center" vertical="center"/>
    </xf>
    <xf numFmtId="4" fontId="34" fillId="0" borderId="68" xfId="0" applyNumberFormat="1" applyFont="1" applyFill="1" applyBorder="1" applyAlignment="1">
      <alignment horizontal="center" vertical="center"/>
    </xf>
    <xf numFmtId="4" fontId="34" fillId="0" borderId="77" xfId="0" applyNumberFormat="1" applyFont="1" applyFill="1" applyBorder="1" applyAlignment="1">
      <alignment horizontal="center" vertical="center"/>
    </xf>
    <xf numFmtId="166" fontId="36" fillId="0" borderId="45" xfId="1" applyNumberFormat="1" applyFont="1" applyFill="1" applyBorder="1" applyAlignment="1">
      <alignment horizontal="center" vertical="center"/>
    </xf>
    <xf numFmtId="166" fontId="36" fillId="0" borderId="26" xfId="1" applyNumberFormat="1" applyFont="1" applyFill="1" applyBorder="1" applyAlignment="1">
      <alignment horizontal="center" vertical="center"/>
    </xf>
    <xf numFmtId="166" fontId="36" fillId="0" borderId="73" xfId="1" applyNumberFormat="1" applyFont="1" applyFill="1" applyBorder="1" applyAlignment="1">
      <alignment horizontal="center" vertical="center"/>
    </xf>
    <xf numFmtId="166" fontId="36" fillId="0" borderId="48" xfId="1" applyNumberFormat="1" applyFont="1" applyFill="1" applyBorder="1" applyAlignment="1">
      <alignment horizontal="center" vertical="center"/>
    </xf>
    <xf numFmtId="166" fontId="36" fillId="0" borderId="31" xfId="1" applyNumberFormat="1" applyFont="1" applyFill="1" applyBorder="1" applyAlignment="1">
      <alignment horizontal="center" vertical="center"/>
    </xf>
    <xf numFmtId="166" fontId="36" fillId="0" borderId="50" xfId="1" applyNumberFormat="1" applyFont="1" applyFill="1" applyBorder="1" applyAlignment="1">
      <alignment horizontal="center" vertical="center"/>
    </xf>
    <xf numFmtId="4" fontId="34" fillId="0" borderId="6" xfId="1" applyNumberFormat="1" applyFont="1" applyFill="1" applyBorder="1" applyAlignment="1">
      <alignment horizontal="center" vertical="center"/>
    </xf>
    <xf numFmtId="4" fontId="34" fillId="0" borderId="41" xfId="1" applyNumberFormat="1" applyFont="1" applyFill="1" applyBorder="1" applyAlignment="1">
      <alignment horizontal="center" vertical="center"/>
    </xf>
    <xf numFmtId="4" fontId="34" fillId="0" borderId="9" xfId="1" applyNumberFormat="1" applyFont="1" applyFill="1" applyBorder="1" applyAlignment="1">
      <alignment horizontal="center" vertical="center"/>
    </xf>
    <xf numFmtId="4" fontId="34" fillId="0" borderId="39" xfId="1" applyNumberFormat="1" applyFont="1" applyFill="1" applyBorder="1" applyAlignment="1">
      <alignment horizontal="center" vertical="center"/>
    </xf>
    <xf numFmtId="10" fontId="36" fillId="0" borderId="9" xfId="1" applyNumberFormat="1" applyFont="1" applyFill="1" applyBorder="1" applyAlignment="1">
      <alignment horizontal="center" vertical="center"/>
    </xf>
    <xf numFmtId="10" fontId="36" fillId="0" borderId="39" xfId="1" applyNumberFormat="1" applyFont="1" applyFill="1" applyBorder="1" applyAlignment="1">
      <alignment horizontal="center" vertical="center"/>
    </xf>
    <xf numFmtId="10" fontId="36" fillId="0" borderId="45" xfId="1" applyNumberFormat="1" applyFont="1" applyFill="1" applyBorder="1" applyAlignment="1">
      <alignment horizontal="center" vertical="center"/>
    </xf>
    <xf numFmtId="10" fontId="36" fillId="0" borderId="26" xfId="1" applyNumberFormat="1" applyFont="1" applyFill="1" applyBorder="1" applyAlignment="1">
      <alignment horizontal="center" vertical="center"/>
    </xf>
    <xf numFmtId="10" fontId="36" fillId="0" borderId="73" xfId="1" applyNumberFormat="1" applyFont="1" applyFill="1" applyBorder="1" applyAlignment="1">
      <alignment horizontal="center" vertical="center"/>
    </xf>
    <xf numFmtId="166" fontId="36" fillId="0" borderId="46" xfId="1" applyNumberFormat="1" applyFont="1" applyFill="1" applyBorder="1" applyAlignment="1">
      <alignment horizontal="center" vertical="center"/>
    </xf>
    <xf numFmtId="166" fontId="36" fillId="0" borderId="75" xfId="1" applyNumberFormat="1" applyFont="1" applyFill="1" applyBorder="1" applyAlignment="1">
      <alignment horizontal="center" vertical="center"/>
    </xf>
    <xf numFmtId="166" fontId="36" fillId="0" borderId="76" xfId="1" applyNumberFormat="1" applyFont="1" applyFill="1" applyBorder="1" applyAlignment="1">
      <alignment horizontal="center" vertical="center"/>
    </xf>
    <xf numFmtId="4" fontId="34" fillId="0" borderId="47" xfId="0" applyNumberFormat="1" applyFont="1" applyFill="1" applyBorder="1" applyAlignment="1">
      <alignment horizontal="center" vertical="center"/>
    </xf>
    <xf numFmtId="4" fontId="34" fillId="0" borderId="30" xfId="0" applyNumberFormat="1" applyFont="1" applyFill="1" applyBorder="1" applyAlignment="1">
      <alignment horizontal="center" vertical="center"/>
    </xf>
    <xf numFmtId="4" fontId="34" fillId="0" borderId="49" xfId="0" applyNumberFormat="1" applyFont="1" applyFill="1" applyBorder="1" applyAlignment="1">
      <alignment horizontal="center" vertical="center"/>
    </xf>
    <xf numFmtId="0" fontId="30" fillId="0" borderId="0" xfId="0" applyFont="1" applyAlignment="1">
      <alignment horizontal="center"/>
    </xf>
    <xf numFmtId="164" fontId="31" fillId="0" borderId="0" xfId="0" applyNumberFormat="1" applyFont="1" applyFill="1"/>
    <xf numFmtId="0" fontId="31" fillId="0" borderId="0" xfId="0" applyFont="1" applyFill="1"/>
    <xf numFmtId="0" fontId="32" fillId="0" borderId="0" xfId="0" applyFont="1" applyFill="1"/>
    <xf numFmtId="0" fontId="33" fillId="0" borderId="0" xfId="0" applyFont="1" applyFill="1"/>
    <xf numFmtId="0" fontId="32" fillId="0" borderId="0" xfId="0" applyFont="1" applyFill="1" applyAlignment="1">
      <alignment horizontal="right"/>
    </xf>
    <xf numFmtId="0" fontId="32" fillId="0" borderId="0" xfId="0" applyFont="1" applyFill="1" applyAlignment="1">
      <alignment horizontal="right"/>
    </xf>
    <xf numFmtId="0" fontId="42" fillId="0" borderId="0" xfId="0" applyFont="1" applyFill="1" applyAlignment="1">
      <alignment horizontal="center" vertical="center" wrapText="1"/>
    </xf>
    <xf numFmtId="0" fontId="34" fillId="0" borderId="0" xfId="0" applyFont="1" applyFill="1" applyAlignment="1">
      <alignment horizontal="center" vertical="center" wrapText="1"/>
    </xf>
    <xf numFmtId="164" fontId="34" fillId="0" borderId="0" xfId="0" applyNumberFormat="1" applyFont="1" applyFill="1" applyAlignment="1">
      <alignment horizontal="center" vertical="center" wrapText="1"/>
    </xf>
    <xf numFmtId="0" fontId="35" fillId="0" borderId="0" xfId="0" applyFont="1" applyFill="1" applyAlignment="1">
      <alignment horizontal="center" vertical="center" wrapText="1"/>
    </xf>
    <xf numFmtId="0" fontId="34" fillId="0" borderId="0" xfId="0" applyFont="1" applyFill="1" applyBorder="1" applyAlignment="1">
      <alignment horizontal="right"/>
    </xf>
    <xf numFmtId="0" fontId="34" fillId="0" borderId="12" xfId="0" applyFont="1" applyFill="1" applyBorder="1" applyAlignment="1">
      <alignment horizontal="center" vertical="center" wrapText="1"/>
    </xf>
    <xf numFmtId="0" fontId="0" fillId="0" borderId="12" xfId="0"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4"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4" fillId="0" borderId="10" xfId="0" applyFont="1" applyFill="1" applyBorder="1" applyAlignment="1">
      <alignment horizontal="center" vertical="center" wrapText="1"/>
    </xf>
    <xf numFmtId="0" fontId="34" fillId="0" borderId="36" xfId="0" applyFont="1" applyFill="1" applyBorder="1" applyAlignment="1">
      <alignment horizontal="center" vertical="center" wrapText="1"/>
    </xf>
    <xf numFmtId="0" fontId="34" fillId="0" borderId="17" xfId="0" applyFont="1" applyFill="1" applyBorder="1" applyAlignment="1">
      <alignment horizontal="center" vertical="center" wrapText="1"/>
    </xf>
    <xf numFmtId="0" fontId="34" fillId="0" borderId="36" xfId="0" applyFont="1" applyFill="1" applyBorder="1" applyAlignment="1">
      <alignment horizontal="center" vertical="center" wrapText="1"/>
    </xf>
    <xf numFmtId="0" fontId="34" fillId="0" borderId="35" xfId="0" applyFont="1" applyFill="1" applyBorder="1" applyAlignment="1">
      <alignment horizontal="center" vertical="center" wrapText="1"/>
    </xf>
    <xf numFmtId="0" fontId="34" fillId="0" borderId="11" xfId="0" applyFont="1" applyFill="1" applyBorder="1" applyAlignment="1">
      <alignment horizontal="center" vertical="center" wrapText="1"/>
    </xf>
    <xf numFmtId="0" fontId="34" fillId="0" borderId="12" xfId="0" applyFont="1" applyFill="1" applyBorder="1" applyAlignment="1">
      <alignment horizontal="center" vertical="center" wrapText="1"/>
    </xf>
    <xf numFmtId="0" fontId="34" fillId="0" borderId="4" xfId="0" applyFont="1" applyFill="1" applyBorder="1" applyAlignment="1">
      <alignment horizontal="center" vertical="center" wrapText="1"/>
    </xf>
    <xf numFmtId="0" fontId="34" fillId="0" borderId="13" xfId="0" applyFont="1" applyFill="1" applyBorder="1" applyAlignment="1">
      <alignment horizontal="center" vertical="center" wrapText="1"/>
    </xf>
    <xf numFmtId="0" fontId="34" fillId="0" borderId="14" xfId="0" applyFont="1" applyFill="1" applyBorder="1" applyAlignment="1">
      <alignment horizontal="center" vertical="center" wrapText="1"/>
    </xf>
    <xf numFmtId="0" fontId="34" fillId="0" borderId="15" xfId="0" applyFont="1" applyFill="1" applyBorder="1" applyAlignment="1">
      <alignment horizontal="center" vertical="center" wrapText="1"/>
    </xf>
    <xf numFmtId="0" fontId="34" fillId="0" borderId="16" xfId="0" applyFont="1" applyFill="1" applyBorder="1" applyAlignment="1">
      <alignment horizontal="center" vertical="center" wrapText="1"/>
    </xf>
    <xf numFmtId="0" fontId="34" fillId="0" borderId="17" xfId="0" applyFont="1" applyFill="1" applyBorder="1" applyAlignment="1">
      <alignment horizontal="center" vertical="center" wrapText="1"/>
    </xf>
    <xf numFmtId="0" fontId="34" fillId="0" borderId="18" xfId="0" applyFont="1" applyFill="1" applyBorder="1" applyAlignment="1">
      <alignment horizontal="center" vertical="center" wrapText="1"/>
    </xf>
    <xf numFmtId="0" fontId="34" fillId="0" borderId="19" xfId="0" applyFont="1" applyFill="1" applyBorder="1" applyAlignment="1">
      <alignment horizontal="center" vertical="center" wrapText="1"/>
    </xf>
    <xf numFmtId="0" fontId="34" fillId="0" borderId="20" xfId="0" applyFont="1" applyFill="1" applyBorder="1" applyAlignment="1">
      <alignment horizontal="center" vertical="center" wrapText="1"/>
    </xf>
    <xf numFmtId="0" fontId="34" fillId="0" borderId="21" xfId="0" applyFont="1" applyFill="1" applyBorder="1" applyAlignment="1">
      <alignment horizontal="center" vertical="center" wrapText="1"/>
    </xf>
    <xf numFmtId="0" fontId="34" fillId="0" borderId="22" xfId="0" applyFont="1" applyFill="1" applyBorder="1" applyAlignment="1">
      <alignment horizontal="center" vertical="center" wrapText="1"/>
    </xf>
    <xf numFmtId="0" fontId="34" fillId="0" borderId="66" xfId="0" applyFont="1" applyFill="1" applyBorder="1" applyAlignment="1">
      <alignment horizontal="center" vertical="center" wrapText="1"/>
    </xf>
    <xf numFmtId="0" fontId="34" fillId="0" borderId="69" xfId="0" applyFont="1" applyFill="1" applyBorder="1" applyAlignment="1">
      <alignment horizontal="center" vertical="center" wrapText="1"/>
    </xf>
    <xf numFmtId="0" fontId="31" fillId="0" borderId="23" xfId="0" applyFont="1" applyFill="1" applyBorder="1"/>
    <xf numFmtId="0" fontId="31" fillId="0" borderId="5" xfId="0" applyFont="1" applyFill="1" applyBorder="1"/>
    <xf numFmtId="0" fontId="31" fillId="0" borderId="12" xfId="0" applyFont="1" applyFill="1" applyBorder="1"/>
    <xf numFmtId="0" fontId="31" fillId="0" borderId="24" xfId="0" applyFont="1" applyFill="1" applyBorder="1"/>
    <xf numFmtId="0" fontId="31" fillId="0" borderId="4" xfId="0" applyFont="1" applyFill="1" applyBorder="1"/>
    <xf numFmtId="0" fontId="31" fillId="0" borderId="2" xfId="0" applyFont="1" applyFill="1" applyBorder="1"/>
    <xf numFmtId="0" fontId="31" fillId="0" borderId="16" xfId="0" applyFont="1" applyFill="1" applyBorder="1"/>
    <xf numFmtId="0" fontId="31" fillId="0" borderId="17" xfId="0" applyFont="1" applyFill="1" applyBorder="1"/>
    <xf numFmtId="0" fontId="31" fillId="0" borderId="25" xfId="0" applyFont="1" applyFill="1" applyBorder="1"/>
    <xf numFmtId="0" fontId="31" fillId="0" borderId="0" xfId="0" applyFont="1" applyFill="1" applyBorder="1"/>
    <xf numFmtId="0" fontId="31" fillId="0" borderId="26" xfId="0" applyFont="1" applyFill="1" applyBorder="1" applyAlignment="1">
      <alignment horizontal="center"/>
    </xf>
    <xf numFmtId="0" fontId="31" fillId="0" borderId="26" xfId="0" applyFont="1" applyFill="1" applyBorder="1" applyAlignment="1">
      <alignment horizontal="center"/>
    </xf>
    <xf numFmtId="0" fontId="32" fillId="0" borderId="26" xfId="0" applyFont="1" applyFill="1" applyBorder="1"/>
    <xf numFmtId="0" fontId="33" fillId="0" borderId="26" xfId="0" applyFont="1" applyFill="1" applyBorder="1"/>
    <xf numFmtId="0" fontId="31" fillId="0" borderId="23" xfId="0" applyFont="1" applyFill="1" applyBorder="1" applyAlignment="1"/>
    <xf numFmtId="0" fontId="31" fillId="0" borderId="5" xfId="0" applyFont="1" applyFill="1" applyBorder="1" applyAlignment="1"/>
    <xf numFmtId="0" fontId="31" fillId="0" borderId="4" xfId="0" applyFont="1" applyFill="1" applyBorder="1" applyAlignment="1"/>
    <xf numFmtId="0" fontId="38" fillId="0" borderId="13" xfId="0" applyFont="1" applyFill="1" applyBorder="1" applyAlignment="1">
      <alignment horizontal="center"/>
    </xf>
    <xf numFmtId="0" fontId="39" fillId="0" borderId="15" xfId="0" applyFont="1" applyFill="1" applyBorder="1" applyAlignment="1">
      <alignment horizontal="center"/>
    </xf>
    <xf numFmtId="164" fontId="36" fillId="0" borderId="15" xfId="0" applyNumberFormat="1" applyFont="1" applyFill="1" applyBorder="1" applyAlignment="1">
      <alignment horizontal="center" vertical="center" wrapText="1"/>
    </xf>
    <xf numFmtId="164" fontId="36" fillId="0" borderId="4" xfId="0" applyNumberFormat="1" applyFont="1" applyFill="1" applyBorder="1" applyAlignment="1">
      <alignment horizontal="center" vertical="center" wrapText="1"/>
    </xf>
    <xf numFmtId="164" fontId="36" fillId="0" borderId="5" xfId="0" applyNumberFormat="1" applyFont="1" applyFill="1" applyBorder="1" applyAlignment="1">
      <alignment horizontal="center" vertical="center" wrapText="1"/>
    </xf>
    <xf numFmtId="164" fontId="36" fillId="0" borderId="4" xfId="0" applyNumberFormat="1" applyFont="1" applyFill="1" applyBorder="1" applyAlignment="1">
      <alignment vertical="center" wrapText="1"/>
    </xf>
    <xf numFmtId="166" fontId="36" fillId="0" borderId="5" xfId="0" applyNumberFormat="1" applyFont="1" applyFill="1" applyBorder="1" applyAlignment="1">
      <alignment vertical="center" wrapText="1"/>
    </xf>
    <xf numFmtId="164" fontId="36" fillId="0" borderId="5" xfId="0" applyNumberFormat="1" applyFont="1" applyFill="1" applyBorder="1" applyAlignment="1">
      <alignment vertical="center" wrapText="1"/>
    </xf>
    <xf numFmtId="164" fontId="36" fillId="0" borderId="34" xfId="0" applyNumberFormat="1" applyFont="1" applyFill="1" applyBorder="1" applyAlignment="1">
      <alignment vertical="center" wrapText="1"/>
    </xf>
    <xf numFmtId="164" fontId="36" fillId="0" borderId="68" xfId="0" applyNumberFormat="1" applyFont="1" applyFill="1" applyBorder="1" applyAlignment="1">
      <alignment vertical="center" wrapText="1"/>
    </xf>
    <xf numFmtId="4" fontId="33" fillId="0" borderId="33" xfId="0" applyNumberFormat="1" applyFont="1" applyFill="1" applyBorder="1" applyAlignment="1"/>
    <xf numFmtId="166" fontId="33" fillId="0" borderId="33" xfId="0" applyNumberFormat="1" applyFont="1" applyFill="1" applyBorder="1" applyAlignment="1"/>
    <xf numFmtId="166" fontId="34" fillId="0" borderId="14" xfId="0" applyNumberFormat="1" applyFont="1" applyFill="1" applyBorder="1" applyAlignment="1"/>
    <xf numFmtId="4" fontId="33" fillId="0" borderId="13" xfId="0" applyNumberFormat="1" applyFont="1" applyFill="1" applyBorder="1" applyAlignment="1"/>
    <xf numFmtId="4" fontId="32" fillId="0" borderId="33" xfId="0" applyNumberFormat="1" applyFont="1" applyFill="1" applyBorder="1" applyAlignment="1"/>
    <xf numFmtId="10" fontId="32" fillId="0" borderId="33" xfId="0" applyNumberFormat="1" applyFont="1" applyFill="1" applyBorder="1" applyAlignment="1"/>
    <xf numFmtId="166" fontId="32" fillId="0" borderId="15" xfId="0" applyNumberFormat="1" applyFont="1" applyFill="1" applyBorder="1" applyAlignment="1"/>
    <xf numFmtId="166" fontId="32" fillId="0" borderId="67" xfId="0" applyNumberFormat="1" applyFont="1" applyFill="1" applyBorder="1" applyAlignment="1"/>
    <xf numFmtId="166" fontId="32" fillId="0" borderId="74" xfId="0" applyNumberFormat="1" applyFont="1" applyFill="1" applyBorder="1" applyAlignment="1"/>
    <xf numFmtId="10" fontId="40" fillId="0" borderId="74" xfId="0" applyNumberFormat="1" applyFont="1" applyFill="1" applyBorder="1" applyAlignment="1"/>
    <xf numFmtId="166" fontId="32" fillId="0" borderId="33" xfId="1" applyNumberFormat="1" applyFont="1" applyFill="1" applyBorder="1" applyAlignment="1"/>
    <xf numFmtId="166" fontId="32" fillId="0" borderId="15" xfId="1" applyNumberFormat="1" applyFont="1" applyFill="1" applyBorder="1" applyAlignment="1"/>
    <xf numFmtId="0" fontId="38" fillId="0" borderId="3" xfId="0" applyFont="1" applyFill="1" applyBorder="1"/>
    <xf numFmtId="0" fontId="31" fillId="0" borderId="35" xfId="0" applyFont="1" applyFill="1" applyBorder="1" applyAlignment="1"/>
    <xf numFmtId="0" fontId="31" fillId="0" borderId="36" xfId="0" applyFont="1" applyFill="1" applyBorder="1" applyAlignment="1"/>
    <xf numFmtId="0" fontId="39" fillId="0" borderId="4" xfId="0" applyFont="1" applyFill="1" applyBorder="1" applyAlignment="1">
      <alignment horizontal="center"/>
    </xf>
    <xf numFmtId="0" fontId="39" fillId="0" borderId="2" xfId="0" applyFont="1" applyFill="1" applyBorder="1" applyAlignment="1">
      <alignment horizontal="center"/>
    </xf>
    <xf numFmtId="0" fontId="31" fillId="0" borderId="8" xfId="0" applyFont="1" applyFill="1" applyBorder="1" applyAlignment="1"/>
    <xf numFmtId="164" fontId="36" fillId="0" borderId="10" xfId="0" applyNumberFormat="1" applyFont="1" applyFill="1" applyBorder="1" applyAlignment="1">
      <alignment horizontal="center" vertical="center" wrapText="1"/>
    </xf>
    <xf numFmtId="164" fontId="36" fillId="0" borderId="6" xfId="0" applyNumberFormat="1" applyFont="1" applyFill="1" applyBorder="1" applyAlignment="1">
      <alignment horizontal="center" vertical="center" wrapText="1"/>
    </xf>
    <xf numFmtId="166" fontId="36" fillId="0" borderId="7" xfId="0" applyNumberFormat="1" applyFont="1" applyFill="1" applyBorder="1" applyAlignment="1">
      <alignment horizontal="center" vertical="center" wrapText="1"/>
    </xf>
    <xf numFmtId="0" fontId="31" fillId="0" borderId="9" xfId="0" applyFont="1" applyFill="1" applyBorder="1" applyAlignment="1"/>
    <xf numFmtId="0" fontId="31" fillId="0" borderId="10" xfId="0" applyFont="1" applyFill="1" applyBorder="1" applyAlignment="1"/>
    <xf numFmtId="0" fontId="31" fillId="0" borderId="1" xfId="0" applyFont="1" applyFill="1" applyBorder="1" applyAlignment="1"/>
    <xf numFmtId="4" fontId="33" fillId="0" borderId="8" xfId="0" applyNumberFormat="1" applyFont="1" applyFill="1" applyBorder="1" applyAlignment="1"/>
    <xf numFmtId="4" fontId="33" fillId="0" borderId="9" xfId="0" applyNumberFormat="1" applyFont="1" applyFill="1" applyBorder="1" applyAlignment="1"/>
    <xf numFmtId="166" fontId="33" fillId="0" borderId="10" xfId="0" applyNumberFormat="1" applyFont="1" applyFill="1" applyBorder="1" applyAlignment="1"/>
    <xf numFmtId="166" fontId="34" fillId="0" borderId="36" xfId="0" applyNumberFormat="1" applyFont="1" applyFill="1" applyBorder="1" applyAlignment="1"/>
    <xf numFmtId="4" fontId="33" fillId="0" borderId="6" xfId="0" applyNumberFormat="1" applyFont="1" applyFill="1" applyBorder="1" applyAlignment="1"/>
    <xf numFmtId="4" fontId="32" fillId="0" borderId="9" xfId="0" applyNumberFormat="1" applyFont="1" applyFill="1" applyBorder="1" applyAlignment="1"/>
    <xf numFmtId="10" fontId="32" fillId="0" borderId="9" xfId="0" applyNumberFormat="1" applyFont="1" applyFill="1" applyBorder="1" applyAlignment="1"/>
    <xf numFmtId="166" fontId="32" fillId="0" borderId="7" xfId="0" applyNumberFormat="1" applyFont="1" applyFill="1" applyBorder="1" applyAlignment="1"/>
    <xf numFmtId="4" fontId="35" fillId="0" borderId="32" xfId="0" applyNumberFormat="1" applyFont="1" applyFill="1" applyBorder="1" applyAlignment="1"/>
    <xf numFmtId="10" fontId="40" fillId="0" borderId="32" xfId="0" applyNumberFormat="1" applyFont="1" applyFill="1" applyBorder="1" applyAlignment="1"/>
    <xf numFmtId="10" fontId="40" fillId="0" borderId="32" xfId="0" applyNumberFormat="1" applyFont="1" applyFill="1" applyBorder="1" applyAlignment="1">
      <alignment horizontal="center"/>
    </xf>
    <xf numFmtId="166" fontId="32" fillId="0" borderId="9" xfId="1" applyNumberFormat="1" applyFont="1" applyFill="1" applyBorder="1" applyAlignment="1"/>
    <xf numFmtId="166" fontId="32" fillId="0" borderId="7" xfId="1" applyNumberFormat="1" applyFont="1" applyFill="1" applyBorder="1" applyAlignment="1"/>
    <xf numFmtId="0" fontId="38" fillId="0" borderId="41" xfId="0" applyFont="1" applyFill="1" applyBorder="1" applyAlignment="1">
      <alignment horizontal="center" vertical="center"/>
    </xf>
    <xf numFmtId="0" fontId="38" fillId="0" borderId="6" xfId="0" applyFont="1" applyFill="1" applyBorder="1" applyAlignment="1">
      <alignment horizontal="center"/>
    </xf>
    <xf numFmtId="4" fontId="33" fillId="0" borderId="38" xfId="0" applyNumberFormat="1" applyFont="1" applyFill="1" applyBorder="1" applyAlignment="1">
      <alignment horizontal="center" vertical="center"/>
    </xf>
    <xf numFmtId="164" fontId="36" fillId="0" borderId="41" xfId="0" applyNumberFormat="1" applyFont="1" applyFill="1" applyBorder="1" applyAlignment="1">
      <alignment horizontal="center" vertical="center" wrapText="1"/>
    </xf>
    <xf numFmtId="164" fontId="38" fillId="0" borderId="44" xfId="0" applyNumberFormat="1" applyFont="1" applyFill="1" applyBorder="1" applyAlignment="1">
      <alignment horizontal="center" vertical="center"/>
    </xf>
    <xf numFmtId="164" fontId="36" fillId="0" borderId="46" xfId="0" applyNumberFormat="1" applyFont="1" applyFill="1" applyBorder="1" applyAlignment="1">
      <alignment horizontal="center" vertical="center" wrapText="1"/>
    </xf>
    <xf numFmtId="164" fontId="34" fillId="0" borderId="47" xfId="0" applyNumberFormat="1" applyFont="1" applyFill="1" applyBorder="1" applyAlignment="1">
      <alignment horizontal="center" vertical="center" wrapText="1"/>
    </xf>
    <xf numFmtId="164" fontId="38" fillId="0" borderId="20" xfId="0" applyNumberFormat="1" applyFont="1" applyFill="1" applyBorder="1" applyAlignment="1">
      <alignment horizontal="center" vertical="center"/>
    </xf>
    <xf numFmtId="164" fontId="36" fillId="0" borderId="22" xfId="0" applyNumberFormat="1" applyFont="1" applyFill="1" applyBorder="1" applyAlignment="1">
      <alignment horizontal="center" vertical="center" wrapText="1"/>
    </xf>
    <xf numFmtId="164" fontId="34" fillId="0" borderId="18" xfId="0" applyNumberFormat="1" applyFont="1" applyFill="1" applyBorder="1" applyAlignment="1">
      <alignment horizontal="center" vertical="center" wrapText="1"/>
    </xf>
    <xf numFmtId="165" fontId="34" fillId="0" borderId="18" xfId="0" applyNumberFormat="1" applyFont="1" applyFill="1" applyBorder="1" applyAlignment="1">
      <alignment horizontal="center" vertical="center" wrapText="1"/>
    </xf>
    <xf numFmtId="166" fontId="36" fillId="0" borderId="19" xfId="0" applyNumberFormat="1" applyFont="1" applyFill="1" applyBorder="1" applyAlignment="1">
      <alignment horizontal="center" vertical="center" wrapText="1"/>
    </xf>
    <xf numFmtId="165" fontId="38" fillId="0" borderId="20" xfId="0" applyNumberFormat="1" applyFont="1" applyFill="1" applyBorder="1" applyAlignment="1">
      <alignment horizontal="center" vertical="center"/>
    </xf>
    <xf numFmtId="165" fontId="38" fillId="0" borderId="66" xfId="0" applyNumberFormat="1" applyFont="1" applyFill="1" applyBorder="1" applyAlignment="1">
      <alignment horizontal="center" vertical="center"/>
    </xf>
    <xf numFmtId="165" fontId="38" fillId="0" borderId="11" xfId="0" applyNumberFormat="1" applyFont="1" applyFill="1" applyBorder="1" applyAlignment="1">
      <alignment horizontal="center" vertical="center"/>
    </xf>
    <xf numFmtId="0" fontId="31" fillId="0" borderId="4" xfId="0" applyFont="1" applyFill="1" applyBorder="1" applyAlignment="1">
      <alignment vertical="center"/>
    </xf>
    <xf numFmtId="164" fontId="36" fillId="0" borderId="67" xfId="0" applyNumberFormat="1" applyFont="1" applyFill="1" applyBorder="1" applyAlignment="1">
      <alignment vertical="center" wrapText="1"/>
    </xf>
    <xf numFmtId="0" fontId="34" fillId="0" borderId="36" xfId="0" applyFont="1" applyFill="1" applyBorder="1" applyAlignment="1">
      <alignment vertical="center"/>
    </xf>
    <xf numFmtId="4" fontId="36" fillId="0" borderId="6" xfId="0" applyNumberFormat="1" applyFont="1" applyFill="1" applyBorder="1" applyAlignment="1">
      <alignment horizontal="center" vertical="center" wrapText="1"/>
    </xf>
    <xf numFmtId="166" fontId="36" fillId="0" borderId="9" xfId="0" applyNumberFormat="1" applyFont="1" applyFill="1" applyBorder="1" applyAlignment="1">
      <alignment horizontal="center" vertical="center" wrapText="1"/>
    </xf>
    <xf numFmtId="0" fontId="38" fillId="0" borderId="18" xfId="0" applyFont="1" applyFill="1" applyBorder="1" applyAlignment="1">
      <alignment horizontal="center" vertical="center"/>
    </xf>
    <xf numFmtId="4" fontId="34" fillId="0" borderId="18" xfId="0" applyNumberFormat="1" applyFont="1" applyFill="1" applyBorder="1" applyAlignment="1">
      <alignment horizontal="center" vertical="center" wrapText="1"/>
    </xf>
    <xf numFmtId="166" fontId="36" fillId="0" borderId="21" xfId="0" applyNumberFormat="1" applyFont="1" applyFill="1" applyBorder="1" applyAlignment="1">
      <alignment horizontal="center" vertical="center" wrapText="1"/>
    </xf>
    <xf numFmtId="4" fontId="38" fillId="0" borderId="22" xfId="0" applyNumberFormat="1" applyFont="1" applyFill="1" applyBorder="1" applyAlignment="1">
      <alignment horizontal="center" vertical="center"/>
    </xf>
    <xf numFmtId="4" fontId="38" fillId="0" borderId="64" xfId="0" applyNumberFormat="1" applyFont="1" applyFill="1" applyBorder="1" applyAlignment="1">
      <alignment horizontal="center" vertical="center"/>
    </xf>
    <xf numFmtId="0" fontId="33" fillId="0" borderId="4" xfId="0" applyFont="1" applyFill="1" applyBorder="1" applyAlignment="1">
      <alignment vertical="center"/>
    </xf>
    <xf numFmtId="164" fontId="36" fillId="0" borderId="16" xfId="0" applyNumberFormat="1" applyFont="1" applyFill="1" applyBorder="1" applyAlignment="1">
      <alignment vertical="center" wrapText="1"/>
    </xf>
    <xf numFmtId="0" fontId="34" fillId="0" borderId="32" xfId="0" applyFont="1" applyFill="1" applyBorder="1" applyAlignment="1">
      <alignment vertical="center"/>
    </xf>
    <xf numFmtId="4" fontId="34" fillId="0" borderId="6" xfId="0" applyNumberFormat="1" applyFont="1" applyFill="1" applyBorder="1" applyAlignment="1">
      <alignment horizontal="center" vertical="center" wrapText="1"/>
    </xf>
    <xf numFmtId="4" fontId="33" fillId="0" borderId="42" xfId="0" applyNumberFormat="1" applyFont="1" applyFill="1" applyBorder="1" applyAlignment="1">
      <alignment horizontal="center" vertical="center"/>
    </xf>
    <xf numFmtId="4" fontId="39" fillId="0" borderId="38" xfId="0" applyNumberFormat="1" applyFont="1" applyFill="1" applyBorder="1" applyAlignment="1">
      <alignment horizontal="center" vertical="center"/>
    </xf>
    <xf numFmtId="164" fontId="34" fillId="0" borderId="52" xfId="0" applyNumberFormat="1" applyFont="1" applyFill="1" applyBorder="1" applyAlignment="1">
      <alignment horizontal="center"/>
    </xf>
    <xf numFmtId="164" fontId="34" fillId="0" borderId="38" xfId="0" applyNumberFormat="1" applyFont="1" applyFill="1" applyBorder="1" applyAlignment="1">
      <alignment horizontal="center"/>
    </xf>
    <xf numFmtId="4" fontId="36" fillId="0" borderId="40" xfId="0" applyNumberFormat="1" applyFont="1" applyFill="1" applyBorder="1" applyAlignment="1">
      <alignment horizontal="center" vertical="center"/>
    </xf>
    <xf numFmtId="4" fontId="33" fillId="0" borderId="41" xfId="0" applyNumberFormat="1" applyFont="1" applyFill="1" applyBorder="1" applyAlignment="1">
      <alignment horizontal="center" vertical="center"/>
    </xf>
    <xf numFmtId="4" fontId="33" fillId="0" borderId="40" xfId="0" applyNumberFormat="1" applyFont="1" applyFill="1" applyBorder="1" applyAlignment="1">
      <alignment horizontal="center" vertical="center"/>
    </xf>
    <xf numFmtId="4" fontId="33" fillId="0" borderId="37" xfId="0" applyNumberFormat="1" applyFont="1" applyFill="1" applyBorder="1" applyAlignment="1">
      <alignment horizontal="center" vertical="center"/>
    </xf>
    <xf numFmtId="4" fontId="37" fillId="0" borderId="21" xfId="0" applyNumberFormat="1" applyFont="1" applyFill="1" applyBorder="1" applyAlignment="1">
      <alignment horizontal="center"/>
    </xf>
    <xf numFmtId="4" fontId="34" fillId="0" borderId="19" xfId="0" applyNumberFormat="1" applyFont="1" applyFill="1" applyBorder="1" applyAlignment="1">
      <alignment horizontal="center" vertical="center" wrapText="1"/>
    </xf>
    <xf numFmtId="4" fontId="39" fillId="0" borderId="20" xfId="0" applyNumberFormat="1" applyFont="1" applyFill="1" applyBorder="1" applyAlignment="1">
      <alignment horizontal="center" vertical="center"/>
    </xf>
    <xf numFmtId="4" fontId="34" fillId="0" borderId="22" xfId="0" applyNumberFormat="1" applyFont="1" applyFill="1" applyBorder="1" applyAlignment="1">
      <alignment horizontal="center" vertical="center" wrapText="1"/>
    </xf>
    <xf numFmtId="4" fontId="34" fillId="0" borderId="11" xfId="0" applyNumberFormat="1" applyFont="1" applyFill="1" applyBorder="1" applyAlignment="1">
      <alignment horizontal="center" vertical="center" wrapText="1"/>
    </xf>
    <xf numFmtId="4" fontId="36" fillId="0" borderId="21" xfId="0" applyNumberFormat="1" applyFont="1" applyFill="1" applyBorder="1" applyAlignment="1">
      <alignment horizontal="center"/>
    </xf>
    <xf numFmtId="0" fontId="34" fillId="0" borderId="4" xfId="0" applyFont="1" applyFill="1" applyBorder="1" applyAlignment="1">
      <alignment vertical="center"/>
    </xf>
    <xf numFmtId="164" fontId="38" fillId="0" borderId="52" xfId="0" applyNumberFormat="1" applyFont="1" applyFill="1" applyBorder="1" applyAlignment="1">
      <alignment horizontal="center" vertical="center"/>
    </xf>
    <xf numFmtId="0" fontId="38" fillId="0" borderId="52" xfId="0" applyFont="1" applyFill="1" applyBorder="1" applyAlignment="1">
      <alignment horizontal="center"/>
    </xf>
    <xf numFmtId="164" fontId="38" fillId="0" borderId="38" xfId="0" applyNumberFormat="1" applyFont="1" applyFill="1" applyBorder="1" applyAlignment="1">
      <alignment horizontal="center"/>
    </xf>
    <xf numFmtId="4" fontId="38" fillId="0" borderId="39" xfId="0" applyNumberFormat="1" applyFont="1" applyFill="1" applyBorder="1" applyAlignment="1">
      <alignment horizontal="center"/>
    </xf>
    <xf numFmtId="164" fontId="38" fillId="0" borderId="52" xfId="0" applyNumberFormat="1" applyFont="1" applyFill="1" applyBorder="1" applyAlignment="1">
      <alignment horizontal="center"/>
    </xf>
    <xf numFmtId="0" fontId="38" fillId="0" borderId="54" xfId="0" applyFont="1" applyFill="1" applyBorder="1" applyAlignment="1">
      <alignment horizontal="center" vertical="center"/>
    </xf>
    <xf numFmtId="4" fontId="34" fillId="0" borderId="47" xfId="0" applyNumberFormat="1" applyFont="1" applyFill="1" applyBorder="1" applyAlignment="1">
      <alignment horizontal="center" vertical="center" wrapText="1"/>
    </xf>
    <xf numFmtId="166" fontId="36" fillId="0" borderId="45" xfId="0" applyNumberFormat="1" applyFont="1" applyFill="1" applyBorder="1" applyAlignment="1">
      <alignment horizontal="center" vertical="center" wrapText="1"/>
    </xf>
    <xf numFmtId="4" fontId="38" fillId="0" borderId="45" xfId="0" applyNumberFormat="1" applyFont="1" applyFill="1" applyBorder="1" applyAlignment="1">
      <alignment horizontal="center" vertical="center"/>
    </xf>
    <xf numFmtId="4" fontId="37" fillId="0" borderId="46" xfId="0" applyNumberFormat="1" applyFont="1" applyFill="1" applyBorder="1" applyAlignment="1">
      <alignment horizontal="center" vertical="center"/>
    </xf>
    <xf numFmtId="4" fontId="39" fillId="0" borderId="47" xfId="0" applyNumberFormat="1" applyFont="1" applyFill="1" applyBorder="1" applyAlignment="1">
      <alignment horizontal="center" vertical="center"/>
    </xf>
    <xf numFmtId="4" fontId="39" fillId="0" borderId="45" xfId="0" applyNumberFormat="1" applyFont="1" applyFill="1" applyBorder="1" applyAlignment="1">
      <alignment horizontal="center" vertical="center"/>
    </xf>
    <xf numFmtId="4" fontId="33" fillId="0" borderId="45" xfId="0" applyNumberFormat="1" applyFont="1" applyFill="1" applyBorder="1" applyAlignment="1">
      <alignment horizontal="center" vertical="center"/>
    </xf>
    <xf numFmtId="4" fontId="39" fillId="0" borderId="46" xfId="0" applyNumberFormat="1" applyFont="1" applyFill="1" applyBorder="1" applyAlignment="1">
      <alignment horizontal="center" vertical="center"/>
    </xf>
    <xf numFmtId="4" fontId="39" fillId="0" borderId="43" xfId="0" applyNumberFormat="1" applyFont="1" applyFill="1" applyBorder="1" applyAlignment="1">
      <alignment horizontal="center" vertical="center"/>
    </xf>
    <xf numFmtId="0" fontId="38" fillId="0" borderId="54" xfId="0" applyFont="1" applyFill="1" applyBorder="1" applyAlignment="1">
      <alignment horizontal="center"/>
    </xf>
    <xf numFmtId="4" fontId="33" fillId="0" borderId="21" xfId="0" applyNumberFormat="1" applyFont="1" applyFill="1" applyBorder="1" applyAlignment="1">
      <alignment horizontal="center" vertical="center"/>
    </xf>
    <xf numFmtId="4" fontId="39" fillId="0" borderId="22" xfId="0" applyNumberFormat="1" applyFont="1" applyFill="1" applyBorder="1" applyAlignment="1">
      <alignment horizontal="center" vertical="center"/>
    </xf>
    <xf numFmtId="4" fontId="39" fillId="0" borderId="11" xfId="0" applyNumberFormat="1" applyFont="1" applyFill="1" applyBorder="1" applyAlignment="1">
      <alignment horizontal="center" vertical="center"/>
    </xf>
    <xf numFmtId="164" fontId="34" fillId="0" borderId="13" xfId="0" applyNumberFormat="1" applyFont="1" applyFill="1" applyBorder="1" applyAlignment="1">
      <alignment horizontal="center" vertical="center"/>
    </xf>
    <xf numFmtId="164" fontId="36" fillId="0" borderId="14" xfId="0" applyNumberFormat="1" applyFont="1" applyFill="1" applyBorder="1" applyAlignment="1">
      <alignment horizontal="center" vertical="center" wrapText="1"/>
    </xf>
    <xf numFmtId="164" fontId="34" fillId="0" borderId="13" xfId="0" applyNumberFormat="1" applyFont="1" applyFill="1" applyBorder="1" applyAlignment="1">
      <alignment horizontal="center" vertical="center" wrapText="1"/>
    </xf>
    <xf numFmtId="166" fontId="36" fillId="0" borderId="33" xfId="0" applyNumberFormat="1" applyFont="1" applyFill="1" applyBorder="1" applyAlignment="1">
      <alignment horizontal="center" vertical="center" wrapText="1"/>
    </xf>
    <xf numFmtId="4" fontId="38" fillId="0" borderId="33" xfId="0" applyNumberFormat="1" applyFont="1" applyFill="1" applyBorder="1" applyAlignment="1">
      <alignment horizontal="center" vertical="center"/>
    </xf>
    <xf numFmtId="4" fontId="37" fillId="0" borderId="33" xfId="0" applyNumberFormat="1" applyFont="1" applyFill="1" applyBorder="1" applyAlignment="1">
      <alignment horizontal="center" vertical="center"/>
    </xf>
    <xf numFmtId="4" fontId="37" fillId="0" borderId="14" xfId="0" applyNumberFormat="1" applyFont="1" applyFill="1" applyBorder="1" applyAlignment="1">
      <alignment horizontal="center" vertical="center"/>
    </xf>
    <xf numFmtId="4" fontId="34" fillId="0" borderId="23" xfId="0" applyNumberFormat="1" applyFont="1" applyFill="1" applyBorder="1" applyAlignment="1">
      <alignment horizontal="center" vertical="center" wrapText="1"/>
    </xf>
    <xf numFmtId="4" fontId="34" fillId="0" borderId="34" xfId="0" applyNumberFormat="1" applyFont="1" applyFill="1" applyBorder="1" applyAlignment="1">
      <alignment horizontal="center" vertical="center"/>
    </xf>
    <xf numFmtId="4" fontId="36" fillId="0" borderId="33" xfId="0" applyNumberFormat="1" applyFont="1" applyFill="1" applyBorder="1" applyAlignment="1">
      <alignment horizontal="center" vertical="center"/>
    </xf>
    <xf numFmtId="4" fontId="34" fillId="0" borderId="23" xfId="0" applyNumberFormat="1" applyFont="1" applyFill="1" applyBorder="1" applyAlignment="1">
      <alignment horizontal="center" vertical="center"/>
    </xf>
    <xf numFmtId="4" fontId="34" fillId="0" borderId="13" xfId="1" applyNumberFormat="1" applyFont="1" applyFill="1" applyBorder="1" applyAlignment="1">
      <alignment horizontal="center" vertical="center"/>
    </xf>
    <xf numFmtId="0" fontId="34" fillId="0" borderId="0" xfId="0" applyFont="1" applyFill="1" applyBorder="1" applyAlignment="1">
      <alignment horizontal="left" vertical="center"/>
    </xf>
    <xf numFmtId="164" fontId="37" fillId="0" borderId="0" xfId="0" applyNumberFormat="1" applyFont="1" applyFill="1" applyBorder="1" applyAlignment="1">
      <alignment horizontal="center" vertical="center"/>
    </xf>
    <xf numFmtId="164" fontId="38" fillId="0" borderId="0" xfId="0" applyNumberFormat="1" applyFont="1" applyFill="1" applyBorder="1" applyAlignment="1">
      <alignment horizontal="center" vertical="center"/>
    </xf>
    <xf numFmtId="164" fontId="36" fillId="0" borderId="0" xfId="0" applyNumberFormat="1" applyFont="1" applyFill="1" applyBorder="1" applyAlignment="1">
      <alignment horizontal="center" vertical="center" wrapText="1"/>
    </xf>
    <xf numFmtId="164" fontId="34" fillId="0" borderId="0" xfId="0" applyNumberFormat="1" applyFont="1" applyFill="1" applyBorder="1" applyAlignment="1">
      <alignment horizontal="center" vertical="center" wrapText="1"/>
    </xf>
    <xf numFmtId="4" fontId="34" fillId="0" borderId="0" xfId="0" applyNumberFormat="1" applyFont="1" applyFill="1" applyBorder="1" applyAlignment="1">
      <alignment horizontal="center" vertical="center" wrapText="1"/>
    </xf>
    <xf numFmtId="166" fontId="36" fillId="0" borderId="0" xfId="0" applyNumberFormat="1" applyFont="1" applyFill="1" applyBorder="1" applyAlignment="1">
      <alignment horizontal="center" vertical="center" wrapText="1"/>
    </xf>
    <xf numFmtId="4" fontId="38" fillId="0" borderId="0" xfId="0" applyNumberFormat="1" applyFont="1" applyFill="1" applyBorder="1" applyAlignment="1">
      <alignment horizontal="center" vertical="center"/>
    </xf>
    <xf numFmtId="4" fontId="37" fillId="0" borderId="0" xfId="0" applyNumberFormat="1" applyFont="1" applyFill="1" applyBorder="1" applyAlignment="1">
      <alignment horizontal="center" vertical="center"/>
    </xf>
    <xf numFmtId="4" fontId="34" fillId="0" borderId="0" xfId="0" applyNumberFormat="1" applyFont="1" applyFill="1" applyBorder="1" applyAlignment="1">
      <alignment horizontal="center" vertical="center"/>
    </xf>
    <xf numFmtId="4" fontId="36" fillId="0" borderId="0" xfId="0" applyNumberFormat="1" applyFont="1" applyFill="1" applyBorder="1" applyAlignment="1">
      <alignment horizontal="center" vertical="center"/>
    </xf>
    <xf numFmtId="0" fontId="31" fillId="0" borderId="0" xfId="0" applyFont="1" applyFill="1" applyBorder="1" applyAlignment="1">
      <alignment horizontal="left" vertical="top"/>
    </xf>
    <xf numFmtId="0" fontId="31" fillId="0" borderId="0" xfId="0" applyFont="1" applyFill="1" applyBorder="1" applyAlignment="1">
      <alignment horizontal="center"/>
    </xf>
    <xf numFmtId="0" fontId="32" fillId="0" borderId="0" xfId="0" applyFont="1" applyFill="1" applyBorder="1"/>
    <xf numFmtId="4" fontId="32" fillId="0" borderId="0" xfId="0" applyNumberFormat="1" applyFont="1" applyFill="1" applyBorder="1"/>
    <xf numFmtId="0" fontId="33" fillId="0" borderId="0" xfId="0" applyFont="1" applyFill="1" applyBorder="1"/>
    <xf numFmtId="0" fontId="33" fillId="0" borderId="0"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4" fillId="0" borderId="0" xfId="0" applyFont="1" applyFill="1" applyBorder="1" applyAlignment="1">
      <alignment horizontal="left" vertical="center" wrapText="1"/>
    </xf>
    <xf numFmtId="0" fontId="34" fillId="0" borderId="0" xfId="0" applyFont="1" applyFill="1" applyBorder="1" applyAlignment="1">
      <alignment horizontal="center" vertical="center" wrapText="1"/>
    </xf>
    <xf numFmtId="164" fontId="31" fillId="0" borderId="0" xfId="0" applyNumberFormat="1" applyFont="1" applyFill="1" applyAlignment="1">
      <alignment horizontal="left"/>
    </xf>
    <xf numFmtId="164" fontId="33" fillId="0" borderId="0" xfId="0" applyNumberFormat="1" applyFont="1" applyFill="1" applyAlignment="1">
      <alignment horizontal="left"/>
    </xf>
    <xf numFmtId="0" fontId="31" fillId="0" borderId="0" xfId="0" applyFont="1" applyFill="1" applyAlignment="1">
      <alignment horizontal="left" vertical="center" wrapText="1"/>
    </xf>
    <xf numFmtId="0" fontId="33" fillId="0" borderId="0" xfId="0" applyFont="1" applyFill="1" applyAlignment="1"/>
    <xf numFmtId="0" fontId="33" fillId="0" borderId="0" xfId="0" applyFont="1" applyFill="1" applyAlignment="1">
      <alignment horizontal="right"/>
    </xf>
  </cellXfs>
  <cellStyles count="951">
    <cellStyle name="20% — акцент1" xfId="2"/>
    <cellStyle name="20% - Акцент1 2" xfId="3"/>
    <cellStyle name="20% — акцент1 2" xfId="4"/>
    <cellStyle name="20% - Акцент1 2 10" xfId="5"/>
    <cellStyle name="20% - Акцент1 2 2" xfId="6"/>
    <cellStyle name="20% - Акцент1 2 3" xfId="7"/>
    <cellStyle name="20% - Акцент1 2 4" xfId="8"/>
    <cellStyle name="20% - Акцент1 2 5" xfId="9"/>
    <cellStyle name="20% - Акцент1 2 6" xfId="10"/>
    <cellStyle name="20% - Акцент1 2 7" xfId="11"/>
    <cellStyle name="20% - Акцент1 2 8" xfId="12"/>
    <cellStyle name="20% - Акцент1 2 9" xfId="13"/>
    <cellStyle name="20% - Акцент1 3" xfId="14"/>
    <cellStyle name="20% - Акцент1 3 10" xfId="15"/>
    <cellStyle name="20% - Акцент1 3 2" xfId="16"/>
    <cellStyle name="20% - Акцент1 3 3" xfId="17"/>
    <cellStyle name="20% - Акцент1 3 4" xfId="18"/>
    <cellStyle name="20% - Акцент1 3 5" xfId="19"/>
    <cellStyle name="20% - Акцент1 3 6" xfId="20"/>
    <cellStyle name="20% - Акцент1 3 7" xfId="21"/>
    <cellStyle name="20% - Акцент1 3 8" xfId="22"/>
    <cellStyle name="20% - Акцент1 3 9" xfId="23"/>
    <cellStyle name="20% — акцент2" xfId="24"/>
    <cellStyle name="20% - Акцент2 2" xfId="25"/>
    <cellStyle name="20% — акцент2 2" xfId="26"/>
    <cellStyle name="20% - Акцент2 2 10" xfId="27"/>
    <cellStyle name="20% - Акцент2 2 2" xfId="28"/>
    <cellStyle name="20% - Акцент2 2 3" xfId="29"/>
    <cellStyle name="20% - Акцент2 2 4" xfId="30"/>
    <cellStyle name="20% - Акцент2 2 5" xfId="31"/>
    <cellStyle name="20% - Акцент2 2 6" xfId="32"/>
    <cellStyle name="20% - Акцент2 2 7" xfId="33"/>
    <cellStyle name="20% - Акцент2 2 8" xfId="34"/>
    <cellStyle name="20% - Акцент2 2 9" xfId="35"/>
    <cellStyle name="20% - Акцент2 3" xfId="36"/>
    <cellStyle name="20% - Акцент2 3 10" xfId="37"/>
    <cellStyle name="20% - Акцент2 3 2" xfId="38"/>
    <cellStyle name="20% - Акцент2 3 3" xfId="39"/>
    <cellStyle name="20% - Акцент2 3 4" xfId="40"/>
    <cellStyle name="20% - Акцент2 3 5" xfId="41"/>
    <cellStyle name="20% - Акцент2 3 6" xfId="42"/>
    <cellStyle name="20% - Акцент2 3 7" xfId="43"/>
    <cellStyle name="20% - Акцент2 3 8" xfId="44"/>
    <cellStyle name="20% - Акцент2 3 9" xfId="45"/>
    <cellStyle name="20% — акцент3" xfId="46"/>
    <cellStyle name="20% - Акцент3 2" xfId="47"/>
    <cellStyle name="20% — акцент3 2" xfId="48"/>
    <cellStyle name="20% - Акцент3 2 10" xfId="49"/>
    <cellStyle name="20% - Акцент3 2 2" xfId="50"/>
    <cellStyle name="20% - Акцент3 2 3" xfId="51"/>
    <cellStyle name="20% - Акцент3 2 4" xfId="52"/>
    <cellStyle name="20% - Акцент3 2 5" xfId="53"/>
    <cellStyle name="20% - Акцент3 2 6" xfId="54"/>
    <cellStyle name="20% - Акцент3 2 7" xfId="55"/>
    <cellStyle name="20% - Акцент3 2 8" xfId="56"/>
    <cellStyle name="20% - Акцент3 2 9" xfId="57"/>
    <cellStyle name="20% - Акцент3 3" xfId="58"/>
    <cellStyle name="20% - Акцент3 3 10" xfId="59"/>
    <cellStyle name="20% - Акцент3 3 2" xfId="60"/>
    <cellStyle name="20% - Акцент3 3 3" xfId="61"/>
    <cellStyle name="20% - Акцент3 3 4" xfId="62"/>
    <cellStyle name="20% - Акцент3 3 5" xfId="63"/>
    <cellStyle name="20% - Акцент3 3 6" xfId="64"/>
    <cellStyle name="20% - Акцент3 3 7" xfId="65"/>
    <cellStyle name="20% - Акцент3 3 8" xfId="66"/>
    <cellStyle name="20% - Акцент3 3 9" xfId="67"/>
    <cellStyle name="20% — акцент4" xfId="68"/>
    <cellStyle name="20% - Акцент4 2" xfId="69"/>
    <cellStyle name="20% — акцент4 2" xfId="70"/>
    <cellStyle name="20% - Акцент4 2 10" xfId="71"/>
    <cellStyle name="20% - Акцент4 2 2" xfId="72"/>
    <cellStyle name="20% - Акцент4 2 3" xfId="73"/>
    <cellStyle name="20% - Акцент4 2 4" xfId="74"/>
    <cellStyle name="20% - Акцент4 2 5" xfId="75"/>
    <cellStyle name="20% - Акцент4 2 6" xfId="76"/>
    <cellStyle name="20% - Акцент4 2 7" xfId="77"/>
    <cellStyle name="20% - Акцент4 2 8" xfId="78"/>
    <cellStyle name="20% - Акцент4 2 9" xfId="79"/>
    <cellStyle name="20% - Акцент4 3" xfId="80"/>
    <cellStyle name="20% - Акцент4 3 10" xfId="81"/>
    <cellStyle name="20% - Акцент4 3 2" xfId="82"/>
    <cellStyle name="20% - Акцент4 3 3" xfId="83"/>
    <cellStyle name="20% - Акцент4 3 4" xfId="84"/>
    <cellStyle name="20% - Акцент4 3 5" xfId="85"/>
    <cellStyle name="20% - Акцент4 3 6" xfId="86"/>
    <cellStyle name="20% - Акцент4 3 7" xfId="87"/>
    <cellStyle name="20% - Акцент4 3 8" xfId="88"/>
    <cellStyle name="20% - Акцент4 3 9" xfId="89"/>
    <cellStyle name="20% — акцент5" xfId="90"/>
    <cellStyle name="20% - Акцент5 2" xfId="91"/>
    <cellStyle name="20% — акцент5 2" xfId="92"/>
    <cellStyle name="20% - Акцент5 2 10" xfId="93"/>
    <cellStyle name="20% - Акцент5 2 2" xfId="94"/>
    <cellStyle name="20% - Акцент5 2 3" xfId="95"/>
    <cellStyle name="20% - Акцент5 2 4" xfId="96"/>
    <cellStyle name="20% - Акцент5 2 5" xfId="97"/>
    <cellStyle name="20% - Акцент5 2 6" xfId="98"/>
    <cellStyle name="20% - Акцент5 2 7" xfId="99"/>
    <cellStyle name="20% - Акцент5 2 8" xfId="100"/>
    <cellStyle name="20% - Акцент5 2 9" xfId="101"/>
    <cellStyle name="20% - Акцент5 3" xfId="102"/>
    <cellStyle name="20% - Акцент5 3 10" xfId="103"/>
    <cellStyle name="20% - Акцент5 3 2" xfId="104"/>
    <cellStyle name="20% - Акцент5 3 3" xfId="105"/>
    <cellStyle name="20% - Акцент5 3 4" xfId="106"/>
    <cellStyle name="20% - Акцент5 3 5" xfId="107"/>
    <cellStyle name="20% - Акцент5 3 6" xfId="108"/>
    <cellStyle name="20% - Акцент5 3 7" xfId="109"/>
    <cellStyle name="20% - Акцент5 3 8" xfId="110"/>
    <cellStyle name="20% - Акцент5 3 9" xfId="111"/>
    <cellStyle name="20% — акцент6" xfId="112"/>
    <cellStyle name="20% - Акцент6 2" xfId="113"/>
    <cellStyle name="20% — акцент6 2" xfId="114"/>
    <cellStyle name="20% - Акцент6 2 10" xfId="115"/>
    <cellStyle name="20% - Акцент6 2 2" xfId="116"/>
    <cellStyle name="20% - Акцент6 2 3" xfId="117"/>
    <cellStyle name="20% - Акцент6 2 4" xfId="118"/>
    <cellStyle name="20% - Акцент6 2 5" xfId="119"/>
    <cellStyle name="20% - Акцент6 2 6" xfId="120"/>
    <cellStyle name="20% - Акцент6 2 7" xfId="121"/>
    <cellStyle name="20% - Акцент6 2 8" xfId="122"/>
    <cellStyle name="20% - Акцент6 2 9" xfId="123"/>
    <cellStyle name="20% - Акцент6 3" xfId="124"/>
    <cellStyle name="20% - Акцент6 3 10" xfId="125"/>
    <cellStyle name="20% - Акцент6 3 2" xfId="126"/>
    <cellStyle name="20% - Акцент6 3 3" xfId="127"/>
    <cellStyle name="20% - Акцент6 3 4" xfId="128"/>
    <cellStyle name="20% - Акцент6 3 5" xfId="129"/>
    <cellStyle name="20% - Акцент6 3 6" xfId="130"/>
    <cellStyle name="20% - Акцент6 3 7" xfId="131"/>
    <cellStyle name="20% - Акцент6 3 8" xfId="132"/>
    <cellStyle name="20% - Акцент6 3 9" xfId="133"/>
    <cellStyle name="40% — акцент1" xfId="134"/>
    <cellStyle name="40% - Акцент1 2" xfId="135"/>
    <cellStyle name="40% — акцент1 2" xfId="136"/>
    <cellStyle name="40% - Акцент1 2 10" xfId="137"/>
    <cellStyle name="40% - Акцент1 2 2" xfId="138"/>
    <cellStyle name="40% - Акцент1 2 3" xfId="139"/>
    <cellStyle name="40% - Акцент1 2 4" xfId="140"/>
    <cellStyle name="40% - Акцент1 2 5" xfId="141"/>
    <cellStyle name="40% - Акцент1 2 6" xfId="142"/>
    <cellStyle name="40% - Акцент1 2 7" xfId="143"/>
    <cellStyle name="40% - Акцент1 2 8" xfId="144"/>
    <cellStyle name="40% - Акцент1 2 9" xfId="145"/>
    <cellStyle name="40% - Акцент1 3" xfId="146"/>
    <cellStyle name="40% - Акцент1 3 10" xfId="147"/>
    <cellStyle name="40% - Акцент1 3 2" xfId="148"/>
    <cellStyle name="40% - Акцент1 3 3" xfId="149"/>
    <cellStyle name="40% - Акцент1 3 4" xfId="150"/>
    <cellStyle name="40% - Акцент1 3 5" xfId="151"/>
    <cellStyle name="40% - Акцент1 3 6" xfId="152"/>
    <cellStyle name="40% - Акцент1 3 7" xfId="153"/>
    <cellStyle name="40% - Акцент1 3 8" xfId="154"/>
    <cellStyle name="40% - Акцент1 3 9" xfId="155"/>
    <cellStyle name="40% — акцент2" xfId="156"/>
    <cellStyle name="40% - Акцент2 2" xfId="157"/>
    <cellStyle name="40% — акцент2 2" xfId="158"/>
    <cellStyle name="40% - Акцент2 2 10" xfId="159"/>
    <cellStyle name="40% - Акцент2 2 2" xfId="160"/>
    <cellStyle name="40% - Акцент2 2 3" xfId="161"/>
    <cellStyle name="40% - Акцент2 2 4" xfId="162"/>
    <cellStyle name="40% - Акцент2 2 5" xfId="163"/>
    <cellStyle name="40% - Акцент2 2 6" xfId="164"/>
    <cellStyle name="40% - Акцент2 2 7" xfId="165"/>
    <cellStyle name="40% - Акцент2 2 8" xfId="166"/>
    <cellStyle name="40% - Акцент2 2 9" xfId="167"/>
    <cellStyle name="40% - Акцент2 3" xfId="168"/>
    <cellStyle name="40% - Акцент2 3 10" xfId="169"/>
    <cellStyle name="40% - Акцент2 3 2" xfId="170"/>
    <cellStyle name="40% - Акцент2 3 3" xfId="171"/>
    <cellStyle name="40% - Акцент2 3 4" xfId="172"/>
    <cellStyle name="40% - Акцент2 3 5" xfId="173"/>
    <cellStyle name="40% - Акцент2 3 6" xfId="174"/>
    <cellStyle name="40% - Акцент2 3 7" xfId="175"/>
    <cellStyle name="40% - Акцент2 3 8" xfId="176"/>
    <cellStyle name="40% - Акцент2 3 9" xfId="177"/>
    <cellStyle name="40% — акцент3" xfId="178"/>
    <cellStyle name="40% - Акцент3 2" xfId="179"/>
    <cellStyle name="40% — акцент3 2" xfId="180"/>
    <cellStyle name="40% - Акцент3 2 10" xfId="181"/>
    <cellStyle name="40% - Акцент3 2 2" xfId="182"/>
    <cellStyle name="40% - Акцент3 2 3" xfId="183"/>
    <cellStyle name="40% - Акцент3 2 4" xfId="184"/>
    <cellStyle name="40% - Акцент3 2 5" xfId="185"/>
    <cellStyle name="40% - Акцент3 2 6" xfId="186"/>
    <cellStyle name="40% - Акцент3 2 7" xfId="187"/>
    <cellStyle name="40% - Акцент3 2 8" xfId="188"/>
    <cellStyle name="40% - Акцент3 2 9" xfId="189"/>
    <cellStyle name="40% - Акцент3 3" xfId="190"/>
    <cellStyle name="40% - Акцент3 3 10" xfId="191"/>
    <cellStyle name="40% - Акцент3 3 2" xfId="192"/>
    <cellStyle name="40% - Акцент3 3 3" xfId="193"/>
    <cellStyle name="40% - Акцент3 3 4" xfId="194"/>
    <cellStyle name="40% - Акцент3 3 5" xfId="195"/>
    <cellStyle name="40% - Акцент3 3 6" xfId="196"/>
    <cellStyle name="40% - Акцент3 3 7" xfId="197"/>
    <cellStyle name="40% - Акцент3 3 8" xfId="198"/>
    <cellStyle name="40% - Акцент3 3 9" xfId="199"/>
    <cellStyle name="40% — акцент4" xfId="200"/>
    <cellStyle name="40% - Акцент4 2" xfId="201"/>
    <cellStyle name="40% — акцент4 2" xfId="202"/>
    <cellStyle name="40% - Акцент4 2 10" xfId="203"/>
    <cellStyle name="40% - Акцент4 2 2" xfId="204"/>
    <cellStyle name="40% - Акцент4 2 3" xfId="205"/>
    <cellStyle name="40% - Акцент4 2 4" xfId="206"/>
    <cellStyle name="40% - Акцент4 2 5" xfId="207"/>
    <cellStyle name="40% - Акцент4 2 6" xfId="208"/>
    <cellStyle name="40% - Акцент4 2 7" xfId="209"/>
    <cellStyle name="40% - Акцент4 2 8" xfId="210"/>
    <cellStyle name="40% - Акцент4 2 9" xfId="211"/>
    <cellStyle name="40% - Акцент4 3" xfId="212"/>
    <cellStyle name="40% - Акцент4 3 10" xfId="213"/>
    <cellStyle name="40% - Акцент4 3 2" xfId="214"/>
    <cellStyle name="40% - Акцент4 3 3" xfId="215"/>
    <cellStyle name="40% - Акцент4 3 4" xfId="216"/>
    <cellStyle name="40% - Акцент4 3 5" xfId="217"/>
    <cellStyle name="40% - Акцент4 3 6" xfId="218"/>
    <cellStyle name="40% - Акцент4 3 7" xfId="219"/>
    <cellStyle name="40% - Акцент4 3 8" xfId="220"/>
    <cellStyle name="40% - Акцент4 3 9" xfId="221"/>
    <cellStyle name="40% — акцент5" xfId="222"/>
    <cellStyle name="40% - Акцент5 2" xfId="223"/>
    <cellStyle name="40% — акцент5 2" xfId="224"/>
    <cellStyle name="40% - Акцент5 2 10" xfId="225"/>
    <cellStyle name="40% - Акцент5 2 2" xfId="226"/>
    <cellStyle name="40% - Акцент5 2 3" xfId="227"/>
    <cellStyle name="40% - Акцент5 2 4" xfId="228"/>
    <cellStyle name="40% - Акцент5 2 5" xfId="229"/>
    <cellStyle name="40% - Акцент5 2 6" xfId="230"/>
    <cellStyle name="40% - Акцент5 2 7" xfId="231"/>
    <cellStyle name="40% - Акцент5 2 8" xfId="232"/>
    <cellStyle name="40% - Акцент5 2 9" xfId="233"/>
    <cellStyle name="40% - Акцент5 3" xfId="234"/>
    <cellStyle name="40% - Акцент5 3 10" xfId="235"/>
    <cellStyle name="40% - Акцент5 3 2" xfId="236"/>
    <cellStyle name="40% - Акцент5 3 3" xfId="237"/>
    <cellStyle name="40% - Акцент5 3 4" xfId="238"/>
    <cellStyle name="40% - Акцент5 3 5" xfId="239"/>
    <cellStyle name="40% - Акцент5 3 6" xfId="240"/>
    <cellStyle name="40% - Акцент5 3 7" xfId="241"/>
    <cellStyle name="40% - Акцент5 3 8" xfId="242"/>
    <cellStyle name="40% - Акцент5 3 9" xfId="243"/>
    <cellStyle name="40% — акцент6" xfId="244"/>
    <cellStyle name="40% - Акцент6 2" xfId="245"/>
    <cellStyle name="40% — акцент6 2" xfId="246"/>
    <cellStyle name="40% - Акцент6 2 10" xfId="247"/>
    <cellStyle name="40% - Акцент6 2 2" xfId="248"/>
    <cellStyle name="40% - Акцент6 2 3" xfId="249"/>
    <cellStyle name="40% - Акцент6 2 4" xfId="250"/>
    <cellStyle name="40% - Акцент6 2 5" xfId="251"/>
    <cellStyle name="40% - Акцент6 2 6" xfId="252"/>
    <cellStyle name="40% - Акцент6 2 7" xfId="253"/>
    <cellStyle name="40% - Акцент6 2 8" xfId="254"/>
    <cellStyle name="40% - Акцент6 2 9" xfId="255"/>
    <cellStyle name="40% - Акцент6 3" xfId="256"/>
    <cellStyle name="40% - Акцент6 3 10" xfId="257"/>
    <cellStyle name="40% - Акцент6 3 2" xfId="258"/>
    <cellStyle name="40% - Акцент6 3 3" xfId="259"/>
    <cellStyle name="40% - Акцент6 3 4" xfId="260"/>
    <cellStyle name="40% - Акцент6 3 5" xfId="261"/>
    <cellStyle name="40% - Акцент6 3 6" xfId="262"/>
    <cellStyle name="40% - Акцент6 3 7" xfId="263"/>
    <cellStyle name="40% - Акцент6 3 8" xfId="264"/>
    <cellStyle name="40% - Акцент6 3 9" xfId="265"/>
    <cellStyle name="60% — акцент1" xfId="266"/>
    <cellStyle name="60% - Акцент1 2" xfId="267"/>
    <cellStyle name="60% — акцент1 2" xfId="268"/>
    <cellStyle name="60% - Акцент1 2 10" xfId="269"/>
    <cellStyle name="60% - Акцент1 2 2" xfId="270"/>
    <cellStyle name="60% - Акцент1 2 3" xfId="271"/>
    <cellStyle name="60% - Акцент1 2 4" xfId="272"/>
    <cellStyle name="60% - Акцент1 2 5" xfId="273"/>
    <cellStyle name="60% - Акцент1 2 6" xfId="274"/>
    <cellStyle name="60% - Акцент1 2 7" xfId="275"/>
    <cellStyle name="60% - Акцент1 2 8" xfId="276"/>
    <cellStyle name="60% - Акцент1 2 9" xfId="277"/>
    <cellStyle name="60% - Акцент1 3" xfId="278"/>
    <cellStyle name="60% - Акцент1 3 10" xfId="279"/>
    <cellStyle name="60% - Акцент1 3 2" xfId="280"/>
    <cellStyle name="60% - Акцент1 3 3" xfId="281"/>
    <cellStyle name="60% - Акцент1 3 4" xfId="282"/>
    <cellStyle name="60% - Акцент1 3 5" xfId="283"/>
    <cellStyle name="60% - Акцент1 3 6" xfId="284"/>
    <cellStyle name="60% - Акцент1 3 7" xfId="285"/>
    <cellStyle name="60% - Акцент1 3 8" xfId="286"/>
    <cellStyle name="60% - Акцент1 3 9" xfId="287"/>
    <cellStyle name="60% — акцент2" xfId="288"/>
    <cellStyle name="60% - Акцент2 2" xfId="289"/>
    <cellStyle name="60% — акцент2 2" xfId="290"/>
    <cellStyle name="60% - Акцент2 2 10" xfId="291"/>
    <cellStyle name="60% - Акцент2 2 2" xfId="292"/>
    <cellStyle name="60% - Акцент2 2 3" xfId="293"/>
    <cellStyle name="60% - Акцент2 2 4" xfId="294"/>
    <cellStyle name="60% - Акцент2 2 5" xfId="295"/>
    <cellStyle name="60% - Акцент2 2 6" xfId="296"/>
    <cellStyle name="60% - Акцент2 2 7" xfId="297"/>
    <cellStyle name="60% - Акцент2 2 8" xfId="298"/>
    <cellStyle name="60% - Акцент2 2 9" xfId="299"/>
    <cellStyle name="60% - Акцент2 3" xfId="300"/>
    <cellStyle name="60% - Акцент2 3 10" xfId="301"/>
    <cellStyle name="60% - Акцент2 3 2" xfId="302"/>
    <cellStyle name="60% - Акцент2 3 3" xfId="303"/>
    <cellStyle name="60% - Акцент2 3 4" xfId="304"/>
    <cellStyle name="60% - Акцент2 3 5" xfId="305"/>
    <cellStyle name="60% - Акцент2 3 6" xfId="306"/>
    <cellStyle name="60% - Акцент2 3 7" xfId="307"/>
    <cellStyle name="60% - Акцент2 3 8" xfId="308"/>
    <cellStyle name="60% - Акцент2 3 9" xfId="309"/>
    <cellStyle name="60% — акцент3" xfId="310"/>
    <cellStyle name="60% - Акцент3 2" xfId="311"/>
    <cellStyle name="60% — акцент3 2" xfId="312"/>
    <cellStyle name="60% - Акцент3 2 10" xfId="313"/>
    <cellStyle name="60% - Акцент3 2 2" xfId="314"/>
    <cellStyle name="60% - Акцент3 2 3" xfId="315"/>
    <cellStyle name="60% - Акцент3 2 4" xfId="316"/>
    <cellStyle name="60% - Акцент3 2 5" xfId="317"/>
    <cellStyle name="60% - Акцент3 2 6" xfId="318"/>
    <cellStyle name="60% - Акцент3 2 7" xfId="319"/>
    <cellStyle name="60% - Акцент3 2 8" xfId="320"/>
    <cellStyle name="60% - Акцент3 2 9" xfId="321"/>
    <cellStyle name="60% - Акцент3 3" xfId="322"/>
    <cellStyle name="60% - Акцент3 3 10" xfId="323"/>
    <cellStyle name="60% - Акцент3 3 2" xfId="324"/>
    <cellStyle name="60% - Акцент3 3 3" xfId="325"/>
    <cellStyle name="60% - Акцент3 3 4" xfId="326"/>
    <cellStyle name="60% - Акцент3 3 5" xfId="327"/>
    <cellStyle name="60% - Акцент3 3 6" xfId="328"/>
    <cellStyle name="60% - Акцент3 3 7" xfId="329"/>
    <cellStyle name="60% - Акцент3 3 8" xfId="330"/>
    <cellStyle name="60% - Акцент3 3 9" xfId="331"/>
    <cellStyle name="60% — акцент4" xfId="332"/>
    <cellStyle name="60% - Акцент4 2" xfId="333"/>
    <cellStyle name="60% — акцент4 2" xfId="334"/>
    <cellStyle name="60% - Акцент4 2 10" xfId="335"/>
    <cellStyle name="60% - Акцент4 2 2" xfId="336"/>
    <cellStyle name="60% - Акцент4 2 3" xfId="337"/>
    <cellStyle name="60% - Акцент4 2 4" xfId="338"/>
    <cellStyle name="60% - Акцент4 2 5" xfId="339"/>
    <cellStyle name="60% - Акцент4 2 6" xfId="340"/>
    <cellStyle name="60% - Акцент4 2 7" xfId="341"/>
    <cellStyle name="60% - Акцент4 2 8" xfId="342"/>
    <cellStyle name="60% - Акцент4 2 9" xfId="343"/>
    <cellStyle name="60% - Акцент4 3" xfId="344"/>
    <cellStyle name="60% - Акцент4 3 10" xfId="345"/>
    <cellStyle name="60% - Акцент4 3 2" xfId="346"/>
    <cellStyle name="60% - Акцент4 3 3" xfId="347"/>
    <cellStyle name="60% - Акцент4 3 4" xfId="348"/>
    <cellStyle name="60% - Акцент4 3 5" xfId="349"/>
    <cellStyle name="60% - Акцент4 3 6" xfId="350"/>
    <cellStyle name="60% - Акцент4 3 7" xfId="351"/>
    <cellStyle name="60% - Акцент4 3 8" xfId="352"/>
    <cellStyle name="60% - Акцент4 3 9" xfId="353"/>
    <cellStyle name="60% — акцент5" xfId="354"/>
    <cellStyle name="60% - Акцент5 2" xfId="355"/>
    <cellStyle name="60% — акцент5 2" xfId="356"/>
    <cellStyle name="60% - Акцент5 2 10" xfId="357"/>
    <cellStyle name="60% - Акцент5 2 2" xfId="358"/>
    <cellStyle name="60% - Акцент5 2 3" xfId="359"/>
    <cellStyle name="60% - Акцент5 2 4" xfId="360"/>
    <cellStyle name="60% - Акцент5 2 5" xfId="361"/>
    <cellStyle name="60% - Акцент5 2 6" xfId="362"/>
    <cellStyle name="60% - Акцент5 2 7" xfId="363"/>
    <cellStyle name="60% - Акцент5 2 8" xfId="364"/>
    <cellStyle name="60% - Акцент5 2 9" xfId="365"/>
    <cellStyle name="60% - Акцент5 3" xfId="366"/>
    <cellStyle name="60% - Акцент5 3 10" xfId="367"/>
    <cellStyle name="60% - Акцент5 3 2" xfId="368"/>
    <cellStyle name="60% - Акцент5 3 3" xfId="369"/>
    <cellStyle name="60% - Акцент5 3 4" xfId="370"/>
    <cellStyle name="60% - Акцент5 3 5" xfId="371"/>
    <cellStyle name="60% - Акцент5 3 6" xfId="372"/>
    <cellStyle name="60% - Акцент5 3 7" xfId="373"/>
    <cellStyle name="60% - Акцент5 3 8" xfId="374"/>
    <cellStyle name="60% - Акцент5 3 9" xfId="375"/>
    <cellStyle name="60% — акцент6" xfId="376"/>
    <cellStyle name="60% - Акцент6 2" xfId="377"/>
    <cellStyle name="60% — акцент6 2" xfId="378"/>
    <cellStyle name="60% - Акцент6 2 10" xfId="379"/>
    <cellStyle name="60% - Акцент6 2 2" xfId="380"/>
    <cellStyle name="60% - Акцент6 2 3" xfId="381"/>
    <cellStyle name="60% - Акцент6 2 4" xfId="382"/>
    <cellStyle name="60% - Акцент6 2 5" xfId="383"/>
    <cellStyle name="60% - Акцент6 2 6" xfId="384"/>
    <cellStyle name="60% - Акцент6 2 7" xfId="385"/>
    <cellStyle name="60% - Акцент6 2 8" xfId="386"/>
    <cellStyle name="60% - Акцент6 2 9" xfId="387"/>
    <cellStyle name="60% - Акцент6 3" xfId="388"/>
    <cellStyle name="60% - Акцент6 3 10" xfId="389"/>
    <cellStyle name="60% - Акцент6 3 2" xfId="390"/>
    <cellStyle name="60% - Акцент6 3 3" xfId="391"/>
    <cellStyle name="60% - Акцент6 3 4" xfId="392"/>
    <cellStyle name="60% - Акцент6 3 5" xfId="393"/>
    <cellStyle name="60% - Акцент6 3 6" xfId="394"/>
    <cellStyle name="60% - Акцент6 3 7" xfId="395"/>
    <cellStyle name="60% - Акцент6 3 8" xfId="396"/>
    <cellStyle name="60% - Акцент6 3 9" xfId="397"/>
    <cellStyle name="Акцент1 2" xfId="398"/>
    <cellStyle name="Акцент1 2 10" xfId="399"/>
    <cellStyle name="Акцент1 2 2" xfId="400"/>
    <cellStyle name="Акцент1 2 3" xfId="401"/>
    <cellStyle name="Акцент1 2 4" xfId="402"/>
    <cellStyle name="Акцент1 2 5" xfId="403"/>
    <cellStyle name="Акцент1 2 6" xfId="404"/>
    <cellStyle name="Акцент1 2 7" xfId="405"/>
    <cellStyle name="Акцент1 2 8" xfId="406"/>
    <cellStyle name="Акцент1 2 9" xfId="407"/>
    <cellStyle name="Акцент1 3" xfId="408"/>
    <cellStyle name="Акцент1 3 10" xfId="409"/>
    <cellStyle name="Акцент1 3 2" xfId="410"/>
    <cellStyle name="Акцент1 3 3" xfId="411"/>
    <cellStyle name="Акцент1 3 4" xfId="412"/>
    <cellStyle name="Акцент1 3 5" xfId="413"/>
    <cellStyle name="Акцент1 3 6" xfId="414"/>
    <cellStyle name="Акцент1 3 7" xfId="415"/>
    <cellStyle name="Акцент1 3 8" xfId="416"/>
    <cellStyle name="Акцент1 3 9" xfId="417"/>
    <cellStyle name="Акцент2 2" xfId="418"/>
    <cellStyle name="Акцент2 2 10" xfId="419"/>
    <cellStyle name="Акцент2 2 2" xfId="420"/>
    <cellStyle name="Акцент2 2 3" xfId="421"/>
    <cellStyle name="Акцент2 2 4" xfId="422"/>
    <cellStyle name="Акцент2 2 5" xfId="423"/>
    <cellStyle name="Акцент2 2 6" xfId="424"/>
    <cellStyle name="Акцент2 2 7" xfId="425"/>
    <cellStyle name="Акцент2 2 8" xfId="426"/>
    <cellStyle name="Акцент2 2 9" xfId="427"/>
    <cellStyle name="Акцент2 3" xfId="428"/>
    <cellStyle name="Акцент2 3 10" xfId="429"/>
    <cellStyle name="Акцент2 3 2" xfId="430"/>
    <cellStyle name="Акцент2 3 3" xfId="431"/>
    <cellStyle name="Акцент2 3 4" xfId="432"/>
    <cellStyle name="Акцент2 3 5" xfId="433"/>
    <cellStyle name="Акцент2 3 6" xfId="434"/>
    <cellStyle name="Акцент2 3 7" xfId="435"/>
    <cellStyle name="Акцент2 3 8" xfId="436"/>
    <cellStyle name="Акцент2 3 9" xfId="437"/>
    <cellStyle name="Акцент3 2" xfId="438"/>
    <cellStyle name="Акцент3 2 10" xfId="439"/>
    <cellStyle name="Акцент3 2 2" xfId="440"/>
    <cellStyle name="Акцент3 2 3" xfId="441"/>
    <cellStyle name="Акцент3 2 4" xfId="442"/>
    <cellStyle name="Акцент3 2 5" xfId="443"/>
    <cellStyle name="Акцент3 2 6" xfId="444"/>
    <cellStyle name="Акцент3 2 7" xfId="445"/>
    <cellStyle name="Акцент3 2 8" xfId="446"/>
    <cellStyle name="Акцент3 2 9" xfId="447"/>
    <cellStyle name="Акцент3 3" xfId="448"/>
    <cellStyle name="Акцент3 3 10" xfId="449"/>
    <cellStyle name="Акцент3 3 2" xfId="450"/>
    <cellStyle name="Акцент3 3 3" xfId="451"/>
    <cellStyle name="Акцент3 3 4" xfId="452"/>
    <cellStyle name="Акцент3 3 5" xfId="453"/>
    <cellStyle name="Акцент3 3 6" xfId="454"/>
    <cellStyle name="Акцент3 3 7" xfId="455"/>
    <cellStyle name="Акцент3 3 8" xfId="456"/>
    <cellStyle name="Акцент3 3 9" xfId="457"/>
    <cellStyle name="Акцент4 2" xfId="458"/>
    <cellStyle name="Акцент4 2 10" xfId="459"/>
    <cellStyle name="Акцент4 2 2" xfId="460"/>
    <cellStyle name="Акцент4 2 3" xfId="461"/>
    <cellStyle name="Акцент4 2 4" xfId="462"/>
    <cellStyle name="Акцент4 2 5" xfId="463"/>
    <cellStyle name="Акцент4 2 6" xfId="464"/>
    <cellStyle name="Акцент4 2 7" xfId="465"/>
    <cellStyle name="Акцент4 2 8" xfId="466"/>
    <cellStyle name="Акцент4 2 9" xfId="467"/>
    <cellStyle name="Акцент4 3" xfId="468"/>
    <cellStyle name="Акцент4 3 10" xfId="469"/>
    <cellStyle name="Акцент4 3 2" xfId="470"/>
    <cellStyle name="Акцент4 3 3" xfId="471"/>
    <cellStyle name="Акцент4 3 4" xfId="472"/>
    <cellStyle name="Акцент4 3 5" xfId="473"/>
    <cellStyle name="Акцент4 3 6" xfId="474"/>
    <cellStyle name="Акцент4 3 7" xfId="475"/>
    <cellStyle name="Акцент4 3 8" xfId="476"/>
    <cellStyle name="Акцент4 3 9" xfId="477"/>
    <cellStyle name="Акцент5 2" xfId="478"/>
    <cellStyle name="Акцент5 2 10" xfId="479"/>
    <cellStyle name="Акцент5 2 2" xfId="480"/>
    <cellStyle name="Акцент5 2 3" xfId="481"/>
    <cellStyle name="Акцент5 2 4" xfId="482"/>
    <cellStyle name="Акцент5 2 5" xfId="483"/>
    <cellStyle name="Акцент5 2 6" xfId="484"/>
    <cellStyle name="Акцент5 2 7" xfId="485"/>
    <cellStyle name="Акцент5 2 8" xfId="486"/>
    <cellStyle name="Акцент5 2 9" xfId="487"/>
    <cellStyle name="Акцент5 3" xfId="488"/>
    <cellStyle name="Акцент5 3 10" xfId="489"/>
    <cellStyle name="Акцент5 3 2" xfId="490"/>
    <cellStyle name="Акцент5 3 3" xfId="491"/>
    <cellStyle name="Акцент5 3 4" xfId="492"/>
    <cellStyle name="Акцент5 3 5" xfId="493"/>
    <cellStyle name="Акцент5 3 6" xfId="494"/>
    <cellStyle name="Акцент5 3 7" xfId="495"/>
    <cellStyle name="Акцент5 3 8" xfId="496"/>
    <cellStyle name="Акцент5 3 9" xfId="497"/>
    <cellStyle name="Акцент6 2" xfId="498"/>
    <cellStyle name="Акцент6 2 10" xfId="499"/>
    <cellStyle name="Акцент6 2 2" xfId="500"/>
    <cellStyle name="Акцент6 2 3" xfId="501"/>
    <cellStyle name="Акцент6 2 4" xfId="502"/>
    <cellStyle name="Акцент6 2 5" xfId="503"/>
    <cellStyle name="Акцент6 2 6" xfId="504"/>
    <cellStyle name="Акцент6 2 7" xfId="505"/>
    <cellStyle name="Акцент6 2 8" xfId="506"/>
    <cellStyle name="Акцент6 2 9" xfId="507"/>
    <cellStyle name="Акцент6 3" xfId="508"/>
    <cellStyle name="Акцент6 3 10" xfId="509"/>
    <cellStyle name="Акцент6 3 2" xfId="510"/>
    <cellStyle name="Акцент6 3 3" xfId="511"/>
    <cellStyle name="Акцент6 3 4" xfId="512"/>
    <cellStyle name="Акцент6 3 5" xfId="513"/>
    <cellStyle name="Акцент6 3 6" xfId="514"/>
    <cellStyle name="Акцент6 3 7" xfId="515"/>
    <cellStyle name="Акцент6 3 8" xfId="516"/>
    <cellStyle name="Акцент6 3 9" xfId="517"/>
    <cellStyle name="Ввод  2" xfId="518"/>
    <cellStyle name="Ввод  2 10" xfId="519"/>
    <cellStyle name="Ввод  2 2" xfId="520"/>
    <cellStyle name="Ввод  2 3" xfId="521"/>
    <cellStyle name="Ввод  2 4" xfId="522"/>
    <cellStyle name="Ввод  2 5" xfId="523"/>
    <cellStyle name="Ввод  2 6" xfId="524"/>
    <cellStyle name="Ввод  2 7" xfId="525"/>
    <cellStyle name="Ввод  2 8" xfId="526"/>
    <cellStyle name="Ввод  2 9" xfId="527"/>
    <cellStyle name="Ввод  3" xfId="528"/>
    <cellStyle name="Ввод  3 10" xfId="529"/>
    <cellStyle name="Ввод  3 2" xfId="530"/>
    <cellStyle name="Ввод  3 3" xfId="531"/>
    <cellStyle name="Ввод  3 4" xfId="532"/>
    <cellStyle name="Ввод  3 5" xfId="533"/>
    <cellStyle name="Ввод  3 6" xfId="534"/>
    <cellStyle name="Ввод  3 7" xfId="535"/>
    <cellStyle name="Ввод  3 8" xfId="536"/>
    <cellStyle name="Ввод  3 9" xfId="537"/>
    <cellStyle name="Вывод 2" xfId="538"/>
    <cellStyle name="Вывод 2 10" xfId="539"/>
    <cellStyle name="Вывод 2 2" xfId="540"/>
    <cellStyle name="Вывод 2 3" xfId="541"/>
    <cellStyle name="Вывод 2 4" xfId="542"/>
    <cellStyle name="Вывод 2 5" xfId="543"/>
    <cellStyle name="Вывод 2 6" xfId="544"/>
    <cellStyle name="Вывод 2 7" xfId="545"/>
    <cellStyle name="Вывод 2 8" xfId="546"/>
    <cellStyle name="Вывод 2 9" xfId="547"/>
    <cellStyle name="Вывод 3" xfId="548"/>
    <cellStyle name="Вывод 3 10" xfId="549"/>
    <cellStyle name="Вывод 3 2" xfId="550"/>
    <cellStyle name="Вывод 3 3" xfId="551"/>
    <cellStyle name="Вывод 3 4" xfId="552"/>
    <cellStyle name="Вывод 3 5" xfId="553"/>
    <cellStyle name="Вывод 3 6" xfId="554"/>
    <cellStyle name="Вывод 3 7" xfId="555"/>
    <cellStyle name="Вывод 3 8" xfId="556"/>
    <cellStyle name="Вывод 3 9" xfId="557"/>
    <cellStyle name="Вычисление 2" xfId="558"/>
    <cellStyle name="Вычисление 2 10" xfId="559"/>
    <cellStyle name="Вычисление 2 2" xfId="560"/>
    <cellStyle name="Вычисление 2 3" xfId="561"/>
    <cellStyle name="Вычисление 2 4" xfId="562"/>
    <cellStyle name="Вычисление 2 5" xfId="563"/>
    <cellStyle name="Вычисление 2 6" xfId="564"/>
    <cellStyle name="Вычисление 2 7" xfId="565"/>
    <cellStyle name="Вычисление 2 8" xfId="566"/>
    <cellStyle name="Вычисление 2 9" xfId="567"/>
    <cellStyle name="Вычисление 3" xfId="568"/>
    <cellStyle name="Вычисление 3 10" xfId="569"/>
    <cellStyle name="Вычисление 3 2" xfId="570"/>
    <cellStyle name="Вычисление 3 3" xfId="571"/>
    <cellStyle name="Вычисление 3 4" xfId="572"/>
    <cellStyle name="Вычисление 3 5" xfId="573"/>
    <cellStyle name="Вычисление 3 6" xfId="574"/>
    <cellStyle name="Вычисление 3 7" xfId="575"/>
    <cellStyle name="Вычисление 3 8" xfId="576"/>
    <cellStyle name="Вычисление 3 9" xfId="577"/>
    <cellStyle name="Заголовок 1 2" xfId="578"/>
    <cellStyle name="Заголовок 1 2 10" xfId="579"/>
    <cellStyle name="Заголовок 1 2 2" xfId="580"/>
    <cellStyle name="Заголовок 1 2 3" xfId="581"/>
    <cellStyle name="Заголовок 1 2 4" xfId="582"/>
    <cellStyle name="Заголовок 1 2 5" xfId="583"/>
    <cellStyle name="Заголовок 1 2 6" xfId="584"/>
    <cellStyle name="Заголовок 1 2 7" xfId="585"/>
    <cellStyle name="Заголовок 1 2 8" xfId="586"/>
    <cellStyle name="Заголовок 1 2 9" xfId="587"/>
    <cellStyle name="Заголовок 1 3" xfId="588"/>
    <cellStyle name="Заголовок 1 3 10" xfId="589"/>
    <cellStyle name="Заголовок 1 3 2" xfId="590"/>
    <cellStyle name="Заголовок 1 3 3" xfId="591"/>
    <cellStyle name="Заголовок 1 3 4" xfId="592"/>
    <cellStyle name="Заголовок 1 3 5" xfId="593"/>
    <cellStyle name="Заголовок 1 3 6" xfId="594"/>
    <cellStyle name="Заголовок 1 3 7" xfId="595"/>
    <cellStyle name="Заголовок 1 3 8" xfId="596"/>
    <cellStyle name="Заголовок 1 3 9" xfId="597"/>
    <cellStyle name="Заголовок 2 2" xfId="598"/>
    <cellStyle name="Заголовок 2 2 10" xfId="599"/>
    <cellStyle name="Заголовок 2 2 2" xfId="600"/>
    <cellStyle name="Заголовок 2 2 3" xfId="601"/>
    <cellStyle name="Заголовок 2 2 4" xfId="602"/>
    <cellStyle name="Заголовок 2 2 5" xfId="603"/>
    <cellStyle name="Заголовок 2 2 6" xfId="604"/>
    <cellStyle name="Заголовок 2 2 7" xfId="605"/>
    <cellStyle name="Заголовок 2 2 8" xfId="606"/>
    <cellStyle name="Заголовок 2 2 9" xfId="607"/>
    <cellStyle name="Заголовок 2 3" xfId="608"/>
    <cellStyle name="Заголовок 2 3 10" xfId="609"/>
    <cellStyle name="Заголовок 2 3 2" xfId="610"/>
    <cellStyle name="Заголовок 2 3 3" xfId="611"/>
    <cellStyle name="Заголовок 2 3 4" xfId="612"/>
    <cellStyle name="Заголовок 2 3 5" xfId="613"/>
    <cellStyle name="Заголовок 2 3 6" xfId="614"/>
    <cellStyle name="Заголовок 2 3 7" xfId="615"/>
    <cellStyle name="Заголовок 2 3 8" xfId="616"/>
    <cellStyle name="Заголовок 2 3 9" xfId="617"/>
    <cellStyle name="Заголовок 3 2" xfId="618"/>
    <cellStyle name="Заголовок 3 2 10" xfId="619"/>
    <cellStyle name="Заголовок 3 2 2" xfId="620"/>
    <cellStyle name="Заголовок 3 2 3" xfId="621"/>
    <cellStyle name="Заголовок 3 2 4" xfId="622"/>
    <cellStyle name="Заголовок 3 2 5" xfId="623"/>
    <cellStyle name="Заголовок 3 2 6" xfId="624"/>
    <cellStyle name="Заголовок 3 2 7" xfId="625"/>
    <cellStyle name="Заголовок 3 2 8" xfId="626"/>
    <cellStyle name="Заголовок 3 2 9" xfId="627"/>
    <cellStyle name="Заголовок 3 3" xfId="628"/>
    <cellStyle name="Заголовок 3 3 10" xfId="629"/>
    <cellStyle name="Заголовок 3 3 2" xfId="630"/>
    <cellStyle name="Заголовок 3 3 3" xfId="631"/>
    <cellStyle name="Заголовок 3 3 4" xfId="632"/>
    <cellStyle name="Заголовок 3 3 5" xfId="633"/>
    <cellStyle name="Заголовок 3 3 6" xfId="634"/>
    <cellStyle name="Заголовок 3 3 7" xfId="635"/>
    <cellStyle name="Заголовок 3 3 8" xfId="636"/>
    <cellStyle name="Заголовок 3 3 9" xfId="637"/>
    <cellStyle name="Заголовок 4 2" xfId="638"/>
    <cellStyle name="Заголовок 4 2 10" xfId="639"/>
    <cellStyle name="Заголовок 4 2 2" xfId="640"/>
    <cellStyle name="Заголовок 4 2 3" xfId="641"/>
    <cellStyle name="Заголовок 4 2 4" xfId="642"/>
    <cellStyle name="Заголовок 4 2 5" xfId="643"/>
    <cellStyle name="Заголовок 4 2 6" xfId="644"/>
    <cellStyle name="Заголовок 4 2 7" xfId="645"/>
    <cellStyle name="Заголовок 4 2 8" xfId="646"/>
    <cellStyle name="Заголовок 4 2 9" xfId="647"/>
    <cellStyle name="Заголовок 4 3" xfId="648"/>
    <cellStyle name="Заголовок 4 3 10" xfId="649"/>
    <cellStyle name="Заголовок 4 3 2" xfId="650"/>
    <cellStyle name="Заголовок 4 3 3" xfId="651"/>
    <cellStyle name="Заголовок 4 3 4" xfId="652"/>
    <cellStyle name="Заголовок 4 3 5" xfId="653"/>
    <cellStyle name="Заголовок 4 3 6" xfId="654"/>
    <cellStyle name="Заголовок 4 3 7" xfId="655"/>
    <cellStyle name="Заголовок 4 3 8" xfId="656"/>
    <cellStyle name="Заголовок 4 3 9" xfId="657"/>
    <cellStyle name="Итог 2" xfId="658"/>
    <cellStyle name="Итог 2 10" xfId="659"/>
    <cellStyle name="Итог 2 2" xfId="660"/>
    <cellStyle name="Итог 2 3" xfId="661"/>
    <cellStyle name="Итог 2 4" xfId="662"/>
    <cellStyle name="Итог 2 5" xfId="663"/>
    <cellStyle name="Итог 2 6" xfId="664"/>
    <cellStyle name="Итог 2 7" xfId="665"/>
    <cellStyle name="Итог 2 8" xfId="666"/>
    <cellStyle name="Итог 2 9" xfId="667"/>
    <cellStyle name="Итог 3" xfId="668"/>
    <cellStyle name="Итог 3 10" xfId="669"/>
    <cellStyle name="Итог 3 2" xfId="670"/>
    <cellStyle name="Итог 3 3" xfId="671"/>
    <cellStyle name="Итог 3 4" xfId="672"/>
    <cellStyle name="Итог 3 5" xfId="673"/>
    <cellStyle name="Итог 3 6" xfId="674"/>
    <cellStyle name="Итог 3 7" xfId="675"/>
    <cellStyle name="Итог 3 8" xfId="676"/>
    <cellStyle name="Итог 3 9" xfId="677"/>
    <cellStyle name="Контрольная ячейка 2" xfId="678"/>
    <cellStyle name="Контрольная ячейка 2 10" xfId="679"/>
    <cellStyle name="Контрольная ячейка 2 2" xfId="680"/>
    <cellStyle name="Контрольная ячейка 2 3" xfId="681"/>
    <cellStyle name="Контрольная ячейка 2 4" xfId="682"/>
    <cellStyle name="Контрольная ячейка 2 5" xfId="683"/>
    <cellStyle name="Контрольная ячейка 2 6" xfId="684"/>
    <cellStyle name="Контрольная ячейка 2 7" xfId="685"/>
    <cellStyle name="Контрольная ячейка 2 8" xfId="686"/>
    <cellStyle name="Контрольная ячейка 2 9" xfId="687"/>
    <cellStyle name="Контрольная ячейка 3" xfId="688"/>
    <cellStyle name="Контрольная ячейка 3 10" xfId="689"/>
    <cellStyle name="Контрольная ячейка 3 2" xfId="690"/>
    <cellStyle name="Контрольная ячейка 3 3" xfId="691"/>
    <cellStyle name="Контрольная ячейка 3 4" xfId="692"/>
    <cellStyle name="Контрольная ячейка 3 5" xfId="693"/>
    <cellStyle name="Контрольная ячейка 3 6" xfId="694"/>
    <cellStyle name="Контрольная ячейка 3 7" xfId="695"/>
    <cellStyle name="Контрольная ячейка 3 8" xfId="696"/>
    <cellStyle name="Контрольная ячейка 3 9" xfId="697"/>
    <cellStyle name="Название 2" xfId="698"/>
    <cellStyle name="Название 2 10" xfId="699"/>
    <cellStyle name="Название 2 2" xfId="700"/>
    <cellStyle name="Название 2 3" xfId="701"/>
    <cellStyle name="Название 2 4" xfId="702"/>
    <cellStyle name="Название 2 5" xfId="703"/>
    <cellStyle name="Название 2 6" xfId="704"/>
    <cellStyle name="Название 2 7" xfId="705"/>
    <cellStyle name="Название 2 8" xfId="706"/>
    <cellStyle name="Название 2 9" xfId="707"/>
    <cellStyle name="Название 3" xfId="708"/>
    <cellStyle name="Название 3 10" xfId="709"/>
    <cellStyle name="Название 3 2" xfId="710"/>
    <cellStyle name="Название 3 3" xfId="711"/>
    <cellStyle name="Название 3 4" xfId="712"/>
    <cellStyle name="Название 3 5" xfId="713"/>
    <cellStyle name="Название 3 6" xfId="714"/>
    <cellStyle name="Название 3 7" xfId="715"/>
    <cellStyle name="Название 3 8" xfId="716"/>
    <cellStyle name="Название 3 9" xfId="717"/>
    <cellStyle name="Нейтральный 2" xfId="718"/>
    <cellStyle name="Нейтральный 2 10" xfId="719"/>
    <cellStyle name="Нейтральный 2 2" xfId="720"/>
    <cellStyle name="Нейтральный 2 3" xfId="721"/>
    <cellStyle name="Нейтральный 2 4" xfId="722"/>
    <cellStyle name="Нейтральный 2 5" xfId="723"/>
    <cellStyle name="Нейтральный 2 6" xfId="724"/>
    <cellStyle name="Нейтральный 2 7" xfId="725"/>
    <cellStyle name="Нейтральный 2 8" xfId="726"/>
    <cellStyle name="Нейтральный 2 9" xfId="727"/>
    <cellStyle name="Нейтральный 3" xfId="728"/>
    <cellStyle name="Нейтральный 3 10" xfId="729"/>
    <cellStyle name="Нейтральный 3 2" xfId="730"/>
    <cellStyle name="Нейтральный 3 3" xfId="731"/>
    <cellStyle name="Нейтральный 3 4" xfId="732"/>
    <cellStyle name="Нейтральный 3 5" xfId="733"/>
    <cellStyle name="Нейтральный 3 6" xfId="734"/>
    <cellStyle name="Нейтральный 3 7" xfId="735"/>
    <cellStyle name="Нейтральный 3 8" xfId="736"/>
    <cellStyle name="Нейтральный 3 9" xfId="737"/>
    <cellStyle name="Обычный" xfId="0" builtinId="0"/>
    <cellStyle name="Обычный 10" xfId="738"/>
    <cellStyle name="Обычный 10 2" xfId="739"/>
    <cellStyle name="Обычный 11" xfId="740"/>
    <cellStyle name="Обычный 12" xfId="741"/>
    <cellStyle name="Обычный 2" xfId="742"/>
    <cellStyle name="Обычный 2 10" xfId="743"/>
    <cellStyle name="Обычный 2 11" xfId="744"/>
    <cellStyle name="Обычный 2 12" xfId="745"/>
    <cellStyle name="Обычный 2 13" xfId="746"/>
    <cellStyle name="Обычный 2 2" xfId="747"/>
    <cellStyle name="Обычный 2 3" xfId="748"/>
    <cellStyle name="Обычный 2 4" xfId="749"/>
    <cellStyle name="Обычный 2 5" xfId="750"/>
    <cellStyle name="Обычный 2 6" xfId="751"/>
    <cellStyle name="Обычный 2 7" xfId="752"/>
    <cellStyle name="Обычный 2 8" xfId="753"/>
    <cellStyle name="Обычный 2 9" xfId="754"/>
    <cellStyle name="Обычный 3" xfId="755"/>
    <cellStyle name="Обычный 3 2" xfId="756"/>
    <cellStyle name="Обычный 3 3" xfId="757"/>
    <cellStyle name="Обычный 3 4" xfId="758"/>
    <cellStyle name="Обычный 3 5" xfId="759"/>
    <cellStyle name="Обычный 3 6" xfId="760"/>
    <cellStyle name="Обычный 3 7" xfId="761"/>
    <cellStyle name="Обычный 4" xfId="762"/>
    <cellStyle name="Обычный 4 2" xfId="763"/>
    <cellStyle name="Обычный 4 3" xfId="764"/>
    <cellStyle name="Обычный 4 4" xfId="765"/>
    <cellStyle name="Обычный 4 5" xfId="766"/>
    <cellStyle name="Обычный 4 6" xfId="767"/>
    <cellStyle name="Обычный 4 6 10" xfId="768"/>
    <cellStyle name="Обычный 4 6 2" xfId="769"/>
    <cellStyle name="Обычный 4 6 3" xfId="770"/>
    <cellStyle name="Обычный 4 6 4" xfId="771"/>
    <cellStyle name="Обычный 4 6 5" xfId="772"/>
    <cellStyle name="Обычный 4 6 6" xfId="773"/>
    <cellStyle name="Обычный 4 6 7" xfId="774"/>
    <cellStyle name="Обычный 4 6 8" xfId="775"/>
    <cellStyle name="Обычный 4 6 9" xfId="776"/>
    <cellStyle name="Обычный 4 7" xfId="777"/>
    <cellStyle name="Обычный 4 7 10" xfId="778"/>
    <cellStyle name="Обычный 4 7 2" xfId="779"/>
    <cellStyle name="Обычный 4 7 3" xfId="780"/>
    <cellStyle name="Обычный 4 7 4" xfId="781"/>
    <cellStyle name="Обычный 4 7 5" xfId="782"/>
    <cellStyle name="Обычный 4 7 6" xfId="783"/>
    <cellStyle name="Обычный 4 7 7" xfId="784"/>
    <cellStyle name="Обычный 4 7 8" xfId="785"/>
    <cellStyle name="Обычный 4 7 9" xfId="786"/>
    <cellStyle name="Обычный 4 8" xfId="787"/>
    <cellStyle name="Обычный 4 8 10" xfId="788"/>
    <cellStyle name="Обычный 4 8 2" xfId="789"/>
    <cellStyle name="Обычный 4 8 3" xfId="790"/>
    <cellStyle name="Обычный 4 8 4" xfId="791"/>
    <cellStyle name="Обычный 4 8 5" xfId="792"/>
    <cellStyle name="Обычный 4 8 6" xfId="793"/>
    <cellStyle name="Обычный 4 8 7" xfId="794"/>
    <cellStyle name="Обычный 4 8 8" xfId="795"/>
    <cellStyle name="Обычный 4 8 9" xfId="796"/>
    <cellStyle name="Обычный 4 9" xfId="797"/>
    <cellStyle name="Обычный 4 9 10" xfId="798"/>
    <cellStyle name="Обычный 4 9 2" xfId="799"/>
    <cellStyle name="Обычный 4 9 3" xfId="800"/>
    <cellStyle name="Обычный 4 9 4" xfId="801"/>
    <cellStyle name="Обычный 4 9 5" xfId="802"/>
    <cellStyle name="Обычный 4 9 6" xfId="803"/>
    <cellStyle name="Обычный 4 9 7" xfId="804"/>
    <cellStyle name="Обычный 4 9 8" xfId="805"/>
    <cellStyle name="Обычный 4 9 9" xfId="806"/>
    <cellStyle name="Обычный 5" xfId="807"/>
    <cellStyle name="Обычный 6" xfId="808"/>
    <cellStyle name="Обычный 7" xfId="809"/>
    <cellStyle name="Обычный 7 2" xfId="810"/>
    <cellStyle name="Обычный 7 3" xfId="811"/>
    <cellStyle name="Обычный 7 4" xfId="812"/>
    <cellStyle name="Обычный 7 5" xfId="813"/>
    <cellStyle name="Обычный 7 6" xfId="814"/>
    <cellStyle name="Обычный 7 7" xfId="815"/>
    <cellStyle name="Обычный 7 8" xfId="816"/>
    <cellStyle name="Обычный 7 9" xfId="817"/>
    <cellStyle name="Обычный 8" xfId="818"/>
    <cellStyle name="Обычный 8 2" xfId="819"/>
    <cellStyle name="Обычный 8 3" xfId="820"/>
    <cellStyle name="Обычный 8 4" xfId="821"/>
    <cellStyle name="Обычный 8 5" xfId="822"/>
    <cellStyle name="Обычный 8 6" xfId="823"/>
    <cellStyle name="Обычный 8 7" xfId="824"/>
    <cellStyle name="Обычный 9" xfId="825"/>
    <cellStyle name="Обычный 9 2" xfId="826"/>
    <cellStyle name="Плохой 2" xfId="827"/>
    <cellStyle name="Плохой 2 10" xfId="828"/>
    <cellStyle name="Плохой 2 2" xfId="829"/>
    <cellStyle name="Плохой 2 3" xfId="830"/>
    <cellStyle name="Плохой 2 4" xfId="831"/>
    <cellStyle name="Плохой 2 5" xfId="832"/>
    <cellStyle name="Плохой 2 6" xfId="833"/>
    <cellStyle name="Плохой 2 7" xfId="834"/>
    <cellStyle name="Плохой 2 8" xfId="835"/>
    <cellStyle name="Плохой 2 9" xfId="836"/>
    <cellStyle name="Плохой 3" xfId="837"/>
    <cellStyle name="Плохой 3 10" xfId="838"/>
    <cellStyle name="Плохой 3 2" xfId="839"/>
    <cellStyle name="Плохой 3 3" xfId="840"/>
    <cellStyle name="Плохой 3 4" xfId="841"/>
    <cellStyle name="Плохой 3 5" xfId="842"/>
    <cellStyle name="Плохой 3 6" xfId="843"/>
    <cellStyle name="Плохой 3 7" xfId="844"/>
    <cellStyle name="Плохой 3 8" xfId="845"/>
    <cellStyle name="Плохой 3 9" xfId="846"/>
    <cellStyle name="Пояснение 2" xfId="847"/>
    <cellStyle name="Пояснение 2 10" xfId="848"/>
    <cellStyle name="Пояснение 2 2" xfId="849"/>
    <cellStyle name="Пояснение 2 3" xfId="850"/>
    <cellStyle name="Пояснение 2 4" xfId="851"/>
    <cellStyle name="Пояснение 2 5" xfId="852"/>
    <cellStyle name="Пояснение 2 6" xfId="853"/>
    <cellStyle name="Пояснение 2 7" xfId="854"/>
    <cellStyle name="Пояснение 2 8" xfId="855"/>
    <cellStyle name="Пояснение 2 9" xfId="856"/>
    <cellStyle name="Пояснение 3" xfId="857"/>
    <cellStyle name="Пояснение 3 10" xfId="858"/>
    <cellStyle name="Пояснение 3 2" xfId="859"/>
    <cellStyle name="Пояснение 3 3" xfId="860"/>
    <cellStyle name="Пояснение 3 4" xfId="861"/>
    <cellStyle name="Пояснение 3 5" xfId="862"/>
    <cellStyle name="Пояснение 3 6" xfId="863"/>
    <cellStyle name="Пояснение 3 7" xfId="864"/>
    <cellStyle name="Пояснение 3 8" xfId="865"/>
    <cellStyle name="Пояснение 3 9" xfId="866"/>
    <cellStyle name="Примечание 2" xfId="867"/>
    <cellStyle name="Примечание 2 10" xfId="868"/>
    <cellStyle name="Примечание 2 2" xfId="869"/>
    <cellStyle name="Примечание 2 3" xfId="870"/>
    <cellStyle name="Примечание 2 4" xfId="871"/>
    <cellStyle name="Примечание 2 5" xfId="872"/>
    <cellStyle name="Примечание 2 6" xfId="873"/>
    <cellStyle name="Примечание 2 7" xfId="874"/>
    <cellStyle name="Примечание 2 8" xfId="875"/>
    <cellStyle name="Примечание 2 9" xfId="876"/>
    <cellStyle name="Примечание 3" xfId="877"/>
    <cellStyle name="Примечание 3 10" xfId="878"/>
    <cellStyle name="Примечание 3 2" xfId="879"/>
    <cellStyle name="Примечание 3 3" xfId="880"/>
    <cellStyle name="Примечание 3 4" xfId="881"/>
    <cellStyle name="Примечание 3 5" xfId="882"/>
    <cellStyle name="Примечание 3 6" xfId="883"/>
    <cellStyle name="Примечание 3 7" xfId="884"/>
    <cellStyle name="Примечание 3 8" xfId="885"/>
    <cellStyle name="Примечание 3 9" xfId="886"/>
    <cellStyle name="Процентный" xfId="1" builtinId="5"/>
    <cellStyle name="Процентный 2" xfId="887"/>
    <cellStyle name="Процентный 2 2" xfId="888"/>
    <cellStyle name="Процентный 3" xfId="889"/>
    <cellStyle name="Процентный 4" xfId="890"/>
    <cellStyle name="Связанная ячейка 2" xfId="891"/>
    <cellStyle name="Связанная ячейка 2 10" xfId="892"/>
    <cellStyle name="Связанная ячейка 2 2" xfId="893"/>
    <cellStyle name="Связанная ячейка 2 3" xfId="894"/>
    <cellStyle name="Связанная ячейка 2 4" xfId="895"/>
    <cellStyle name="Связанная ячейка 2 5" xfId="896"/>
    <cellStyle name="Связанная ячейка 2 6" xfId="897"/>
    <cellStyle name="Связанная ячейка 2 7" xfId="898"/>
    <cellStyle name="Связанная ячейка 2 8" xfId="899"/>
    <cellStyle name="Связанная ячейка 2 9" xfId="900"/>
    <cellStyle name="Связанная ячейка 3" xfId="901"/>
    <cellStyle name="Связанная ячейка 3 10" xfId="902"/>
    <cellStyle name="Связанная ячейка 3 2" xfId="903"/>
    <cellStyle name="Связанная ячейка 3 3" xfId="904"/>
    <cellStyle name="Связанная ячейка 3 4" xfId="905"/>
    <cellStyle name="Связанная ячейка 3 5" xfId="906"/>
    <cellStyle name="Связанная ячейка 3 6" xfId="907"/>
    <cellStyle name="Связанная ячейка 3 7" xfId="908"/>
    <cellStyle name="Связанная ячейка 3 8" xfId="909"/>
    <cellStyle name="Связанная ячейка 3 9" xfId="910"/>
    <cellStyle name="Текст предупреждения 2" xfId="911"/>
    <cellStyle name="Текст предупреждения 2 10" xfId="912"/>
    <cellStyle name="Текст предупреждения 2 2" xfId="913"/>
    <cellStyle name="Текст предупреждения 2 3" xfId="914"/>
    <cellStyle name="Текст предупреждения 2 4" xfId="915"/>
    <cellStyle name="Текст предупреждения 2 5" xfId="916"/>
    <cellStyle name="Текст предупреждения 2 6" xfId="917"/>
    <cellStyle name="Текст предупреждения 2 7" xfId="918"/>
    <cellStyle name="Текст предупреждения 2 8" xfId="919"/>
    <cellStyle name="Текст предупреждения 2 9" xfId="920"/>
    <cellStyle name="Текст предупреждения 3" xfId="921"/>
    <cellStyle name="Текст предупреждения 3 10" xfId="922"/>
    <cellStyle name="Текст предупреждения 3 2" xfId="923"/>
    <cellStyle name="Текст предупреждения 3 3" xfId="924"/>
    <cellStyle name="Текст предупреждения 3 4" xfId="925"/>
    <cellStyle name="Текст предупреждения 3 5" xfId="926"/>
    <cellStyle name="Текст предупреждения 3 6" xfId="927"/>
    <cellStyle name="Текст предупреждения 3 7" xfId="928"/>
    <cellStyle name="Текст предупреждения 3 8" xfId="929"/>
    <cellStyle name="Текст предупреждения 3 9" xfId="930"/>
    <cellStyle name="Хороший 2" xfId="931"/>
    <cellStyle name="Хороший 2 10" xfId="932"/>
    <cellStyle name="Хороший 2 2" xfId="933"/>
    <cellStyle name="Хороший 2 3" xfId="934"/>
    <cellStyle name="Хороший 2 4" xfId="935"/>
    <cellStyle name="Хороший 2 5" xfId="936"/>
    <cellStyle name="Хороший 2 6" xfId="937"/>
    <cellStyle name="Хороший 2 7" xfId="938"/>
    <cellStyle name="Хороший 2 8" xfId="939"/>
    <cellStyle name="Хороший 2 9" xfId="940"/>
    <cellStyle name="Хороший 3" xfId="941"/>
    <cellStyle name="Хороший 3 10" xfId="942"/>
    <cellStyle name="Хороший 3 2" xfId="943"/>
    <cellStyle name="Хороший 3 3" xfId="944"/>
    <cellStyle name="Хороший 3 4" xfId="945"/>
    <cellStyle name="Хороший 3 5" xfId="946"/>
    <cellStyle name="Хороший 3 6" xfId="947"/>
    <cellStyle name="Хороший 3 7" xfId="948"/>
    <cellStyle name="Хороший 3 8" xfId="949"/>
    <cellStyle name="Хороший 3 9" xfId="9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10" Type="http://schemas.openxmlformats.org/officeDocument/2006/relationships/externalLink" Target="externalLinks/externalLink8.xml"/><Relationship Id="rId19"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41;&#1102;&#1076;&#1078;&#1077;&#1090;&#1085;&#1099;&#1077;%20&#1087;&#1088;&#1086;&#1077;&#1082;&#1090;&#1080;&#1088;&#1086;&#1074;&#1082;&#1080;%20&#1085;&#1072;%202017-2019%20&#1075;&#1086;&#1076;&#1099;/&#1055;&#1086;%20&#1087;&#1088;&#1077;&#1076;&#1087;&#1088;&#1080;&#1103;&#1090;&#1080;&#1103;&#1084;/&#1040;&#1088;&#1093;&#1072;&#1085;&#1075;&#1077;&#1083;&#1100;&#1089;&#1082;-&#1050;&#1086;&#1090;&#1083;&#1072;&#1089;%20&#1054;&#1040;&#1054;%20&#1050;&#1086;&#1084;&#1080;&#1072;&#1074;&#1080;&#1072;&#1090;&#1088;&#1072;&#1085;&#1089;%202017-201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1041;&#1102;&#1076;&#1078;&#1077;&#1090;&#1085;&#1099;&#1077;%20&#1087;&#1088;&#1086;&#1077;&#1082;&#1090;&#1080;&#1088;&#1086;&#1074;&#1082;&#1080;%20&#1085;&#1072;%202017-2019%20&#1075;&#1086;&#1076;&#1099;/&#1055;&#1086;%20&#1087;&#1088;&#1077;&#1076;&#1087;&#1088;&#1080;&#1103;&#1090;&#1080;&#1103;&#1084;/&#1047;&#1040;&#1071;&#1042;&#1050;&#1040;%20&#1074;%20&#1088;&#1072;&#1079;&#1077;&#1088;&#1077;&#1079;&#1077;%20&#1087;&#1088;&#1077;&#1076;&#1087;&#1088;&#1080;&#1103;&#1090;&#1080;&#1081;%202017-2019/&#1045;&#1084;&#1077;&#1083;&#1100;&#1103;&#1085;&#1086;&#1074;%20&#1042;&#104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1041;&#1102;&#1076;&#1078;&#1077;&#1090;&#1085;&#1099;&#1077;%20&#1087;&#1088;&#1086;&#1077;&#1082;&#1090;&#1080;&#1088;&#1086;&#1074;&#1082;&#1080;%20&#1085;&#1072;%202017-2019%20&#1075;&#1086;&#1076;&#1099;/&#1055;&#1086;%20&#1087;&#1088;&#1077;&#1076;&#1087;&#1088;&#1080;&#1103;&#1090;&#1080;&#1103;&#1084;/&#1047;&#1040;&#1071;&#1042;&#1050;&#1040;%20&#1074;%20&#1088;&#1072;&#1079;&#1077;&#1088;&#1077;&#1079;&#1077;%20&#1087;&#1088;&#1077;&#1076;&#1087;&#1088;&#1080;&#1103;&#1090;&#1080;&#1081;%202017-2019/&#1059;&#1089;&#1090;&#1100;-&#1050;&#1086;&#1078;&#1072;%20%20-%20&#1055;&#1086;&#1088;&#1086;&#1075;%20&#1041;&#1047;%202017-201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1041;&#1102;&#1076;&#1078;&#1077;&#1090;&#1085;&#1099;&#1077;%20&#1087;&#1088;&#1086;&#1077;&#1082;&#1090;&#1080;&#1088;&#1086;&#1074;&#1082;&#1080;%20&#1085;&#1072;%202017-2019%20&#1075;&#1086;&#1076;&#1099;/&#1055;&#1086;%20&#1087;&#1088;&#1077;&#1076;&#1087;&#1088;&#1080;&#1103;&#1090;&#1080;&#1103;&#1084;/&#1047;&#1040;&#1071;&#1042;&#1050;&#1040;%20&#1074;%20&#1088;&#1072;&#1079;&#1077;&#1088;&#1077;&#1079;&#1077;%20&#1087;&#1088;&#1077;&#1076;&#1087;&#1088;&#1080;&#1103;&#1090;&#1080;&#1081;%202017-2019/&#1059;&#1089;&#1090;&#1100;-&#1055;&#1080;&#1085;&#1077;&#1075;&#1072;%20&#1051;&#1103;&#1074;&#1083;&#1103;/&#1059;&#1089;&#1090;&#1100;-&#1055;&#1080;&#1085;&#1077;&#1078;&#1089;&#1082;&#1080;&#1081;%20&#1051;&#1055;&#1061;%20&#1051;&#1103;&#1074;&#1083;&#1103;%202017-2019%20&#1075;&#1086;&#107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1041;&#1102;&#1076;&#1078;&#1077;&#1090;&#1085;&#1099;&#1077;%20&#1087;&#1088;&#1086;&#1077;&#1082;&#1090;&#1080;&#1088;&#1086;&#1074;&#1082;&#1080;%20&#1085;&#1072;%202017-2019%20&#1075;&#1086;&#1076;&#1099;/&#1055;&#1086;%20&#1087;&#1088;&#1077;&#1076;&#1087;&#1088;&#1080;&#1103;&#1090;&#1080;&#1103;&#1084;/&#1054;&#1054;&#1054;%20&#1057;&#1080;&#1074;&#1077;&#1088;&#1082;&#1086;%20&#1041;&#1047;%202017-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1057;%20&#1076;&#1080;&#1089;&#1082;&#1072;%20D\&#1044;&#1054;&#1050;&#1059;&#1052;&#1045;&#1053;&#1058;&#1067;\&#1057;&#1046;&#1044;\&#1057;&#1055;&#1055;&#1050;%202016\&#1058;&#1040;&#1056;&#1048;&#1060;&#1067;%202016%20&#1075;&#1086;&#1076;%20&#1046;&#1044;%20&#1074;%20&#1057;&#1055;&#1055;&#1050;%2025.32%20&#1089;%20&#1085;&#1072;&#1089;&#1077;&#1083;&#1077;&#1085;&#1080;&#1077;&#1084;%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041;&#1102;&#1076;&#1078;&#1077;&#1090;&#1085;&#1099;&#1077;%20&#1087;&#1088;&#1086;&#1077;&#1082;&#1090;&#1080;&#1088;&#1086;&#1074;&#1082;&#1080;%20&#1085;&#1072;%202017-2019%20&#1075;&#1086;&#1076;&#1099;/&#1055;&#1086;%20&#1087;&#1088;&#1077;&#1076;&#1087;&#1088;&#1080;&#1103;&#1090;&#1080;&#1103;&#1084;/&#1047;&#1040;&#1071;&#1042;&#1050;&#1040;%20&#1074;%20&#1088;&#1072;&#1079;&#1077;&#1088;&#1077;&#1079;&#1077;%20&#1087;&#1088;&#1077;&#1076;&#1087;&#1088;&#1080;&#1103;&#1090;&#1080;&#1081;%202017-2019/&#1040;&#1088;&#1082;&#1090;&#1080;&#1082;&#1088;&#1077;&#1081;&#1076;%20&#1041;&#1047;%202017-201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041;&#1102;&#1076;&#1078;&#1077;&#1090;&#1085;&#1099;&#1077;%20&#1087;&#1088;&#1086;&#1077;&#1082;&#1090;&#1080;&#1088;&#1086;&#1074;&#1082;&#1080;%20&#1085;&#1072;%202017-2019%20&#1075;&#1086;&#1076;&#1099;/&#1055;&#1086;%20&#1087;&#1088;&#1077;&#1076;&#1087;&#1088;&#1080;&#1103;&#1090;&#1080;&#1103;&#1084;/&#1047;&#1040;&#1071;&#1042;&#1050;&#1040;%20&#1074;%20&#1088;&#1072;&#1079;&#1077;&#1088;&#1077;&#1079;&#1077;%20&#1087;&#1088;&#1077;&#1076;&#1087;&#1088;&#1080;&#1103;&#1090;&#1080;&#1081;%202017-2019/&#1053;&#1077;&#1084;&#1072;&#1085;&#1086;&#1074;%20&#1042;.&#105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1041;&#1102;&#1076;&#1078;&#1077;&#1090;&#1085;&#1099;&#1077;%20&#1087;&#1088;&#1086;&#1077;&#1082;&#1090;&#1080;&#1088;&#1086;&#1074;&#1082;&#1080;%20&#1085;&#1072;%202017-2019%20&#1075;&#1086;&#1076;&#1099;/&#1055;&#1086;%20&#1087;&#1088;&#1077;&#1076;&#1087;&#1088;&#1080;&#1103;&#1090;&#1080;&#1103;&#1084;/&#1048;&#1055;%20&#1062;&#1091;&#1088;&#1082;&#1086;%20&#1045;.&#1070;/&#1048;&#1055;%20&#1062;&#1091;&#1088;&#1082;&#1086;%20&#1045;.&#1070;.%202%20&#1083;&#1080;&#1085;&#1080;&#1080;%202017-2019%20&#1075;&#1086;&#107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1041;&#1102;&#1076;&#1078;&#1077;&#1090;&#1085;&#1099;&#1077;%20&#1087;&#1088;&#1086;&#1077;&#1082;&#1090;&#1080;&#1088;&#1086;&#1074;&#1082;&#1080;%20&#1085;&#1072;%202017-2019%20&#1075;&#1086;&#1076;&#1099;/&#1055;&#1086;%20&#1087;&#1088;&#1077;&#1076;&#1087;&#1088;&#1080;&#1103;&#1090;&#1080;&#1103;&#1084;/&#1047;&#1040;&#1071;&#1042;&#1050;&#1040;%20&#1074;%20&#1088;&#1072;&#1079;&#1077;&#1088;&#1077;&#1079;&#1077;%20&#1087;&#1088;&#1077;&#1076;&#1087;&#1088;&#1080;&#1103;&#1090;&#1080;&#1081;%202017-2019/&#1057;&#1056;&#1055;%20&#1080;%20&#1054;&#1054;&#1054;%20&#1056;&#1077;&#1084;&#1089;&#1090;&#1088;&#1086;&#1081;&#1089;&#1077;&#1088;&#1074;&#1080;&#1089;/&#1048;&#1055;%20&#1057;&#1080;&#1076;&#1086;&#1088;&#1086;&#1074;%20&#1040;.&#1041;.%20%20&#1041;&#1047;%202017-201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041;&#1102;&#1076;&#1078;&#1077;&#1090;&#1085;&#1099;&#1077;%20&#1087;&#1088;&#1086;&#1077;&#1082;&#1090;&#1080;&#1088;&#1086;&#1074;&#1082;&#1080;%20&#1085;&#1072;%202017-2019%20&#1075;&#1086;&#1076;&#1099;/&#1055;&#1086;%20&#1087;&#1088;&#1077;&#1076;&#1087;&#1088;&#1080;&#1103;&#1090;&#1080;&#1103;&#1084;/&#1040;&#1088;&#1093;&#1088;&#1077;&#1095;&#1087;&#1086;&#1088;&#1090;%20&#1041;&#1047;%202017-201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OCUME~1/UVPopov/LOCALS~1/Temp/&#1059;&#1058;&#1054;&#1063;&#1053;&#1045;&#1053;&#1053;&#1067;&#1049;%20&#1057;&#1042;&#1054;&#1044;&#1053;&#1067;&#1049;%20&#1041;&#1070;&#1044;&#1046;&#1045;&#1058;%202018-2020%20&#1075;&#1086;&#1076;&#1099;%20&#1085;&#1072;%2001.08.201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1041;&#1102;&#1076;&#1078;&#1077;&#1090;&#1085;&#1099;&#1077;%20&#1087;&#1088;&#1086;&#1077;&#1082;&#1090;&#1080;&#1088;&#1086;&#1074;&#1082;&#1080;%20&#1085;&#1072;%202017-2019%20&#1075;&#1086;&#1076;&#1099;/&#1055;&#1086;%20&#1087;&#1088;&#1077;&#1076;&#1087;&#1088;&#1080;&#1103;&#1090;&#1080;&#1103;&#1084;/&#1047;&#1040;&#1071;&#1042;&#1050;&#1040;%20&#1074;%20&#1088;&#1072;&#1079;&#1077;&#1088;&#1077;&#1079;&#1077;%20&#1087;&#1088;&#1077;&#1076;&#1087;&#1088;&#1080;&#1103;&#1090;&#1080;&#1081;%202017-2019/&#1050;&#1086;&#1087;&#1080;&#1103;%20&#1052;&#1059;&#1055;%20&#1053;&#1069;&#1057;&#1050;%20&#1073;&#1102;&#1076;&#1078;&#1077;&#1090;%202017.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расчет налета на 2014г. (3)"/>
      <sheetName val="расчет налета на 2014г."/>
      <sheetName val="расчет налета на 2014г. (2)"/>
      <sheetName val="налет часов"/>
      <sheetName val="к расчету нормативов"/>
      <sheetName val="Нормативы"/>
      <sheetName val="Сыв-Ктс-Сыв"/>
      <sheetName val="Ктс-Арх-Ктс 10%"/>
      <sheetName val="Ктс-Арх-Ктс  оригинал"/>
      <sheetName val="Расчет субсидии"/>
      <sheetName val="пас.тариф"/>
      <sheetName val="гр.тариф"/>
      <sheetName val="уч.Сыв-Ухта"/>
      <sheetName val="СЫВ-ИНТ-СЫВ "/>
      <sheetName val="522_"/>
      <sheetName val="522__"/>
      <sheetName val="521_"/>
      <sheetName val="524_"/>
      <sheetName val="543_"/>
      <sheetName val="уч. СЫВ-УХТ "/>
      <sheetName val="уч.Ухта-Воркута"/>
      <sheetName val="уч.Сыв-Вкт-Сыв"/>
      <sheetName val="Сыв-Усн-Сыв "/>
      <sheetName val="Сыв-Пчр-Сыв"/>
      <sheetName val="Сыв-Инта-Сыв"/>
      <sheetName val="Вуктыл-Ухта-Вуктыл  "/>
      <sheetName val="Сыв-Вуктыл-Сыв"/>
      <sheetName val="уч.Ухта-Усинск"/>
      <sheetName val="стоимость ГСМ"/>
      <sheetName val="сравнительные таблицы"/>
      <sheetName val="Лист1"/>
    </sheetNames>
    <sheetDataSet>
      <sheetData sheetId="0"/>
      <sheetData sheetId="1"/>
      <sheetData sheetId="2"/>
      <sheetData sheetId="3"/>
      <sheetData sheetId="4"/>
      <sheetData sheetId="5"/>
      <sheetData sheetId="6"/>
      <sheetData sheetId="7"/>
      <sheetData sheetId="8"/>
      <sheetData sheetId="9">
        <row r="13">
          <cell r="H13">
            <v>39525.347176898591</v>
          </cell>
        </row>
        <row r="14">
          <cell r="H14">
            <v>18740.909090909088</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Лист1"/>
      <sheetName val="Лист2"/>
    </sheetNames>
    <sheetDataSet>
      <sheetData sheetId="0">
        <row r="18">
          <cell r="DF18">
            <v>105.5</v>
          </cell>
        </row>
        <row r="21">
          <cell r="CW21">
            <v>1837535.9478834653</v>
          </cell>
        </row>
        <row r="24">
          <cell r="CW24">
            <v>294925.95084846462</v>
          </cell>
        </row>
      </sheetData>
      <sheetData sheetId="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расчет"/>
      <sheetName val="тариф"/>
      <sheetName val="тарифы"/>
    </sheetNames>
    <sheetDataSet>
      <sheetData sheetId="0">
        <row r="41">
          <cell r="AU41">
            <v>3293.3921976499996</v>
          </cell>
        </row>
        <row r="44">
          <cell r="AU44">
            <v>731.34710000000007</v>
          </cell>
        </row>
        <row r="49">
          <cell r="AU49">
            <v>164.6696098825</v>
          </cell>
        </row>
      </sheetData>
      <sheetData sheetId="1"/>
      <sheetData sheetId="2"/>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Свод"/>
      <sheetName val="Расчет зар. платы"/>
      <sheetName val="прочие расходы"/>
      <sheetName val="Общехозяйственные "/>
      <sheetName val="Распр. общ."/>
      <sheetName val="Лист2"/>
      <sheetName val="Лист3"/>
    </sheetNames>
    <sheetDataSet>
      <sheetData sheetId="0">
        <row r="31">
          <cell r="CW31">
            <v>2221025.6370041845</v>
          </cell>
        </row>
        <row r="43">
          <cell r="CW43">
            <v>158548.5</v>
          </cell>
        </row>
      </sheetData>
      <sheetData sheetId="1"/>
      <sheetData sheetId="2"/>
      <sheetData sheetId="3"/>
      <sheetData sheetId="4"/>
      <sheetData sheetId="5"/>
      <sheetData sheetId="6"/>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Лист1"/>
      <sheetName val="Лист2"/>
      <sheetName val="Лист3"/>
    </sheetNames>
    <sheetDataSet>
      <sheetData sheetId="0" refreshError="1">
        <row r="18">
          <cell r="M18">
            <v>1020</v>
          </cell>
        </row>
        <row r="39">
          <cell r="M39">
            <v>3044.0185510444007</v>
          </cell>
        </row>
      </sheetData>
      <sheetData sheetId="1" refreshError="1"/>
      <sheetData sheetId="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Сводная таблица"/>
      <sheetName val="Инфраструкт."/>
      <sheetName val="Аренда"/>
      <sheetName val="Собств. "/>
      <sheetName val="Резерв отпусков"/>
      <sheetName val="Прочие расходы"/>
      <sheetName val="Доходы"/>
      <sheetName val="Лист1"/>
      <sheetName val="Анализ по ЗП"/>
    </sheetNames>
    <sheetDataSet>
      <sheetData sheetId="0"/>
      <sheetData sheetId="1"/>
      <sheetData sheetId="2"/>
      <sheetData sheetId="3"/>
      <sheetData sheetId="4"/>
      <sheetData sheetId="5"/>
      <sheetData sheetId="6">
        <row r="26">
          <cell r="D26">
            <v>192492931</v>
          </cell>
        </row>
      </sheetData>
      <sheetData sheetId="7"/>
      <sheetData sheetId="8"/>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Свод"/>
      <sheetName val="Доход"/>
      <sheetName val="ГСМ"/>
      <sheetName val="Труд"/>
      <sheetName val="Матер"/>
      <sheetName val="Кап. рем"/>
      <sheetName val="Экспл"/>
      <sheetName val="Лист1"/>
    </sheetNames>
    <sheetDataSet>
      <sheetData sheetId="0">
        <row r="12">
          <cell r="AK12">
            <v>1725.2414999999999</v>
          </cell>
        </row>
        <row r="31">
          <cell r="AK31">
            <v>9677.3529327128963</v>
          </cell>
        </row>
        <row r="75">
          <cell r="AS75">
            <v>105.5</v>
          </cell>
        </row>
      </sheetData>
      <sheetData sheetId="1"/>
      <sheetData sheetId="2"/>
      <sheetData sheetId="3"/>
      <sheetData sheetId="4"/>
      <sheetData sheetId="5"/>
      <sheetData sheetId="6"/>
      <sheetData sheetId="7"/>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Лист1"/>
      <sheetName val="Лист2"/>
      <sheetName val="Лист3"/>
    </sheetNames>
    <sheetDataSet>
      <sheetData sheetId="0"/>
      <sheetData sheetId="1">
        <row r="17">
          <cell r="DW17">
            <v>900.95</v>
          </cell>
        </row>
        <row r="46">
          <cell r="DW46">
            <v>4161.8025014495461</v>
          </cell>
        </row>
      </sheetData>
      <sheetData sheetId="2"/>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Легашевская"/>
      <sheetName val="Лямца"/>
      <sheetName val="топливо"/>
      <sheetName val="Прочие расходы"/>
      <sheetName val="ФОТ (Легашевская и Лямца)"/>
      <sheetName val="тариф"/>
      <sheetName val="Доходы"/>
    </sheetNames>
    <sheetDataSet>
      <sheetData sheetId="0" refreshError="1">
        <row r="15">
          <cell r="AE15">
            <v>3565.1853625000003</v>
          </cell>
        </row>
        <row r="28">
          <cell r="AE28">
            <v>5804.5715572328018</v>
          </cell>
        </row>
      </sheetData>
      <sheetData sheetId="1" refreshError="1">
        <row r="11">
          <cell r="AD11">
            <v>157.5</v>
          </cell>
        </row>
        <row r="25">
          <cell r="AD25">
            <v>792.19978678820542</v>
          </cell>
        </row>
      </sheetData>
      <sheetData sheetId="2" refreshError="1"/>
      <sheetData sheetId="3" refreshError="1"/>
      <sheetData sheetId="4" refreshError="1"/>
      <sheetData sheetId="5" refreshError="1"/>
      <sheetData sheetId="6"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Лист1"/>
      <sheetName val="Арханг-ВТ"/>
      <sheetName val="Сойга"/>
      <sheetName val="Н-В Тойма"/>
      <sheetName val="Зарплата основных"/>
      <sheetName val="Прочие расходы"/>
      <sheetName val="Распределяемые"/>
      <sheetName val="БЗ 08-11"/>
      <sheetName val="Топл"/>
      <sheetName val="Кап. рем"/>
      <sheetName val="Лист3"/>
    </sheetNames>
    <sheetDataSet>
      <sheetData sheetId="0"/>
      <sheetData sheetId="1"/>
      <sheetData sheetId="2"/>
      <sheetData sheetId="3">
        <row r="14">
          <cell r="AM14">
            <v>105.5</v>
          </cell>
        </row>
        <row r="33">
          <cell r="AB33">
            <v>5241</v>
          </cell>
        </row>
        <row r="34">
          <cell r="AB34">
            <v>889.36500000000001</v>
          </cell>
        </row>
        <row r="38">
          <cell r="AB38">
            <v>262.05</v>
          </cell>
        </row>
      </sheetData>
      <sheetData sheetId="4"/>
      <sheetData sheetId="5"/>
      <sheetData sheetId="6"/>
      <sheetData sheetId="7"/>
      <sheetData sheetId="8"/>
      <sheetData sheetId="9"/>
      <sheetData sheetId="10"/>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1тр"/>
      <sheetName val="ФР 2007г."/>
      <sheetName val="Тариф 2008"/>
      <sheetName val="ФР2007"/>
      <sheetName val="Управленч"/>
      <sheetName val="Лист1"/>
      <sheetName val="Вспом.произв"/>
      <sheetName val="СВФ"/>
      <sheetName val="Вспом.cуд"/>
      <sheetName val="Распред"/>
      <sheetName val="Причалы"/>
      <sheetName val="Д ОС"/>
      <sheetName val="Доход"/>
      <sheetName val="ФР 2011"/>
      <sheetName val="РАСПР бз 2013-2015"/>
      <sheetName val="РАСПР 2014-2016"/>
      <sheetName val="РАСПР 2015-2017"/>
      <sheetName val="РАСПР 2016-2018"/>
      <sheetName val="ЗП"/>
      <sheetName val="доходы"/>
      <sheetName val="Тарифы"/>
      <sheetName val="Свод"/>
      <sheetName val="Зар.пл"/>
      <sheetName val="Топливо"/>
      <sheetName val="КР"/>
      <sheetName val="Капрем"/>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9">
          <cell r="BG9">
            <v>32462.455499999996</v>
          </cell>
        </row>
        <row r="38">
          <cell r="BG38">
            <v>99784.710618600016</v>
          </cell>
        </row>
      </sheetData>
      <sheetData sheetId="22" refreshError="1"/>
      <sheetData sheetId="23" refreshError="1"/>
      <sheetData sheetId="24" refreshError="1"/>
      <sheetData sheetId="25"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Бюджетная"/>
      <sheetName val="Прогноз тарифов"/>
      <sheetName val="Бюджет Речпорт"/>
      <sheetName val="Бюджет"/>
      <sheetName val="речпорт факт 2016"/>
      <sheetName val="речпорт прогноз 2018"/>
      <sheetName val="речпорт база для расчета 2018"/>
    </sheetNames>
    <sheetDataSet>
      <sheetData sheetId="0" refreshError="1"/>
      <sheetData sheetId="1" refreshError="1"/>
      <sheetData sheetId="2" refreshError="1">
        <row r="29">
          <cell r="V29">
            <v>95309.482000000004</v>
          </cell>
          <cell r="W29">
            <v>29289.112000000001</v>
          </cell>
          <cell r="AA29">
            <v>102462.27557212667</v>
          </cell>
          <cell r="AB29">
            <v>33746.326391102404</v>
          </cell>
        </row>
      </sheetData>
      <sheetData sheetId="3" refreshError="1"/>
      <sheetData sheetId="4" refreshError="1"/>
      <sheetData sheetId="5" refreshError="1"/>
      <sheetData sheetId="6"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ГСМ"/>
      <sheetName val="Лист1"/>
      <sheetName val="Лист2"/>
      <sheetName val="Лист3"/>
      <sheetName val="общех."/>
      <sheetName val="пассажиропоток"/>
    </sheetNames>
    <sheetDataSet>
      <sheetData sheetId="0"/>
      <sheetData sheetId="1">
        <row r="59">
          <cell r="FD59">
            <v>3759516.8579686605</v>
          </cell>
        </row>
        <row r="71">
          <cell r="FD71">
            <v>867507.51</v>
          </cell>
        </row>
      </sheetData>
      <sheetData sheetId="2"/>
      <sheetData sheetId="3"/>
      <sheetData sheetId="4"/>
      <sheetData sheetId="5"/>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AZ55"/>
  <sheetViews>
    <sheetView tabSelected="1" view="pageBreakPreview" zoomScale="56" zoomScaleNormal="100" zoomScaleSheetLayoutView="56" workbookViewId="0">
      <pane xSplit="25" ySplit="10" topLeftCell="Z11" activePane="bottomRight" state="frozen"/>
      <selection pane="topRight" activeCell="Z1" sqref="Z1"/>
      <selection pane="bottomLeft" activeCell="A10" sqref="A10"/>
      <selection pane="bottomRight" activeCell="A3" sqref="A3:AV3"/>
    </sheetView>
  </sheetViews>
  <sheetFormatPr defaultColWidth="55" defaultRowHeight="20.25" outlineLevelRow="1" outlineLevelCol="1"/>
  <cols>
    <col min="1" max="1" width="68.140625" style="295" customWidth="1"/>
    <col min="2" max="2" width="2.5703125" style="295" hidden="1" customWidth="1" outlineLevel="1"/>
    <col min="3" max="3" width="3.28515625" style="295" hidden="1" customWidth="1" outlineLevel="1"/>
    <col min="4" max="4" width="16.5703125" style="295" hidden="1" customWidth="1" outlineLevel="1"/>
    <col min="5" max="5" width="18.28515625" style="295" hidden="1" customWidth="1" outlineLevel="1"/>
    <col min="6" max="6" width="14.7109375" style="295" hidden="1" customWidth="1" outlineLevel="1"/>
    <col min="7" max="7" width="17.28515625" style="295" hidden="1" customWidth="1" outlineLevel="1"/>
    <col min="8" max="8" width="10" style="295" hidden="1" customWidth="1" outlineLevel="1"/>
    <col min="9" max="9" width="17.140625" style="295" hidden="1" customWidth="1" outlineLevel="1"/>
    <col min="10" max="10" width="10" style="295" hidden="1" customWidth="1" outlineLevel="1"/>
    <col min="11" max="11" width="17.140625" style="295" hidden="1" customWidth="1" outlineLevel="1"/>
    <col min="12" max="12" width="10.28515625" style="295" hidden="1" customWidth="1" outlineLevel="1"/>
    <col min="13" max="13" width="17.140625" style="295" hidden="1" customWidth="1" outlineLevel="1"/>
    <col min="14" max="14" width="10.28515625" style="295" hidden="1" customWidth="1" outlineLevel="1"/>
    <col min="15" max="15" width="17.140625" style="295" hidden="1" customWidth="1" outlineLevel="1" collapsed="1"/>
    <col min="16" max="16" width="23.5703125" style="295" hidden="1" customWidth="1" outlineLevel="1"/>
    <col min="17" max="17" width="13.140625" style="295" hidden="1" customWidth="1" outlineLevel="1"/>
    <col min="18" max="18" width="12.28515625" style="295" hidden="1" customWidth="1" outlineLevel="1"/>
    <col min="19" max="19" width="12.140625" style="295" hidden="1" customWidth="1" outlineLevel="1"/>
    <col min="20" max="20" width="11.28515625" style="295" hidden="1" customWidth="1" outlineLevel="1"/>
    <col min="21" max="21" width="9.42578125" style="295" hidden="1" customWidth="1" outlineLevel="1"/>
    <col min="22" max="22" width="13.42578125" style="295" hidden="1" customWidth="1" outlineLevel="1"/>
    <col min="23" max="23" width="12.5703125" style="295" hidden="1" customWidth="1" outlineLevel="1"/>
    <col min="24" max="24" width="13.28515625" style="295" hidden="1" customWidth="1" outlineLevel="1"/>
    <col min="25" max="25" width="9.42578125" style="295" hidden="1" customWidth="1" outlineLevel="1" collapsed="1"/>
    <col min="26" max="26" width="18.85546875" style="295" customWidth="1" collapsed="1"/>
    <col min="27" max="27" width="17.42578125" style="295" customWidth="1"/>
    <col min="28" max="28" width="17.7109375" style="296" customWidth="1"/>
    <col min="29" max="29" width="15.28515625" style="296" customWidth="1"/>
    <col min="30" max="30" width="3" style="296" hidden="1" customWidth="1"/>
    <col min="31" max="31" width="16.7109375" style="296" customWidth="1"/>
    <col min="32" max="32" width="11.7109375" style="297" customWidth="1"/>
    <col min="33" max="33" width="17.7109375" style="297" customWidth="1"/>
    <col min="34" max="34" width="18.7109375" style="297" customWidth="1"/>
    <col min="35" max="35" width="16.28515625" style="296" customWidth="1"/>
    <col min="36" max="36" width="14.85546875" style="296" customWidth="1"/>
    <col min="37" max="37" width="16.5703125" style="296" customWidth="1"/>
    <col min="38" max="38" width="12.5703125" style="296" customWidth="1"/>
    <col min="39" max="39" width="18.7109375" style="296" customWidth="1"/>
    <col min="40" max="40" width="15.85546875" style="296" customWidth="1"/>
    <col min="41" max="41" width="13.140625" style="296" customWidth="1"/>
    <col min="42" max="42" width="17.42578125" style="296" customWidth="1"/>
    <col min="43" max="43" width="12.7109375" style="296" customWidth="1"/>
    <col min="44" max="44" width="18.42578125" style="297" customWidth="1"/>
    <col min="45" max="45" width="15.85546875" style="296" customWidth="1"/>
    <col min="46" max="46" width="12.28515625" style="296" customWidth="1"/>
    <col min="47" max="47" width="17.7109375" style="296" customWidth="1"/>
    <col min="48" max="48" width="11.42578125" style="296" customWidth="1"/>
    <col min="49" max="49" width="10.5703125" style="18" customWidth="1"/>
    <col min="50" max="50" width="17.7109375" style="18" customWidth="1"/>
    <col min="51" max="51" width="14.140625" style="18" customWidth="1"/>
    <col min="52" max="52" width="17" style="18" customWidth="1"/>
    <col min="53" max="16384" width="55" style="295"/>
  </cols>
  <sheetData>
    <row r="1" spans="1:52">
      <c r="A1" s="294"/>
      <c r="AK1" s="298"/>
      <c r="AL1" s="298"/>
      <c r="AM1" s="299"/>
      <c r="AN1" s="299"/>
      <c r="AO1" s="299"/>
      <c r="AP1" s="299"/>
      <c r="AQ1" s="299"/>
      <c r="AT1" s="499" t="s">
        <v>107</v>
      </c>
      <c r="AU1" s="500"/>
      <c r="AV1" s="500"/>
      <c r="AW1" s="295"/>
      <c r="AX1" s="295"/>
      <c r="AY1" s="295"/>
      <c r="AZ1" s="295"/>
    </row>
    <row r="2" spans="1:52">
      <c r="A2" s="294"/>
      <c r="AK2" s="299"/>
      <c r="AL2" s="299"/>
      <c r="AM2" s="299"/>
      <c r="AN2" s="299"/>
      <c r="AO2" s="299"/>
      <c r="AP2" s="299"/>
      <c r="AQ2" s="299"/>
      <c r="AT2" s="499" t="s">
        <v>108</v>
      </c>
      <c r="AU2" s="500"/>
      <c r="AV2" s="500"/>
      <c r="AW2" s="295"/>
      <c r="AX2" s="295"/>
      <c r="AY2" s="295"/>
      <c r="AZ2" s="295"/>
    </row>
    <row r="3" spans="1:52" ht="66.599999999999994" customHeight="1">
      <c r="A3" s="300" t="s">
        <v>106</v>
      </c>
      <c r="B3" s="300"/>
      <c r="C3" s="300"/>
      <c r="D3" s="300"/>
      <c r="E3" s="300"/>
      <c r="F3" s="300"/>
      <c r="G3" s="300"/>
      <c r="H3" s="300"/>
      <c r="I3" s="300"/>
      <c r="J3" s="300"/>
      <c r="K3" s="300"/>
      <c r="L3" s="300"/>
      <c r="M3" s="300"/>
      <c r="N3" s="300"/>
      <c r="O3" s="300"/>
      <c r="P3" s="300"/>
      <c r="Q3" s="300"/>
      <c r="R3" s="300"/>
      <c r="S3" s="300"/>
      <c r="T3" s="300"/>
      <c r="U3" s="300"/>
      <c r="V3" s="300"/>
      <c r="W3" s="300"/>
      <c r="X3" s="300"/>
      <c r="Y3" s="300"/>
      <c r="Z3" s="300"/>
      <c r="AA3" s="300"/>
      <c r="AB3" s="300"/>
      <c r="AC3" s="300"/>
      <c r="AD3" s="300"/>
      <c r="AE3" s="300"/>
      <c r="AF3" s="300"/>
      <c r="AG3" s="300"/>
      <c r="AH3" s="300"/>
      <c r="AI3" s="300"/>
      <c r="AJ3" s="300"/>
      <c r="AK3" s="300"/>
      <c r="AL3" s="300"/>
      <c r="AM3" s="300"/>
      <c r="AN3" s="300"/>
      <c r="AO3" s="300"/>
      <c r="AP3" s="300"/>
      <c r="AQ3" s="300"/>
      <c r="AR3" s="300"/>
      <c r="AS3" s="300"/>
      <c r="AT3" s="300"/>
      <c r="AU3" s="300"/>
      <c r="AV3" s="300"/>
      <c r="AW3" s="295"/>
      <c r="AX3" s="295"/>
      <c r="AY3" s="295"/>
      <c r="AZ3" s="295"/>
    </row>
    <row r="4" spans="1:52" ht="10.9" hidden="1" customHeight="1">
      <c r="A4" s="301"/>
      <c r="B4" s="301"/>
      <c r="C4" s="301"/>
      <c r="D4" s="301"/>
      <c r="E4" s="301"/>
      <c r="F4" s="301"/>
      <c r="G4" s="301"/>
      <c r="H4" s="301"/>
      <c r="I4" s="301"/>
      <c r="J4" s="301"/>
      <c r="K4" s="301"/>
      <c r="L4" s="301"/>
      <c r="M4" s="301"/>
      <c r="N4" s="301"/>
      <c r="O4" s="301"/>
      <c r="P4" s="301"/>
      <c r="Q4" s="301"/>
      <c r="R4" s="301"/>
      <c r="S4" s="301"/>
      <c r="T4" s="302"/>
      <c r="U4" s="301"/>
      <c r="V4" s="301"/>
      <c r="W4" s="301"/>
      <c r="X4" s="301"/>
      <c r="Y4" s="301"/>
      <c r="Z4" s="301"/>
      <c r="AA4" s="301"/>
      <c r="AB4" s="303"/>
      <c r="AC4" s="303"/>
      <c r="AD4" s="303"/>
      <c r="AE4" s="303"/>
      <c r="AF4" s="301"/>
      <c r="AG4" s="301"/>
      <c r="AH4" s="301"/>
      <c r="AI4" s="303"/>
      <c r="AJ4" s="303"/>
      <c r="AK4" s="303"/>
      <c r="AL4" s="303"/>
      <c r="AM4" s="303"/>
      <c r="AN4" s="303"/>
      <c r="AO4" s="303"/>
      <c r="AP4" s="303"/>
      <c r="AQ4" s="303"/>
      <c r="AR4" s="301"/>
      <c r="AS4" s="303"/>
      <c r="AT4" s="303"/>
      <c r="AU4" s="303"/>
      <c r="AV4" s="303"/>
      <c r="AW4" s="295"/>
      <c r="AX4" s="295"/>
      <c r="AY4" s="295"/>
      <c r="AZ4" s="295"/>
    </row>
    <row r="5" spans="1:52" ht="24" customHeight="1" thickBot="1">
      <c r="B5" s="304"/>
      <c r="C5" s="304"/>
      <c r="D5" s="304"/>
      <c r="E5" s="304"/>
      <c r="F5" s="304"/>
      <c r="G5" s="294"/>
      <c r="H5" s="294"/>
      <c r="I5" s="294"/>
      <c r="J5" s="294"/>
      <c r="K5" s="294"/>
      <c r="L5" s="294"/>
      <c r="M5" s="294"/>
      <c r="N5" s="294"/>
      <c r="O5" s="294"/>
      <c r="P5" s="294"/>
      <c r="Q5" s="294"/>
      <c r="S5" s="294"/>
      <c r="AU5" s="305" t="s">
        <v>0</v>
      </c>
      <c r="AV5" s="306"/>
      <c r="AW5" s="295"/>
      <c r="AX5" s="295"/>
      <c r="AY5" s="295"/>
      <c r="AZ5" s="295"/>
    </row>
    <row r="6" spans="1:52" ht="30.75" customHeight="1" thickBot="1">
      <c r="A6" s="307"/>
      <c r="B6" s="308" t="s">
        <v>1</v>
      </c>
      <c r="C6" s="309" t="s">
        <v>2</v>
      </c>
      <c r="D6" s="310" t="s">
        <v>3</v>
      </c>
      <c r="E6" s="311"/>
      <c r="F6" s="310" t="s">
        <v>4</v>
      </c>
      <c r="G6" s="312"/>
      <c r="H6" s="312"/>
      <c r="I6" s="310" t="s">
        <v>5</v>
      </c>
      <c r="J6" s="311"/>
      <c r="K6" s="312" t="s">
        <v>6</v>
      </c>
      <c r="L6" s="311"/>
      <c r="M6" s="310" t="s">
        <v>7</v>
      </c>
      <c r="N6" s="312"/>
      <c r="O6" s="313" t="s">
        <v>8</v>
      </c>
      <c r="P6" s="314"/>
      <c r="Q6" s="315" t="s">
        <v>9</v>
      </c>
      <c r="R6" s="316"/>
      <c r="S6" s="316"/>
      <c r="T6" s="316"/>
      <c r="U6" s="316"/>
      <c r="V6" s="316" t="s">
        <v>10</v>
      </c>
      <c r="W6" s="316"/>
      <c r="X6" s="316"/>
      <c r="Y6" s="317"/>
      <c r="Z6" s="318" t="s">
        <v>11</v>
      </c>
      <c r="AA6" s="319" t="s">
        <v>63</v>
      </c>
      <c r="AB6" s="315" t="s">
        <v>66</v>
      </c>
      <c r="AC6" s="316"/>
      <c r="AD6" s="316"/>
      <c r="AE6" s="316"/>
      <c r="AF6" s="317"/>
      <c r="AG6" s="318" t="s">
        <v>88</v>
      </c>
      <c r="AH6" s="313" t="s">
        <v>12</v>
      </c>
      <c r="AI6" s="316"/>
      <c r="AJ6" s="316"/>
      <c r="AK6" s="316"/>
      <c r="AL6" s="314"/>
      <c r="AM6" s="320" t="s">
        <v>13</v>
      </c>
      <c r="AN6" s="321"/>
      <c r="AO6" s="321"/>
      <c r="AP6" s="321"/>
      <c r="AQ6" s="321"/>
      <c r="AR6" s="315" t="s">
        <v>90</v>
      </c>
      <c r="AS6" s="316"/>
      <c r="AT6" s="316"/>
      <c r="AU6" s="316"/>
      <c r="AV6" s="314"/>
      <c r="AW6" s="295"/>
      <c r="AX6" s="295"/>
      <c r="AY6" s="295"/>
      <c r="AZ6" s="295"/>
    </row>
    <row r="7" spans="1:52" ht="145.9" customHeight="1" thickBot="1">
      <c r="A7" s="322"/>
      <c r="B7" s="323" t="s">
        <v>14</v>
      </c>
      <c r="C7" s="324" t="s">
        <v>15</v>
      </c>
      <c r="D7" s="324" t="s">
        <v>16</v>
      </c>
      <c r="E7" s="324" t="s">
        <v>17</v>
      </c>
      <c r="F7" s="324" t="s">
        <v>16</v>
      </c>
      <c r="G7" s="325" t="s">
        <v>18</v>
      </c>
      <c r="H7" s="326" t="s">
        <v>19</v>
      </c>
      <c r="I7" s="325" t="s">
        <v>20</v>
      </c>
      <c r="J7" s="327" t="s">
        <v>21</v>
      </c>
      <c r="K7" s="328" t="s">
        <v>22</v>
      </c>
      <c r="L7" s="329" t="s">
        <v>21</v>
      </c>
      <c r="M7" s="325" t="s">
        <v>23</v>
      </c>
      <c r="N7" s="326" t="s">
        <v>24</v>
      </c>
      <c r="O7" s="330" t="s">
        <v>25</v>
      </c>
      <c r="P7" s="331" t="s">
        <v>26</v>
      </c>
      <c r="Q7" s="332" t="s">
        <v>27</v>
      </c>
      <c r="R7" s="333" t="s">
        <v>28</v>
      </c>
      <c r="S7" s="333" t="s">
        <v>29</v>
      </c>
      <c r="T7" s="333" t="s">
        <v>30</v>
      </c>
      <c r="U7" s="333" t="s">
        <v>31</v>
      </c>
      <c r="V7" s="333" t="s">
        <v>27</v>
      </c>
      <c r="W7" s="333" t="s">
        <v>28</v>
      </c>
      <c r="X7" s="333" t="s">
        <v>30</v>
      </c>
      <c r="Y7" s="334"/>
      <c r="Z7" s="335" t="s">
        <v>94</v>
      </c>
      <c r="AA7" s="336"/>
      <c r="AB7" s="332" t="s">
        <v>27</v>
      </c>
      <c r="AC7" s="333" t="s">
        <v>28</v>
      </c>
      <c r="AD7" s="333" t="s">
        <v>32</v>
      </c>
      <c r="AE7" s="333" t="s">
        <v>30</v>
      </c>
      <c r="AF7" s="334" t="s">
        <v>65</v>
      </c>
      <c r="AG7" s="335" t="s">
        <v>95</v>
      </c>
      <c r="AH7" s="330" t="s">
        <v>27</v>
      </c>
      <c r="AI7" s="333" t="s">
        <v>28</v>
      </c>
      <c r="AJ7" s="333" t="s">
        <v>29</v>
      </c>
      <c r="AK7" s="333" t="s">
        <v>30</v>
      </c>
      <c r="AL7" s="331" t="s">
        <v>33</v>
      </c>
      <c r="AM7" s="330" t="s">
        <v>27</v>
      </c>
      <c r="AN7" s="333" t="s">
        <v>28</v>
      </c>
      <c r="AO7" s="333" t="s">
        <v>29</v>
      </c>
      <c r="AP7" s="333" t="s">
        <v>30</v>
      </c>
      <c r="AQ7" s="331" t="s">
        <v>34</v>
      </c>
      <c r="AR7" s="332" t="s">
        <v>27</v>
      </c>
      <c r="AS7" s="333" t="s">
        <v>28</v>
      </c>
      <c r="AT7" s="333" t="s">
        <v>29</v>
      </c>
      <c r="AU7" s="333" t="s">
        <v>30</v>
      </c>
      <c r="AV7" s="331" t="s">
        <v>97</v>
      </c>
      <c r="AW7" s="295"/>
      <c r="AX7" s="295"/>
      <c r="AY7" s="295"/>
      <c r="AZ7" s="295"/>
    </row>
    <row r="8" spans="1:52" ht="3.75" customHeight="1" thickBot="1">
      <c r="A8" s="337"/>
      <c r="B8" s="338"/>
      <c r="C8" s="339"/>
      <c r="D8" s="339"/>
      <c r="E8" s="339"/>
      <c r="F8" s="339"/>
      <c r="G8" s="340"/>
      <c r="H8" s="339"/>
      <c r="I8" s="341"/>
      <c r="J8" s="342"/>
      <c r="K8" s="343"/>
      <c r="L8" s="344"/>
      <c r="M8" s="345"/>
      <c r="N8" s="346"/>
      <c r="O8" s="347"/>
      <c r="P8" s="347"/>
      <c r="Q8" s="347"/>
      <c r="R8" s="347"/>
      <c r="S8" s="347"/>
      <c r="T8" s="347"/>
      <c r="U8" s="347"/>
      <c r="V8" s="347"/>
      <c r="W8" s="347"/>
      <c r="X8" s="347"/>
      <c r="Y8" s="347"/>
      <c r="Z8" s="347"/>
      <c r="AA8" s="348"/>
      <c r="AB8" s="349"/>
      <c r="AC8" s="349"/>
      <c r="AD8" s="349"/>
      <c r="AE8" s="349"/>
      <c r="AF8" s="350"/>
      <c r="AG8" s="350"/>
      <c r="AH8" s="350"/>
      <c r="AI8" s="349"/>
      <c r="AJ8" s="349"/>
      <c r="AK8" s="349"/>
      <c r="AL8" s="349"/>
      <c r="AM8" s="349"/>
      <c r="AN8" s="349"/>
      <c r="AO8" s="349"/>
      <c r="AP8" s="349"/>
      <c r="AQ8" s="349"/>
      <c r="AR8" s="350"/>
      <c r="AS8" s="349"/>
      <c r="AT8" s="349"/>
      <c r="AU8" s="349"/>
      <c r="AV8" s="349"/>
      <c r="AW8" s="295"/>
      <c r="AX8" s="295"/>
      <c r="AY8" s="295"/>
      <c r="AZ8" s="295"/>
    </row>
    <row r="9" spans="1:52" ht="52.15" customHeight="1" thickBot="1">
      <c r="A9" s="19" t="s">
        <v>35</v>
      </c>
      <c r="B9" s="20">
        <f t="shared" ref="B9:G9" si="0">B17+B20+B39</f>
        <v>147035</v>
      </c>
      <c r="C9" s="21">
        <f t="shared" si="0"/>
        <v>152751.79999999999</v>
      </c>
      <c r="D9" s="21">
        <f t="shared" si="0"/>
        <v>363608.02</v>
      </c>
      <c r="E9" s="21">
        <f t="shared" si="0"/>
        <v>168696.3</v>
      </c>
      <c r="F9" s="22">
        <f t="shared" si="0"/>
        <v>199540</v>
      </c>
      <c r="G9" s="23">
        <f t="shared" si="0"/>
        <v>185875.89999999997</v>
      </c>
      <c r="H9" s="24">
        <f>G9/E9*100</f>
        <v>110.1837443974764</v>
      </c>
      <c r="I9" s="25">
        <v>269744.59999999998</v>
      </c>
      <c r="J9" s="26">
        <f>I9/G9*100</f>
        <v>145.12080371904054</v>
      </c>
      <c r="K9" s="20">
        <f>K17+K20+K39</f>
        <v>324716.2</v>
      </c>
      <c r="L9" s="24">
        <f>K9/I9*100</f>
        <v>120.37912899831917</v>
      </c>
      <c r="M9" s="23">
        <f>M17+M20+M39</f>
        <v>439237.5</v>
      </c>
      <c r="N9" s="24">
        <f>M9/K9*100</f>
        <v>135.26812028472864</v>
      </c>
      <c r="O9" s="27">
        <f>O17+O20+O39</f>
        <v>478152.4</v>
      </c>
      <c r="P9" s="28">
        <f>O9/M9</f>
        <v>1.0885964882324484</v>
      </c>
      <c r="Q9" s="29">
        <f>Q17+Q20+Q39</f>
        <v>885153.86038056307</v>
      </c>
      <c r="R9" s="30">
        <f>R17+R20+R39</f>
        <v>347734.65961425757</v>
      </c>
      <c r="S9" s="31">
        <f>R9/(R17/S17*100+R20/S20*100+R39/S39*100)*100</f>
        <v>108.25142305940767</v>
      </c>
      <c r="T9" s="30">
        <f>T17+T20+T39</f>
        <v>537419.20076630556</v>
      </c>
      <c r="U9" s="32">
        <f>T9/O9*100</f>
        <v>112.39496042816172</v>
      </c>
      <c r="V9" s="27">
        <f>V17+V20+V39</f>
        <v>794689.06229999999</v>
      </c>
      <c r="W9" s="30">
        <f>W17+W20+W39</f>
        <v>306015.85810000001</v>
      </c>
      <c r="X9" s="33">
        <f>X17+X20+X39</f>
        <v>486152.01219999994</v>
      </c>
      <c r="Y9" s="34"/>
      <c r="Z9" s="35">
        <f>Z17+Z20+Z39</f>
        <v>456140.6</v>
      </c>
      <c r="AA9" s="36">
        <f>AA17+AA20+AA39</f>
        <v>450253.3</v>
      </c>
      <c r="AB9" s="37">
        <f>AB17+AB20+AB39</f>
        <v>934974.06458823115</v>
      </c>
      <c r="AC9" s="38">
        <f>AC17+AC20+AC39</f>
        <v>345566.71511295182</v>
      </c>
      <c r="AD9" s="39">
        <f>AC9/(AC17/AD17*100+AC20/AD20*100+AC39/AD39*100)*100</f>
        <v>105.24071204351442</v>
      </c>
      <c r="AE9" s="38">
        <f>AE17+AE20+AE39</f>
        <v>589407.34947527922</v>
      </c>
      <c r="AF9" s="40">
        <f>AE9/Z9</f>
        <v>1.292161560438337</v>
      </c>
      <c r="AG9" s="41">
        <f>AG17+AG20+AG39</f>
        <v>545892.56099999999</v>
      </c>
      <c r="AH9" s="42">
        <f>AH17+AH20+AH39</f>
        <v>1049969.4285077727</v>
      </c>
      <c r="AI9" s="43">
        <f>AI17+AI20+AI39</f>
        <v>352188.55649490841</v>
      </c>
      <c r="AJ9" s="44">
        <f>AI9/AC9</f>
        <v>1.0191622661916155</v>
      </c>
      <c r="AK9" s="43">
        <f>AK17+AK20+AK39</f>
        <v>726732.91201286437</v>
      </c>
      <c r="AL9" s="45">
        <f>AK9/AE9</f>
        <v>1.2329892266525679</v>
      </c>
      <c r="AM9" s="46">
        <f>AM17+AM20+AM39</f>
        <v>1052374.253966585</v>
      </c>
      <c r="AN9" s="47">
        <f>AN17+AN20+AN39</f>
        <v>366300.78358705225</v>
      </c>
      <c r="AO9" s="48">
        <f>AN9/AI9</f>
        <v>1.0400700898194797</v>
      </c>
      <c r="AP9" s="47">
        <f>AM9-AN9</f>
        <v>686073.47037953278</v>
      </c>
      <c r="AQ9" s="49">
        <f>AP9/AK9</f>
        <v>0.94405174038325124</v>
      </c>
      <c r="AR9" s="37">
        <f>AR17+AR20+AR39</f>
        <v>1097221.7613320053</v>
      </c>
      <c r="AS9" s="38">
        <f>AS17+AS20+AS39</f>
        <v>380940.48371436057</v>
      </c>
      <c r="AT9" s="50">
        <f>AS9/AN9</f>
        <v>1.0399663358181956</v>
      </c>
      <c r="AU9" s="38">
        <f>AU17+AU20+AU39</f>
        <v>745233.31761764479</v>
      </c>
      <c r="AV9" s="40">
        <f>AU9/AP9</f>
        <v>1.0862296092069921</v>
      </c>
      <c r="AW9" s="295"/>
      <c r="AX9" s="295"/>
      <c r="AY9" s="295"/>
      <c r="AZ9" s="295"/>
    </row>
    <row r="10" spans="1:52" ht="7.5" customHeight="1" thickBot="1">
      <c r="A10" s="351"/>
      <c r="B10" s="352"/>
      <c r="C10" s="352"/>
      <c r="D10" s="352"/>
      <c r="E10" s="352"/>
      <c r="F10" s="352"/>
      <c r="G10" s="353"/>
      <c r="H10" s="352"/>
      <c r="I10" s="354"/>
      <c r="J10" s="355"/>
      <c r="K10" s="352"/>
      <c r="L10" s="356"/>
      <c r="M10" s="357"/>
      <c r="N10" s="358"/>
      <c r="O10" s="359"/>
      <c r="P10" s="360"/>
      <c r="Q10" s="361"/>
      <c r="R10" s="361"/>
      <c r="S10" s="361"/>
      <c r="T10" s="361"/>
      <c r="U10" s="361"/>
      <c r="V10" s="361"/>
      <c r="W10" s="361"/>
      <c r="X10" s="361"/>
      <c r="Y10" s="361"/>
      <c r="Z10" s="362"/>
      <c r="AA10" s="363"/>
      <c r="AB10" s="364"/>
      <c r="AC10" s="364"/>
      <c r="AD10" s="364"/>
      <c r="AE10" s="364"/>
      <c r="AF10" s="365"/>
      <c r="AG10" s="366"/>
      <c r="AH10" s="367"/>
      <c r="AI10" s="368"/>
      <c r="AJ10" s="369"/>
      <c r="AK10" s="368"/>
      <c r="AL10" s="370"/>
      <c r="AM10" s="371"/>
      <c r="AN10" s="372"/>
      <c r="AO10" s="373"/>
      <c r="AP10" s="372"/>
      <c r="AQ10" s="372"/>
      <c r="AR10" s="364"/>
      <c r="AS10" s="368"/>
      <c r="AT10" s="374"/>
      <c r="AU10" s="368"/>
      <c r="AV10" s="375"/>
      <c r="AW10" s="295"/>
      <c r="AX10" s="295"/>
      <c r="AY10" s="295"/>
      <c r="AZ10" s="295"/>
    </row>
    <row r="11" spans="1:52" ht="23.45" customHeight="1" thickBot="1">
      <c r="A11" s="376" t="s">
        <v>36</v>
      </c>
      <c r="B11" s="377"/>
      <c r="C11" s="377"/>
      <c r="D11" s="377"/>
      <c r="E11" s="377"/>
      <c r="F11" s="377"/>
      <c r="G11" s="378"/>
      <c r="H11" s="377"/>
      <c r="I11" s="379"/>
      <c r="J11" s="380"/>
      <c r="K11" s="381"/>
      <c r="L11" s="382"/>
      <c r="M11" s="383"/>
      <c r="N11" s="382"/>
      <c r="O11" s="383"/>
      <c r="P11" s="384"/>
      <c r="Q11" s="381"/>
      <c r="R11" s="385"/>
      <c r="S11" s="385"/>
      <c r="T11" s="385"/>
      <c r="U11" s="385"/>
      <c r="V11" s="385"/>
      <c r="W11" s="385"/>
      <c r="X11" s="385"/>
      <c r="Y11" s="386"/>
      <c r="Z11" s="378"/>
      <c r="AA11" s="387"/>
      <c r="AB11" s="388"/>
      <c r="AC11" s="389"/>
      <c r="AD11" s="389"/>
      <c r="AE11" s="389"/>
      <c r="AF11" s="390"/>
      <c r="AG11" s="391"/>
      <c r="AH11" s="392"/>
      <c r="AI11" s="393"/>
      <c r="AJ11" s="394"/>
      <c r="AK11" s="393"/>
      <c r="AL11" s="395"/>
      <c r="AM11" s="396"/>
      <c r="AN11" s="396"/>
      <c r="AO11" s="397"/>
      <c r="AP11" s="396"/>
      <c r="AQ11" s="398"/>
      <c r="AR11" s="392"/>
      <c r="AS11" s="393"/>
      <c r="AT11" s="399"/>
      <c r="AU11" s="393"/>
      <c r="AV11" s="400"/>
      <c r="AW11" s="295"/>
      <c r="AX11" s="295"/>
      <c r="AY11" s="295"/>
      <c r="AZ11" s="295"/>
    </row>
    <row r="12" spans="1:52" ht="50.45" customHeight="1">
      <c r="A12" s="252" t="s">
        <v>37</v>
      </c>
      <c r="B12" s="51">
        <v>15037.3</v>
      </c>
      <c r="C12" s="52">
        <v>19769.599999999999</v>
      </c>
      <c r="D12" s="52">
        <v>44729</v>
      </c>
      <c r="E12" s="52">
        <v>24788.3</v>
      </c>
      <c r="F12" s="53"/>
      <c r="G12" s="401">
        <v>24788.3</v>
      </c>
      <c r="H12" s="54">
        <f>G12/E12*100</f>
        <v>100</v>
      </c>
      <c r="I12" s="402">
        <v>38190.800000000003</v>
      </c>
      <c r="J12" s="55">
        <f>I12/G12*100</f>
        <v>154.06784652436835</v>
      </c>
      <c r="K12" s="206">
        <v>41729</v>
      </c>
      <c r="L12" s="207">
        <f>K12/I12*100</f>
        <v>109.26453491416781</v>
      </c>
      <c r="M12" s="208">
        <v>47067.6</v>
      </c>
      <c r="N12" s="207">
        <f>M12/K12*100</f>
        <v>112.79350092261976</v>
      </c>
      <c r="O12" s="67">
        <f>57596.8+604.4</f>
        <v>58201.200000000004</v>
      </c>
      <c r="P12" s="68">
        <f>O12/M12</f>
        <v>1.2365448843790634</v>
      </c>
      <c r="Q12" s="69">
        <v>123212.2</v>
      </c>
      <c r="R12" s="70">
        <v>49149.7</v>
      </c>
      <c r="S12" s="56">
        <v>105.5</v>
      </c>
      <c r="T12" s="70">
        <f>Q12-R12</f>
        <v>74062.5</v>
      </c>
      <c r="U12" s="56">
        <f>T12/O12*100</f>
        <v>127.25253087565204</v>
      </c>
      <c r="V12" s="257">
        <v>132560.47099999999</v>
      </c>
      <c r="W12" s="257">
        <v>60013.67</v>
      </c>
      <c r="X12" s="257">
        <v>72222.84</v>
      </c>
      <c r="Y12" s="57"/>
      <c r="Z12" s="259">
        <f>80899.9-21230.9</f>
        <v>59668.999999999993</v>
      </c>
      <c r="AA12" s="261">
        <v>73725</v>
      </c>
      <c r="AB12" s="403">
        <f>Q12*1.045*1.036+56108.06</f>
        <v>189500.05196399998</v>
      </c>
      <c r="AC12" s="74">
        <f>R12*1.07*1.04</f>
        <v>54693.786159999996</v>
      </c>
      <c r="AD12" s="58">
        <f t="shared" ref="AD12:AD17" si="1">AC12/R12*100</f>
        <v>111.28</v>
      </c>
      <c r="AE12" s="74">
        <f>AB12-AC12</f>
        <v>134806.265804</v>
      </c>
      <c r="AF12" s="260">
        <f>(AE12+AE14+AE15)/Z12</f>
        <v>2.4991025499002832</v>
      </c>
      <c r="AG12" s="264">
        <v>149118.99</v>
      </c>
      <c r="AH12" s="290">
        <f>AB12*1.04-56108.06+63616.61+AB14*1.04+AB15*1.04</f>
        <v>248787.11984399997</v>
      </c>
      <c r="AI12" s="254">
        <f>77381.24</f>
        <v>77381.240000000005</v>
      </c>
      <c r="AJ12" s="284">
        <f>AI12/AC12</f>
        <v>1.4148086178131942</v>
      </c>
      <c r="AK12" s="254">
        <f>AH12-AI12</f>
        <v>171405.87984399998</v>
      </c>
      <c r="AL12" s="287">
        <f>AK12/(AG12)</f>
        <v>1.1494570868807521</v>
      </c>
      <c r="AM12" s="278">
        <f>AH12*1.04</f>
        <v>258738.60463775997</v>
      </c>
      <c r="AN12" s="280">
        <v>80476.490000000005</v>
      </c>
      <c r="AO12" s="282">
        <f>AN12/AI12</f>
        <v>1.0400000051692115</v>
      </c>
      <c r="AP12" s="280">
        <f>AM12-AN12</f>
        <v>178262.11463775998</v>
      </c>
      <c r="AQ12" s="267">
        <f>AP12/AK12</f>
        <v>1.0399999976663579</v>
      </c>
      <c r="AR12" s="269">
        <f>AM12*1.04</f>
        <v>269088.1488232704</v>
      </c>
      <c r="AS12" s="254">
        <v>83695.55</v>
      </c>
      <c r="AT12" s="272">
        <f>AS12/AN12</f>
        <v>1.0400000049703957</v>
      </c>
      <c r="AU12" s="254">
        <f>AR12-AS12</f>
        <v>185392.59882327041</v>
      </c>
      <c r="AV12" s="275">
        <f>AU12/AP12</f>
        <v>1.0399999977561134</v>
      </c>
      <c r="AW12" s="295"/>
      <c r="AX12" s="295"/>
      <c r="AY12" s="295"/>
      <c r="AZ12" s="295"/>
    </row>
    <row r="13" spans="1:52" ht="47.45" customHeight="1" outlineLevel="1">
      <c r="A13" s="253" t="s">
        <v>38</v>
      </c>
      <c r="B13" s="59">
        <v>18284.400000000001</v>
      </c>
      <c r="C13" s="60">
        <v>15302</v>
      </c>
      <c r="D13" s="60">
        <v>23922.37</v>
      </c>
      <c r="E13" s="60">
        <v>17466.900000000001</v>
      </c>
      <c r="F13" s="61"/>
      <c r="G13" s="65">
        <v>17466.900000000001</v>
      </c>
      <c r="H13" s="54">
        <f>G13/E13*100</f>
        <v>100</v>
      </c>
      <c r="I13" s="62">
        <v>27103.9</v>
      </c>
      <c r="J13" s="63">
        <f>I13/G13*100</f>
        <v>155.1729270792184</v>
      </c>
      <c r="K13" s="206">
        <v>21887.7</v>
      </c>
      <c r="L13" s="207">
        <f>K13/I13*100</f>
        <v>80.754799124849185</v>
      </c>
      <c r="M13" s="404" t="s">
        <v>39</v>
      </c>
      <c r="N13" s="207" t="s">
        <v>39</v>
      </c>
      <c r="O13" s="67"/>
      <c r="P13" s="68" t="e">
        <f>O13/M13*100</f>
        <v>#VALUE!</v>
      </c>
      <c r="Q13" s="69"/>
      <c r="R13" s="70"/>
      <c r="S13" s="56">
        <v>107</v>
      </c>
      <c r="T13" s="70">
        <f>Q13-R13</f>
        <v>0</v>
      </c>
      <c r="U13" s="56" t="e">
        <f>T13/M13*100</f>
        <v>#VALUE!</v>
      </c>
      <c r="V13" s="257"/>
      <c r="W13" s="257"/>
      <c r="X13" s="257"/>
      <c r="Y13" s="57"/>
      <c r="Z13" s="259"/>
      <c r="AA13" s="262"/>
      <c r="AB13" s="403">
        <f>Q13*1.045*1.036</f>
        <v>0</v>
      </c>
      <c r="AC13" s="74">
        <f>R13*1.07*1.04</f>
        <v>0</v>
      </c>
      <c r="AD13" s="58" t="e">
        <f t="shared" si="1"/>
        <v>#DIV/0!</v>
      </c>
      <c r="AE13" s="74">
        <f>AB13-AC13</f>
        <v>0</v>
      </c>
      <c r="AF13" s="260"/>
      <c r="AG13" s="265"/>
      <c r="AH13" s="291"/>
      <c r="AI13" s="255"/>
      <c r="AJ13" s="285"/>
      <c r="AK13" s="255"/>
      <c r="AL13" s="288"/>
      <c r="AM13" s="279"/>
      <c r="AN13" s="281"/>
      <c r="AO13" s="283"/>
      <c r="AP13" s="281"/>
      <c r="AQ13" s="268"/>
      <c r="AR13" s="270"/>
      <c r="AS13" s="255"/>
      <c r="AT13" s="273"/>
      <c r="AU13" s="255"/>
      <c r="AV13" s="276"/>
      <c r="AW13" s="295"/>
      <c r="AX13" s="295"/>
      <c r="AY13" s="295"/>
      <c r="AZ13" s="295"/>
    </row>
    <row r="14" spans="1:52" ht="46.15" customHeight="1">
      <c r="A14" s="253" t="s">
        <v>40</v>
      </c>
      <c r="B14" s="59">
        <v>0</v>
      </c>
      <c r="C14" s="60">
        <v>0</v>
      </c>
      <c r="D14" s="60">
        <v>15000</v>
      </c>
      <c r="E14" s="60">
        <v>14035.4</v>
      </c>
      <c r="F14" s="61"/>
      <c r="G14" s="65">
        <v>14035.4</v>
      </c>
      <c r="H14" s="54">
        <f>G14/E14*100</f>
        <v>100</v>
      </c>
      <c r="I14" s="62" t="s">
        <v>39</v>
      </c>
      <c r="J14" s="63"/>
      <c r="K14" s="206">
        <v>5000</v>
      </c>
      <c r="L14" s="207" t="s">
        <v>39</v>
      </c>
      <c r="M14" s="208">
        <v>3399.8</v>
      </c>
      <c r="N14" s="207">
        <f>M14/K14*100</f>
        <v>67.995999999999995</v>
      </c>
      <c r="O14" s="67">
        <v>1467.8</v>
      </c>
      <c r="P14" s="68">
        <f>O14/M14</f>
        <v>0.4317312783104888</v>
      </c>
      <c r="Q14" s="69">
        <v>21025.9</v>
      </c>
      <c r="R14" s="70">
        <v>12664.4</v>
      </c>
      <c r="S14" s="56">
        <f>4700/4430*100</f>
        <v>106.09480812641084</v>
      </c>
      <c r="T14" s="70">
        <f>Q14-R14</f>
        <v>8361.5000000000018</v>
      </c>
      <c r="U14" s="56">
        <f>T14/O14*100</f>
        <v>569.66207930235737</v>
      </c>
      <c r="V14" s="257"/>
      <c r="W14" s="257"/>
      <c r="X14" s="257"/>
      <c r="Y14" s="57"/>
      <c r="Z14" s="259"/>
      <c r="AA14" s="262"/>
      <c r="AB14" s="403">
        <f>Q14*1.045*1.036</f>
        <v>22763.059858000001</v>
      </c>
      <c r="AC14" s="74">
        <f>R14*1.07*1.04</f>
        <v>14092.944320000002</v>
      </c>
      <c r="AD14" s="58">
        <f t="shared" si="1"/>
        <v>111.28000000000003</v>
      </c>
      <c r="AE14" s="74">
        <f>AB14-AC14</f>
        <v>8670.1155379999982</v>
      </c>
      <c r="AF14" s="260"/>
      <c r="AG14" s="265"/>
      <c r="AH14" s="291"/>
      <c r="AI14" s="255"/>
      <c r="AJ14" s="285"/>
      <c r="AK14" s="255"/>
      <c r="AL14" s="288"/>
      <c r="AM14" s="279"/>
      <c r="AN14" s="281"/>
      <c r="AO14" s="283"/>
      <c r="AP14" s="281"/>
      <c r="AQ14" s="268"/>
      <c r="AR14" s="270"/>
      <c r="AS14" s="255"/>
      <c r="AT14" s="273"/>
      <c r="AU14" s="255"/>
      <c r="AV14" s="276"/>
      <c r="AW14" s="295"/>
      <c r="AX14" s="295"/>
      <c r="AY14" s="295"/>
      <c r="AZ14" s="295"/>
    </row>
    <row r="15" spans="1:52" ht="48.6" customHeight="1">
      <c r="A15" s="253" t="s">
        <v>41</v>
      </c>
      <c r="B15" s="59"/>
      <c r="C15" s="60"/>
      <c r="D15" s="60"/>
      <c r="E15" s="60"/>
      <c r="F15" s="61"/>
      <c r="G15" s="65"/>
      <c r="H15" s="64"/>
      <c r="I15" s="65"/>
      <c r="J15" s="66"/>
      <c r="K15" s="405"/>
      <c r="L15" s="406"/>
      <c r="M15" s="407"/>
      <c r="N15" s="207"/>
      <c r="O15" s="67" t="s">
        <v>39</v>
      </c>
      <c r="P15" s="68" t="s">
        <v>39</v>
      </c>
      <c r="Q15" s="69">
        <v>18229.400000000001</v>
      </c>
      <c r="R15" s="70">
        <v>12664.4</v>
      </c>
      <c r="S15" s="56">
        <f>4700/4430*100</f>
        <v>106.09480812641084</v>
      </c>
      <c r="T15" s="70">
        <f>Q15-R15</f>
        <v>5565.0000000000018</v>
      </c>
      <c r="U15" s="56" t="s">
        <v>39</v>
      </c>
      <c r="V15" s="257"/>
      <c r="W15" s="257"/>
      <c r="X15" s="257"/>
      <c r="Y15" s="57"/>
      <c r="Z15" s="259"/>
      <c r="AA15" s="263"/>
      <c r="AB15" s="403">
        <f>Q15*1.045*1.036</f>
        <v>19735.513028000001</v>
      </c>
      <c r="AC15" s="74">
        <f>R15*1.07*1.04</f>
        <v>14092.944320000002</v>
      </c>
      <c r="AD15" s="58">
        <f t="shared" si="1"/>
        <v>111.28000000000003</v>
      </c>
      <c r="AE15" s="74">
        <f>AB15-AC15</f>
        <v>5642.5687079999989</v>
      </c>
      <c r="AF15" s="260"/>
      <c r="AG15" s="266"/>
      <c r="AH15" s="292"/>
      <c r="AI15" s="256"/>
      <c r="AJ15" s="286"/>
      <c r="AK15" s="256"/>
      <c r="AL15" s="289"/>
      <c r="AM15" s="279"/>
      <c r="AN15" s="281"/>
      <c r="AO15" s="283"/>
      <c r="AP15" s="281"/>
      <c r="AQ15" s="268"/>
      <c r="AR15" s="271"/>
      <c r="AS15" s="256"/>
      <c r="AT15" s="274"/>
      <c r="AU15" s="256"/>
      <c r="AV15" s="277"/>
      <c r="AW15" s="295"/>
      <c r="AX15" s="295"/>
      <c r="AY15" s="295"/>
      <c r="AZ15" s="295"/>
    </row>
    <row r="16" spans="1:52" ht="31.15" customHeight="1">
      <c r="A16" s="253" t="s">
        <v>42</v>
      </c>
      <c r="B16" s="59"/>
      <c r="C16" s="60"/>
      <c r="D16" s="60"/>
      <c r="E16" s="60"/>
      <c r="F16" s="61"/>
      <c r="G16" s="65"/>
      <c r="H16" s="64"/>
      <c r="I16" s="65"/>
      <c r="J16" s="66"/>
      <c r="K16" s="405" t="s">
        <v>39</v>
      </c>
      <c r="L16" s="406" t="s">
        <v>39</v>
      </c>
      <c r="M16" s="407">
        <v>21352.9</v>
      </c>
      <c r="N16" s="207" t="s">
        <v>39</v>
      </c>
      <c r="O16" s="67">
        <v>21230.9</v>
      </c>
      <c r="P16" s="68">
        <f>O16/M16</f>
        <v>0.99428649035962324</v>
      </c>
      <c r="Q16" s="69">
        <f>'[1]Расчет субсидии'!$H$13</f>
        <v>39525.347176898591</v>
      </c>
      <c r="R16" s="70">
        <f>'[1]Расчет субсидии'!$H$14</f>
        <v>18740.909090909088</v>
      </c>
      <c r="S16" s="56">
        <f>4750/4500*100</f>
        <v>105.55555555555556</v>
      </c>
      <c r="T16" s="70">
        <f>Q16-R16</f>
        <v>20784.438085989503</v>
      </c>
      <c r="U16" s="56">
        <f>T16/O16*100</f>
        <v>97.897112632952442</v>
      </c>
      <c r="V16" s="71">
        <v>44673.517999999996</v>
      </c>
      <c r="W16" s="71">
        <v>13366.364</v>
      </c>
      <c r="X16" s="71">
        <v>29109.922999999999</v>
      </c>
      <c r="Y16" s="57"/>
      <c r="Z16" s="72">
        <v>21230.9</v>
      </c>
      <c r="AA16" s="73">
        <v>4452.8</v>
      </c>
      <c r="AB16" s="403">
        <f>Q16</f>
        <v>39525.347176898591</v>
      </c>
      <c r="AC16" s="74">
        <f>R16</f>
        <v>18740.909090909088</v>
      </c>
      <c r="AD16" s="58">
        <f t="shared" si="1"/>
        <v>100</v>
      </c>
      <c r="AE16" s="74">
        <f>AB16-AC16</f>
        <v>20784.438085989503</v>
      </c>
      <c r="AF16" s="75">
        <f>AE16/X16</f>
        <v>0.71399838762849022</v>
      </c>
      <c r="AG16" s="76">
        <f>2340.102+18444.308</f>
        <v>20784.41</v>
      </c>
      <c r="AH16" s="77">
        <f>AB16*1.04</f>
        <v>41106.361063974538</v>
      </c>
      <c r="AI16" s="78">
        <v>13901.02</v>
      </c>
      <c r="AJ16" s="79">
        <f>AI16/AC16</f>
        <v>0.74174736842105271</v>
      </c>
      <c r="AK16" s="78">
        <f>AH16-AI16</f>
        <v>27205.341063974538</v>
      </c>
      <c r="AL16" s="80">
        <f>AK16/AG16</f>
        <v>1.3089301579392698</v>
      </c>
      <c r="AM16" s="81">
        <f>AH16*1.04</f>
        <v>42750.615506533519</v>
      </c>
      <c r="AN16" s="82">
        <v>14457.06</v>
      </c>
      <c r="AO16" s="79">
        <f>AN16/AI16</f>
        <v>1.0399999424502662</v>
      </c>
      <c r="AP16" s="82">
        <f>AM16-AN16</f>
        <v>28293.555506533521</v>
      </c>
      <c r="AQ16" s="83">
        <f>AP16/AK16</f>
        <v>1.0400000294059906</v>
      </c>
      <c r="AR16" s="84">
        <f>AM16*1.04</f>
        <v>44460.64012679486</v>
      </c>
      <c r="AS16" s="78">
        <v>15035.34</v>
      </c>
      <c r="AT16" s="85">
        <f>AS16/AN16</f>
        <v>1.0399998339911434</v>
      </c>
      <c r="AU16" s="78">
        <f>AR16-AS16</f>
        <v>29425.30012679486</v>
      </c>
      <c r="AV16" s="86">
        <f>AU16/AP16</f>
        <v>1.04000008482497</v>
      </c>
      <c r="AW16" s="295"/>
      <c r="AX16" s="295"/>
      <c r="AY16" s="295"/>
      <c r="AZ16" s="295"/>
    </row>
    <row r="17" spans="1:52" ht="24.6" customHeight="1" thickBot="1">
      <c r="A17" s="87" t="s">
        <v>43</v>
      </c>
      <c r="B17" s="88">
        <f>B12+B13+B14</f>
        <v>33321.699999999997</v>
      </c>
      <c r="C17" s="89">
        <f>C12+C13+C14</f>
        <v>35071.599999999999</v>
      </c>
      <c r="D17" s="89">
        <f>D12+D13+D14</f>
        <v>83651.37</v>
      </c>
      <c r="E17" s="89">
        <f>SUM(E12:E14)</f>
        <v>56290.6</v>
      </c>
      <c r="F17" s="90">
        <f>F12+F13+F14</f>
        <v>0</v>
      </c>
      <c r="G17" s="92">
        <f>G12+G13+G14</f>
        <v>56290.6</v>
      </c>
      <c r="H17" s="91">
        <f>G17/E17*100</f>
        <v>100</v>
      </c>
      <c r="I17" s="92">
        <f>SUM(I12:I14)+15346.6</f>
        <v>80641.3</v>
      </c>
      <c r="J17" s="93">
        <f>I17/G17*100</f>
        <v>143.2589100133948</v>
      </c>
      <c r="K17" s="408">
        <f>K12+K13+K14</f>
        <v>68616.7</v>
      </c>
      <c r="L17" s="409">
        <f>K17/I17*100</f>
        <v>85.088782050884589</v>
      </c>
      <c r="M17" s="410">
        <f>M12+M14+M16</f>
        <v>71820.3</v>
      </c>
      <c r="N17" s="409">
        <f>M17/K17*100</f>
        <v>104.66883426337905</v>
      </c>
      <c r="O17" s="411">
        <f>O12+O14+O16</f>
        <v>80899.900000000009</v>
      </c>
      <c r="P17" s="412">
        <f>O17/M17</f>
        <v>1.1264210815048115</v>
      </c>
      <c r="Q17" s="413">
        <f>Q12+Q14+Q15+Q16</f>
        <v>201992.84717689859</v>
      </c>
      <c r="R17" s="95">
        <f>R12+R14+R15+R16</f>
        <v>93219.409090909088</v>
      </c>
      <c r="S17" s="94">
        <f>R17/(R12/S12*100+R14/S14*100+R16/S16*100+R15/S15*100)*100</f>
        <v>105.67215373660299</v>
      </c>
      <c r="T17" s="95">
        <f>T12+T14+T15+T16</f>
        <v>108773.4380859895</v>
      </c>
      <c r="U17" s="94">
        <f>T17/O17*100</f>
        <v>134.45435419078328</v>
      </c>
      <c r="V17" s="95">
        <f>V12+V16</f>
        <v>177233.989</v>
      </c>
      <c r="W17" s="95">
        <f>W12+W16</f>
        <v>73380.034</v>
      </c>
      <c r="X17" s="95">
        <f>X12+X16</f>
        <v>101332.76299999999</v>
      </c>
      <c r="Y17" s="96"/>
      <c r="Z17" s="414">
        <v>80899.899999999994</v>
      </c>
      <c r="AA17" s="415">
        <f>AA12+AA16</f>
        <v>78177.8</v>
      </c>
      <c r="AB17" s="106">
        <f>AB12+AB14+AB15+AB16</f>
        <v>271523.97202689853</v>
      </c>
      <c r="AC17" s="101">
        <f>AC12+AC14+AC15+AC16</f>
        <v>101620.5838909091</v>
      </c>
      <c r="AD17" s="97">
        <f t="shared" si="1"/>
        <v>109.01225923005696</v>
      </c>
      <c r="AE17" s="101">
        <f>AE12+AE14+AE15+AE16</f>
        <v>169903.38813598949</v>
      </c>
      <c r="AF17" s="98">
        <f>AE17/X17</f>
        <v>1.6766876092778551</v>
      </c>
      <c r="AG17" s="99">
        <f>AG12+AG16</f>
        <v>169903.4</v>
      </c>
      <c r="AH17" s="100">
        <f>AH12+AH14+AH15+AH16</f>
        <v>289893.48090797453</v>
      </c>
      <c r="AI17" s="101">
        <f>AI12+AI14+AI15+AI16</f>
        <v>91282.260000000009</v>
      </c>
      <c r="AJ17" s="102">
        <f>AI17/AC17</f>
        <v>0.89826545474283637</v>
      </c>
      <c r="AK17" s="101">
        <f>AK12+AK14+AK15+AK16</f>
        <v>198611.22090797452</v>
      </c>
      <c r="AL17" s="98">
        <f>AK17/AG17</f>
        <v>1.1689655469400526</v>
      </c>
      <c r="AM17" s="103">
        <f>AM12+AM16</f>
        <v>301489.2201442935</v>
      </c>
      <c r="AN17" s="104">
        <f>AN12+AN16</f>
        <v>94933.55</v>
      </c>
      <c r="AO17" s="102">
        <f>AN17/AI17</f>
        <v>1.0399999956179875</v>
      </c>
      <c r="AP17" s="104">
        <f>AP12+AP16</f>
        <v>206555.67014429352</v>
      </c>
      <c r="AQ17" s="105">
        <f>AP17/AK17</f>
        <v>1.040000002013985</v>
      </c>
      <c r="AR17" s="106">
        <f>AR12+AR16</f>
        <v>313548.78895006527</v>
      </c>
      <c r="AS17" s="100">
        <f>AS12+AS16</f>
        <v>98730.89</v>
      </c>
      <c r="AT17" s="85">
        <f>AS17/AN17</f>
        <v>1.0399999789326324</v>
      </c>
      <c r="AU17" s="101">
        <f>AU12+AU16</f>
        <v>214817.89895006528</v>
      </c>
      <c r="AV17" s="86">
        <f>AU17/AP17</f>
        <v>1.0400000096826199</v>
      </c>
      <c r="AW17" s="295"/>
      <c r="AX17" s="295"/>
      <c r="AY17" s="295"/>
      <c r="AZ17" s="295"/>
    </row>
    <row r="18" spans="1:52" ht="7.5" customHeight="1" thickBot="1">
      <c r="A18" s="107"/>
      <c r="B18" s="108"/>
      <c r="C18" s="108"/>
      <c r="D18" s="108"/>
      <c r="E18" s="108"/>
      <c r="F18" s="108"/>
      <c r="G18" s="416"/>
      <c r="H18" s="108"/>
      <c r="I18" s="109"/>
      <c r="J18" s="110"/>
      <c r="K18" s="108"/>
      <c r="L18" s="356"/>
      <c r="M18" s="357"/>
      <c r="N18" s="358"/>
      <c r="O18" s="359"/>
      <c r="P18" s="360"/>
      <c r="Q18" s="361"/>
      <c r="R18" s="361"/>
      <c r="S18" s="361"/>
      <c r="T18" s="361"/>
      <c r="U18" s="361"/>
      <c r="V18" s="361"/>
      <c r="W18" s="361"/>
      <c r="X18" s="361"/>
      <c r="Y18" s="361"/>
      <c r="Z18" s="362"/>
      <c r="AA18" s="417"/>
      <c r="AB18" s="111"/>
      <c r="AC18" s="111"/>
      <c r="AD18" s="111"/>
      <c r="AE18" s="111"/>
      <c r="AF18" s="112"/>
      <c r="AG18" s="113"/>
      <c r="AH18" s="114"/>
      <c r="AI18" s="115"/>
      <c r="AJ18" s="116"/>
      <c r="AK18" s="115"/>
      <c r="AL18" s="117"/>
      <c r="AM18" s="118"/>
      <c r="AN18" s="119"/>
      <c r="AO18" s="120"/>
      <c r="AP18" s="119"/>
      <c r="AQ18" s="121"/>
      <c r="AR18" s="111"/>
      <c r="AS18" s="115"/>
      <c r="AT18" s="122"/>
      <c r="AU18" s="115"/>
      <c r="AV18" s="117"/>
      <c r="AW18" s="295"/>
      <c r="AX18" s="295"/>
      <c r="AY18" s="295"/>
      <c r="AZ18" s="295"/>
    </row>
    <row r="19" spans="1:52" ht="28.9" customHeight="1" thickBot="1">
      <c r="A19" s="123" t="s">
        <v>44</v>
      </c>
      <c r="B19" s="124"/>
      <c r="C19" s="124"/>
      <c r="D19" s="124"/>
      <c r="E19" s="124"/>
      <c r="F19" s="124"/>
      <c r="G19" s="418"/>
      <c r="H19" s="124"/>
      <c r="I19" s="125"/>
      <c r="J19" s="126"/>
      <c r="K19" s="127"/>
      <c r="L19" s="382"/>
      <c r="M19" s="383"/>
      <c r="N19" s="382"/>
      <c r="O19" s="419"/>
      <c r="P19" s="420"/>
      <c r="Q19" s="128"/>
      <c r="R19" s="128"/>
      <c r="S19" s="128"/>
      <c r="T19" s="128"/>
      <c r="U19" s="129"/>
      <c r="V19" s="130"/>
      <c r="W19" s="128"/>
      <c r="X19" s="131"/>
      <c r="Y19" s="132"/>
      <c r="Z19" s="129"/>
      <c r="AA19" s="133"/>
      <c r="AB19" s="130"/>
      <c r="AC19" s="128"/>
      <c r="AD19" s="128"/>
      <c r="AE19" s="128"/>
      <c r="AF19" s="134"/>
      <c r="AG19" s="133"/>
      <c r="AH19" s="135"/>
      <c r="AI19" s="136"/>
      <c r="AJ19" s="137"/>
      <c r="AK19" s="136"/>
      <c r="AL19" s="138"/>
      <c r="AM19" s="139"/>
      <c r="AN19" s="139"/>
      <c r="AO19" s="140"/>
      <c r="AP19" s="139"/>
      <c r="AQ19" s="141"/>
      <c r="AR19" s="130"/>
      <c r="AS19" s="142"/>
      <c r="AT19" s="143"/>
      <c r="AU19" s="142"/>
      <c r="AV19" s="144"/>
      <c r="AW19" s="295"/>
      <c r="AX19" s="295"/>
      <c r="AY19" s="295"/>
      <c r="AZ19" s="295"/>
    </row>
    <row r="20" spans="1:52" ht="36.6" customHeight="1" thickBot="1">
      <c r="A20" s="145" t="s">
        <v>45</v>
      </c>
      <c r="B20" s="88">
        <v>58131.9</v>
      </c>
      <c r="C20" s="89">
        <v>48538.7</v>
      </c>
      <c r="D20" s="89">
        <v>199540</v>
      </c>
      <c r="E20" s="89">
        <v>48538.7</v>
      </c>
      <c r="F20" s="90">
        <v>199540</v>
      </c>
      <c r="G20" s="421">
        <v>48538.7</v>
      </c>
      <c r="H20" s="91">
        <f>G20/E20*100</f>
        <v>100</v>
      </c>
      <c r="I20" s="65">
        <v>100000</v>
      </c>
      <c r="J20" s="66">
        <f>I20/G20*100</f>
        <v>206.02117485635176</v>
      </c>
      <c r="K20" s="408">
        <v>170806.6</v>
      </c>
      <c r="L20" s="409">
        <f>K20/I20*100</f>
        <v>170.8066</v>
      </c>
      <c r="M20" s="410">
        <v>280228.5</v>
      </c>
      <c r="N20" s="409">
        <f>M20/K20*100</f>
        <v>164.06186880366448</v>
      </c>
      <c r="O20" s="422">
        <v>298069</v>
      </c>
      <c r="P20" s="423">
        <f>O20/M20</f>
        <v>1.0636641169616938</v>
      </c>
      <c r="Q20" s="146">
        <f>463323*3267.078/3160.9*1.075*1.055</f>
        <v>543117.16700544779</v>
      </c>
      <c r="R20" s="146">
        <f>[2]Доходы!$D$26/1000*1.1</f>
        <v>211742.22410000002</v>
      </c>
      <c r="S20" s="147">
        <v>110</v>
      </c>
      <c r="T20" s="146">
        <f>Q20-R20</f>
        <v>331374.9429054478</v>
      </c>
      <c r="U20" s="148">
        <f>T20/O20*100</f>
        <v>111.17390366171853</v>
      </c>
      <c r="V20" s="149">
        <f>W20+X20</f>
        <v>483767.2</v>
      </c>
      <c r="W20" s="150">
        <v>194522.7</v>
      </c>
      <c r="X20" s="151">
        <v>289244.5</v>
      </c>
      <c r="Y20" s="152"/>
      <c r="Z20" s="424">
        <v>278446.2</v>
      </c>
      <c r="AA20" s="425">
        <v>278446.2</v>
      </c>
      <c r="AB20" s="100">
        <f>498133.2+540683.2-520277.7</f>
        <v>518538.6999999999</v>
      </c>
      <c r="AC20" s="101">
        <v>200060.6</v>
      </c>
      <c r="AD20" s="97">
        <v>104</v>
      </c>
      <c r="AE20" s="101">
        <f>AB20-AC20</f>
        <v>318478.09999999986</v>
      </c>
      <c r="AF20" s="153">
        <f>AE20/X20</f>
        <v>1.101068818940377</v>
      </c>
      <c r="AG20" s="154">
        <v>259945.3</v>
      </c>
      <c r="AH20" s="155">
        <f>'ЖД транспорт расчет'!E12</f>
        <v>607980.54166060744</v>
      </c>
      <c r="AI20" s="156">
        <f>'ЖД транспорт расчет'!E13</f>
        <v>215389.12223276435</v>
      </c>
      <c r="AJ20" s="44">
        <f>AI20/AC20</f>
        <v>1.0766193954869892</v>
      </c>
      <c r="AK20" s="156">
        <f>AH20-AI20+28952.04</f>
        <v>421543.45942784304</v>
      </c>
      <c r="AL20" s="157">
        <f>AK20/AG20</f>
        <v>1.6216621705714358</v>
      </c>
      <c r="AM20" s="158">
        <f>'ЖД транспорт расчет'!F12</f>
        <v>592705.81164553319</v>
      </c>
      <c r="AN20" s="158">
        <f>'ЖД транспорт расчет'!F13</f>
        <v>224029.37355442252</v>
      </c>
      <c r="AO20" s="159">
        <f>AN20/AI20</f>
        <v>1.0401146131805157</v>
      </c>
      <c r="AP20" s="158">
        <f>AM20-AN20+28952.04</f>
        <v>397628.47809111065</v>
      </c>
      <c r="AQ20" s="159">
        <f>AP20/AK20</f>
        <v>0.94326805267197844</v>
      </c>
      <c r="AR20" s="100">
        <f>'ЖД транспорт расчет'!G12</f>
        <v>619166.58131811128</v>
      </c>
      <c r="AS20" s="101">
        <f>'ЖД транспорт расчет'!G13</f>
        <v>232978.20528042561</v>
      </c>
      <c r="AT20" s="160">
        <f>AS20/AN20</f>
        <v>1.0399449035812671</v>
      </c>
      <c r="AU20" s="101">
        <f>AR20-AS20+28952.04</f>
        <v>415140.41603768565</v>
      </c>
      <c r="AV20" s="161">
        <f>AU20/AP20</f>
        <v>1.0440409550911551</v>
      </c>
      <c r="AW20" s="295"/>
      <c r="AX20" s="295"/>
      <c r="AY20" s="295"/>
      <c r="AZ20" s="295"/>
    </row>
    <row r="21" spans="1:52" ht="7.5" customHeight="1" thickBot="1">
      <c r="A21" s="162"/>
      <c r="B21" s="163"/>
      <c r="C21" s="163"/>
      <c r="D21" s="163"/>
      <c r="E21" s="163"/>
      <c r="F21" s="163"/>
      <c r="G21" s="426"/>
      <c r="H21" s="163"/>
      <c r="I21" s="164"/>
      <c r="J21" s="165"/>
      <c r="K21" s="163"/>
      <c r="L21" s="356"/>
      <c r="M21" s="357"/>
      <c r="N21" s="358"/>
      <c r="O21" s="359"/>
      <c r="P21" s="360"/>
      <c r="Q21" s="361"/>
      <c r="R21" s="361"/>
      <c r="S21" s="361"/>
      <c r="T21" s="361"/>
      <c r="U21" s="361"/>
      <c r="V21" s="361"/>
      <c r="W21" s="361"/>
      <c r="X21" s="361"/>
      <c r="Y21" s="361"/>
      <c r="Z21" s="362"/>
      <c r="AA21" s="427"/>
      <c r="AB21" s="111"/>
      <c r="AC21" s="111"/>
      <c r="AD21" s="111"/>
      <c r="AE21" s="111"/>
      <c r="AF21" s="166"/>
      <c r="AG21" s="167"/>
      <c r="AH21" s="114"/>
      <c r="AI21" s="115"/>
      <c r="AJ21" s="116"/>
      <c r="AK21" s="115"/>
      <c r="AL21" s="117"/>
      <c r="AM21" s="168"/>
      <c r="AN21" s="169"/>
      <c r="AO21" s="170"/>
      <c r="AP21" s="169"/>
      <c r="AQ21" s="171"/>
      <c r="AR21" s="111"/>
      <c r="AS21" s="115"/>
      <c r="AT21" s="122"/>
      <c r="AU21" s="115"/>
      <c r="AV21" s="117"/>
      <c r="AW21" s="295"/>
      <c r="AX21" s="295"/>
      <c r="AY21" s="295"/>
      <c r="AZ21" s="295"/>
    </row>
    <row r="22" spans="1:52" ht="28.9" customHeight="1">
      <c r="A22" s="123" t="s">
        <v>46</v>
      </c>
      <c r="B22" s="124"/>
      <c r="C22" s="124"/>
      <c r="D22" s="124"/>
      <c r="E22" s="124"/>
      <c r="F22" s="124"/>
      <c r="G22" s="418"/>
      <c r="H22" s="124"/>
      <c r="I22" s="125"/>
      <c r="J22" s="126"/>
      <c r="K22" s="428"/>
      <c r="L22" s="24"/>
      <c r="M22" s="383"/>
      <c r="N22" s="382"/>
      <c r="O22" s="429"/>
      <c r="P22" s="420"/>
      <c r="Q22" s="128"/>
      <c r="R22" s="128"/>
      <c r="S22" s="128"/>
      <c r="T22" s="128"/>
      <c r="U22" s="129"/>
      <c r="V22" s="130"/>
      <c r="W22" s="128"/>
      <c r="X22" s="131"/>
      <c r="Y22" s="132"/>
      <c r="Z22" s="129"/>
      <c r="AA22" s="172"/>
      <c r="AB22" s="132"/>
      <c r="AC22" s="128"/>
      <c r="AD22" s="128"/>
      <c r="AE22" s="128"/>
      <c r="AF22" s="173"/>
      <c r="AG22" s="174"/>
      <c r="AH22" s="130"/>
      <c r="AI22" s="142"/>
      <c r="AJ22" s="175"/>
      <c r="AK22" s="142"/>
      <c r="AL22" s="176"/>
      <c r="AM22" s="177"/>
      <c r="AN22" s="178"/>
      <c r="AO22" s="179"/>
      <c r="AP22" s="178"/>
      <c r="AQ22" s="180"/>
      <c r="AR22" s="132"/>
      <c r="AS22" s="142"/>
      <c r="AT22" s="143"/>
      <c r="AU22" s="142"/>
      <c r="AV22" s="144"/>
      <c r="AW22" s="295"/>
      <c r="AX22" s="295"/>
      <c r="AY22" s="295"/>
      <c r="AZ22" s="295"/>
    </row>
    <row r="23" spans="1:52" ht="34.15" customHeight="1">
      <c r="A23" s="181" t="s">
        <v>47</v>
      </c>
      <c r="B23" s="182">
        <v>3459.6</v>
      </c>
      <c r="C23" s="53">
        <v>3502.6</v>
      </c>
      <c r="D23" s="53">
        <v>5047.8</v>
      </c>
      <c r="E23" s="53">
        <v>5344.1</v>
      </c>
      <c r="F23" s="53"/>
      <c r="G23" s="205">
        <v>4509.1000000000004</v>
      </c>
      <c r="H23" s="54">
        <f>G23/E23*100</f>
        <v>84.375292378510878</v>
      </c>
      <c r="I23" s="62">
        <v>4746.6000000000004</v>
      </c>
      <c r="J23" s="63">
        <f>I23/G23*100</f>
        <v>105.26712647756757</v>
      </c>
      <c r="K23" s="206">
        <v>6523.8</v>
      </c>
      <c r="L23" s="207">
        <f>K23/I23*100</f>
        <v>137.44153710024017</v>
      </c>
      <c r="M23" s="208">
        <v>6686.4</v>
      </c>
      <c r="N23" s="207">
        <f>M23/K23*100</f>
        <v>102.49241239768232</v>
      </c>
      <c r="O23" s="209">
        <v>7174.1</v>
      </c>
      <c r="P23" s="210">
        <f>O23/M23</f>
        <v>1.0729391002632209</v>
      </c>
      <c r="Q23" s="211">
        <f>[3]Свод!$AK$31</f>
        <v>9677.3529327128963</v>
      </c>
      <c r="R23" s="211">
        <f>[3]Свод!$AK$12</f>
        <v>1725.2414999999999</v>
      </c>
      <c r="S23" s="183">
        <f>[3]Свод!$AS$75</f>
        <v>105.5</v>
      </c>
      <c r="T23" s="211">
        <f>Q23-R23</f>
        <v>7952.1114327128962</v>
      </c>
      <c r="U23" s="212">
        <f>T23/O23*100</f>
        <v>110.84472522982529</v>
      </c>
      <c r="V23" s="213">
        <f>1583.4771+8024.1</f>
        <v>9607.5771000000004</v>
      </c>
      <c r="W23" s="214">
        <v>1583.4771000000001</v>
      </c>
      <c r="X23" s="430">
        <f>V23-W23</f>
        <v>8024.1</v>
      </c>
      <c r="Y23" s="431"/>
      <c r="Z23" s="215">
        <v>7952.1</v>
      </c>
      <c r="AA23" s="216">
        <v>7952.1</v>
      </c>
      <c r="AB23" s="84">
        <f>V23*1.045*1.036</f>
        <v>10401.355120001999</v>
      </c>
      <c r="AC23" s="78">
        <f>W23*1.1*1.04</f>
        <v>1811.4978024000004</v>
      </c>
      <c r="AD23" s="58">
        <f>AC23/R23*100</f>
        <v>104.9996654033653</v>
      </c>
      <c r="AE23" s="78">
        <f>AB23-AC23</f>
        <v>8589.8573176019981</v>
      </c>
      <c r="AF23" s="80">
        <f>AE23/Z23</f>
        <v>1.0801998613702037</v>
      </c>
      <c r="AG23" s="184">
        <v>8589.857</v>
      </c>
      <c r="AH23" s="77">
        <f>AB23*1.04</f>
        <v>10817.40932480208</v>
      </c>
      <c r="AI23" s="78">
        <v>1296.72</v>
      </c>
      <c r="AJ23" s="79">
        <f>AI23/AC23</f>
        <v>0.71582753138425759</v>
      </c>
      <c r="AK23" s="78">
        <f>AH23-AI23</f>
        <v>9520.6893248020806</v>
      </c>
      <c r="AL23" s="80">
        <f>AK23/AG23</f>
        <v>1.1083641235007848</v>
      </c>
      <c r="AM23" s="81">
        <f>AH23*1.04</f>
        <v>11250.105697794164</v>
      </c>
      <c r="AN23" s="82">
        <v>1348.59</v>
      </c>
      <c r="AO23" s="79">
        <f>AN23/AI23</f>
        <v>1.0400009254118081</v>
      </c>
      <c r="AP23" s="82">
        <f>AM23-AN23</f>
        <v>9901.5156977941642</v>
      </c>
      <c r="AQ23" s="83">
        <f>AP23/AK23</f>
        <v>1.0399998739587062</v>
      </c>
      <c r="AR23" s="84">
        <f>AM23*1.04</f>
        <v>11700.10992570593</v>
      </c>
      <c r="AS23" s="78">
        <v>1402.53</v>
      </c>
      <c r="AT23" s="85">
        <f>AS23/AN23</f>
        <v>1.0399973305452361</v>
      </c>
      <c r="AU23" s="78">
        <f>AR23-AS23</f>
        <v>10297.57992570593</v>
      </c>
      <c r="AV23" s="86">
        <f>AU23/AP23</f>
        <v>1.0400003635806991</v>
      </c>
      <c r="AW23" s="295"/>
      <c r="AX23" s="295"/>
      <c r="AY23" s="295"/>
      <c r="AZ23" s="295"/>
    </row>
    <row r="24" spans="1:52" s="297" customFormat="1" ht="49.15" customHeight="1">
      <c r="A24" s="185" t="s">
        <v>48</v>
      </c>
      <c r="B24" s="182">
        <v>1588</v>
      </c>
      <c r="C24" s="53">
        <v>1614.2</v>
      </c>
      <c r="D24" s="53">
        <v>3013.1</v>
      </c>
      <c r="E24" s="53">
        <v>2508.6</v>
      </c>
      <c r="F24" s="53"/>
      <c r="G24" s="432">
        <v>3183.9</v>
      </c>
      <c r="H24" s="186">
        <f>G24/E24*100</f>
        <v>126.91939727337957</v>
      </c>
      <c r="I24" s="187">
        <v>3189.3</v>
      </c>
      <c r="J24" s="188">
        <f>I24/G24*100</f>
        <v>100.1696033166871</v>
      </c>
      <c r="K24" s="433">
        <v>3141.5</v>
      </c>
      <c r="L24" s="207">
        <f>K24/I24*100</f>
        <v>98.501238516288836</v>
      </c>
      <c r="M24" s="208">
        <v>2935.9</v>
      </c>
      <c r="N24" s="207">
        <f>M24/K24*100</f>
        <v>93.455355721788962</v>
      </c>
      <c r="O24" s="209">
        <v>3637.3</v>
      </c>
      <c r="P24" s="210">
        <f>O24/M24</f>
        <v>1.2389045948431487</v>
      </c>
      <c r="Q24" s="78">
        <f>[4]Лист2!$DW$46</f>
        <v>4161.8025014495461</v>
      </c>
      <c r="R24" s="78">
        <f>[4]Лист2!$DW$17</f>
        <v>900.95</v>
      </c>
      <c r="S24" s="58">
        <f>420/400*100</f>
        <v>105</v>
      </c>
      <c r="T24" s="78">
        <f>Q24-R24</f>
        <v>3260.8525014495463</v>
      </c>
      <c r="U24" s="434">
        <f>T24/O24*100</f>
        <v>89.650358822465734</v>
      </c>
      <c r="V24" s="435">
        <f>3437.3+915.425</f>
        <v>4352.7250000000004</v>
      </c>
      <c r="W24" s="74">
        <v>915.42499999999995</v>
      </c>
      <c r="X24" s="430">
        <f>V24-W24</f>
        <v>3437.3</v>
      </c>
      <c r="Y24" s="403"/>
      <c r="Z24" s="436">
        <v>3437.3</v>
      </c>
      <c r="AA24" s="437">
        <v>3305</v>
      </c>
      <c r="AB24" s="84">
        <f>V24*1.045*1.036</f>
        <v>4712.3471395000006</v>
      </c>
      <c r="AC24" s="78">
        <f>W24*1.1*1.034</f>
        <v>1041.2043950000002</v>
      </c>
      <c r="AD24" s="58">
        <f>AC24/R24*100</f>
        <v>115.56738942227651</v>
      </c>
      <c r="AE24" s="78">
        <f>AB24-AC24</f>
        <v>3671.1427445000004</v>
      </c>
      <c r="AF24" s="80">
        <f>AE24/Z24</f>
        <v>1.0680309383818696</v>
      </c>
      <c r="AG24" s="184">
        <v>5859.143</v>
      </c>
      <c r="AH24" s="77">
        <f>AB24*1.04+1043.48</f>
        <v>5944.3210250800003</v>
      </c>
      <c r="AI24" s="78">
        <f>750.98</f>
        <v>750.98</v>
      </c>
      <c r="AJ24" s="79">
        <f>AI24/AC24</f>
        <v>0.72126088173110325</v>
      </c>
      <c r="AK24" s="78">
        <f>AH24-AI24</f>
        <v>5193.3410250800007</v>
      </c>
      <c r="AL24" s="80">
        <f>AK24/AG24</f>
        <v>0.88636529695213118</v>
      </c>
      <c r="AM24" s="81">
        <f>AH24*1.04</f>
        <v>6182.0938660832007</v>
      </c>
      <c r="AN24" s="82">
        <f>781.02</f>
        <v>781.02</v>
      </c>
      <c r="AO24" s="79">
        <f>AN24/AI24</f>
        <v>1.0400010652747076</v>
      </c>
      <c r="AP24" s="82">
        <f>AM24-AN24</f>
        <v>5401.0738660832012</v>
      </c>
      <c r="AQ24" s="83">
        <f>AP24/AK24</f>
        <v>1.0399998459565825</v>
      </c>
      <c r="AR24" s="84">
        <f>AM24*1.04</f>
        <v>6429.3776207265291</v>
      </c>
      <c r="AS24" s="78">
        <v>812.26</v>
      </c>
      <c r="AT24" s="85">
        <f>AS24/AN24</f>
        <v>1.0399989756984456</v>
      </c>
      <c r="AU24" s="78">
        <f>AR24-AS24</f>
        <v>5617.1176207265289</v>
      </c>
      <c r="AV24" s="86">
        <f>AU24/AK24</f>
        <v>1.0815999938382634</v>
      </c>
    </row>
    <row r="25" spans="1:52" ht="34.15" customHeight="1">
      <c r="A25" s="181" t="s">
        <v>49</v>
      </c>
      <c r="B25" s="182">
        <v>290.39999999999998</v>
      </c>
      <c r="C25" s="53">
        <v>317</v>
      </c>
      <c r="D25" s="53">
        <v>453.6</v>
      </c>
      <c r="E25" s="53">
        <v>362.8</v>
      </c>
      <c r="F25" s="53"/>
      <c r="G25" s="205">
        <v>505.7</v>
      </c>
      <c r="H25" s="54">
        <f>G25/E25*100</f>
        <v>139.38809261300992</v>
      </c>
      <c r="I25" s="62">
        <v>652.9</v>
      </c>
      <c r="J25" s="63">
        <f>I25/G25*100</f>
        <v>129.10816689736998</v>
      </c>
      <c r="K25" s="206">
        <v>677.9</v>
      </c>
      <c r="L25" s="207">
        <f>K25/I25*100</f>
        <v>103.82907030173074</v>
      </c>
      <c r="M25" s="208">
        <v>729.2</v>
      </c>
      <c r="N25" s="207">
        <f>M25/K25*100</f>
        <v>107.56748783006344</v>
      </c>
      <c r="O25" s="209">
        <v>530.29999999999995</v>
      </c>
      <c r="P25" s="210">
        <f>O25/M25</f>
        <v>0.72723532638507948</v>
      </c>
      <c r="Q25" s="211">
        <f>[5]Лямца!$AD$25</f>
        <v>792.19978678820542</v>
      </c>
      <c r="R25" s="211">
        <f>[5]Лямца!$AD$11</f>
        <v>157.5</v>
      </c>
      <c r="S25" s="183">
        <f>1050/1000*100</f>
        <v>105</v>
      </c>
      <c r="T25" s="211">
        <f>Q25-R25</f>
        <v>634.69978678820542</v>
      </c>
      <c r="U25" s="212">
        <f>T25/O25*100</f>
        <v>119.68692943394407</v>
      </c>
      <c r="V25" s="213">
        <v>230.58</v>
      </c>
      <c r="W25" s="214">
        <v>24.49</v>
      </c>
      <c r="X25" s="430">
        <f>V25-W25</f>
        <v>206.09</v>
      </c>
      <c r="Y25" s="431"/>
      <c r="Z25" s="215">
        <f>2772.1-Z34</f>
        <v>219.92799999999988</v>
      </c>
      <c r="AA25" s="216">
        <v>219.3</v>
      </c>
      <c r="AB25" s="84">
        <f>V25*1.045*1.036</f>
        <v>249.63051960000001</v>
      </c>
      <c r="AC25" s="78">
        <f>W25*1.1*1.036</f>
        <v>27.908804</v>
      </c>
      <c r="AD25" s="58">
        <f>AC25/R25*100</f>
        <v>17.719875555555557</v>
      </c>
      <c r="AE25" s="78">
        <f>AB25-AC25</f>
        <v>221.72171560000001</v>
      </c>
      <c r="AF25" s="80">
        <f>AE25/Z25</f>
        <v>1.0081559219380893</v>
      </c>
      <c r="AG25" s="184">
        <f>AA25</f>
        <v>219.3</v>
      </c>
      <c r="AH25" s="77">
        <f>AB25*1.04</f>
        <v>259.61574038400005</v>
      </c>
      <c r="AI25" s="78">
        <v>83.28</v>
      </c>
      <c r="AJ25" s="79">
        <f>AI25/AC25</f>
        <v>2.9840046173243397</v>
      </c>
      <c r="AK25" s="78">
        <f>AH25-AI25</f>
        <v>176.33574038400005</v>
      </c>
      <c r="AL25" s="80">
        <f>AK25/AG25</f>
        <v>0.80408454347469238</v>
      </c>
      <c r="AM25" s="81">
        <f>AH25*1.04</f>
        <v>270.00036999936003</v>
      </c>
      <c r="AN25" s="82">
        <v>86.61</v>
      </c>
      <c r="AO25" s="79">
        <f>AN25/AI25</f>
        <v>1.0399855907780979</v>
      </c>
      <c r="AP25" s="82">
        <f>AM25-AN25</f>
        <v>183.39036999936002</v>
      </c>
      <c r="AQ25" s="83">
        <f>AP25/AK25</f>
        <v>1.0400068052001106</v>
      </c>
      <c r="AR25" s="84">
        <f>AM25*1.04</f>
        <v>280.80038479933444</v>
      </c>
      <c r="AS25" s="78">
        <v>90.08</v>
      </c>
      <c r="AT25" s="85">
        <f>AS25/AN25</f>
        <v>1.0400646576607782</v>
      </c>
      <c r="AU25" s="78">
        <f>AR25-AS25</f>
        <v>190.72038479933445</v>
      </c>
      <c r="AV25" s="86">
        <f>AU25/AP25</f>
        <v>1.0399694640454678</v>
      </c>
      <c r="AW25" s="295"/>
      <c r="AX25" s="295"/>
      <c r="AY25" s="295"/>
      <c r="AZ25" s="295"/>
    </row>
    <row r="26" spans="1:52" ht="28.9" customHeight="1" thickBot="1">
      <c r="A26" s="189" t="s">
        <v>50</v>
      </c>
      <c r="B26" s="88">
        <f>B23+B24+B25</f>
        <v>5338</v>
      </c>
      <c r="C26" s="89">
        <f>C23+C24+C25</f>
        <v>5433.8</v>
      </c>
      <c r="D26" s="89">
        <f>D23+D24+D25</f>
        <v>8514.5</v>
      </c>
      <c r="E26" s="89">
        <v>8215.5</v>
      </c>
      <c r="F26" s="90">
        <f>F23+F24+F25</f>
        <v>0</v>
      </c>
      <c r="G26" s="410">
        <f>G23+G24+G25</f>
        <v>8198.7000000000007</v>
      </c>
      <c r="H26" s="54">
        <f>G26/E26*100</f>
        <v>99.795508490049301</v>
      </c>
      <c r="I26" s="65">
        <f>SUM(I23:I25)</f>
        <v>8588.8000000000011</v>
      </c>
      <c r="J26" s="66">
        <f>I26/G26*100</f>
        <v>104.75807140156365</v>
      </c>
      <c r="K26" s="88">
        <f>K23+K24+K25</f>
        <v>10343.199999999999</v>
      </c>
      <c r="L26" s="409">
        <f>K26/I26*100</f>
        <v>120.42660208643812</v>
      </c>
      <c r="M26" s="410">
        <f>SUM(M23:M25)</f>
        <v>10351.5</v>
      </c>
      <c r="N26" s="409">
        <f>M26/K26*100</f>
        <v>100.08024595869752</v>
      </c>
      <c r="O26" s="422">
        <f>O23+O24+O25</f>
        <v>11341.7</v>
      </c>
      <c r="P26" s="423">
        <f>O26/M26</f>
        <v>1.0956576341593007</v>
      </c>
      <c r="Q26" s="146">
        <f>Q23+Q24+Q25</f>
        <v>14631.355220950649</v>
      </c>
      <c r="R26" s="146">
        <f>R23+R24+R25</f>
        <v>2783.6914999999999</v>
      </c>
      <c r="S26" s="438">
        <f>R26/(R23/S23*100+R24/S24*100+R25/S25*100)*100</f>
        <v>105.30932367506574</v>
      </c>
      <c r="T26" s="191">
        <f>T23+T24+T25</f>
        <v>11847.663720950648</v>
      </c>
      <c r="U26" s="148">
        <f>T26/O26*100</f>
        <v>104.46109243720647</v>
      </c>
      <c r="V26" s="422">
        <f>V23+V24+V25</f>
        <v>14190.882100000001</v>
      </c>
      <c r="W26" s="191">
        <f>W23+W24+W25</f>
        <v>2523.3921</v>
      </c>
      <c r="X26" s="439">
        <f>X23+X24+X25</f>
        <v>11667.490000000002</v>
      </c>
      <c r="Y26" s="440"/>
      <c r="Z26" s="441">
        <f>Z23+Z24+Z25</f>
        <v>11609.328000000001</v>
      </c>
      <c r="AA26" s="442">
        <f>AA23+AA24+AA25</f>
        <v>11476.4</v>
      </c>
      <c r="AB26" s="106">
        <f>AB23+AB24+AB25</f>
        <v>15363.332779101998</v>
      </c>
      <c r="AC26" s="101">
        <f>AC23+AC24+AC25</f>
        <v>2880.611001400001</v>
      </c>
      <c r="AD26" s="443">
        <f>AC26/(AC23/AD23*100+AC24/AD24*100+AC25/AD25*100)*100</f>
        <v>103.48168974184104</v>
      </c>
      <c r="AE26" s="191">
        <f>AE23+AE24+AE25</f>
        <v>12482.721777702</v>
      </c>
      <c r="AF26" s="98">
        <f>AE26/Z26</f>
        <v>1.0752320700820925</v>
      </c>
      <c r="AG26" s="99">
        <f>SUM(AG23:AG25)</f>
        <v>14668.3</v>
      </c>
      <c r="AH26" s="100">
        <f>AH23+AH24+AH25</f>
        <v>17021.346090266081</v>
      </c>
      <c r="AI26" s="101">
        <f>AI23+AI24+AI25</f>
        <v>2130.98</v>
      </c>
      <c r="AJ26" s="190">
        <f>AI26/AC26</f>
        <v>0.73976666719814854</v>
      </c>
      <c r="AK26" s="191">
        <f>AK23+AK24+AK25</f>
        <v>14890.366090266081</v>
      </c>
      <c r="AL26" s="98">
        <f>AK26/AG26</f>
        <v>1.0151391838363057</v>
      </c>
      <c r="AM26" s="103">
        <f>AM23+AM24+AM25</f>
        <v>17702.199933876727</v>
      </c>
      <c r="AN26" s="104">
        <f>AN23+AN24+AN25</f>
        <v>2216.2199999999998</v>
      </c>
      <c r="AO26" s="102">
        <f>AN26/AI26</f>
        <v>1.0400003754141287</v>
      </c>
      <c r="AP26" s="104">
        <f>AM26-AN26</f>
        <v>15485.979933876728</v>
      </c>
      <c r="AQ26" s="105">
        <f>AP26/AK26</f>
        <v>1.0399999462739873</v>
      </c>
      <c r="AR26" s="106">
        <f>AR23+AR24+AR25</f>
        <v>18410.287931231793</v>
      </c>
      <c r="AS26" s="101">
        <f>AS23+AS24+AS25</f>
        <v>2304.87</v>
      </c>
      <c r="AT26" s="192">
        <f>AS26/(AS23/AT23*100+AS24/AT24*100+AS25/AT25*100)*100</f>
        <v>1.04000054146249</v>
      </c>
      <c r="AU26" s="191">
        <f>AU23+AU24+AU25</f>
        <v>16105.417931231794</v>
      </c>
      <c r="AV26" s="161">
        <f>AU26/AP26</f>
        <v>1.0399999225105541</v>
      </c>
      <c r="AW26" s="295"/>
      <c r="AX26" s="295"/>
      <c r="AY26" s="295"/>
      <c r="AZ26" s="295"/>
    </row>
    <row r="27" spans="1:52" ht="7.5" customHeight="1" thickBot="1">
      <c r="A27" s="193"/>
      <c r="B27" s="194"/>
      <c r="C27" s="194"/>
      <c r="D27" s="194"/>
      <c r="E27" s="194"/>
      <c r="F27" s="194"/>
      <c r="G27" s="444"/>
      <c r="H27" s="194"/>
      <c r="I27" s="164"/>
      <c r="J27" s="195"/>
      <c r="K27" s="194"/>
      <c r="L27" s="356"/>
      <c r="M27" s="357"/>
      <c r="N27" s="358"/>
      <c r="O27" s="359"/>
      <c r="P27" s="360"/>
      <c r="Q27" s="361"/>
      <c r="R27" s="361"/>
      <c r="S27" s="361"/>
      <c r="T27" s="361"/>
      <c r="U27" s="361"/>
      <c r="V27" s="361"/>
      <c r="W27" s="361"/>
      <c r="X27" s="361"/>
      <c r="Y27" s="361"/>
      <c r="Z27" s="362"/>
      <c r="AA27" s="417"/>
      <c r="AB27" s="196"/>
      <c r="AC27" s="196"/>
      <c r="AD27" s="196"/>
      <c r="AE27" s="196"/>
      <c r="AF27" s="197"/>
      <c r="AG27" s="198"/>
      <c r="AH27" s="135"/>
      <c r="AI27" s="136"/>
      <c r="AJ27" s="137"/>
      <c r="AK27" s="136"/>
      <c r="AL27" s="138"/>
      <c r="AM27" s="199"/>
      <c r="AN27" s="200"/>
      <c r="AO27" s="201"/>
      <c r="AP27" s="200"/>
      <c r="AQ27" s="202"/>
      <c r="AR27" s="196"/>
      <c r="AS27" s="136"/>
      <c r="AT27" s="203"/>
      <c r="AU27" s="136"/>
      <c r="AV27" s="138"/>
      <c r="AW27" s="295"/>
      <c r="AX27" s="295"/>
      <c r="AY27" s="295"/>
      <c r="AZ27" s="295"/>
    </row>
    <row r="28" spans="1:52" ht="30.6" customHeight="1">
      <c r="A28" s="123" t="s">
        <v>51</v>
      </c>
      <c r="B28" s="124"/>
      <c r="C28" s="124"/>
      <c r="D28" s="124"/>
      <c r="E28" s="124"/>
      <c r="F28" s="124"/>
      <c r="G28" s="418"/>
      <c r="H28" s="124"/>
      <c r="I28" s="125"/>
      <c r="J28" s="204"/>
      <c r="K28" s="127"/>
      <c r="L28" s="382"/>
      <c r="M28" s="383"/>
      <c r="N28" s="382"/>
      <c r="O28" s="429"/>
      <c r="P28" s="420"/>
      <c r="Q28" s="128"/>
      <c r="R28" s="128"/>
      <c r="S28" s="128"/>
      <c r="T28" s="128"/>
      <c r="U28" s="129"/>
      <c r="V28" s="130"/>
      <c r="W28" s="128"/>
      <c r="X28" s="128"/>
      <c r="Y28" s="129"/>
      <c r="Z28" s="172"/>
      <c r="AA28" s="172"/>
      <c r="AB28" s="132"/>
      <c r="AC28" s="128"/>
      <c r="AD28" s="128"/>
      <c r="AE28" s="128"/>
      <c r="AF28" s="173"/>
      <c r="AG28" s="174"/>
      <c r="AH28" s="130"/>
      <c r="AI28" s="142"/>
      <c r="AJ28" s="175"/>
      <c r="AK28" s="142"/>
      <c r="AL28" s="176"/>
      <c r="AM28" s="177"/>
      <c r="AN28" s="178"/>
      <c r="AO28" s="179"/>
      <c r="AP28" s="178"/>
      <c r="AQ28" s="180"/>
      <c r="AR28" s="132"/>
      <c r="AS28" s="142"/>
      <c r="AT28" s="143"/>
      <c r="AU28" s="142"/>
      <c r="AV28" s="144"/>
      <c r="AW28" s="295"/>
      <c r="AX28" s="295"/>
      <c r="AY28" s="295"/>
      <c r="AZ28" s="295"/>
    </row>
    <row r="29" spans="1:52" ht="51" customHeight="1">
      <c r="A29" s="217" t="s">
        <v>64</v>
      </c>
      <c r="B29" s="182">
        <f>5945.2+1734.1</f>
        <v>7679.2999999999993</v>
      </c>
      <c r="C29" s="53">
        <v>6113.8</v>
      </c>
      <c r="D29" s="53">
        <f>4850.3+4536</f>
        <v>9386.2999999999993</v>
      </c>
      <c r="E29" s="53">
        <v>7613.9</v>
      </c>
      <c r="F29" s="53"/>
      <c r="G29" s="445">
        <v>7494.8</v>
      </c>
      <c r="H29" s="54">
        <f>G29/E29*100</f>
        <v>98.435755657416053</v>
      </c>
      <c r="I29" s="62">
        <v>4559.1000000000004</v>
      </c>
      <c r="J29" s="63">
        <f t="shared" ref="J29:J35" si="2">I29/G29*100</f>
        <v>60.830175588407961</v>
      </c>
      <c r="K29" s="206">
        <v>7467.1</v>
      </c>
      <c r="L29" s="207">
        <f t="shared" ref="L29:L35" si="3">K29/I29*100</f>
        <v>163.78451887433923</v>
      </c>
      <c r="M29" s="208">
        <v>4501.3</v>
      </c>
      <c r="N29" s="207">
        <f t="shared" ref="N29:N35" si="4">M29/K29*100</f>
        <v>60.281769361599544</v>
      </c>
      <c r="O29" s="209">
        <v>6447.1</v>
      </c>
      <c r="P29" s="210">
        <f t="shared" ref="P29:P35" si="5">O29/M29</f>
        <v>1.4322751205207385</v>
      </c>
      <c r="Q29" s="211">
        <f>'[6]Н-В Тойма'!$AB$33+'[6]Н-В Тойма'!$AB$38</f>
        <v>5503.05</v>
      </c>
      <c r="R29" s="211">
        <f>'[6]Н-В Тойма'!$AB$34</f>
        <v>889.36500000000001</v>
      </c>
      <c r="S29" s="183">
        <f>'[6]Н-В Тойма'!$AM$14</f>
        <v>105.5</v>
      </c>
      <c r="T29" s="211">
        <f t="shared" ref="T29:T34" si="6">Q29-R29</f>
        <v>4613.6850000000004</v>
      </c>
      <c r="U29" s="212">
        <f>T29/O29*100</f>
        <v>71.5621752415815</v>
      </c>
      <c r="V29" s="213">
        <f>5097.488+256.473</f>
        <v>5353.9610000000002</v>
      </c>
      <c r="W29" s="214">
        <v>256.47300000000001</v>
      </c>
      <c r="X29" s="74">
        <f t="shared" ref="X29:X37" si="7">V29-W29</f>
        <v>5097.4880000000003</v>
      </c>
      <c r="Y29" s="215"/>
      <c r="Z29" s="216">
        <v>4513.7</v>
      </c>
      <c r="AA29" s="216">
        <v>4767.7</v>
      </c>
      <c r="AB29" s="84">
        <f>V29*1.045*1.036</f>
        <v>5796.3052578200004</v>
      </c>
      <c r="AC29" s="78">
        <f>W29*1.0644*1.0353</f>
        <v>282.62640330036004</v>
      </c>
      <c r="AD29" s="58">
        <f t="shared" ref="AD29:AD35" si="8">AC29/R29*100</f>
        <v>31.778449039523711</v>
      </c>
      <c r="AE29" s="78">
        <f t="shared" ref="AE29:AE37" si="9">AB29-AC29</f>
        <v>5513.6788545196405</v>
      </c>
      <c r="AF29" s="80">
        <f t="shared" ref="AF29:AF35" si="10">AE29/Z29</f>
        <v>1.221543047725733</v>
      </c>
      <c r="AG29" s="184">
        <v>5513.6790000000001</v>
      </c>
      <c r="AH29" s="77">
        <f>AB29*1.04</f>
        <v>6028.1574681328002</v>
      </c>
      <c r="AI29" s="78">
        <v>344.84</v>
      </c>
      <c r="AJ29" s="79">
        <f t="shared" ref="AJ29:AJ39" si="11">AI29/AC29</f>
        <v>1.2201266264338464</v>
      </c>
      <c r="AK29" s="78">
        <f t="shared" ref="AK29:AK37" si="12">AH29-AI29</f>
        <v>5683.3174681328001</v>
      </c>
      <c r="AL29" s="80">
        <f t="shared" ref="AL29:AL39" si="13">AK29/AG29</f>
        <v>1.0307668379194364</v>
      </c>
      <c r="AM29" s="81">
        <f t="shared" ref="AM29:AM37" si="14">AH29*1.04</f>
        <v>6269.2837668581124</v>
      </c>
      <c r="AN29" s="82">
        <v>358.63</v>
      </c>
      <c r="AO29" s="79">
        <f>AN29/AI29</f>
        <v>1.0399895603758265</v>
      </c>
      <c r="AP29" s="82">
        <f>AM29-AN29</f>
        <v>5910.6537668581122</v>
      </c>
      <c r="AQ29" s="83">
        <f>AP29/AK29</f>
        <v>1.0400006334328533</v>
      </c>
      <c r="AR29" s="84">
        <f t="shared" ref="AR29:AR37" si="15">AM29*1.04</f>
        <v>6520.0551175324372</v>
      </c>
      <c r="AS29" s="78">
        <v>372.98</v>
      </c>
      <c r="AT29" s="85">
        <f>AS29/AN29</f>
        <v>1.0400133842679085</v>
      </c>
      <c r="AU29" s="78">
        <f t="shared" ref="AU29:AU37" si="16">AR29-AS29</f>
        <v>6147.0751175324367</v>
      </c>
      <c r="AV29" s="86">
        <f>AU29/AP29</f>
        <v>1.0399991879070929</v>
      </c>
      <c r="AW29" s="295"/>
      <c r="AX29" s="295"/>
      <c r="AY29" s="295"/>
      <c r="AZ29" s="295"/>
    </row>
    <row r="30" spans="1:52" ht="37.15" customHeight="1">
      <c r="A30" s="217" t="s">
        <v>52</v>
      </c>
      <c r="B30" s="182">
        <f>20619.5+16818.7</f>
        <v>37438.199999999997</v>
      </c>
      <c r="C30" s="53">
        <v>52195.3</v>
      </c>
      <c r="D30" s="53">
        <v>54610.400000000001</v>
      </c>
      <c r="E30" s="53">
        <v>41809.199999999997</v>
      </c>
      <c r="F30" s="53"/>
      <c r="G30" s="205">
        <v>58156</v>
      </c>
      <c r="H30" s="54">
        <f t="shared" ref="H30:H38" si="17">G30/E30*100</f>
        <v>139.09857160624935</v>
      </c>
      <c r="I30" s="62">
        <v>68189.5</v>
      </c>
      <c r="J30" s="63">
        <f t="shared" si="2"/>
        <v>117.25273402572391</v>
      </c>
      <c r="K30" s="206">
        <v>59184.800000000003</v>
      </c>
      <c r="L30" s="207">
        <f t="shared" si="3"/>
        <v>86.794594475689081</v>
      </c>
      <c r="M30" s="208">
        <f>60174+1000</f>
        <v>61174</v>
      </c>
      <c r="N30" s="207">
        <f t="shared" si="4"/>
        <v>103.36099809410524</v>
      </c>
      <c r="O30" s="209">
        <v>68144.7</v>
      </c>
      <c r="P30" s="210">
        <f t="shared" si="5"/>
        <v>1.1139487363912772</v>
      </c>
      <c r="Q30" s="211">
        <f>[7]Свод!$BG$38</f>
        <v>99784.710618600016</v>
      </c>
      <c r="R30" s="211">
        <f>[7]Свод!$BG$9</f>
        <v>32462.455499999996</v>
      </c>
      <c r="S30" s="183">
        <v>105.5</v>
      </c>
      <c r="T30" s="211">
        <f>Q30-R30</f>
        <v>67322.25511860002</v>
      </c>
      <c r="U30" s="212">
        <f t="shared" ref="U30:U38" si="18">T30/O30*100</f>
        <v>98.793090465729577</v>
      </c>
      <c r="V30" s="213">
        <f>'[8]Бюджет Речпорт'!V29</f>
        <v>95309.482000000004</v>
      </c>
      <c r="W30" s="214">
        <f>'[8]Бюджет Речпорт'!W29</f>
        <v>29289.112000000001</v>
      </c>
      <c r="X30" s="74">
        <f t="shared" si="7"/>
        <v>66020.37</v>
      </c>
      <c r="Y30" s="215"/>
      <c r="Z30" s="216">
        <v>63322.2</v>
      </c>
      <c r="AA30" s="216">
        <v>63887.4</v>
      </c>
      <c r="AB30" s="84">
        <f>'[8]Бюджет Речпорт'!AA29</f>
        <v>102462.27557212667</v>
      </c>
      <c r="AC30" s="78">
        <f>'[8]Бюджет Речпорт'!AB29</f>
        <v>33746.326391102404</v>
      </c>
      <c r="AD30" s="58">
        <f t="shared" si="8"/>
        <v>103.95494078105831</v>
      </c>
      <c r="AE30" s="78">
        <f t="shared" si="9"/>
        <v>68715.949181024276</v>
      </c>
      <c r="AF30" s="80">
        <f t="shared" si="10"/>
        <v>1.0851794344009571</v>
      </c>
      <c r="AG30" s="184">
        <v>81545.948999999993</v>
      </c>
      <c r="AH30" s="77">
        <f>AB30*1.04</f>
        <v>106560.76659501174</v>
      </c>
      <c r="AI30" s="78">
        <v>35904.160000000003</v>
      </c>
      <c r="AJ30" s="79">
        <f t="shared" si="11"/>
        <v>1.0639427706556686</v>
      </c>
      <c r="AK30" s="78">
        <f t="shared" si="12"/>
        <v>70656.606595011734</v>
      </c>
      <c r="AL30" s="80">
        <f t="shared" si="13"/>
        <v>0.86646372335444577</v>
      </c>
      <c r="AM30" s="81">
        <f t="shared" si="14"/>
        <v>110823.19725881222</v>
      </c>
      <c r="AN30" s="82">
        <v>37340.33</v>
      </c>
      <c r="AO30" s="79">
        <f t="shared" ref="AO30:AO39" si="19">AN30/AI30</f>
        <v>1.0400001002669328</v>
      </c>
      <c r="AP30" s="82">
        <f t="shared" ref="AP30:AP39" si="20">AM30-AN30</f>
        <v>73482.867258812214</v>
      </c>
      <c r="AQ30" s="83">
        <f t="shared" ref="AQ30:AQ39" si="21">AP30/AK30</f>
        <v>1.0399999490493506</v>
      </c>
      <c r="AR30" s="84">
        <f t="shared" si="15"/>
        <v>115256.12514916471</v>
      </c>
      <c r="AS30" s="78">
        <v>38833.94</v>
      </c>
      <c r="AT30" s="85">
        <f t="shared" ref="AT30:AT39" si="22">AS30/AN30</f>
        <v>1.0399999143017751</v>
      </c>
      <c r="AU30" s="78">
        <f t="shared" si="16"/>
        <v>76422.18514916471</v>
      </c>
      <c r="AV30" s="86">
        <f t="shared" ref="AV30:AV39" si="23">AU30/AP30</f>
        <v>1.040000043547566</v>
      </c>
      <c r="AW30" s="295"/>
      <c r="AX30" s="295"/>
      <c r="AY30" s="295"/>
      <c r="AZ30" s="295"/>
    </row>
    <row r="31" spans="1:52" ht="37.15" customHeight="1">
      <c r="A31" s="217" t="s">
        <v>53</v>
      </c>
      <c r="B31" s="182">
        <v>1924.7</v>
      </c>
      <c r="C31" s="53">
        <v>1514.7</v>
      </c>
      <c r="D31" s="53">
        <v>2932.1</v>
      </c>
      <c r="E31" s="53">
        <v>1886.8</v>
      </c>
      <c r="F31" s="53"/>
      <c r="G31" s="446">
        <v>1659.7</v>
      </c>
      <c r="H31" s="54">
        <f t="shared" si="17"/>
        <v>87.963748145007429</v>
      </c>
      <c r="I31" s="62">
        <v>2062.4</v>
      </c>
      <c r="J31" s="63">
        <f t="shared" si="2"/>
        <v>124.26342110019884</v>
      </c>
      <c r="K31" s="447">
        <v>2025.7</v>
      </c>
      <c r="L31" s="207">
        <f t="shared" si="3"/>
        <v>98.220519782777345</v>
      </c>
      <c r="M31" s="208">
        <f>2070.9+100</f>
        <v>2170.9</v>
      </c>
      <c r="N31" s="207">
        <f t="shared" si="4"/>
        <v>107.16789258034261</v>
      </c>
      <c r="O31" s="209">
        <v>2866.3</v>
      </c>
      <c r="P31" s="210">
        <f t="shared" si="5"/>
        <v>1.3203279745727579</v>
      </c>
      <c r="Q31" s="211">
        <f>[9]Лист1!$FD$59/1000</f>
        <v>3759.5168579686606</v>
      </c>
      <c r="R31" s="211">
        <f>[9]Лист1!$FD$71/1000</f>
        <v>867.50751000000002</v>
      </c>
      <c r="S31" s="183">
        <v>105.5</v>
      </c>
      <c r="T31" s="448">
        <f t="shared" si="6"/>
        <v>2892.0093479686607</v>
      </c>
      <c r="U31" s="212">
        <f t="shared" si="18"/>
        <v>100.8969524463127</v>
      </c>
      <c r="V31" s="213">
        <f>772.566+2674.613</f>
        <v>3447.1790000000001</v>
      </c>
      <c r="W31" s="214">
        <v>772.56600000000003</v>
      </c>
      <c r="X31" s="74">
        <f t="shared" si="7"/>
        <v>2674.6130000000003</v>
      </c>
      <c r="Y31" s="215"/>
      <c r="Z31" s="216">
        <v>2792</v>
      </c>
      <c r="AA31" s="216">
        <v>2862.3</v>
      </c>
      <c r="AB31" s="84">
        <f>V31*1.045*1.036</f>
        <v>3731.9849289799999</v>
      </c>
      <c r="AC31" s="78">
        <f>W31*1.078*1.04</f>
        <v>866.13919392000014</v>
      </c>
      <c r="AD31" s="58">
        <f t="shared" si="8"/>
        <v>99.842270405244122</v>
      </c>
      <c r="AE31" s="78">
        <f t="shared" si="9"/>
        <v>2865.8457350599997</v>
      </c>
      <c r="AF31" s="80">
        <f t="shared" si="10"/>
        <v>1.0264490455085959</v>
      </c>
      <c r="AG31" s="184">
        <v>2865.846</v>
      </c>
      <c r="AH31" s="77">
        <f>AB31*1.04</f>
        <v>3881.2643261392</v>
      </c>
      <c r="AI31" s="78">
        <v>859.54</v>
      </c>
      <c r="AJ31" s="79">
        <f t="shared" si="11"/>
        <v>0.99238090832706305</v>
      </c>
      <c r="AK31" s="78">
        <f t="shared" si="12"/>
        <v>3021.7243261392</v>
      </c>
      <c r="AL31" s="80">
        <f t="shared" si="13"/>
        <v>1.0543917314954119</v>
      </c>
      <c r="AM31" s="81">
        <f t="shared" si="14"/>
        <v>4036.5148991847682</v>
      </c>
      <c r="AN31" s="82">
        <v>893.92</v>
      </c>
      <c r="AO31" s="79">
        <f t="shared" si="19"/>
        <v>1.0399981385392187</v>
      </c>
      <c r="AP31" s="82">
        <f t="shared" si="20"/>
        <v>3142.5948991847681</v>
      </c>
      <c r="AQ31" s="83">
        <f t="shared" si="21"/>
        <v>1.0400005294989971</v>
      </c>
      <c r="AR31" s="84">
        <f t="shared" si="15"/>
        <v>4197.9754951521591</v>
      </c>
      <c r="AS31" s="78">
        <v>929.68</v>
      </c>
      <c r="AT31" s="85">
        <f t="shared" si="22"/>
        <v>1.0400035797386791</v>
      </c>
      <c r="AU31" s="78">
        <f t="shared" si="16"/>
        <v>3268.2954951521592</v>
      </c>
      <c r="AV31" s="86">
        <f t="shared" si="23"/>
        <v>1.0399989817332165</v>
      </c>
      <c r="AW31" s="295"/>
      <c r="AX31" s="295"/>
      <c r="AY31" s="295"/>
      <c r="AZ31" s="295"/>
    </row>
    <row r="32" spans="1:52" ht="37.15" customHeight="1">
      <c r="A32" s="217" t="s">
        <v>54</v>
      </c>
      <c r="B32" s="182">
        <v>850</v>
      </c>
      <c r="C32" s="53">
        <v>898</v>
      </c>
      <c r="D32" s="53">
        <v>1134.2</v>
      </c>
      <c r="E32" s="53">
        <v>1031.5999999999999</v>
      </c>
      <c r="F32" s="53"/>
      <c r="G32" s="449">
        <v>1161.9000000000001</v>
      </c>
      <c r="H32" s="54">
        <f t="shared" si="17"/>
        <v>112.63086467623111</v>
      </c>
      <c r="I32" s="62">
        <v>1034</v>
      </c>
      <c r="J32" s="63">
        <f t="shared" si="2"/>
        <v>88.992168000688523</v>
      </c>
      <c r="K32" s="447">
        <v>1272.8</v>
      </c>
      <c r="L32" s="207">
        <f t="shared" si="3"/>
        <v>123.09477756286267</v>
      </c>
      <c r="M32" s="208">
        <v>1281.8</v>
      </c>
      <c r="N32" s="207">
        <f t="shared" si="4"/>
        <v>100.70710245128849</v>
      </c>
      <c r="O32" s="209">
        <v>1485.7</v>
      </c>
      <c r="P32" s="210">
        <f t="shared" si="5"/>
        <v>1.1590731783429553</v>
      </c>
      <c r="Q32" s="211">
        <f>[10]Лист1!$CW$21/1000</f>
        <v>1837.5359478834653</v>
      </c>
      <c r="R32" s="211">
        <f>[10]Лист1!$CW$24/1000</f>
        <v>294.92595084846459</v>
      </c>
      <c r="S32" s="183">
        <f>[10]Лист1!$DF$18</f>
        <v>105.5</v>
      </c>
      <c r="T32" s="448">
        <f t="shared" si="6"/>
        <v>1542.6099970350006</v>
      </c>
      <c r="U32" s="212">
        <f t="shared" si="18"/>
        <v>103.83051740156159</v>
      </c>
      <c r="V32" s="213">
        <f>277.324+1435.7</f>
        <v>1713.0240000000001</v>
      </c>
      <c r="W32" s="214">
        <v>277.32400000000001</v>
      </c>
      <c r="X32" s="74">
        <f t="shared" si="7"/>
        <v>1435.7</v>
      </c>
      <c r="Y32" s="215"/>
      <c r="Z32" s="216">
        <v>1435.7</v>
      </c>
      <c r="AA32" s="216">
        <v>1492.6</v>
      </c>
      <c r="AB32" s="84">
        <f>V32*1.045*1.036</f>
        <v>1854.55404288</v>
      </c>
      <c r="AC32" s="78">
        <f>W32*1*1.04</f>
        <v>288.41696000000002</v>
      </c>
      <c r="AD32" s="58">
        <f t="shared" si="8"/>
        <v>97.79300843830832</v>
      </c>
      <c r="AE32" s="78">
        <f t="shared" si="9"/>
        <v>1566.13708288</v>
      </c>
      <c r="AF32" s="80">
        <f t="shared" si="10"/>
        <v>1.090852603524413</v>
      </c>
      <c r="AG32" s="184">
        <v>1566.1369999999999</v>
      </c>
      <c r="AH32" s="77">
        <f>2965.727-120*1.04</f>
        <v>2840.9269999999997</v>
      </c>
      <c r="AI32" s="78">
        <v>339.35</v>
      </c>
      <c r="AJ32" s="79">
        <f t="shared" si="11"/>
        <v>1.1765951627809961</v>
      </c>
      <c r="AK32" s="78">
        <f>AH32-AI32</f>
        <v>2501.5769999999998</v>
      </c>
      <c r="AL32" s="80">
        <f t="shared" si="13"/>
        <v>1.5972912969938133</v>
      </c>
      <c r="AM32" s="81">
        <f t="shared" si="14"/>
        <v>2954.5640799999996</v>
      </c>
      <c r="AN32" s="82">
        <v>352.92</v>
      </c>
      <c r="AO32" s="79">
        <f t="shared" si="19"/>
        <v>1.0399882127596876</v>
      </c>
      <c r="AP32" s="82">
        <f t="shared" si="20"/>
        <v>2601.6440799999996</v>
      </c>
      <c r="AQ32" s="83">
        <f t="shared" si="21"/>
        <v>1.0400015989913562</v>
      </c>
      <c r="AR32" s="84">
        <f t="shared" si="15"/>
        <v>3072.7466431999997</v>
      </c>
      <c r="AS32" s="78">
        <v>367.04</v>
      </c>
      <c r="AT32" s="85">
        <f t="shared" si="22"/>
        <v>1.0400090672106994</v>
      </c>
      <c r="AU32" s="78">
        <f t="shared" si="16"/>
        <v>2705.7066431999997</v>
      </c>
      <c r="AV32" s="86">
        <f t="shared" si="23"/>
        <v>1.0399987700085402</v>
      </c>
      <c r="AW32" s="295"/>
      <c r="AX32" s="295"/>
      <c r="AY32" s="295"/>
      <c r="AZ32" s="295"/>
    </row>
    <row r="33" spans="1:52" ht="37.15" customHeight="1">
      <c r="A33" s="217" t="s">
        <v>55</v>
      </c>
      <c r="B33" s="182">
        <v>584.9</v>
      </c>
      <c r="C33" s="53">
        <v>1113.4000000000001</v>
      </c>
      <c r="D33" s="53">
        <v>1594.6</v>
      </c>
      <c r="E33" s="53">
        <v>1306.5</v>
      </c>
      <c r="F33" s="53"/>
      <c r="G33" s="205">
        <v>2219.6</v>
      </c>
      <c r="H33" s="54">
        <f t="shared" si="17"/>
        <v>169.88901645618063</v>
      </c>
      <c r="I33" s="62">
        <v>2126.8000000000002</v>
      </c>
      <c r="J33" s="63">
        <f t="shared" si="2"/>
        <v>95.819066498468203</v>
      </c>
      <c r="K33" s="206">
        <v>2132.6999999999998</v>
      </c>
      <c r="L33" s="207">
        <f t="shared" si="3"/>
        <v>100.27741207447806</v>
      </c>
      <c r="M33" s="208">
        <f>2337.8+100</f>
        <v>2437.8000000000002</v>
      </c>
      <c r="N33" s="207">
        <f t="shared" si="4"/>
        <v>114.30580953720637</v>
      </c>
      <c r="O33" s="209">
        <v>2620.1999999999998</v>
      </c>
      <c r="P33" s="210">
        <f t="shared" si="5"/>
        <v>1.0748215604233324</v>
      </c>
      <c r="Q33" s="211">
        <f>[11]расчет!$AU$41+[11]расчет!$AU$49</f>
        <v>3458.0618075324996</v>
      </c>
      <c r="R33" s="211">
        <f>[11]расчет!$AU$44</f>
        <v>731.34710000000007</v>
      </c>
      <c r="S33" s="183">
        <v>105.5</v>
      </c>
      <c r="T33" s="211">
        <f t="shared" si="6"/>
        <v>2726.7147075324997</v>
      </c>
      <c r="U33" s="212">
        <f t="shared" si="18"/>
        <v>104.06513653661933</v>
      </c>
      <c r="V33" s="213">
        <f>2490.2+695.117</f>
        <v>3185.317</v>
      </c>
      <c r="W33" s="214">
        <v>695.11699999999996</v>
      </c>
      <c r="X33" s="74">
        <f t="shared" si="7"/>
        <v>2490.1999999999998</v>
      </c>
      <c r="Y33" s="215"/>
      <c r="Z33" s="216">
        <v>2626.7</v>
      </c>
      <c r="AA33" s="216">
        <v>2626.7</v>
      </c>
      <c r="AB33" s="84">
        <f>V33*1.045*1.036</f>
        <v>3448.4878905399996</v>
      </c>
      <c r="AC33" s="78">
        <f>W33*1.027*1.04</f>
        <v>742.44056535999994</v>
      </c>
      <c r="AD33" s="58">
        <f t="shared" si="8"/>
        <v>101.51685367454111</v>
      </c>
      <c r="AE33" s="78">
        <f t="shared" si="9"/>
        <v>2706.0473251799995</v>
      </c>
      <c r="AF33" s="80">
        <f t="shared" si="10"/>
        <v>1.0302079891803402</v>
      </c>
      <c r="AG33" s="184">
        <v>2706.047</v>
      </c>
      <c r="AH33" s="77">
        <f>AB33*1.04</f>
        <v>3586.4274061615997</v>
      </c>
      <c r="AI33" s="78">
        <v>530.13</v>
      </c>
      <c r="AJ33" s="79">
        <f t="shared" si="11"/>
        <v>0.71403695424824576</v>
      </c>
      <c r="AK33" s="78">
        <f t="shared" si="12"/>
        <v>3056.2974061615996</v>
      </c>
      <c r="AL33" s="80">
        <f t="shared" si="13"/>
        <v>1.1294324918087526</v>
      </c>
      <c r="AM33" s="81">
        <f t="shared" si="14"/>
        <v>3729.8845024080638</v>
      </c>
      <c r="AN33" s="82">
        <v>551.34</v>
      </c>
      <c r="AO33" s="79">
        <f t="shared" si="19"/>
        <v>1.0400090543828873</v>
      </c>
      <c r="AP33" s="82">
        <f t="shared" si="20"/>
        <v>3178.5445024080636</v>
      </c>
      <c r="AQ33" s="83">
        <f t="shared" si="21"/>
        <v>1.0399984294722135</v>
      </c>
      <c r="AR33" s="84">
        <f t="shared" si="15"/>
        <v>3879.0798825043867</v>
      </c>
      <c r="AS33" s="78">
        <v>573.39</v>
      </c>
      <c r="AT33" s="85">
        <f t="shared" si="22"/>
        <v>1.0399934704538034</v>
      </c>
      <c r="AU33" s="78">
        <f t="shared" si="16"/>
        <v>3305.6898825043868</v>
      </c>
      <c r="AV33" s="86">
        <f t="shared" si="23"/>
        <v>1.0400011325938643</v>
      </c>
      <c r="AW33" s="295"/>
      <c r="AX33" s="295"/>
      <c r="AY33" s="295"/>
      <c r="AZ33" s="295"/>
    </row>
    <row r="34" spans="1:52" ht="37.15" customHeight="1">
      <c r="A34" s="217" t="s">
        <v>56</v>
      </c>
      <c r="B34" s="182">
        <v>1305.0999999999999</v>
      </c>
      <c r="C34" s="53">
        <v>1104.9000000000001</v>
      </c>
      <c r="D34" s="53">
        <v>1471.75</v>
      </c>
      <c r="E34" s="53">
        <v>1236.2</v>
      </c>
      <c r="F34" s="53"/>
      <c r="G34" s="205">
        <v>1309.2</v>
      </c>
      <c r="H34" s="54">
        <f t="shared" si="17"/>
        <v>105.9051933344119</v>
      </c>
      <c r="I34" s="62">
        <v>1367.7</v>
      </c>
      <c r="J34" s="63">
        <f t="shared" si="2"/>
        <v>104.46837763519707</v>
      </c>
      <c r="K34" s="206">
        <v>1553.6</v>
      </c>
      <c r="L34" s="207">
        <f t="shared" si="3"/>
        <v>113.59216202383561</v>
      </c>
      <c r="M34" s="208">
        <v>1797.6</v>
      </c>
      <c r="N34" s="207">
        <f t="shared" si="4"/>
        <v>115.70545829042224</v>
      </c>
      <c r="O34" s="209">
        <v>2231.8000000000002</v>
      </c>
      <c r="P34" s="210">
        <f t="shared" si="5"/>
        <v>1.2415442812639077</v>
      </c>
      <c r="Q34" s="211">
        <f>[5]Легашевская!$AE$28</f>
        <v>5804.5715572328018</v>
      </c>
      <c r="R34" s="211">
        <f>[5]Легашевская!$AE$15</f>
        <v>3565.1853625000003</v>
      </c>
      <c r="S34" s="183">
        <f>37/35*100</f>
        <v>105.71428571428572</v>
      </c>
      <c r="T34" s="211">
        <f t="shared" si="6"/>
        <v>2239.3861947328014</v>
      </c>
      <c r="U34" s="212">
        <f t="shared" si="18"/>
        <v>100.33991373477915</v>
      </c>
      <c r="V34" s="213">
        <v>5284.22</v>
      </c>
      <c r="W34" s="214">
        <v>2827.6</v>
      </c>
      <c r="X34" s="74">
        <f t="shared" si="7"/>
        <v>2456.6200000000003</v>
      </c>
      <c r="Y34" s="215"/>
      <c r="Z34" s="216">
        <f>2774.1*0.92</f>
        <v>2552.172</v>
      </c>
      <c r="AA34" s="216">
        <f>2774.1-AA25</f>
        <v>2554.7999999999997</v>
      </c>
      <c r="AB34" s="84">
        <f>V34*1.045*1.036</f>
        <v>5720.8022564000003</v>
      </c>
      <c r="AC34" s="78">
        <f>W34*1.086*1.026</f>
        <v>3150.6137136000002</v>
      </c>
      <c r="AD34" s="58">
        <f t="shared" si="8"/>
        <v>88.371666358203271</v>
      </c>
      <c r="AE34" s="78">
        <f t="shared" si="9"/>
        <v>2570.1885428000001</v>
      </c>
      <c r="AF34" s="80">
        <f t="shared" si="10"/>
        <v>1.0070592980410411</v>
      </c>
      <c r="AG34" s="184">
        <f>2791.91-AG25</f>
        <v>2572.6099999999997</v>
      </c>
      <c r="AH34" s="77">
        <f>AB34*1.04</f>
        <v>5949.6343466560002</v>
      </c>
      <c r="AI34" s="78">
        <f>AC34*1.04</f>
        <v>3276.6382621440002</v>
      </c>
      <c r="AJ34" s="79">
        <f t="shared" si="11"/>
        <v>1.04</v>
      </c>
      <c r="AK34" s="78">
        <f t="shared" si="12"/>
        <v>2672.9960845119999</v>
      </c>
      <c r="AL34" s="80">
        <f t="shared" si="13"/>
        <v>1.039021104835945</v>
      </c>
      <c r="AM34" s="81">
        <f t="shared" si="14"/>
        <v>6187.6197205222406</v>
      </c>
      <c r="AN34" s="82">
        <f>AI34*1.04</f>
        <v>3407.7037926297603</v>
      </c>
      <c r="AO34" s="79">
        <f t="shared" si="19"/>
        <v>1.04</v>
      </c>
      <c r="AP34" s="82">
        <f t="shared" si="20"/>
        <v>2779.9159278924803</v>
      </c>
      <c r="AQ34" s="83">
        <f t="shared" si="21"/>
        <v>1.0400000000000003</v>
      </c>
      <c r="AR34" s="84">
        <f t="shared" si="15"/>
        <v>6435.1245093431307</v>
      </c>
      <c r="AS34" s="78">
        <f>AN34*1.04</f>
        <v>3544.0119443349508</v>
      </c>
      <c r="AT34" s="85">
        <f t="shared" si="22"/>
        <v>1.04</v>
      </c>
      <c r="AU34" s="78">
        <f t="shared" si="16"/>
        <v>2891.1125650081799</v>
      </c>
      <c r="AV34" s="86">
        <f t="shared" si="23"/>
        <v>1.04</v>
      </c>
      <c r="AW34" s="295"/>
      <c r="AX34" s="295"/>
      <c r="AY34" s="295"/>
      <c r="AZ34" s="295"/>
    </row>
    <row r="35" spans="1:52" ht="52.9" customHeight="1">
      <c r="A35" s="217" t="s">
        <v>57</v>
      </c>
      <c r="B35" s="182">
        <v>461.2</v>
      </c>
      <c r="C35" s="53">
        <v>767.6</v>
      </c>
      <c r="D35" s="53">
        <v>772.8</v>
      </c>
      <c r="E35" s="53">
        <v>767.3</v>
      </c>
      <c r="F35" s="53"/>
      <c r="G35" s="205">
        <v>846.7</v>
      </c>
      <c r="H35" s="54">
        <f t="shared" si="17"/>
        <v>110.34797341326733</v>
      </c>
      <c r="I35" s="62">
        <v>1175</v>
      </c>
      <c r="J35" s="63">
        <f t="shared" si="2"/>
        <v>138.77406401322781</v>
      </c>
      <c r="K35" s="206">
        <v>1313</v>
      </c>
      <c r="L35" s="207">
        <f t="shared" si="3"/>
        <v>111.74468085106383</v>
      </c>
      <c r="M35" s="208">
        <f>1528+50</f>
        <v>1578</v>
      </c>
      <c r="N35" s="207">
        <f t="shared" si="4"/>
        <v>120.18278750952018</v>
      </c>
      <c r="O35" s="209">
        <v>1753.4</v>
      </c>
      <c r="P35" s="210">
        <f t="shared" si="5"/>
        <v>1.1111533586818758</v>
      </c>
      <c r="Q35" s="211">
        <f>[12]Свод!$CW$31/1000</f>
        <v>2221.0256370041843</v>
      </c>
      <c r="R35" s="211">
        <f>[12]Свод!$CW$43/1000</f>
        <v>158.54849999999999</v>
      </c>
      <c r="S35" s="183">
        <f>33/30*100</f>
        <v>110.00000000000001</v>
      </c>
      <c r="T35" s="211">
        <f>Q35-R35</f>
        <v>2062.4771370041844</v>
      </c>
      <c r="U35" s="212">
        <f t="shared" si="18"/>
        <v>117.62730335372329</v>
      </c>
      <c r="V35" s="213">
        <f>118.3+1740.65</f>
        <v>1858.95</v>
      </c>
      <c r="W35" s="214">
        <v>118.3</v>
      </c>
      <c r="X35" s="74">
        <f t="shared" si="7"/>
        <v>1740.65</v>
      </c>
      <c r="Y35" s="215"/>
      <c r="Z35" s="216">
        <v>1852.5</v>
      </c>
      <c r="AA35" s="216">
        <v>1987.4</v>
      </c>
      <c r="AB35" s="84">
        <f>V35*1.045*1.036</f>
        <v>2012.5364490000002</v>
      </c>
      <c r="AC35" s="78">
        <f>W35*1.11*1.03</f>
        <v>135.25239000000002</v>
      </c>
      <c r="AD35" s="58">
        <f t="shared" si="8"/>
        <v>85.306634878286474</v>
      </c>
      <c r="AE35" s="78">
        <f t="shared" si="9"/>
        <v>1877.2840590000001</v>
      </c>
      <c r="AF35" s="80">
        <f t="shared" si="10"/>
        <v>1.013378709311741</v>
      </c>
      <c r="AG35" s="184">
        <v>1877.2840000000001</v>
      </c>
      <c r="AH35" s="77">
        <f>AB35*1.04</f>
        <v>2093.0379069600003</v>
      </c>
      <c r="AI35" s="78">
        <v>135.27000000000001</v>
      </c>
      <c r="AJ35" s="79">
        <f t="shared" si="11"/>
        <v>1.0001302010263922</v>
      </c>
      <c r="AK35" s="78">
        <f t="shared" si="12"/>
        <v>1957.7679069600003</v>
      </c>
      <c r="AL35" s="80">
        <f t="shared" si="13"/>
        <v>1.0428725259257525</v>
      </c>
      <c r="AM35" s="81">
        <f t="shared" si="14"/>
        <v>2176.7594232384004</v>
      </c>
      <c r="AN35" s="82">
        <v>140.68</v>
      </c>
      <c r="AO35" s="79">
        <f t="shared" si="19"/>
        <v>1.0399940859022696</v>
      </c>
      <c r="AP35" s="82">
        <f t="shared" si="20"/>
        <v>2036.0794232384003</v>
      </c>
      <c r="AQ35" s="83">
        <f t="shared" si="21"/>
        <v>1.040000408628621</v>
      </c>
      <c r="AR35" s="84">
        <f t="shared" si="15"/>
        <v>2263.8298001679364</v>
      </c>
      <c r="AS35" s="78">
        <v>146.31</v>
      </c>
      <c r="AT35" s="85">
        <f t="shared" si="22"/>
        <v>1.0400199033266988</v>
      </c>
      <c r="AU35" s="78">
        <f t="shared" si="16"/>
        <v>2117.5198001679364</v>
      </c>
      <c r="AV35" s="86">
        <f t="shared" si="23"/>
        <v>1.0399986248080659</v>
      </c>
      <c r="AW35" s="295"/>
      <c r="AX35" s="295"/>
      <c r="AY35" s="295"/>
      <c r="AZ35" s="295"/>
    </row>
    <row r="36" spans="1:52" ht="29.45" customHeight="1">
      <c r="A36" s="218" t="s">
        <v>58</v>
      </c>
      <c r="B36" s="219"/>
      <c r="C36" s="61"/>
      <c r="D36" s="61"/>
      <c r="E36" s="61"/>
      <c r="F36" s="61"/>
      <c r="G36" s="450"/>
      <c r="H36" s="64"/>
      <c r="I36" s="65"/>
      <c r="J36" s="66"/>
      <c r="K36" s="405"/>
      <c r="L36" s="406"/>
      <c r="M36" s="407"/>
      <c r="N36" s="406"/>
      <c r="O36" s="451"/>
      <c r="P36" s="452"/>
      <c r="Q36" s="453"/>
      <c r="R36" s="453"/>
      <c r="S36" s="220"/>
      <c r="T36" s="453"/>
      <c r="U36" s="454"/>
      <c r="V36" s="455"/>
      <c r="W36" s="456"/>
      <c r="X36" s="457"/>
      <c r="Y36" s="458"/>
      <c r="Z36" s="459">
        <v>0</v>
      </c>
      <c r="AA36" s="459">
        <v>0</v>
      </c>
      <c r="AB36" s="229">
        <v>899.90300000000002</v>
      </c>
      <c r="AC36" s="224">
        <v>246.4</v>
      </c>
      <c r="AD36" s="221"/>
      <c r="AE36" s="78">
        <f t="shared" si="9"/>
        <v>653.50300000000004</v>
      </c>
      <c r="AF36" s="222" t="s">
        <v>59</v>
      </c>
      <c r="AG36" s="223">
        <v>653.50300000000004</v>
      </c>
      <c r="AH36" s="77">
        <v>367.786</v>
      </c>
      <c r="AI36" s="224">
        <f>AC36*1.04</f>
        <v>256.25600000000003</v>
      </c>
      <c r="AJ36" s="79">
        <f t="shared" si="11"/>
        <v>1.04</v>
      </c>
      <c r="AK36" s="78">
        <f t="shared" si="12"/>
        <v>111.52999999999997</v>
      </c>
      <c r="AL36" s="80">
        <f t="shared" si="13"/>
        <v>0.17066486305342127</v>
      </c>
      <c r="AM36" s="81">
        <f t="shared" si="14"/>
        <v>382.49744000000004</v>
      </c>
      <c r="AN36" s="82">
        <f>AI36*1.04</f>
        <v>266.50624000000005</v>
      </c>
      <c r="AO36" s="79">
        <f t="shared" si="19"/>
        <v>1.04</v>
      </c>
      <c r="AP36" s="82">
        <f t="shared" si="20"/>
        <v>115.99119999999999</v>
      </c>
      <c r="AQ36" s="83">
        <f t="shared" si="21"/>
        <v>1.0400000000000003</v>
      </c>
      <c r="AR36" s="84">
        <f t="shared" si="15"/>
        <v>397.79733760000005</v>
      </c>
      <c r="AS36" s="224">
        <f>AN36*1.04</f>
        <v>277.16648960000003</v>
      </c>
      <c r="AT36" s="85">
        <f t="shared" si="22"/>
        <v>1.04</v>
      </c>
      <c r="AU36" s="78">
        <f t="shared" si="16"/>
        <v>120.63084800000001</v>
      </c>
      <c r="AV36" s="86">
        <f t="shared" si="23"/>
        <v>1.0400000000000003</v>
      </c>
      <c r="AW36" s="295"/>
      <c r="AX36" s="295"/>
      <c r="AY36" s="295"/>
      <c r="AZ36" s="295"/>
    </row>
    <row r="37" spans="1:52" ht="26.45" customHeight="1" thickBot="1">
      <c r="A37" s="218" t="s">
        <v>60</v>
      </c>
      <c r="B37" s="219"/>
      <c r="C37" s="61"/>
      <c r="D37" s="61"/>
      <c r="E37" s="61"/>
      <c r="F37" s="61"/>
      <c r="G37" s="460" t="s">
        <v>39</v>
      </c>
      <c r="H37" s="64" t="s">
        <v>39</v>
      </c>
      <c r="I37" s="65" t="s">
        <v>39</v>
      </c>
      <c r="J37" s="66" t="s">
        <v>39</v>
      </c>
      <c r="K37" s="405" t="s">
        <v>39</v>
      </c>
      <c r="L37" s="406" t="s">
        <v>39</v>
      </c>
      <c r="M37" s="407">
        <f>1595.8+300</f>
        <v>1895.8</v>
      </c>
      <c r="N37" s="406" t="s">
        <v>39</v>
      </c>
      <c r="O37" s="422">
        <v>2292.6</v>
      </c>
      <c r="P37" s="423">
        <f>O37/M37</f>
        <v>1.209304778985125</v>
      </c>
      <c r="Q37" s="146">
        <f>[13]Лист1!$M$39</f>
        <v>3044.0185510444007</v>
      </c>
      <c r="R37" s="146">
        <f>[13]Лист1!$M$18</f>
        <v>1020</v>
      </c>
      <c r="S37" s="147">
        <f>75/70*100</f>
        <v>107.14285714285714</v>
      </c>
      <c r="T37" s="146">
        <f>Q37-R37</f>
        <v>2024.0185510444007</v>
      </c>
      <c r="U37" s="148">
        <f t="shared" si="18"/>
        <v>88.284853487062762</v>
      </c>
      <c r="V37" s="149">
        <f>1353.24+1991.6182</f>
        <v>3344.8581999999997</v>
      </c>
      <c r="W37" s="150">
        <v>1353.24</v>
      </c>
      <c r="X37" s="461">
        <f t="shared" si="7"/>
        <v>1991.6181999999997</v>
      </c>
      <c r="Y37" s="462"/>
      <c r="Z37" s="463">
        <v>2192.8000000000002</v>
      </c>
      <c r="AA37" s="463">
        <v>1974</v>
      </c>
      <c r="AB37" s="106">
        <f>V37*1.045*1.036</f>
        <v>3621.2103844839999</v>
      </c>
      <c r="AC37" s="101">
        <f>W37*1.114*1.026</f>
        <v>1546.7046033600002</v>
      </c>
      <c r="AD37" s="97">
        <f>AC37/R37*100</f>
        <v>151.63770621176474</v>
      </c>
      <c r="AE37" s="101">
        <f t="shared" si="9"/>
        <v>2074.5057811239994</v>
      </c>
      <c r="AF37" s="98">
        <f>AE37/Z37</f>
        <v>0.94605334783108319</v>
      </c>
      <c r="AG37" s="99">
        <v>2074.5059999999999</v>
      </c>
      <c r="AH37" s="100">
        <f>AB37*1.04</f>
        <v>3766.05879986336</v>
      </c>
      <c r="AI37" s="101">
        <f>1740.01</f>
        <v>1740.01</v>
      </c>
      <c r="AJ37" s="102">
        <f t="shared" si="11"/>
        <v>1.1249788719966765</v>
      </c>
      <c r="AK37" s="101">
        <f t="shared" si="12"/>
        <v>2026.04879986336</v>
      </c>
      <c r="AL37" s="98">
        <f t="shared" si="13"/>
        <v>0.97664157146971864</v>
      </c>
      <c r="AM37" s="225">
        <f t="shared" si="14"/>
        <v>3916.7011518578947</v>
      </c>
      <c r="AN37" s="226">
        <f>1809.61</f>
        <v>1809.61</v>
      </c>
      <c r="AO37" s="227">
        <f t="shared" si="19"/>
        <v>1.0399997701162635</v>
      </c>
      <c r="AP37" s="226">
        <f t="shared" si="20"/>
        <v>2107.0911518578951</v>
      </c>
      <c r="AQ37" s="228">
        <f t="shared" si="21"/>
        <v>1.0400001974286111</v>
      </c>
      <c r="AR37" s="229">
        <f t="shared" si="15"/>
        <v>4073.3691979322107</v>
      </c>
      <c r="AS37" s="224">
        <v>1882</v>
      </c>
      <c r="AT37" s="230">
        <f t="shared" si="22"/>
        <v>1.0400030945894421</v>
      </c>
      <c r="AU37" s="224">
        <f t="shared" si="16"/>
        <v>2191.3691979322107</v>
      </c>
      <c r="AV37" s="231">
        <f t="shared" si="23"/>
        <v>1.0399973423076665</v>
      </c>
      <c r="AW37" s="295"/>
      <c r="AX37" s="295"/>
      <c r="AY37" s="295"/>
      <c r="AZ37" s="295"/>
    </row>
    <row r="38" spans="1:52" ht="26.45" customHeight="1" thickBot="1">
      <c r="A38" s="232" t="s">
        <v>61</v>
      </c>
      <c r="B38" s="233">
        <f>B29+B30+B31+B32+B33+B34+B35</f>
        <v>50243.399999999994</v>
      </c>
      <c r="C38" s="234">
        <f>C29+C30+C31+C32+C33+C34+C35</f>
        <v>63707.700000000004</v>
      </c>
      <c r="D38" s="234">
        <f>SUM(D29:D35)</f>
        <v>71902.150000000009</v>
      </c>
      <c r="E38" s="234">
        <f>SUM(E29:E35)</f>
        <v>55651.5</v>
      </c>
      <c r="F38" s="235">
        <f>F29+F30+F31+F32+F33+F34+F35</f>
        <v>0</v>
      </c>
      <c r="G38" s="464">
        <f>G29+G30+G31+G32+G33+G34+G35</f>
        <v>72847.899999999994</v>
      </c>
      <c r="H38" s="236">
        <f t="shared" si="17"/>
        <v>130.90015543156969</v>
      </c>
      <c r="I38" s="237">
        <f>SUM(I29:I37)</f>
        <v>80514.5</v>
      </c>
      <c r="J38" s="238">
        <f>I38/G38*100</f>
        <v>110.52411943240644</v>
      </c>
      <c r="K38" s="233">
        <f>K29+K30+K31+K32+K33+K34+K35</f>
        <v>74949.700000000012</v>
      </c>
      <c r="L38" s="465">
        <f>K38/I38*100</f>
        <v>93.088449906538585</v>
      </c>
      <c r="M38" s="466">
        <f>M29+M30+M31+M32+M33+M34+M35+M37</f>
        <v>76837.200000000012</v>
      </c>
      <c r="N38" s="465">
        <f>M38/K38*100</f>
        <v>102.51835564385181</v>
      </c>
      <c r="O38" s="42">
        <f>O29+O30+O31+O32+O33+O34+O35+O37</f>
        <v>87841.8</v>
      </c>
      <c r="P38" s="467">
        <f>O38/M38</f>
        <v>1.1432196904624321</v>
      </c>
      <c r="Q38" s="468">
        <f>Q29+Q30+Q31+Q32+Q33+Q34+Q35+Q37</f>
        <v>125412.49097726605</v>
      </c>
      <c r="R38" s="468">
        <f>R29+R30+R31+R32+R33+R34+R35+R37</f>
        <v>39989.334923348455</v>
      </c>
      <c r="S38" s="469">
        <f>R38/(R29/S29*100+R30/S30*100+R31/S31*100+R32/S32*100+R33/S33*100+R34/S34*100+R35/S35*100+R37/S37*100)*100</f>
        <v>105.57749554568596</v>
      </c>
      <c r="T38" s="156">
        <f>T29+T30+T31+T32+T33+T34+T35+T37</f>
        <v>85423.15605391757</v>
      </c>
      <c r="U38" s="470">
        <f t="shared" si="18"/>
        <v>97.246591092074112</v>
      </c>
      <c r="V38" s="42">
        <f>V29+V30+V31+V32+V33+V34+V35+V37</f>
        <v>119496.9912</v>
      </c>
      <c r="W38" s="43">
        <f>W29+W30+W31+W32+W33+W34+W35+W37</f>
        <v>35589.732000000004</v>
      </c>
      <c r="X38" s="43">
        <f>X29+X30+X31+X32+X33+X34+X35+X37</f>
        <v>83907.259199999971</v>
      </c>
      <c r="Y38" s="470"/>
      <c r="Z38" s="471">
        <f>Z29+Z30+Z31+Z32+Z33+Z34+Z35+Z37</f>
        <v>81287.771999999997</v>
      </c>
      <c r="AA38" s="471">
        <f>SUM(AA29:AA37)</f>
        <v>82152.900000000009</v>
      </c>
      <c r="AB38" s="472">
        <f>AB29+AB30+AB31+AB32+AB33+AB34+AB35+AB37+AB36</f>
        <v>129548.05978223069</v>
      </c>
      <c r="AC38" s="156">
        <f>AC29+AC30+AC31+AC32+AC33+AC34+AC35+AC37+AC36</f>
        <v>41004.920220642765</v>
      </c>
      <c r="AD38" s="473">
        <f>AC38/(AC29/AD29*100+AC30/AD30*100+AC31/AD31*100+AC32/AD32*100+AC33/AD33*100+AC34/AD34*100+AC35/AD35*100+AC37/AD37*100)*100</f>
        <v>102.53964037971868</v>
      </c>
      <c r="AE38" s="156">
        <f>AE29+AE30+AE31+AE32+AE33+AE34+AE35+AE37+AE36</f>
        <v>88543.139561587901</v>
      </c>
      <c r="AF38" s="239">
        <f>AE38/Z38</f>
        <v>1.0892553379564629</v>
      </c>
      <c r="AG38" s="240">
        <f>SUM(AG29:AG37)</f>
        <v>101375.561</v>
      </c>
      <c r="AH38" s="155">
        <f>AH29+AH30+AH31+AH32+AH33+AH34+AH35+AH37+AH36</f>
        <v>135074.05984892469</v>
      </c>
      <c r="AI38" s="156">
        <f>AI29+AI30+AI31+AI32+AI33+AI34+AI35+AI37+AI36</f>
        <v>43386.194262143996</v>
      </c>
      <c r="AJ38" s="44">
        <f t="shared" si="11"/>
        <v>1.0580728856119672</v>
      </c>
      <c r="AK38" s="156">
        <f>AK29+AK30+AK31+AK32+AK33+AK34+AK35+AK37+AK36</f>
        <v>91687.865586780681</v>
      </c>
      <c r="AL38" s="239">
        <f t="shared" si="13"/>
        <v>0.90443756544815257</v>
      </c>
      <c r="AM38" s="241">
        <f>SUM(AM29:AM37)</f>
        <v>140477.02224288171</v>
      </c>
      <c r="AN38" s="242">
        <f>SUM(AN29:AN37)</f>
        <v>45121.640032629759</v>
      </c>
      <c r="AO38" s="243">
        <f t="shared" si="19"/>
        <v>1.039999953902387</v>
      </c>
      <c r="AP38" s="242">
        <f t="shared" si="20"/>
        <v>95355.382210251948</v>
      </c>
      <c r="AQ38" s="244">
        <f t="shared" si="21"/>
        <v>1.0400000218131378</v>
      </c>
      <c r="AR38" s="155">
        <f>AR29+AR30+AR31+AR32+AR33+AR34+AR35+AR37+AR36</f>
        <v>146096.10313259697</v>
      </c>
      <c r="AS38" s="156">
        <f>AS29+AS30+AS31+AS32+AS33+AS34+AS35+AS37+AS36</f>
        <v>46926.518433934958</v>
      </c>
      <c r="AT38" s="245">
        <f t="shared" si="22"/>
        <v>1.0400002836776323</v>
      </c>
      <c r="AU38" s="156">
        <f>AU29+AU30+AU31+AU32+AU33+AU34+AU35+AU37+AU36</f>
        <v>99169.584698662031</v>
      </c>
      <c r="AV38" s="157">
        <f t="shared" si="23"/>
        <v>1.0399998657653118</v>
      </c>
      <c r="AW38" s="295"/>
      <c r="AX38" s="295"/>
      <c r="AY38" s="295"/>
      <c r="AZ38" s="295"/>
    </row>
    <row r="39" spans="1:52" ht="29.45" customHeight="1" thickBot="1">
      <c r="A39" s="232" t="s">
        <v>62</v>
      </c>
      <c r="B39" s="233">
        <f t="shared" ref="B39:G39" si="24">B26+B38</f>
        <v>55581.399999999994</v>
      </c>
      <c r="C39" s="234">
        <f t="shared" si="24"/>
        <v>69141.5</v>
      </c>
      <c r="D39" s="234">
        <f t="shared" si="24"/>
        <v>80416.650000000009</v>
      </c>
      <c r="E39" s="234">
        <f t="shared" si="24"/>
        <v>63867</v>
      </c>
      <c r="F39" s="235">
        <f t="shared" si="24"/>
        <v>0</v>
      </c>
      <c r="G39" s="464">
        <f t="shared" si="24"/>
        <v>81046.599999999991</v>
      </c>
      <c r="H39" s="236">
        <f>G39/E39*100</f>
        <v>126.89902453536253</v>
      </c>
      <c r="I39" s="237">
        <f>I38+I26</f>
        <v>89103.3</v>
      </c>
      <c r="J39" s="238">
        <f>I39/G39*100</f>
        <v>109.94082416782445</v>
      </c>
      <c r="K39" s="233">
        <f>K26+K38</f>
        <v>85292.900000000009</v>
      </c>
      <c r="L39" s="356">
        <f>K39/I39*100</f>
        <v>95.723615174746627</v>
      </c>
      <c r="M39" s="466">
        <f>M38+M26</f>
        <v>87188.700000000012</v>
      </c>
      <c r="N39" s="465">
        <f>M39/K39*100</f>
        <v>102.22269379983561</v>
      </c>
      <c r="O39" s="42">
        <f>O38+O26</f>
        <v>99183.5</v>
      </c>
      <c r="P39" s="467">
        <f>O39/M39</f>
        <v>1.1375728735489803</v>
      </c>
      <c r="Q39" s="468">
        <f>Q26+Q38</f>
        <v>140043.84619821669</v>
      </c>
      <c r="R39" s="468">
        <f>R26+R38</f>
        <v>42773.026423348456</v>
      </c>
      <c r="S39" s="469">
        <f>R39/(R26/S26*100+R38/S38*100)*100</f>
        <v>105.56000123207167</v>
      </c>
      <c r="T39" s="156">
        <f>T26+T38</f>
        <v>97270.819774868214</v>
      </c>
      <c r="U39" s="470">
        <f>T39/O39*100</f>
        <v>98.071574178031838</v>
      </c>
      <c r="V39" s="42">
        <f>V38+V26</f>
        <v>133687.87330000001</v>
      </c>
      <c r="W39" s="43">
        <f>W38+W26</f>
        <v>38113.124100000001</v>
      </c>
      <c r="X39" s="43">
        <f>X38+X26</f>
        <v>95574.749199999977</v>
      </c>
      <c r="Y39" s="470"/>
      <c r="Z39" s="474">
        <v>96794.5</v>
      </c>
      <c r="AA39" s="474">
        <f>AA38+AA26</f>
        <v>93629.3</v>
      </c>
      <c r="AB39" s="472">
        <f>AB26+AB38</f>
        <v>144911.39256133267</v>
      </c>
      <c r="AC39" s="156">
        <f>AC26+AC38</f>
        <v>43885.531222042766</v>
      </c>
      <c r="AD39" s="473">
        <f>AC39/(AC26/AD26*100+AC38/AD38*100)*100</f>
        <v>102.60094945745297</v>
      </c>
      <c r="AE39" s="156">
        <f>AE26+AE38</f>
        <v>101025.8613392899</v>
      </c>
      <c r="AF39" s="239">
        <f>AE39/Z39</f>
        <v>1.0437148943306687</v>
      </c>
      <c r="AG39" s="240">
        <f>AG38+AG26</f>
        <v>116043.861</v>
      </c>
      <c r="AH39" s="155">
        <f>AH26+AH38</f>
        <v>152095.40593919076</v>
      </c>
      <c r="AI39" s="156">
        <f>AI26+AI38</f>
        <v>45517.174262143999</v>
      </c>
      <c r="AJ39" s="44">
        <f t="shared" si="11"/>
        <v>1.0371795212377808</v>
      </c>
      <c r="AK39" s="156">
        <f>AK26+AK38</f>
        <v>106578.23167704676</v>
      </c>
      <c r="AL39" s="239">
        <f t="shared" si="13"/>
        <v>0.91843058959445301</v>
      </c>
      <c r="AM39" s="475">
        <f>AM38+AM26</f>
        <v>158179.22217675843</v>
      </c>
      <c r="AN39" s="246">
        <f>AN38+AN26</f>
        <v>47337.86003262976</v>
      </c>
      <c r="AO39" s="44">
        <f t="shared" si="19"/>
        <v>1.0399999736363248</v>
      </c>
      <c r="AP39" s="246">
        <f t="shared" si="20"/>
        <v>110841.36214412867</v>
      </c>
      <c r="AQ39" s="247">
        <f t="shared" si="21"/>
        <v>1.0400000112593353</v>
      </c>
      <c r="AR39" s="155">
        <f>AR26+AR38</f>
        <v>164506.39106382875</v>
      </c>
      <c r="AS39" s="156">
        <f>AS26+AS38</f>
        <v>49231.388433934961</v>
      </c>
      <c r="AT39" s="245">
        <f t="shared" si="22"/>
        <v>1.0400002957463645</v>
      </c>
      <c r="AU39" s="156">
        <f>AU26+AU38</f>
        <v>115275.00262989383</v>
      </c>
      <c r="AV39" s="157">
        <f t="shared" si="23"/>
        <v>1.0399998736933604</v>
      </c>
      <c r="AW39" s="295"/>
      <c r="AX39" s="295"/>
      <c r="AY39" s="295"/>
      <c r="AZ39" s="295"/>
    </row>
    <row r="40" spans="1:52" ht="3" customHeight="1">
      <c r="A40" s="476"/>
      <c r="B40" s="248"/>
      <c r="C40" s="248"/>
      <c r="D40" s="248"/>
      <c r="E40" s="248"/>
      <c r="F40" s="248"/>
      <c r="G40" s="248"/>
      <c r="H40" s="477"/>
      <c r="I40" s="478"/>
      <c r="J40" s="477"/>
      <c r="K40" s="248"/>
      <c r="L40" s="479"/>
      <c r="M40" s="480"/>
      <c r="N40" s="479"/>
      <c r="O40" s="481"/>
      <c r="P40" s="482"/>
      <c r="Q40" s="483"/>
      <c r="R40" s="483"/>
      <c r="S40" s="484"/>
      <c r="T40" s="485"/>
      <c r="U40" s="484"/>
      <c r="V40" s="481"/>
      <c r="W40" s="481"/>
      <c r="X40" s="481"/>
      <c r="Y40" s="484"/>
      <c r="Z40" s="485"/>
      <c r="AA40" s="485"/>
      <c r="AB40" s="485"/>
      <c r="AC40" s="485"/>
      <c r="AD40" s="486"/>
      <c r="AE40" s="485"/>
      <c r="AF40" s="249"/>
      <c r="AG40" s="250"/>
      <c r="AH40" s="485"/>
      <c r="AI40" s="485"/>
      <c r="AJ40" s="251"/>
      <c r="AK40" s="485"/>
      <c r="AL40" s="249"/>
      <c r="AM40" s="250"/>
      <c r="AN40" s="250"/>
      <c r="AO40" s="251"/>
      <c r="AP40" s="250"/>
      <c r="AQ40" s="251"/>
      <c r="AR40" s="485"/>
      <c r="AS40" s="485"/>
      <c r="AT40" s="249"/>
      <c r="AU40" s="485"/>
      <c r="AV40" s="249"/>
      <c r="AW40" s="295"/>
      <c r="AX40" s="295"/>
      <c r="AY40" s="295"/>
      <c r="AZ40" s="295"/>
    </row>
    <row r="41" spans="1:52" s="346" customFormat="1" ht="18" customHeight="1">
      <c r="A41" s="487" t="s">
        <v>100</v>
      </c>
      <c r="B41" s="487"/>
      <c r="C41" s="487"/>
      <c r="D41" s="487"/>
      <c r="E41" s="487"/>
      <c r="F41" s="487"/>
      <c r="G41" s="487"/>
      <c r="H41" s="487"/>
      <c r="I41" s="487"/>
      <c r="J41" s="487"/>
      <c r="K41" s="487"/>
      <c r="L41" s="487"/>
      <c r="M41" s="487"/>
      <c r="N41" s="487"/>
      <c r="O41" s="487"/>
      <c r="P41" s="487"/>
      <c r="Q41" s="487"/>
      <c r="R41" s="487"/>
      <c r="S41" s="487"/>
      <c r="T41" s="487"/>
      <c r="U41" s="487"/>
      <c r="V41" s="488"/>
      <c r="W41" s="488"/>
      <c r="X41" s="488"/>
      <c r="Y41" s="488"/>
      <c r="Z41" s="488"/>
      <c r="AA41" s="488"/>
      <c r="AB41" s="489"/>
      <c r="AC41" s="489"/>
      <c r="AD41" s="489"/>
      <c r="AE41" s="490"/>
      <c r="AF41" s="491"/>
      <c r="AG41" s="491"/>
      <c r="AH41" s="491"/>
      <c r="AI41" s="489"/>
      <c r="AJ41" s="489"/>
      <c r="AK41" s="489"/>
      <c r="AL41" s="489"/>
      <c r="AM41" s="489"/>
      <c r="AN41" s="489"/>
      <c r="AO41" s="489"/>
      <c r="AP41" s="489"/>
      <c r="AQ41" s="489"/>
      <c r="AR41" s="491"/>
      <c r="AS41" s="489"/>
      <c r="AT41" s="489"/>
      <c r="AU41" s="489"/>
      <c r="AV41" s="489"/>
    </row>
    <row r="42" spans="1:52" ht="69" customHeight="1">
      <c r="A42" s="258" t="s">
        <v>101</v>
      </c>
      <c r="B42" s="258"/>
      <c r="C42" s="258"/>
      <c r="D42" s="258"/>
      <c r="E42" s="258"/>
      <c r="F42" s="258"/>
      <c r="G42" s="258"/>
      <c r="H42" s="258"/>
      <c r="I42" s="258"/>
      <c r="J42" s="258"/>
      <c r="K42" s="258"/>
      <c r="L42" s="258"/>
      <c r="M42" s="258"/>
      <c r="N42" s="258"/>
      <c r="O42" s="258"/>
      <c r="P42" s="258"/>
      <c r="Q42" s="258"/>
      <c r="R42" s="258"/>
      <c r="S42" s="258"/>
      <c r="T42" s="258"/>
      <c r="U42" s="258"/>
      <c r="V42" s="258"/>
      <c r="W42" s="258"/>
      <c r="X42" s="258"/>
      <c r="Y42" s="258"/>
      <c r="Z42" s="258"/>
      <c r="AA42" s="258"/>
      <c r="AB42" s="258"/>
      <c r="AC42" s="258"/>
      <c r="AD42" s="258"/>
      <c r="AE42" s="258"/>
      <c r="AF42" s="258"/>
      <c r="AG42" s="258"/>
      <c r="AH42" s="258"/>
      <c r="AI42" s="258"/>
      <c r="AJ42" s="258"/>
      <c r="AK42" s="258"/>
      <c r="AL42" s="258"/>
      <c r="AM42" s="258"/>
      <c r="AN42" s="258"/>
      <c r="AO42" s="258"/>
      <c r="AP42" s="258"/>
      <c r="AQ42" s="258"/>
      <c r="AR42" s="258"/>
      <c r="AS42" s="258"/>
      <c r="AT42" s="258"/>
      <c r="AU42" s="258"/>
      <c r="AV42" s="258"/>
      <c r="AW42" s="295"/>
      <c r="AX42" s="295"/>
      <c r="AY42" s="295"/>
      <c r="AZ42" s="295"/>
    </row>
    <row r="43" spans="1:52" ht="19.5" customHeight="1">
      <c r="A43" s="492" t="s">
        <v>99</v>
      </c>
      <c r="B43" s="492"/>
      <c r="C43" s="492"/>
      <c r="D43" s="492"/>
      <c r="E43" s="492"/>
      <c r="F43" s="492"/>
      <c r="G43" s="492"/>
      <c r="H43" s="492"/>
      <c r="I43" s="492"/>
      <c r="J43" s="492"/>
      <c r="K43" s="492"/>
      <c r="L43" s="492"/>
      <c r="M43" s="492"/>
      <c r="N43" s="492"/>
      <c r="O43" s="492"/>
      <c r="P43" s="492"/>
      <c r="Q43" s="492"/>
      <c r="R43" s="492"/>
      <c r="S43" s="492"/>
      <c r="T43" s="492"/>
      <c r="U43" s="492"/>
      <c r="V43" s="492"/>
      <c r="W43" s="492"/>
      <c r="X43" s="492"/>
      <c r="Y43" s="492"/>
      <c r="Z43" s="492"/>
      <c r="AA43" s="492"/>
      <c r="AB43" s="492"/>
      <c r="AC43" s="492"/>
      <c r="AD43" s="492"/>
      <c r="AE43" s="492"/>
      <c r="AF43" s="492"/>
      <c r="AG43" s="492"/>
      <c r="AH43" s="492"/>
      <c r="AI43" s="492"/>
      <c r="AJ43" s="492"/>
      <c r="AK43" s="492"/>
      <c r="AL43" s="492"/>
      <c r="AM43" s="492"/>
      <c r="AN43" s="492"/>
      <c r="AO43" s="492"/>
      <c r="AW43" s="295"/>
      <c r="AX43" s="295"/>
      <c r="AY43" s="295"/>
      <c r="AZ43" s="295"/>
    </row>
    <row r="44" spans="1:52" ht="19.5" customHeight="1">
      <c r="A44" s="258" t="s">
        <v>96</v>
      </c>
      <c r="B44" s="258"/>
      <c r="C44" s="258"/>
      <c r="D44" s="258"/>
      <c r="E44" s="258"/>
      <c r="F44" s="258"/>
      <c r="G44" s="258"/>
      <c r="H44" s="258"/>
      <c r="I44" s="258"/>
      <c r="J44" s="258"/>
      <c r="K44" s="258"/>
      <c r="L44" s="258"/>
      <c r="M44" s="258"/>
      <c r="N44" s="258"/>
      <c r="O44" s="258"/>
      <c r="P44" s="258"/>
      <c r="Q44" s="258"/>
      <c r="R44" s="258"/>
      <c r="S44" s="258"/>
      <c r="T44" s="258"/>
      <c r="U44" s="258"/>
      <c r="V44" s="258"/>
      <c r="W44" s="258"/>
      <c r="X44" s="258"/>
      <c r="Y44" s="258"/>
      <c r="Z44" s="258"/>
      <c r="AA44" s="258"/>
      <c r="AB44" s="258"/>
      <c r="AC44" s="258"/>
      <c r="AD44" s="258"/>
      <c r="AE44" s="258"/>
      <c r="AF44" s="258"/>
      <c r="AG44" s="258"/>
      <c r="AH44" s="258"/>
      <c r="AI44" s="258"/>
      <c r="AJ44" s="258"/>
      <c r="AK44" s="258"/>
      <c r="AL44" s="258"/>
      <c r="AM44" s="258"/>
      <c r="AN44" s="258"/>
      <c r="AO44" s="258"/>
      <c r="AW44" s="295"/>
      <c r="AX44" s="295"/>
      <c r="AY44" s="295"/>
      <c r="AZ44" s="295"/>
    </row>
    <row r="45" spans="1:52" ht="18.75" customHeight="1">
      <c r="A45" s="492" t="s">
        <v>98</v>
      </c>
      <c r="B45" s="492"/>
      <c r="C45" s="492"/>
      <c r="D45" s="492"/>
      <c r="E45" s="492"/>
      <c r="F45" s="492"/>
      <c r="G45" s="492"/>
      <c r="H45" s="492"/>
      <c r="I45" s="492"/>
      <c r="J45" s="492"/>
      <c r="K45" s="492"/>
      <c r="L45" s="492"/>
      <c r="M45" s="492"/>
      <c r="N45" s="492"/>
      <c r="O45" s="492"/>
      <c r="P45" s="492"/>
      <c r="Q45" s="492"/>
      <c r="R45" s="492"/>
      <c r="S45" s="492"/>
      <c r="T45" s="492"/>
      <c r="U45" s="492"/>
      <c r="V45" s="492"/>
      <c r="W45" s="492"/>
      <c r="X45" s="492"/>
      <c r="Y45" s="492"/>
      <c r="Z45" s="492"/>
      <c r="AA45" s="492"/>
      <c r="AB45" s="492"/>
      <c r="AC45" s="492"/>
      <c r="AD45" s="492"/>
      <c r="AE45" s="492"/>
      <c r="AF45" s="492"/>
      <c r="AG45" s="492"/>
      <c r="AH45" s="492"/>
      <c r="AI45" s="492"/>
      <c r="AJ45" s="492"/>
      <c r="AK45" s="492"/>
      <c r="AL45" s="492"/>
      <c r="AM45" s="492"/>
      <c r="AN45" s="492"/>
      <c r="AW45" s="295"/>
      <c r="AX45" s="295"/>
      <c r="AY45" s="295"/>
      <c r="AZ45" s="295"/>
    </row>
    <row r="46" spans="1:52">
      <c r="A46" s="492"/>
      <c r="B46" s="492"/>
      <c r="C46" s="492"/>
      <c r="D46" s="492"/>
      <c r="E46" s="492"/>
      <c r="F46" s="492"/>
      <c r="G46" s="492"/>
      <c r="H46" s="492"/>
      <c r="I46" s="492"/>
      <c r="J46" s="492"/>
      <c r="K46" s="492"/>
      <c r="L46" s="492"/>
      <c r="M46" s="492"/>
      <c r="N46" s="492"/>
      <c r="O46" s="492"/>
      <c r="P46" s="492"/>
      <c r="Q46" s="492"/>
      <c r="R46" s="492"/>
      <c r="S46" s="492"/>
      <c r="T46" s="492"/>
      <c r="U46" s="492"/>
      <c r="V46" s="493"/>
      <c r="W46" s="493"/>
      <c r="X46" s="493"/>
      <c r="Y46" s="493"/>
      <c r="Z46" s="493"/>
      <c r="AA46" s="493"/>
      <c r="AW46" s="295"/>
      <c r="AX46" s="295"/>
      <c r="AY46" s="295"/>
      <c r="AZ46" s="295"/>
    </row>
    <row r="47" spans="1:52">
      <c r="A47" s="494"/>
      <c r="B47" s="480"/>
      <c r="C47" s="480"/>
      <c r="D47" s="480"/>
      <c r="E47" s="480"/>
      <c r="F47" s="480"/>
      <c r="AW47" s="295"/>
      <c r="AX47" s="295"/>
      <c r="AY47" s="295"/>
      <c r="AZ47" s="295"/>
    </row>
    <row r="48" spans="1:52">
      <c r="A48" s="495"/>
      <c r="B48" s="495"/>
      <c r="C48" s="495"/>
      <c r="D48" s="495"/>
      <c r="E48" s="495"/>
      <c r="F48" s="495"/>
      <c r="AW48" s="295"/>
      <c r="AX48" s="295"/>
      <c r="AY48" s="295"/>
      <c r="AZ48" s="295"/>
    </row>
    <row r="49" spans="1:52">
      <c r="A49" s="476"/>
      <c r="B49" s="480"/>
      <c r="C49" s="480"/>
      <c r="D49" s="480"/>
      <c r="E49" s="480"/>
      <c r="F49" s="480"/>
      <c r="AW49" s="295"/>
      <c r="AX49" s="295"/>
      <c r="AY49" s="295"/>
      <c r="AZ49" s="295"/>
    </row>
    <row r="50" spans="1:52">
      <c r="A50" s="476"/>
      <c r="B50" s="480"/>
      <c r="C50" s="480"/>
      <c r="D50" s="480"/>
      <c r="E50" s="480"/>
      <c r="F50" s="480"/>
      <c r="AW50" s="295"/>
      <c r="AX50" s="295"/>
      <c r="AY50" s="295"/>
      <c r="AZ50" s="295"/>
    </row>
    <row r="52" spans="1:52">
      <c r="A52" s="496"/>
      <c r="B52" s="496"/>
      <c r="C52" s="496"/>
      <c r="D52" s="496"/>
      <c r="E52" s="496"/>
      <c r="F52" s="496"/>
      <c r="AW52" s="295"/>
      <c r="AX52" s="295"/>
      <c r="AY52" s="295"/>
      <c r="AZ52" s="295"/>
    </row>
    <row r="53" spans="1:52">
      <c r="A53" s="497"/>
      <c r="B53" s="497"/>
      <c r="C53" s="497"/>
      <c r="D53" s="497"/>
      <c r="E53" s="497"/>
      <c r="F53" s="497"/>
      <c r="AW53" s="295"/>
      <c r="AX53" s="295"/>
      <c r="AY53" s="295"/>
      <c r="AZ53" s="295"/>
    </row>
    <row r="55" spans="1:52">
      <c r="A55" s="498"/>
      <c r="B55" s="498"/>
      <c r="C55" s="498"/>
      <c r="D55" s="498"/>
      <c r="E55" s="498"/>
      <c r="F55" s="498"/>
      <c r="AW55" s="295"/>
      <c r="AX55" s="295"/>
      <c r="AY55" s="295"/>
      <c r="AZ55" s="295"/>
    </row>
  </sheetData>
  <mergeCells count="47">
    <mergeCell ref="A45:AN45"/>
    <mergeCell ref="AQ12:AQ15"/>
    <mergeCell ref="AR12:AR15"/>
    <mergeCell ref="AT12:AT15"/>
    <mergeCell ref="AV12:AV15"/>
    <mergeCell ref="AU12:AU15"/>
    <mergeCell ref="AS12:AS15"/>
    <mergeCell ref="A44:AO44"/>
    <mergeCell ref="AM12:AM15"/>
    <mergeCell ref="AN12:AN15"/>
    <mergeCell ref="AO12:AO15"/>
    <mergeCell ref="AP12:AP15"/>
    <mergeCell ref="AJ12:AJ15"/>
    <mergeCell ref="AL12:AL15"/>
    <mergeCell ref="AH12:AH15"/>
    <mergeCell ref="AI12:AI15"/>
    <mergeCell ref="AK12:AK15"/>
    <mergeCell ref="A43:AO43"/>
    <mergeCell ref="AR6:AV6"/>
    <mergeCell ref="A46:U46"/>
    <mergeCell ref="I11:J11"/>
    <mergeCell ref="V12:V15"/>
    <mergeCell ref="W12:W15"/>
    <mergeCell ref="X12:X15"/>
    <mergeCell ref="A41:U41"/>
    <mergeCell ref="A42:AV42"/>
    <mergeCell ref="Z12:Z15"/>
    <mergeCell ref="AF12:AF15"/>
    <mergeCell ref="AA12:AA15"/>
    <mergeCell ref="AG12:AG15"/>
    <mergeCell ref="AM6:AQ6"/>
    <mergeCell ref="O8:Z8"/>
    <mergeCell ref="AK1:AL1"/>
    <mergeCell ref="A3:AV3"/>
    <mergeCell ref="A6:A7"/>
    <mergeCell ref="D6:E6"/>
    <mergeCell ref="F6:H6"/>
    <mergeCell ref="I6:J6"/>
    <mergeCell ref="K6:L6"/>
    <mergeCell ref="M6:N6"/>
    <mergeCell ref="O6:P6"/>
    <mergeCell ref="AA6:AA7"/>
    <mergeCell ref="Q6:U6"/>
    <mergeCell ref="V6:Y6"/>
    <mergeCell ref="AB6:AF6"/>
    <mergeCell ref="AH6:AL6"/>
    <mergeCell ref="AU5:AV5"/>
  </mergeCells>
  <pageMargins left="0.51181102362204722" right="0.51181102362204722" top="0.74803149606299213" bottom="0.55118110236220474" header="0.31496062992125984" footer="0.31496062992125984"/>
  <pageSetup paperSize="9" scale="32" fitToHeight="0" orientation="landscape" r:id="rId1"/>
  <legacyDrawing r:id="rId2"/>
</worksheet>
</file>

<file path=xl/worksheets/sheet2.xml><?xml version="1.0" encoding="utf-8"?>
<worksheet xmlns="http://schemas.openxmlformats.org/spreadsheetml/2006/main" xmlns:r="http://schemas.openxmlformats.org/officeDocument/2006/relationships">
  <dimension ref="B1:N31"/>
  <sheetViews>
    <sheetView workbookViewId="0">
      <selection activeCell="C26" sqref="C26"/>
    </sheetView>
  </sheetViews>
  <sheetFormatPr defaultRowHeight="15"/>
  <cols>
    <col min="2" max="2" width="7.42578125" customWidth="1"/>
    <col min="3" max="3" width="91.140625" customWidth="1"/>
    <col min="4" max="4" width="19.85546875" customWidth="1"/>
    <col min="5" max="5" width="14.7109375" customWidth="1"/>
    <col min="6" max="7" width="14.5703125" customWidth="1"/>
    <col min="8" max="8" width="37.85546875" customWidth="1"/>
  </cols>
  <sheetData>
    <row r="1" spans="2:14">
      <c r="C1" s="3"/>
      <c r="D1" s="3"/>
      <c r="E1" s="3"/>
      <c r="F1" s="3"/>
      <c r="G1" s="3"/>
      <c r="H1" s="3"/>
    </row>
    <row r="2" spans="2:14" ht="18.75">
      <c r="B2" s="293" t="s">
        <v>67</v>
      </c>
      <c r="C2" s="293"/>
      <c r="D2" s="293"/>
      <c r="E2" s="293"/>
      <c r="F2" s="293"/>
      <c r="G2" s="293"/>
      <c r="H2" s="16"/>
      <c r="I2" s="2"/>
      <c r="J2" s="2"/>
      <c r="K2" s="2"/>
      <c r="L2" s="2"/>
      <c r="M2" s="2"/>
      <c r="N2" s="1"/>
    </row>
    <row r="3" spans="2:14" ht="18.75">
      <c r="B3" s="293" t="s">
        <v>102</v>
      </c>
      <c r="C3" s="293"/>
      <c r="D3" s="293"/>
      <c r="E3" s="293"/>
      <c r="F3" s="293"/>
      <c r="G3" s="293"/>
      <c r="H3" s="16"/>
      <c r="I3" s="2"/>
      <c r="J3" s="2"/>
      <c r="K3" s="2"/>
      <c r="L3" s="2"/>
      <c r="M3" s="2"/>
    </row>
    <row r="4" spans="2:14">
      <c r="C4" s="3"/>
      <c r="D4" s="3"/>
      <c r="E4" s="3"/>
      <c r="F4" s="3"/>
      <c r="G4" s="3"/>
      <c r="H4" s="3"/>
    </row>
    <row r="5" spans="2:14" ht="18.75">
      <c r="B5" s="9" t="s">
        <v>84</v>
      </c>
      <c r="C5" s="10" t="s">
        <v>68</v>
      </c>
      <c r="D5" s="10" t="s">
        <v>87</v>
      </c>
      <c r="E5" s="10" t="s">
        <v>74</v>
      </c>
      <c r="F5" s="10" t="s">
        <v>75</v>
      </c>
      <c r="G5" s="10" t="s">
        <v>76</v>
      </c>
      <c r="H5" s="7"/>
    </row>
    <row r="6" spans="2:14" ht="18.75">
      <c r="B6" s="9">
        <v>1</v>
      </c>
      <c r="C6" s="11" t="s">
        <v>69</v>
      </c>
      <c r="D6" s="10" t="s">
        <v>70</v>
      </c>
      <c r="E6" s="12">
        <v>78.81</v>
      </c>
      <c r="F6" s="12">
        <v>76.83</v>
      </c>
      <c r="G6" s="12">
        <v>80.260000000000005</v>
      </c>
      <c r="H6" s="7"/>
    </row>
    <row r="7" spans="2:14" ht="18.75">
      <c r="B7" s="9">
        <v>2</v>
      </c>
      <c r="C7" s="11" t="s">
        <v>71</v>
      </c>
      <c r="D7" s="10" t="s">
        <v>70</v>
      </c>
      <c r="E7" s="12">
        <v>27.92</v>
      </c>
      <c r="F7" s="12">
        <v>29.04</v>
      </c>
      <c r="G7" s="12">
        <v>30.2</v>
      </c>
      <c r="H7" s="7"/>
    </row>
    <row r="8" spans="2:14" ht="18.75">
      <c r="B8" s="9">
        <v>3</v>
      </c>
      <c r="C8" s="11" t="s">
        <v>89</v>
      </c>
      <c r="D8" s="10" t="s">
        <v>72</v>
      </c>
      <c r="E8" s="12">
        <v>45.11</v>
      </c>
      <c r="F8" s="12">
        <f>E8</f>
        <v>45.11</v>
      </c>
      <c r="G8" s="12">
        <f>F8</f>
        <v>45.11</v>
      </c>
      <c r="H8" s="7"/>
    </row>
    <row r="9" spans="2:14" ht="18.75">
      <c r="B9" s="9">
        <v>5</v>
      </c>
      <c r="C9" s="11" t="s">
        <v>86</v>
      </c>
      <c r="D9" s="10" t="s">
        <v>72</v>
      </c>
      <c r="E9" s="12">
        <v>4.7699999999999996</v>
      </c>
      <c r="F9" s="12">
        <v>4.7699999999999996</v>
      </c>
      <c r="G9" s="12">
        <v>4.7699999999999996</v>
      </c>
      <c r="H9" s="7"/>
    </row>
    <row r="10" spans="2:14" ht="18.75">
      <c r="B10" s="9">
        <v>6</v>
      </c>
      <c r="C10" s="11" t="s">
        <v>82</v>
      </c>
      <c r="D10" s="10" t="s">
        <v>83</v>
      </c>
      <c r="E10" s="12">
        <v>72956.3</v>
      </c>
      <c r="F10" s="12">
        <f>E10</f>
        <v>72956.3</v>
      </c>
      <c r="G10" s="12">
        <f>F10</f>
        <v>72956.3</v>
      </c>
      <c r="H10" s="7"/>
    </row>
    <row r="11" spans="2:14" ht="18.75">
      <c r="B11" s="9">
        <v>7</v>
      </c>
      <c r="C11" s="11" t="s">
        <v>73</v>
      </c>
      <c r="D11" s="10" t="s">
        <v>85</v>
      </c>
      <c r="E11" s="12">
        <f>E10/E8</f>
        <v>1617.2977166925295</v>
      </c>
      <c r="F11" s="12">
        <f>F10/F8</f>
        <v>1617.2977166925295</v>
      </c>
      <c r="G11" s="12">
        <f>G10/G8</f>
        <v>1617.2977166925295</v>
      </c>
      <c r="H11" s="7"/>
    </row>
    <row r="12" spans="2:14" ht="18.75">
      <c r="B12" s="9">
        <v>8</v>
      </c>
      <c r="C12" s="11" t="s">
        <v>91</v>
      </c>
      <c r="D12" s="14" t="s">
        <v>0</v>
      </c>
      <c r="E12" s="12">
        <f>E6*E9*E11</f>
        <v>607980.54166060744</v>
      </c>
      <c r="F12" s="12">
        <f t="shared" ref="F12:G12" si="0">F6*F9*F11</f>
        <v>592705.81164553319</v>
      </c>
      <c r="G12" s="12">
        <f t="shared" si="0"/>
        <v>619166.58131811128</v>
      </c>
      <c r="H12" s="7"/>
    </row>
    <row r="13" spans="2:14" ht="18.75">
      <c r="B13" s="9">
        <v>9</v>
      </c>
      <c r="C13" s="11" t="s">
        <v>92</v>
      </c>
      <c r="D13" s="14" t="s">
        <v>0</v>
      </c>
      <c r="E13" s="12">
        <f>E7*E9*E11</f>
        <v>215389.12223276435</v>
      </c>
      <c r="F13" s="12">
        <f t="shared" ref="F13:G13" si="1">F7*F9*F11</f>
        <v>224029.37355442252</v>
      </c>
      <c r="G13" s="12">
        <f t="shared" si="1"/>
        <v>232978.20528042561</v>
      </c>
      <c r="H13" s="7"/>
    </row>
    <row r="14" spans="2:14" ht="37.5">
      <c r="B14" s="17">
        <v>10</v>
      </c>
      <c r="C14" s="13" t="s">
        <v>93</v>
      </c>
      <c r="D14" s="14" t="s">
        <v>0</v>
      </c>
      <c r="E14" s="15">
        <f>E12-E13</f>
        <v>392591.41942784307</v>
      </c>
      <c r="F14" s="15">
        <f t="shared" ref="F14:G14" si="2">F12-F13</f>
        <v>368676.43809111067</v>
      </c>
      <c r="G14" s="15">
        <f t="shared" si="2"/>
        <v>386188.37603768567</v>
      </c>
      <c r="H14" s="7"/>
    </row>
    <row r="15" spans="2:14" ht="18.75">
      <c r="B15" s="1"/>
      <c r="C15" s="7"/>
      <c r="D15" s="6"/>
      <c r="E15" s="8"/>
      <c r="F15" s="8"/>
      <c r="G15" s="8"/>
      <c r="H15" s="7"/>
    </row>
    <row r="16" spans="2:14" ht="18.75">
      <c r="C16" s="7"/>
      <c r="D16" s="7"/>
      <c r="E16" s="6"/>
      <c r="F16" s="6"/>
      <c r="G16" s="6"/>
      <c r="H16" s="7"/>
    </row>
    <row r="17" spans="3:8" ht="18.75">
      <c r="C17" s="7" t="s">
        <v>77</v>
      </c>
      <c r="D17" s="7"/>
      <c r="E17" s="6"/>
      <c r="F17" s="6"/>
      <c r="G17" s="6"/>
      <c r="H17" s="7"/>
    </row>
    <row r="18" spans="3:8" ht="16.5">
      <c r="C18" s="5" t="s">
        <v>78</v>
      </c>
      <c r="D18" s="5"/>
      <c r="E18" s="4"/>
      <c r="F18" s="4"/>
      <c r="G18" s="4"/>
      <c r="H18" s="5"/>
    </row>
    <row r="19" spans="3:8" ht="16.5">
      <c r="C19" s="5" t="s">
        <v>103</v>
      </c>
      <c r="D19" s="5"/>
      <c r="E19" s="5"/>
      <c r="F19" s="5"/>
      <c r="G19" s="5"/>
      <c r="H19" s="5"/>
    </row>
    <row r="20" spans="3:8" ht="16.5">
      <c r="C20" s="5" t="s">
        <v>104</v>
      </c>
      <c r="D20" s="5"/>
      <c r="E20" s="5"/>
      <c r="F20" s="5"/>
      <c r="G20" s="5"/>
      <c r="H20" s="5"/>
    </row>
    <row r="21" spans="3:8" ht="16.5">
      <c r="C21" s="5" t="s">
        <v>79</v>
      </c>
      <c r="D21" s="5"/>
      <c r="E21" s="5"/>
      <c r="F21" s="5"/>
      <c r="G21" s="5"/>
      <c r="H21" s="5"/>
    </row>
    <row r="22" spans="3:8" ht="16.5">
      <c r="C22" s="5" t="s">
        <v>80</v>
      </c>
      <c r="D22" s="5"/>
      <c r="E22" s="5"/>
      <c r="F22" s="5"/>
      <c r="G22" s="5"/>
      <c r="H22" s="5"/>
    </row>
    <row r="23" spans="3:8" ht="16.5">
      <c r="C23" s="5" t="s">
        <v>105</v>
      </c>
      <c r="D23" s="5"/>
      <c r="E23" s="5"/>
      <c r="F23" s="5"/>
      <c r="G23" s="5"/>
      <c r="H23" s="5"/>
    </row>
    <row r="24" spans="3:8" ht="16.5">
      <c r="C24" s="5" t="s">
        <v>81</v>
      </c>
      <c r="D24" s="5"/>
      <c r="E24" s="5"/>
      <c r="F24" s="5"/>
      <c r="G24" s="5"/>
      <c r="H24" s="5"/>
    </row>
    <row r="25" spans="3:8" ht="16.5">
      <c r="C25" s="5"/>
      <c r="D25" s="5"/>
      <c r="E25" s="5"/>
      <c r="F25" s="5"/>
      <c r="G25" s="5"/>
      <c r="H25" s="5"/>
    </row>
    <row r="26" spans="3:8" ht="16.5">
      <c r="C26" s="5"/>
      <c r="D26" s="5"/>
      <c r="E26" s="5"/>
      <c r="F26" s="5"/>
      <c r="G26" s="5"/>
      <c r="H26" s="5"/>
    </row>
    <row r="27" spans="3:8" ht="16.5">
      <c r="C27" s="5"/>
      <c r="D27" s="5"/>
      <c r="E27" s="5"/>
      <c r="F27" s="5"/>
      <c r="G27" s="5"/>
      <c r="H27" s="5"/>
    </row>
    <row r="28" spans="3:8" ht="16.5">
      <c r="C28" s="5"/>
      <c r="D28" s="5"/>
      <c r="E28" s="5"/>
      <c r="F28" s="5"/>
      <c r="G28" s="5"/>
      <c r="H28" s="5"/>
    </row>
    <row r="29" spans="3:8" ht="16.5">
      <c r="C29" s="5"/>
      <c r="D29" s="5"/>
      <c r="E29" s="5"/>
      <c r="F29" s="5"/>
      <c r="G29" s="5"/>
      <c r="H29" s="5"/>
    </row>
    <row r="30" spans="3:8" ht="16.5">
      <c r="C30" s="5"/>
      <c r="D30" s="5"/>
      <c r="E30" s="5"/>
      <c r="F30" s="5"/>
      <c r="G30" s="5"/>
      <c r="H30" s="5"/>
    </row>
    <row r="31" spans="3:8" ht="16.5">
      <c r="C31" s="5"/>
      <c r="D31" s="5"/>
      <c r="E31" s="5"/>
      <c r="F31" s="5"/>
      <c r="G31" s="5"/>
      <c r="H31" s="5"/>
    </row>
  </sheetData>
  <mergeCells count="2">
    <mergeCell ref="B2:G2"/>
    <mergeCell ref="B3:G3"/>
  </mergeCells>
  <pageMargins left="0.70866141732283472" right="0.70866141732283472" top="0.74803149606299213" bottom="0.74803149606299213"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Бюджет</vt:lpstr>
      <vt:lpstr>ЖД транспорт расчет</vt:lpstr>
      <vt:lpstr>Бюджет!Область_печати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Берденникова Светлана Николаевна</dc:creator>
  <cp:lastModifiedBy>minfin user</cp:lastModifiedBy>
  <cp:lastPrinted>2018-10-11T17:35:01Z</cp:lastPrinted>
  <dcterms:created xsi:type="dcterms:W3CDTF">2017-08-04T07:55:22Z</dcterms:created>
  <dcterms:modified xsi:type="dcterms:W3CDTF">2018-10-11T17:35:04Z</dcterms:modified>
</cp:coreProperties>
</file>